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0" yWindow="0" windowWidth="23016" windowHeight="9168"/>
  </bookViews>
  <sheets>
    <sheet name="საერთო" sheetId="8" r:id="rId1"/>
    <sheet name="დემონტაჟი" sheetId="1" r:id="rId2"/>
    <sheet name="გამწვანება" sheetId="10" r:id="rId3"/>
    <sheet name="კეთილმოწყობა" sheetId="3" r:id="rId4"/>
    <sheet name="მცირე არქ." sheetId="5" r:id="rId5"/>
    <sheet name="ელექტროობა" sheetId="11" r:id="rId6"/>
  </sheets>
  <definedNames>
    <definedName name="_xlnm.Print_Area" localSheetId="2">გამწვანება!$A$1:$M$23</definedName>
    <definedName name="_xlnm.Print_Area" localSheetId="1">დემონტაჟი!$A$1:$M$37</definedName>
    <definedName name="_xlnm.Print_Area" localSheetId="5">ელექტროობა!$A$1:$M$100</definedName>
    <definedName name="_xlnm.Print_Area" localSheetId="3">კეთილმოწყობა!$A$1:$M$130</definedName>
    <definedName name="_xlnm.Print_Area" localSheetId="4">'მცირე არქ.'!$A$1:$M$122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1" l="1"/>
  <c r="F9" i="11" s="1"/>
  <c r="F10" i="11"/>
  <c r="F11" i="11"/>
  <c r="F12" i="11"/>
  <c r="F13" i="11"/>
  <c r="F14" i="11"/>
  <c r="F63" i="3" l="1"/>
  <c r="F62" i="3"/>
  <c r="F61" i="3"/>
  <c r="F60" i="3"/>
  <c r="A60" i="3"/>
  <c r="A61" i="3" s="1"/>
  <c r="A62" i="3" s="1"/>
  <c r="A63" i="3" s="1"/>
  <c r="F58" i="3"/>
  <c r="F57" i="3"/>
  <c r="F56" i="3"/>
  <c r="F55" i="3"/>
  <c r="F54" i="3"/>
  <c r="A54" i="3"/>
  <c r="A55" i="3" s="1"/>
  <c r="A56" i="3" s="1"/>
  <c r="A57" i="3" s="1"/>
  <c r="A58" i="3" s="1"/>
  <c r="F52" i="3"/>
  <c r="F49" i="3"/>
  <c r="F48" i="3"/>
  <c r="F47" i="3"/>
  <c r="F46" i="3"/>
  <c r="F45" i="3"/>
  <c r="A45" i="3"/>
  <c r="A46" i="3" s="1"/>
  <c r="A47" i="3" s="1"/>
  <c r="A48" i="3" s="1"/>
  <c r="A49" i="3" s="1"/>
  <c r="A50" i="3" s="1"/>
  <c r="A51" i="3" s="1"/>
  <c r="A52" i="3" s="1"/>
  <c r="A70" i="3"/>
  <c r="A71" i="3" s="1"/>
  <c r="A72" i="3" s="1"/>
  <c r="A73" i="3" s="1"/>
  <c r="A74" i="3" s="1"/>
  <c r="F69" i="3"/>
  <c r="F74" i="3" s="1"/>
  <c r="F68" i="3"/>
  <c r="F67" i="3"/>
  <c r="F66" i="3"/>
  <c r="F65" i="3"/>
  <c r="A65" i="3"/>
  <c r="A66" i="3" s="1"/>
  <c r="A67" i="3" s="1"/>
  <c r="A68" i="3" s="1"/>
  <c r="F43" i="3"/>
  <c r="E42" i="3"/>
  <c r="F42" i="3" s="1"/>
  <c r="F41" i="3"/>
  <c r="F40" i="3"/>
  <c r="F39" i="3"/>
  <c r="A39" i="3"/>
  <c r="A40" i="3" s="1"/>
  <c r="A41" i="3" s="1"/>
  <c r="A42" i="3" s="1"/>
  <c r="F37" i="3"/>
  <c r="F34" i="3"/>
  <c r="F33" i="3"/>
  <c r="F31" i="3"/>
  <c r="F30" i="3"/>
  <c r="F29" i="3"/>
  <c r="A29" i="3"/>
  <c r="A30" i="3" s="1"/>
  <c r="A31" i="3" s="1"/>
  <c r="A32" i="3" s="1"/>
  <c r="A33" i="3" s="1"/>
  <c r="A34" i="3" s="1"/>
  <c r="A35" i="3" s="1"/>
  <c r="A36" i="3" s="1"/>
  <c r="A37" i="3" s="1"/>
  <c r="F27" i="3"/>
  <c r="F26" i="3"/>
  <c r="F25" i="3"/>
  <c r="F24" i="3"/>
  <c r="A24" i="3"/>
  <c r="A25" i="3" s="1"/>
  <c r="A26" i="3" s="1"/>
  <c r="A27" i="3" s="1"/>
  <c r="A78" i="3"/>
  <c r="E78" i="3"/>
  <c r="F71" i="3" l="1"/>
  <c r="F73" i="3"/>
  <c r="F70" i="3"/>
  <c r="F72" i="3"/>
  <c r="F28" i="1" l="1"/>
  <c r="A28" i="1"/>
  <c r="A25" i="1"/>
  <c r="F24" i="1"/>
  <c r="F25" i="1" s="1"/>
  <c r="F23" i="1"/>
  <c r="A23" i="1"/>
  <c r="F18" i="1"/>
  <c r="A18" i="1"/>
  <c r="F16" i="1"/>
  <c r="E16" i="1"/>
  <c r="E15" i="1"/>
  <c r="F15" i="1" s="1"/>
  <c r="E14" i="1"/>
  <c r="F14" i="1" s="1"/>
  <c r="A14" i="1"/>
  <c r="A15" i="1" s="1"/>
  <c r="A16" i="1" s="1"/>
  <c r="F12" i="1"/>
  <c r="A12" i="1"/>
  <c r="F11" i="1"/>
  <c r="A11" i="1"/>
  <c r="F9" i="1"/>
  <c r="F8" i="1"/>
  <c r="A8" i="1"/>
  <c r="A9" i="1" s="1"/>
  <c r="F114" i="5" l="1"/>
  <c r="F113" i="5"/>
  <c r="F112" i="5"/>
  <c r="A112" i="5"/>
  <c r="A113" i="5" s="1"/>
  <c r="A114" i="5" s="1"/>
  <c r="A106" i="5"/>
  <c r="A107" i="5" s="1"/>
  <c r="A108" i="5" s="1"/>
  <c r="A109" i="5" s="1"/>
  <c r="A110" i="5" s="1"/>
  <c r="A100" i="5"/>
  <c r="A101" i="5" s="1"/>
  <c r="A102" i="5" s="1"/>
  <c r="A103" i="5" s="1"/>
  <c r="A104" i="5" s="1"/>
  <c r="F99" i="5"/>
  <c r="F100" i="5" s="1"/>
  <c r="F98" i="5"/>
  <c r="F97" i="5"/>
  <c r="F96" i="5"/>
  <c r="F95" i="5"/>
  <c r="F94" i="5"/>
  <c r="A94" i="5"/>
  <c r="A95" i="5" s="1"/>
  <c r="A96" i="5" s="1"/>
  <c r="A97" i="5" s="1"/>
  <c r="A98" i="5" s="1"/>
  <c r="A83" i="5"/>
  <c r="A84" i="5" s="1"/>
  <c r="A85" i="5" s="1"/>
  <c r="A86" i="5" s="1"/>
  <c r="A87" i="5" s="1"/>
  <c r="A88" i="5" s="1"/>
  <c r="A89" i="5" s="1"/>
  <c r="A90" i="5" s="1"/>
  <c r="A91" i="5" s="1"/>
  <c r="F81" i="5"/>
  <c r="F80" i="5"/>
  <c r="F79" i="5"/>
  <c r="F78" i="5"/>
  <c r="A78" i="5"/>
  <c r="A79" i="5" s="1"/>
  <c r="A80" i="5" s="1"/>
  <c r="A81" i="5" s="1"/>
  <c r="F76" i="5"/>
  <c r="F75" i="5"/>
  <c r="F74" i="5"/>
  <c r="F73" i="5"/>
  <c r="A73" i="5"/>
  <c r="A74" i="5" s="1"/>
  <c r="A75" i="5" s="1"/>
  <c r="A76" i="5" s="1"/>
  <c r="F71" i="5"/>
  <c r="F70" i="5"/>
  <c r="F69" i="5"/>
  <c r="F68" i="5"/>
  <c r="A68" i="5"/>
  <c r="A69" i="5" s="1"/>
  <c r="A70" i="5" s="1"/>
  <c r="A71" i="5" s="1"/>
  <c r="F105" i="5" l="1"/>
  <c r="F109" i="5" s="1"/>
  <c r="F107" i="5"/>
  <c r="F110" i="5"/>
  <c r="F108" i="5"/>
  <c r="F106" i="5"/>
  <c r="F101" i="5"/>
  <c r="F104" i="5"/>
  <c r="A28" i="11" l="1"/>
  <c r="A29" i="11" s="1"/>
  <c r="A30" i="11" s="1"/>
  <c r="F30" i="11"/>
  <c r="F29" i="11"/>
  <c r="F28" i="11"/>
  <c r="F27" i="11"/>
  <c r="P27" i="11" s="1"/>
  <c r="F26" i="11"/>
  <c r="P26" i="11" s="1"/>
  <c r="F25" i="11"/>
  <c r="F24" i="11"/>
  <c r="F23" i="11"/>
  <c r="A22" i="11"/>
  <c r="A23" i="11" s="1"/>
  <c r="A24" i="11" s="1"/>
  <c r="A25" i="11" s="1"/>
  <c r="A26" i="11" s="1"/>
  <c r="A27" i="11" s="1"/>
  <c r="P28" i="11" l="1"/>
  <c r="F11" i="3" l="1"/>
  <c r="F77" i="3" s="1"/>
  <c r="F78" i="3" s="1"/>
  <c r="F67" i="11" l="1"/>
  <c r="F72" i="11" s="1"/>
  <c r="F38" i="11"/>
  <c r="F42" i="5"/>
  <c r="A40" i="5"/>
  <c r="A41" i="5" s="1"/>
  <c r="A42" i="5" s="1"/>
  <c r="A43" i="5" s="1"/>
  <c r="A38" i="5"/>
  <c r="A36" i="5"/>
  <c r="A34" i="5"/>
  <c r="F33" i="5" l="1"/>
  <c r="F40" i="5"/>
  <c r="F41" i="5"/>
  <c r="F43" i="5"/>
  <c r="A12" i="3"/>
  <c r="F113" i="3"/>
  <c r="F99" i="3"/>
  <c r="F104" i="3"/>
  <c r="F35" i="5" l="1"/>
  <c r="F34" i="5"/>
  <c r="F9" i="3"/>
  <c r="F19" i="3" s="1"/>
  <c r="F14" i="3"/>
  <c r="F37" i="5" l="1"/>
  <c r="F38" i="5" s="1"/>
  <c r="F36" i="5"/>
  <c r="F21" i="3"/>
  <c r="F25" i="5" l="1"/>
  <c r="F43" i="11" l="1"/>
  <c r="F75" i="11"/>
  <c r="F70" i="11" l="1"/>
  <c r="F29" i="5"/>
  <c r="A30" i="5"/>
  <c r="A31" i="5" s="1"/>
  <c r="F91" i="3" l="1"/>
  <c r="A11" i="10"/>
  <c r="A12" i="10" s="1"/>
  <c r="A13" i="10" s="1"/>
  <c r="A14" i="10" s="1"/>
  <c r="F10" i="10"/>
  <c r="F14" i="10" s="1"/>
  <c r="F9" i="10"/>
  <c r="F8" i="10"/>
  <c r="A8" i="10"/>
  <c r="A9" i="10" s="1"/>
  <c r="F11" i="10" l="1"/>
  <c r="F12" i="10"/>
  <c r="F13" i="10" l="1"/>
  <c r="N15" i="10" l="1"/>
  <c r="F114" i="3" l="1"/>
  <c r="F111" i="3"/>
  <c r="F110" i="3"/>
  <c r="F107" i="3"/>
  <c r="N42" i="11" l="1"/>
  <c r="A26" i="5" l="1"/>
  <c r="F27" i="5"/>
  <c r="F18" i="5" s="1"/>
  <c r="A28" i="5"/>
  <c r="F13" i="5" l="1"/>
  <c r="F16" i="5" s="1"/>
  <c r="F7" i="5" l="1"/>
  <c r="F9" i="5" s="1"/>
  <c r="A2" i="5" l="1"/>
  <c r="F24" i="5" l="1"/>
  <c r="E23" i="5"/>
  <c r="F23" i="5" s="1"/>
  <c r="F22" i="5"/>
  <c r="F21" i="5"/>
  <c r="F20" i="5"/>
  <c r="F19" i="5"/>
  <c r="A19" i="5"/>
  <c r="A20" i="5" s="1"/>
  <c r="A21" i="5" s="1"/>
  <c r="A22" i="5" s="1"/>
  <c r="A23" i="5" s="1"/>
  <c r="A24" i="5" s="1"/>
  <c r="F17" i="5"/>
  <c r="F15" i="5"/>
  <c r="F14" i="5"/>
  <c r="A14" i="5"/>
  <c r="A15" i="5" s="1"/>
  <c r="A16" i="5" s="1"/>
  <c r="A17" i="5" s="1"/>
  <c r="F112" i="3" l="1"/>
  <c r="A110" i="3"/>
  <c r="A111" i="3" s="1"/>
  <c r="A112" i="3" s="1"/>
  <c r="F108" i="3"/>
  <c r="F106" i="3"/>
  <c r="F105" i="3"/>
  <c r="A105" i="3"/>
  <c r="A106" i="3" s="1"/>
  <c r="A107" i="3" s="1"/>
  <c r="A108" i="3" s="1"/>
  <c r="F81" i="11" l="1"/>
  <c r="F82" i="11"/>
  <c r="F15" i="11" l="1"/>
  <c r="F121" i="3" l="1"/>
  <c r="F116" i="3" l="1"/>
  <c r="F115" i="3"/>
  <c r="F84" i="3" l="1"/>
  <c r="F82" i="3"/>
  <c r="F34" i="11" l="1"/>
  <c r="F11" i="5" l="1"/>
  <c r="F96" i="3" l="1"/>
  <c r="F51" i="11" l="1"/>
  <c r="F57" i="11" s="1"/>
  <c r="F10" i="3" l="1"/>
  <c r="O34" i="11" l="1"/>
  <c r="F77" i="11" l="1"/>
  <c r="F92" i="11"/>
  <c r="F86" i="11"/>
  <c r="F85" i="11"/>
  <c r="A85" i="11"/>
  <c r="A86" i="11" s="1"/>
  <c r="A87" i="11" s="1"/>
  <c r="A88" i="11" s="1"/>
  <c r="A89" i="11" s="1"/>
  <c r="A90" i="11" s="1"/>
  <c r="A91" i="11" s="1"/>
  <c r="A92" i="11" s="1"/>
  <c r="A76" i="11"/>
  <c r="A77" i="11" s="1"/>
  <c r="F74" i="11"/>
  <c r="F73" i="11"/>
  <c r="A73" i="11"/>
  <c r="A74" i="11" s="1"/>
  <c r="F71" i="11"/>
  <c r="F68" i="11"/>
  <c r="A68" i="11"/>
  <c r="A69" i="11" s="1"/>
  <c r="A70" i="11" s="1"/>
  <c r="A71" i="11" s="1"/>
  <c r="A60" i="11"/>
  <c r="A58" i="11"/>
  <c r="A56" i="11"/>
  <c r="F55" i="11"/>
  <c r="F56" i="11" s="1"/>
  <c r="A52" i="11"/>
  <c r="A53" i="11" s="1"/>
  <c r="A54" i="11" s="1"/>
  <c r="F54" i="11"/>
  <c r="E50" i="11"/>
  <c r="E48" i="11"/>
  <c r="A46" i="11"/>
  <c r="A47" i="11" s="1"/>
  <c r="A48" i="11" s="1"/>
  <c r="A49" i="11" s="1"/>
  <c r="A50" i="11" s="1"/>
  <c r="F44" i="11"/>
  <c r="E40" i="11"/>
  <c r="F40" i="11" s="1"/>
  <c r="F39" i="11"/>
  <c r="A39" i="11"/>
  <c r="A40" i="11" s="1"/>
  <c r="A41" i="11" s="1"/>
  <c r="A42" i="11" s="1"/>
  <c r="A43" i="11" s="1"/>
  <c r="A44" i="11" s="1"/>
  <c r="F37" i="11"/>
  <c r="F36" i="11"/>
  <c r="F35" i="11"/>
  <c r="F33" i="11"/>
  <c r="F32" i="11"/>
  <c r="A32" i="11"/>
  <c r="A33" i="11" s="1"/>
  <c r="A34" i="11" s="1"/>
  <c r="A35" i="11" s="1"/>
  <c r="A36" i="11" s="1"/>
  <c r="A37" i="11" s="1"/>
  <c r="F21" i="11"/>
  <c r="E20" i="11"/>
  <c r="F20" i="11" s="1"/>
  <c r="F19" i="11"/>
  <c r="F18" i="11"/>
  <c r="F17" i="11"/>
  <c r="F16" i="11"/>
  <c r="A16" i="11"/>
  <c r="A17" i="11" s="1"/>
  <c r="A18" i="11" s="1"/>
  <c r="A19" i="11" s="1"/>
  <c r="A20" i="11" s="1"/>
  <c r="A21" i="11" s="1"/>
  <c r="A9" i="11"/>
  <c r="A11" i="11" s="1"/>
  <c r="A12" i="11" s="1"/>
  <c r="A13" i="11" s="1"/>
  <c r="A14" i="11" s="1"/>
  <c r="A79" i="11" l="1"/>
  <c r="A80" i="11" s="1"/>
  <c r="A81" i="11" s="1"/>
  <c r="A78" i="11"/>
  <c r="O35" i="11"/>
  <c r="O36" i="11"/>
  <c r="F69" i="11"/>
  <c r="F83" i="11"/>
  <c r="F76" i="11"/>
  <c r="A82" i="11"/>
  <c r="A83" i="11" s="1"/>
  <c r="F52" i="11"/>
  <c r="F58" i="11"/>
  <c r="F53" i="11"/>
  <c r="O37" i="11" l="1"/>
  <c r="F45" i="11" s="1"/>
  <c r="F50" i="11"/>
  <c r="F59" i="11"/>
  <c r="F60" i="11" s="1"/>
  <c r="F47" i="11"/>
  <c r="F46" i="11"/>
  <c r="N93" i="11" l="1"/>
  <c r="F48" i="11"/>
  <c r="F49" i="11"/>
  <c r="N61" i="11" l="1"/>
  <c r="E90" i="3" l="1"/>
  <c r="F90" i="3" s="1"/>
  <c r="F89" i="3"/>
  <c r="E88" i="3"/>
  <c r="F88" i="3" s="1"/>
  <c r="E87" i="3"/>
  <c r="F87" i="3" s="1"/>
  <c r="E86" i="3"/>
  <c r="F86" i="3" s="1"/>
  <c r="E85" i="3"/>
  <c r="F85" i="3" s="1"/>
  <c r="E83" i="3"/>
  <c r="F83" i="3" s="1"/>
  <c r="E81" i="3"/>
  <c r="F81" i="3" s="1"/>
  <c r="E80" i="3"/>
  <c r="F80" i="3" s="1"/>
  <c r="E79" i="3"/>
  <c r="F79" i="3" s="1"/>
  <c r="E18" i="3"/>
  <c r="E17" i="3"/>
  <c r="E16" i="3"/>
  <c r="E15" i="3"/>
  <c r="F15" i="3" l="1"/>
  <c r="F8" i="3"/>
  <c r="F18" i="3" l="1"/>
  <c r="A79" i="3" l="1"/>
  <c r="A80" i="3" s="1"/>
  <c r="A81" i="3" s="1"/>
  <c r="A82" i="3" s="1"/>
  <c r="F102" i="3"/>
  <c r="F122" i="3"/>
  <c r="F120" i="3"/>
  <c r="F119" i="3"/>
  <c r="A119" i="3"/>
  <c r="A120" i="3" s="1"/>
  <c r="A121" i="3" s="1"/>
  <c r="A122" i="3" s="1"/>
  <c r="F117" i="3"/>
  <c r="A114" i="3"/>
  <c r="A115" i="3" s="1"/>
  <c r="A116" i="3" s="1"/>
  <c r="A117" i="3" s="1"/>
  <c r="A83" i="3" l="1"/>
  <c r="A12" i="5" l="1"/>
  <c r="A10" i="5"/>
  <c r="F8" i="5"/>
  <c r="A8" i="5"/>
  <c r="F10" i="5" l="1"/>
  <c r="F12" i="5"/>
  <c r="A100" i="3"/>
  <c r="A101" i="3" s="1"/>
  <c r="F100" i="3"/>
  <c r="A92" i="3"/>
  <c r="A93" i="3" s="1"/>
  <c r="A94" i="3" s="1"/>
  <c r="A95" i="3" s="1"/>
  <c r="A96" i="3" s="1"/>
  <c r="A97" i="3" s="1"/>
  <c r="A98" i="3" s="1"/>
  <c r="A85" i="3"/>
  <c r="A86" i="3" s="1"/>
  <c r="A87" i="3" s="1"/>
  <c r="A88" i="3" s="1"/>
  <c r="A89" i="3" s="1"/>
  <c r="A22" i="3"/>
  <c r="A20" i="3"/>
  <c r="F20" i="3"/>
  <c r="A15" i="3"/>
  <c r="A16" i="3" s="1"/>
  <c r="A17" i="3" s="1"/>
  <c r="A18" i="3" s="1"/>
  <c r="F16" i="3"/>
  <c r="F13" i="3"/>
  <c r="F12" i="3"/>
  <c r="A13" i="3"/>
  <c r="A10" i="3"/>
  <c r="A90" i="3" l="1"/>
  <c r="F98" i="3"/>
  <c r="F97" i="3"/>
  <c r="A102" i="3"/>
  <c r="A103" i="3" s="1"/>
  <c r="F92" i="3"/>
  <c r="F17" i="3"/>
  <c r="F93" i="3"/>
  <c r="F101" i="3"/>
  <c r="F22" i="3"/>
  <c r="F103" i="3"/>
</calcChain>
</file>

<file path=xl/sharedStrings.xml><?xml version="1.0" encoding="utf-8"?>
<sst xmlns="http://schemas.openxmlformats.org/spreadsheetml/2006/main" count="1108" uniqueCount="391">
  <si>
    <t>#</t>
  </si>
  <si>
    <t>safuZveli</t>
  </si>
  <si>
    <r>
      <t>samuSaos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CamonaTvali</t>
    </r>
  </si>
  <si>
    <r>
      <t>ganz.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erT</t>
    </r>
  </si>
  <si>
    <t>raodenoba</t>
  </si>
  <si>
    <r>
      <rPr>
        <sz val="9"/>
        <color indexed="8"/>
        <rFont val="AcadNusx"/>
      </rPr>
      <t>m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a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s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a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l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a</t>
    </r>
  </si>
  <si>
    <r>
      <rPr>
        <sz val="9"/>
        <color indexed="8"/>
        <rFont val="AcadNusx"/>
      </rPr>
      <t>xelfasi</t>
    </r>
  </si>
  <si>
    <r>
      <t>transporti da</t>
    </r>
    <r>
      <rPr>
        <sz val="9"/>
        <color indexed="8"/>
        <rFont val="AcadNusx"/>
      </rPr>
      <t xml:space="preserve"> meqanizmebi</t>
    </r>
  </si>
  <si>
    <t>Gjami</t>
  </si>
  <si>
    <r>
      <rPr>
        <sz val="9"/>
        <color indexed="8"/>
        <rFont val="AcadNusx"/>
      </rPr>
      <t>samuSaos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CamonaTvali</t>
    </r>
  </si>
  <si>
    <r>
      <rPr>
        <sz val="9"/>
        <color indexed="8"/>
        <rFont val="AcadNusx"/>
      </rPr>
      <t>ganz.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erT</t>
    </r>
  </si>
  <si>
    <t>ganz. erTeulze</t>
  </si>
  <si>
    <t>saproeqto monacemze</t>
  </si>
  <si>
    <r>
      <rPr>
        <sz val="9"/>
        <color indexed="8"/>
        <rFont val="AcadNusx"/>
      </rPr>
      <t>erT.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fasi</t>
    </r>
  </si>
  <si>
    <r>
      <rPr>
        <sz val="9"/>
        <color indexed="8"/>
        <rFont val="AcadNusx"/>
      </rPr>
      <t>Gjami</t>
    </r>
  </si>
  <si>
    <t>100 kubm</t>
  </si>
  <si>
    <t xml:space="preserve"> SromiTi danaxarji </t>
  </si>
  <si>
    <t>kac/sT</t>
  </si>
  <si>
    <t>lari</t>
  </si>
  <si>
    <t>2</t>
  </si>
  <si>
    <t>sabazro</t>
  </si>
  <si>
    <t>tona</t>
  </si>
  <si>
    <t>m</t>
  </si>
  <si>
    <t>3</t>
  </si>
  <si>
    <t>kv.m.</t>
  </si>
  <si>
    <t>5</t>
  </si>
  <si>
    <t>cali</t>
  </si>
  <si>
    <t>6</t>
  </si>
  <si>
    <t>7</t>
  </si>
  <si>
    <t>9</t>
  </si>
  <si>
    <t>liTonis konstruqciebis transportireba</t>
  </si>
  <si>
    <t>srf</t>
  </si>
  <si>
    <t>10</t>
  </si>
  <si>
    <t>samSeneblo nagvis transportireba</t>
  </si>
  <si>
    <t xml:space="preserve">jami </t>
  </si>
  <si>
    <t>zedanadebi xarjebi 10%</t>
  </si>
  <si>
    <t>jami</t>
  </si>
  <si>
    <t>gegmiuri dagroveba 8%</t>
  </si>
  <si>
    <t>jami I</t>
  </si>
  <si>
    <t>c</t>
  </si>
  <si>
    <t>1-80-3</t>
  </si>
  <si>
    <t xml:space="preserve">III kategoriis gruntis damuSaveba xeliT </t>
  </si>
  <si>
    <t>1-11-9</t>
  </si>
  <si>
    <t>III kategoriis gruntis damuSaveba meqnizmebiT gverdze dayriT</t>
  </si>
  <si>
    <t xml:space="preserve">SromiTi danaxarji </t>
  </si>
  <si>
    <t>eqskavatori 0.65</t>
  </si>
  <si>
    <t>1-81-3</t>
  </si>
  <si>
    <t>sn da w IV-2-82 t-1 1-22-14</t>
  </si>
  <si>
    <t>gruntis datvirTva eqskavatoriT</t>
  </si>
  <si>
    <t xml:space="preserve">eqskavatori 0,5 kub.m </t>
  </si>
  <si>
    <t>m/sT</t>
  </si>
  <si>
    <t xml:space="preserve">sxva manqanebi </t>
  </si>
  <si>
    <t>4</t>
  </si>
  <si>
    <t>gruntis datvirTva xeliT avtoTviTmclelze</t>
  </si>
  <si>
    <t>100 kum</t>
  </si>
  <si>
    <t>jami II</t>
  </si>
  <si>
    <t>100 kvm</t>
  </si>
  <si>
    <t>SromiTi danaxarji</t>
  </si>
  <si>
    <t>safeni da safari Sris mowyoba wvrilmarcvlovani qviSiT</t>
  </si>
  <si>
    <t>kubm</t>
  </si>
  <si>
    <t>100 g/m</t>
  </si>
  <si>
    <t>sxva manqanebi</t>
  </si>
  <si>
    <t>sxva masala</t>
  </si>
  <si>
    <t>sxvadasxva manqanebi</t>
  </si>
  <si>
    <t>kbm</t>
  </si>
  <si>
    <t>armatura</t>
  </si>
  <si>
    <t>sxva masalebi</t>
  </si>
  <si>
    <t>sn da w
IV-2-82
8-3-2</t>
  </si>
  <si>
    <t xml:space="preserve"> SromiTi danaxarji</t>
  </si>
  <si>
    <t xml:space="preserve">manqanebi </t>
  </si>
  <si>
    <t>ლარი</t>
  </si>
  <si>
    <t>SromiTi danaxarjebi</t>
  </si>
  <si>
    <t>l</t>
  </si>
  <si>
    <t>sxvadasxva masalebi</t>
  </si>
  <si>
    <t>kg</t>
  </si>
  <si>
    <t>27-7-2</t>
  </si>
  <si>
    <t>avtogreideri saSualo tipis 79 kvt (108cZ.)</t>
  </si>
  <si>
    <t>satkepni 18t.</t>
  </si>
  <si>
    <t>t</t>
  </si>
  <si>
    <t xml:space="preserve">27-19-1 </t>
  </si>
  <si>
    <t xml:space="preserve"> betonis bordiuris 
mowyoba betonis safuZvelze qviSa-xreSovani baliSis mowyobiT </t>
  </si>
  <si>
    <t xml:space="preserve"> SromiTi danaxarjebi</t>
  </si>
  <si>
    <t>k/sT</t>
  </si>
  <si>
    <t>proeqt.</t>
  </si>
  <si>
    <t xml:space="preserve">betonis bordiuri 15X30sm </t>
  </si>
  <si>
    <t>betoni В-15</t>
  </si>
  <si>
    <t>sn da w
 IV-2-82
t-2
cx.6-9-10</t>
  </si>
  <si>
    <t>betonis filis armirebis mowyoba</t>
  </si>
  <si>
    <t>proeqtiT</t>
  </si>
  <si>
    <t>sn da w
 IV-2-82
t-2
cx.6-1-1</t>
  </si>
  <si>
    <t>კვ.მ</t>
  </si>
  <si>
    <t xml:space="preserve"> sxva masala</t>
  </si>
  <si>
    <t>dekoratiuli filebis dageba</t>
  </si>
  <si>
    <t xml:space="preserve"> sxvadasxva manqanebi</t>
  </si>
  <si>
    <t>kvm</t>
  </si>
  <si>
    <t>qviSa yviTeli</t>
  </si>
  <si>
    <t>wertilovani saZirkvlebis mowyoba</t>
  </si>
  <si>
    <t>kub.m</t>
  </si>
  <si>
    <t>15-164-8 gam.</t>
  </si>
  <si>
    <t xml:space="preserve">Sromis danaxarjebi </t>
  </si>
  <si>
    <t>sxva manqana</t>
  </si>
  <si>
    <t>zeTovani saRebavi</t>
  </si>
  <si>
    <t>olifa</t>
  </si>
  <si>
    <t>manqanebi</t>
  </si>
  <si>
    <r>
      <t>m</t>
    </r>
    <r>
      <rPr>
        <b/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</si>
  <si>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2</t>
    </r>
  </si>
  <si>
    <t>sabazro.</t>
  </si>
  <si>
    <t>kompl.</t>
  </si>
  <si>
    <t>saparke skami ix. eskizi (masalisa da samuSaos gaTvaliswinebiT)</t>
  </si>
  <si>
    <t>sanagve urnebis montaJi</t>
  </si>
  <si>
    <t>xis sanagve urna xis eskizi (masalisa da samuSaos gaTvaliswinebiT)</t>
  </si>
  <si>
    <t xml:space="preserve"> lampionis boZis mowyoba</t>
  </si>
  <si>
    <t>liTonis mili 108X3</t>
  </si>
  <si>
    <t>liTonis mili 76X3</t>
  </si>
  <si>
    <t>liTonis mili 57X3</t>
  </si>
  <si>
    <t xml:space="preserve">8-471-1 mis. </t>
  </si>
  <si>
    <t xml:space="preserve">liTonis konstruqciebis SeRebva zeTovani saRebaviT orjer </t>
  </si>
  <si>
    <t xml:space="preserve">sndaw
IV-6-82
8-609-2   </t>
  </si>
  <si>
    <t>sanaTebis montaJi</t>
  </si>
  <si>
    <t>sabzaro</t>
  </si>
  <si>
    <t>proeqtiT.</t>
  </si>
  <si>
    <t xml:space="preserve">sndaw
IV-6-82
8-409-3   </t>
  </si>
  <si>
    <t xml:space="preserve"> el. sadenebis gayvana</t>
  </si>
  <si>
    <t xml:space="preserve">grZ.m </t>
  </si>
  <si>
    <t>8.3.31</t>
  </si>
  <si>
    <t>el. sadeni miwaSi Casadebi 5X6 mm (spilenZi)</t>
  </si>
  <si>
    <t>el. sadeni foladis milSi gasatareblad 3X2.5 mm (spilenZi)</t>
  </si>
  <si>
    <t>sasignalo lenti</t>
  </si>
  <si>
    <t>gofrirebuli mili</t>
  </si>
  <si>
    <t>sn da w. IV-6-82-8 8-535-11</t>
  </si>
  <si>
    <t>karadis mowyoba marTvis  kvanZiT</t>
  </si>
  <si>
    <t>kompleqti</t>
  </si>
  <si>
    <t>rk. marTvis karada gare dayenebis</t>
  </si>
  <si>
    <t>fotorele</t>
  </si>
  <si>
    <r>
      <t xml:space="preserve">gamanawilebeli fari </t>
    </r>
    <r>
      <rPr>
        <sz val="10"/>
        <rFont val="Sylfaen"/>
        <family val="1"/>
      </rPr>
      <t>OP-6</t>
    </r>
  </si>
  <si>
    <t>jami Tavebis mixedviT</t>
  </si>
  <si>
    <t>I. GtranSeis momzadeba da lampionebis boZebis mowyoba</t>
  </si>
  <si>
    <t>II. sanaTebisa da gayvanilobis montaJi</t>
  </si>
  <si>
    <t>demontaJis samuSaoebi</t>
  </si>
  <si>
    <t>keTilmowyobis samuSaoebi</t>
  </si>
  <si>
    <t>el. samontaJo samuSaoebi</t>
  </si>
  <si>
    <t>d.R.g 18%</t>
  </si>
  <si>
    <t>samuSaos dasaxeleba</t>
  </si>
  <si>
    <t>Rirebuleba (lari)</t>
  </si>
  <si>
    <t xml:space="preserve">gruntis gatana 10 km manZilze </t>
  </si>
  <si>
    <t>teritoriis dakvalva Sesabamisi xelsawyoebis gamoyenebiT</t>
  </si>
  <si>
    <t>gamwvaneba</t>
  </si>
  <si>
    <t>teritoriis momzadeba gruntis SetaniT</t>
  </si>
  <si>
    <r>
      <t>m</t>
    </r>
    <r>
      <rPr>
        <vertAlign val="superscript"/>
        <sz val="9"/>
        <color indexed="8"/>
        <rFont val="AcadNusx"/>
      </rPr>
      <t>3</t>
    </r>
  </si>
  <si>
    <t>gazonisaTvis ganoyierebuli gruntis narevi (neSompala. torfi, sasuqi, tyis miwa da sxva)</t>
  </si>
  <si>
    <t xml:space="preserve">gruntis damuSaveba xeliT gverdze dayriT </t>
  </si>
  <si>
    <t xml:space="preserve">zolovana galvanizirebuli 40X3 </t>
  </si>
  <si>
    <t xml:space="preserve">sabazro </t>
  </si>
  <si>
    <t>qanCi sayeluriT</t>
  </si>
  <si>
    <t xml:space="preserve">gruntis ukuCayra xeliT </t>
  </si>
  <si>
    <t>avt. amomrTvelis montaJi boZSi</t>
  </si>
  <si>
    <t>Ggazonis mowyoba</t>
  </si>
  <si>
    <t>mcire arqiteqturuli formebi</t>
  </si>
  <si>
    <t>Eeleqtro samontaJo samuSaoebi</t>
  </si>
  <si>
    <t xml:space="preserve"> sademontaJo samuSaoebi</t>
  </si>
  <si>
    <t>teritoriis keTilmowyoba</t>
  </si>
  <si>
    <t>RorRi fr. 0-31mm</t>
  </si>
  <si>
    <t>48-18 gam.</t>
  </si>
  <si>
    <t>sabaRe gazonis mowyoba xeliT</t>
  </si>
  <si>
    <t>k.vm</t>
  </si>
  <si>
    <t>or komponentiani rulonuri balaxi</t>
  </si>
  <si>
    <t>saTamaSoebis montaJi/reabilitacia</t>
  </si>
  <si>
    <t>s.n. da w.  IV-2-82 t-2 cx.11-1-3</t>
  </si>
  <si>
    <t>s.n. da w.   IV-2-82 t-4 cx.27_44_2</t>
  </si>
  <si>
    <t xml:space="preserve">safuZvlis qveda fenis mowyoba qviSa xreSovani narevisagan saS. sisqiT 20sm </t>
  </si>
  <si>
    <t xml:space="preserve">safuZvlis zeda fenis mowyoba qviSa RorRovani narevisagan sisqiT 10sm </t>
  </si>
  <si>
    <t>armatura 18mm</t>
  </si>
  <si>
    <t xml:space="preserve">damiwebis konturis mowyoba  </t>
  </si>
  <si>
    <t>avtomaturi amomrTveli  16a</t>
  </si>
  <si>
    <r>
      <t>kontaqtori</t>
    </r>
    <r>
      <rPr>
        <sz val="10"/>
        <rFont val="Calibri"/>
        <family val="2"/>
        <charset val="204"/>
      </rPr>
      <t xml:space="preserve"> 16A</t>
    </r>
  </si>
  <si>
    <t>avt. amomrTveli 10 a</t>
  </si>
  <si>
    <t>9-17-1 მისად</t>
  </si>
  <si>
    <t>კ=0.6</t>
  </si>
  <si>
    <t>კ=0.7</t>
  </si>
  <si>
    <t>კ=0.5</t>
  </si>
  <si>
    <t>მ3</t>
  </si>
  <si>
    <t>ვზერი 1-3</t>
  </si>
  <si>
    <t>kum</t>
  </si>
  <si>
    <t>1-64-3 მიყ</t>
  </si>
  <si>
    <t>მ/სთ</t>
  </si>
  <si>
    <t>vzeri 1-3</t>
  </si>
  <si>
    <t>კum</t>
  </si>
  <si>
    <t>6-1-2</t>
  </si>
  <si>
    <t>კვმ</t>
  </si>
  <si>
    <t>sn da w          33-251-6 misad.</t>
  </si>
  <si>
    <t>amwe 16 tn</t>
  </si>
  <si>
    <t>sn da w IV-2-82 t-1 11-1-3</t>
  </si>
  <si>
    <t xml:space="preserve">sxva manqana </t>
  </si>
  <si>
    <t>qviSa-cementis safuZvelis, sisqiT 5 sm, mowyoba dekoratiuli filebis qveS</t>
  </si>
  <si>
    <t>betoni b-25</t>
  </si>
  <si>
    <t>yalibi faris</t>
  </si>
  <si>
    <t>xis masala</t>
  </si>
  <si>
    <t>j a m i</t>
  </si>
  <si>
    <t>cementi</t>
  </si>
  <si>
    <t>yviTeli qviSa 80%</t>
  </si>
  <si>
    <t>mosarwyavi manqana 6000 l</t>
  </si>
  <si>
    <t>saparke avejis montaJi</t>
  </si>
  <si>
    <t>grZ.m</t>
  </si>
  <si>
    <t>kvadratuli mili 40X40X3</t>
  </si>
  <si>
    <t>1.10.14</t>
  </si>
  <si>
    <t>eleqtrodi</t>
  </si>
  <si>
    <t>moajiris mowyoba</t>
  </si>
  <si>
    <t>yalibis fari</t>
  </si>
  <si>
    <t>fanCaturis filis qveS xreSovani baliSis mowyoba</t>
  </si>
  <si>
    <t>iatakis mopirkeTeba bazaltis filiT</t>
  </si>
  <si>
    <t>sn da w  9_5_1</t>
  </si>
  <si>
    <t>s.n. da w. IV-2-82 t-2 cx.12-6-1 misadagebiT</t>
  </si>
  <si>
    <t>fanCaturis gadaxurva</t>
  </si>
  <si>
    <t xml:space="preserve"> manqanebi</t>
  </si>
  <si>
    <t xml:space="preserve"> Surupi </t>
  </si>
  <si>
    <t>Sromis danaxarjebi</t>
  </si>
  <si>
    <t>WanWiki (qanCiT da sayeluriT)</t>
  </si>
  <si>
    <t>liTonis konstruqciebis SeRebva daZvelebis efeqtiT</t>
  </si>
  <si>
    <t xml:space="preserve"> xis detalebis galaqva (orjer)</t>
  </si>
  <si>
    <t xml:space="preserve">xis wyalmedegi laqi </t>
  </si>
  <si>
    <t>wyali</t>
  </si>
  <si>
    <t>betonis bordiurebis (15X30) demontaJi da dasawyobeba</t>
  </si>
  <si>
    <t>arsebuli skamebis demontaJi da transportireba damkveTis mier miTiTebul adgilze</t>
  </si>
  <si>
    <t xml:space="preserve"> bordiurebisa da filebis gatana 15 km manZilze </t>
  </si>
  <si>
    <t xml:space="preserve">samSeneblo nagvis gatana 15 km manZilze </t>
  </si>
  <si>
    <r>
      <t xml:space="preserve">betonis mozadebis mowyoba xelovnuri safaris qveS  klasiT </t>
    </r>
    <r>
      <rPr>
        <b/>
        <sz val="9"/>
        <rFont val="Arial Cyr"/>
        <charset val="204"/>
      </rPr>
      <t>B18.5</t>
    </r>
  </si>
  <si>
    <t>betoni klasiT В18.5</t>
  </si>
  <si>
    <t>sabazro-saxelSekrulebo</t>
  </si>
  <si>
    <t>sabavSvo moednisTvis gankuTvnili cveTamedegi kauCukis safaris mowyoba sisqiT 20mm</t>
  </si>
  <si>
    <t xml:space="preserve">SromiTi danaxarji 
</t>
  </si>
  <si>
    <t>dasaxmeli kauCukis safari sisqiT 20mm</t>
  </si>
  <si>
    <t>or komponentiani betonis webo</t>
  </si>
  <si>
    <t>litri</t>
  </si>
  <si>
    <t>betoni klasiT В22.5</t>
  </si>
  <si>
    <t xml:space="preserve"> yalibis fari </t>
  </si>
  <si>
    <t>liTonis moajiris mowyoba</t>
  </si>
  <si>
    <t>27-9-7</t>
  </si>
  <si>
    <t xml:space="preserve">teritoriis dasufTaveba </t>
  </si>
  <si>
    <t>11</t>
  </si>
  <si>
    <t>RorRi</t>
  </si>
  <si>
    <t>13.127</t>
  </si>
  <si>
    <t>13.126</t>
  </si>
  <si>
    <t>4.1.237</t>
  </si>
  <si>
    <t>qviSa-xreSi fr. 0-56mm</t>
  </si>
  <si>
    <t>webocementi yinvagamZle</t>
  </si>
  <si>
    <t>4.1.236</t>
  </si>
  <si>
    <t xml:space="preserve">saZirkvlebis qveS fuZis (baliSis) mowyoba qviSa-xreSiT da etapobrivi datkepna fena-fena </t>
  </si>
  <si>
    <t>kvadratuliMmili 20X40X2</t>
  </si>
  <si>
    <t>4.7.3</t>
  </si>
  <si>
    <t xml:space="preserve"> manqanebi </t>
  </si>
  <si>
    <t>1.6.33</t>
  </si>
  <si>
    <t>kvadratuli Mmili 40X40X3</t>
  </si>
  <si>
    <t>kvadratuli sxmuli 8X8</t>
  </si>
  <si>
    <t xml:space="preserve"> sxvadasxva formis mxatvruli formebi (damzadebuli furclovani foladi 8mm-iT)</t>
  </si>
  <si>
    <t>s.n. da w.        IV-2-82 t-8 cx.46-23-2</t>
  </si>
  <si>
    <t xml:space="preserve">fanCaturebis mowyoba </t>
  </si>
  <si>
    <t>aiwona-daiwona qarxnuli warmoebis Sesabamisi sertifikatiT ix. eskizi (masalisa da samuSaos gaTvaliswinebiT)</t>
  </si>
  <si>
    <t>8.2.109</t>
  </si>
  <si>
    <t xml:space="preserve">TviTmzidi kabeli kveTiT 2X16 mm </t>
  </si>
  <si>
    <t>4.1.239</t>
  </si>
  <si>
    <t>4.1.91</t>
  </si>
  <si>
    <t>4.1.330</t>
  </si>
  <si>
    <t>1.1.3</t>
  </si>
  <si>
    <t>4.1.232</t>
  </si>
  <si>
    <t>4.1.361</t>
  </si>
  <si>
    <t>4.1.332</t>
  </si>
  <si>
    <t>2.2.51</t>
  </si>
  <si>
    <t>2.2.21</t>
  </si>
  <si>
    <t>1.4.97</t>
  </si>
  <si>
    <t>4.2.14</t>
  </si>
  <si>
    <t>4.2.31</t>
  </si>
  <si>
    <t>4.1.333</t>
  </si>
  <si>
    <t>2.1.54</t>
  </si>
  <si>
    <t>2.1.42</t>
  </si>
  <si>
    <t>2.1.32</t>
  </si>
  <si>
    <t>1.1.7</t>
  </si>
  <si>
    <t>8.3.41</t>
  </si>
  <si>
    <t>8.14.238</t>
  </si>
  <si>
    <t>sasrialo qarxnuli warmoebis Sesabamisi sertifikatiT ix. eskizi (masalisa da samuSaos gaTvaliswinebiT)</t>
  </si>
  <si>
    <t>Sromis danaxarji</t>
  </si>
  <si>
    <t>4.2.67</t>
  </si>
  <si>
    <t xml:space="preserve">betonis bordiuri 8X20sm </t>
  </si>
  <si>
    <t>СНиП
IV-2-82
33-251-6
miy.</t>
  </si>
  <si>
    <t>amwe-saburRi mowyobiloba avtomanqanaze</t>
  </si>
  <si>
    <t>amwe saavtomobilo svlaze 16 t</t>
  </si>
  <si>
    <t>liTonis mili 152X5mm</t>
  </si>
  <si>
    <t>2.1.60</t>
  </si>
  <si>
    <t>liTonis mili 114X4 (Sesabamis flianeciT)</t>
  </si>
  <si>
    <t>samagri kroSteini</t>
  </si>
  <si>
    <t>makavSirebeli detali</t>
  </si>
  <si>
    <t>Sualeduri boZis mowyoba</t>
  </si>
  <si>
    <t>RorRi fr. 0-56mm</t>
  </si>
  <si>
    <r>
      <t xml:space="preserve">betonis mozadebis mowyoba </t>
    </r>
    <r>
      <rPr>
        <b/>
        <sz val="9"/>
        <rFont val="Arial Cyr"/>
        <charset val="204"/>
      </rPr>
      <t>B22.5</t>
    </r>
  </si>
  <si>
    <t>4.1.323</t>
  </si>
  <si>
    <t>betoni b-22.5</t>
  </si>
  <si>
    <t>4.1.207</t>
  </si>
  <si>
    <t>4.1.259</t>
  </si>
  <si>
    <t>bazalti sisqiT 20mm</t>
  </si>
  <si>
    <t>fanCaturis konstruqciis, moajiris, magidisa da skamebis  mowyoba liTonis masaliT</t>
  </si>
  <si>
    <t>2.2.47</t>
  </si>
  <si>
    <t>2.2.19</t>
  </si>
  <si>
    <t>kvadratuli mili 20X40X2</t>
  </si>
  <si>
    <t>1.4.86</t>
  </si>
  <si>
    <t>kvadratis sxmuli 8X8</t>
  </si>
  <si>
    <t>1.6.3</t>
  </si>
  <si>
    <t>Tunuqis furceli 0.4mm</t>
  </si>
  <si>
    <t xml:space="preserve">furclovani foladi 8mm (sxvadasxva formis mxatvruli formebisTvis) </t>
  </si>
  <si>
    <t>mxatvruli formebi (Weduri)</t>
  </si>
  <si>
    <t>fanCaturis skamis, magidisa da moajiris Semosva xis masaliT</t>
  </si>
  <si>
    <t>5.1.10</t>
  </si>
  <si>
    <t xml:space="preserve">gamomSrali xe masala </t>
  </si>
  <si>
    <t>fanCaturis konstruqciis SeRebva daZvelebis efeqtiT</t>
  </si>
  <si>
    <t>4.2.30</t>
  </si>
  <si>
    <t>4.2.16</t>
  </si>
  <si>
    <t>15-163-2 gam.</t>
  </si>
  <si>
    <t>4.2.1</t>
  </si>
  <si>
    <t>betonis konstruqciebis demontaJi</t>
  </si>
  <si>
    <t>46-23-5</t>
  </si>
  <si>
    <t>blokis kedlebis demontaJi</t>
  </si>
  <si>
    <r>
      <t>m</t>
    </r>
    <r>
      <rPr>
        <b/>
        <vertAlign val="superscript"/>
        <sz val="11"/>
        <color indexed="8"/>
        <rFont val="AcadNusx"/>
      </rPr>
      <t>3</t>
    </r>
  </si>
  <si>
    <t xml:space="preserve">liTonis elementebis demontaJi </t>
  </si>
  <si>
    <t>შრომის დანახარჯი</t>
  </si>
  <si>
    <t>კ/სთ</t>
  </si>
  <si>
    <t>მანქანები</t>
  </si>
  <si>
    <t>სხვა მასალა</t>
  </si>
  <si>
    <t>arsebuli xis magis demontaJi da transportireba damkveTis mier miTiTebul adgilze</t>
  </si>
  <si>
    <t>arsebuli fanCaturis demontaJi da transportireba damkveTis mier miTiTebul adgilze</t>
  </si>
  <si>
    <t>8</t>
  </si>
  <si>
    <t xml:space="preserve">saZirkvlebis qveS fuZis (baliSis) mowyoba qviSa-xreSovani nareviT da etapobrivi datkepna fena-fena </t>
  </si>
  <si>
    <t>qviSa-xreSovani narevi</t>
  </si>
  <si>
    <t xml:space="preserve">sxva masala </t>
  </si>
  <si>
    <t>sn da w
IV-2-82
6-15-1</t>
  </si>
  <si>
    <t>4.1.344</t>
  </si>
  <si>
    <t xml:space="preserve"> daxerxili xe-tye</t>
  </si>
  <si>
    <r>
      <t>armatura A</t>
    </r>
    <r>
      <rPr>
        <sz val="9"/>
        <color theme="1"/>
        <rFont val="Arial"/>
        <family val="2"/>
        <charset val="204"/>
      </rPr>
      <t>A­I</t>
    </r>
  </si>
  <si>
    <t>kg.</t>
  </si>
  <si>
    <t>1.1.27</t>
  </si>
  <si>
    <r>
      <t>armatura A</t>
    </r>
    <r>
      <rPr>
        <sz val="9"/>
        <color theme="1"/>
        <rFont val="Arial"/>
        <family val="2"/>
        <charset val="204"/>
      </rPr>
      <t>A­III</t>
    </r>
  </si>
  <si>
    <r>
      <t xml:space="preserve">saZirkvlis mowyoba monoliTuri rk.betoniT </t>
    </r>
    <r>
      <rPr>
        <b/>
        <sz val="9"/>
        <color theme="1"/>
        <rFont val="Calibri"/>
        <family val="2"/>
        <charset val="204"/>
      </rPr>
      <t>B</t>
    </r>
    <r>
      <rPr>
        <b/>
        <sz val="9"/>
        <color theme="1"/>
        <rFont val="AcadNusx"/>
      </rPr>
      <t>-22.5 (qargilebisa da samontaJo masalebis gaTvaliswinebiT)</t>
    </r>
  </si>
  <si>
    <t>s.n. da w.   IV-2-82 t-2 cx.8-15-1</t>
  </si>
  <si>
    <t>gare kedlebis, sisqiT 20 sm, wyoba wvrili sakedle blokebiT antiseismuri CanarTebiT</t>
  </si>
  <si>
    <t>srf 4,1-375</t>
  </si>
  <si>
    <t xml:space="preserve"> duRabi wyobis</t>
  </si>
  <si>
    <t>srf 4,1-32</t>
  </si>
  <si>
    <t xml:space="preserve"> sakedle bloki sisqiT 20 sm (izobloki)</t>
  </si>
  <si>
    <t>s.n. da w.
IV-2-82
t-2
cx.15-52-1</t>
  </si>
  <si>
    <t xml:space="preserve">gare kedlebis maRalxarisxovani SebaTqaSeba </t>
  </si>
  <si>
    <t>13.191</t>
  </si>
  <si>
    <t xml:space="preserve"> duRabis tumbo 3 kubm/sT </t>
  </si>
  <si>
    <t xml:space="preserve"> sxva manqanebi</t>
  </si>
  <si>
    <t>4.1.369</t>
  </si>
  <si>
    <t>qviSa-cementis xsnari 1:3</t>
  </si>
  <si>
    <t>s.n. da w.
IV-2-82
t-2
cx.15-168-7</t>
  </si>
  <si>
    <t>gare kedlebis maRalxarisxovani SeRebva wyalmedegi saRebaviT</t>
  </si>
  <si>
    <t xml:space="preserve"> SromiTi danaxarji (65,8+11,5)</t>
  </si>
  <si>
    <t xml:space="preserve"> manqanebi (1,00+0,02)</t>
  </si>
  <si>
    <t>4.2.45</t>
  </si>
  <si>
    <t xml:space="preserve"> saRebavi fasadis</t>
  </si>
  <si>
    <t xml:space="preserve"> fiTxi fasadis</t>
  </si>
  <si>
    <t xml:space="preserve"> sxva masala (1,6+0,42)</t>
  </si>
  <si>
    <t>s.n. da w. 
IV-2-82
6-1-17 misad</t>
  </si>
  <si>
    <t>kibis mowyoba  betoniT</t>
  </si>
  <si>
    <r>
      <t>armatura A</t>
    </r>
    <r>
      <rPr>
        <sz val="9"/>
        <rFont val="Arial"/>
        <family val="2"/>
        <charset val="204"/>
      </rPr>
      <t>A­III</t>
    </r>
  </si>
  <si>
    <t>11-20-1</t>
  </si>
  <si>
    <t xml:space="preserve">kibis safexurebis  mopirkeTeba bazaltis filebiT </t>
  </si>
  <si>
    <t>4.1.81</t>
  </si>
  <si>
    <t>bazaltis fila 20mm</t>
  </si>
  <si>
    <t>4.1.206</t>
  </si>
  <si>
    <t>webo-cementi yinvagamZle</t>
  </si>
  <si>
    <t>sn da w
27-50-6</t>
  </si>
  <si>
    <t>kibis moajiris mowyoba</t>
  </si>
  <si>
    <t>100 m</t>
  </si>
  <si>
    <t>2,2,47</t>
  </si>
  <si>
    <t>arsebuli wyaros reabilitacia bazaltis filebis akvriT (masalisa da samuSaos Rirebulebis gaTvaliswinebiT)</t>
  </si>
  <si>
    <t>arsebuli Wis gasworeba saproeqto niSnulze da Tavsaxuris mowyoba (masalisa da samuSaos Rirebulebis gaTvaliswinebiT)</t>
  </si>
  <si>
    <t>23</t>
  </si>
  <si>
    <r>
      <t>lampionis sanaTi led. moduliTa draiveriT 35</t>
    </r>
    <r>
      <rPr>
        <sz val="10"/>
        <rFont val="Calibri"/>
        <family val="2"/>
        <scheme val="minor"/>
      </rPr>
      <t>wt.</t>
    </r>
    <r>
      <rPr>
        <sz val="10"/>
        <rFont val="AcadNusx"/>
      </rPr>
      <t xml:space="preserve"> (ix. Eeskizi)</t>
    </r>
  </si>
  <si>
    <t>or Sriani dawnexili feradi dekoratiuli filebi sisqiT aranakleb 50+10 (dizainis damkveTTan SeTanxmebiT)</t>
  </si>
  <si>
    <t>ელექტროობა</t>
  </si>
  <si>
    <t>zedanadebi xarjebi არაუმეტეს 75% xelfasidan</t>
  </si>
  <si>
    <t>gegmiuri dagroveba არაუმეტეს 8%</t>
  </si>
  <si>
    <t>მცირე არქიტექტურული ფორმები</t>
  </si>
  <si>
    <t>gegmiuri dagroveba არაუმეტეს  8%</t>
  </si>
  <si>
    <t>zedanadebi xarjebi არაუმეტეს 10%</t>
  </si>
  <si>
    <t>კეთილმოწყობა</t>
  </si>
  <si>
    <t>zednadebi xarjebi არაუმეტეს</t>
  </si>
  <si>
    <t>gegmiuri dagroveba არაუმეტეს</t>
  </si>
  <si>
    <t>გამწვანება</t>
  </si>
  <si>
    <t>დემონტაჟი</t>
  </si>
  <si>
    <t>საერთო დანართი 1</t>
  </si>
  <si>
    <t>gauTvaliswinebli samuSao არ იცვლება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</si>
</sst>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0.0000"/>
    <numFmt numFmtId="167" formatCode="0.0"/>
    <numFmt numFmtId="168" formatCode="#,##0.00_);\-#,##0.00"/>
    <numFmt numFmtId="169" formatCode="#,##0.0_);\-#,##0.0"/>
    <numFmt numFmtId="170" formatCode="0.00000"/>
    <numFmt numFmtId="171" formatCode="_-* #,##0.00_р_._-;\-* #,##0.00_р_._-;_-* &quot;-&quot;??_р_._-;_-@_-"/>
    <numFmt numFmtId="172" formatCode="#,##0_);\-#,##0"/>
    <numFmt numFmtId="173" formatCode="#,##0.000_);\-#,##0.000"/>
  </numFmts>
  <fonts count="1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cadNusx"/>
    </font>
    <font>
      <sz val="10"/>
      <name val="Arial"/>
      <family val="2"/>
      <charset val="204"/>
    </font>
    <font>
      <sz val="9"/>
      <name val="AcadNusx"/>
    </font>
    <font>
      <sz val="9"/>
      <color rgb="FF000000"/>
      <name val="AcadNusx"/>
    </font>
    <font>
      <sz val="9"/>
      <color indexed="8"/>
      <name val="AcadNusx"/>
    </font>
    <font>
      <b/>
      <sz val="9"/>
      <name val="AcadNusx"/>
    </font>
    <font>
      <sz val="10"/>
      <name val="AcadNusx"/>
    </font>
    <font>
      <sz val="10"/>
      <color rgb="FFFF0000"/>
      <name val="AcadNusx"/>
    </font>
    <font>
      <sz val="10"/>
      <color rgb="FFFF0000"/>
      <name val="Arial"/>
      <family val="2"/>
      <charset val="204"/>
    </font>
    <font>
      <sz val="10"/>
      <color rgb="FF0070C0"/>
      <name val="AcadNusx"/>
    </font>
    <font>
      <b/>
      <sz val="9"/>
      <color rgb="FF000000"/>
      <name val="AcadNusx"/>
    </font>
    <font>
      <sz val="9"/>
      <color rgb="FF0070C0"/>
      <name val="AcadNusx"/>
    </font>
    <font>
      <b/>
      <sz val="9"/>
      <color rgb="FFFF0000"/>
      <name val="AcadNusx"/>
    </font>
    <font>
      <b/>
      <sz val="9"/>
      <color rgb="FF0070C0"/>
      <name val="AcadNusx"/>
    </font>
    <font>
      <b/>
      <sz val="10"/>
      <name val="Arial"/>
      <family val="2"/>
      <charset val="204"/>
    </font>
    <font>
      <sz val="10"/>
      <color theme="1"/>
      <name val="AcadNusx"/>
    </font>
    <font>
      <b/>
      <sz val="10"/>
      <color theme="1"/>
      <name val="AcadNusx"/>
    </font>
    <font>
      <sz val="10"/>
      <name val="Calibri"/>
      <family val="2"/>
      <charset val="204"/>
    </font>
    <font>
      <sz val="9"/>
      <color rgb="FFFF0000"/>
      <name val="AcadNusx"/>
    </font>
    <font>
      <sz val="9"/>
      <color indexed="10"/>
      <name val="AcadNusx"/>
    </font>
    <font>
      <sz val="10"/>
      <name val="Arial Cyr"/>
      <charset val="204"/>
    </font>
    <font>
      <b/>
      <vertAlign val="superscript"/>
      <sz val="10"/>
      <name val="AcadNusx"/>
    </font>
    <font>
      <b/>
      <sz val="10"/>
      <color indexed="8"/>
      <name val="AcadNusx"/>
    </font>
    <font>
      <b/>
      <sz val="9"/>
      <color theme="1"/>
      <name val="AcadNusx"/>
    </font>
    <font>
      <sz val="10"/>
      <color rgb="FFFF0000"/>
      <name val="Calibri"/>
      <family val="2"/>
      <charset val="204"/>
      <scheme val="minor"/>
    </font>
    <font>
      <sz val="9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cadNusx"/>
    </font>
    <font>
      <sz val="11"/>
      <color theme="1"/>
      <name val="Calibri"/>
      <family val="2"/>
      <scheme val="minor"/>
    </font>
    <font>
      <vertAlign val="superscript"/>
      <sz val="10"/>
      <name val="AcadNusx"/>
    </font>
    <font>
      <b/>
      <sz val="9"/>
      <name val="Arial"/>
      <family val="2"/>
      <charset val="204"/>
    </font>
    <font>
      <sz val="10"/>
      <color indexed="10"/>
      <name val="AcadNusx"/>
    </font>
    <font>
      <sz val="9"/>
      <color rgb="FFFF0000"/>
      <name val="Arial"/>
      <family val="2"/>
      <charset val="204"/>
    </font>
    <font>
      <b/>
      <sz val="9"/>
      <name val="Arial Cyr"/>
      <charset val="204"/>
    </font>
    <font>
      <b/>
      <sz val="10"/>
      <color indexed="10"/>
      <name val="AcadNusx"/>
    </font>
    <font>
      <sz val="10"/>
      <name val="Arial"/>
      <family val="2"/>
    </font>
    <font>
      <sz val="10"/>
      <color indexed="48"/>
      <name val="AcadNusx"/>
    </font>
    <font>
      <sz val="10"/>
      <name val="AcadNusx"/>
      <family val="2"/>
    </font>
    <font>
      <sz val="11"/>
      <name val="Times New Roman"/>
      <family val="1"/>
      <charset val="204"/>
    </font>
    <font>
      <b/>
      <sz val="10"/>
      <color rgb="FFFF0000"/>
      <name val="AcadNusx"/>
    </font>
    <font>
      <b/>
      <sz val="10"/>
      <color rgb="FF0070C0"/>
      <name val="AcadNusx"/>
    </font>
    <font>
      <sz val="10"/>
      <name val="Sylfaen"/>
      <family val="1"/>
    </font>
    <font>
      <sz val="11"/>
      <color theme="1"/>
      <name val="AcadNusx"/>
    </font>
    <font>
      <vertAlign val="superscript"/>
      <sz val="9"/>
      <color indexed="8"/>
      <name val="AcadNusx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60"/>
      <name val="Calibri"/>
      <family val="2"/>
      <charset val="162"/>
    </font>
    <font>
      <sz val="11"/>
      <color indexed="20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0"/>
      <color rgb="FF92D050"/>
      <name val="AcadNusx"/>
    </font>
    <font>
      <sz val="10"/>
      <name val="Arial Cyr"/>
      <family val="2"/>
      <charset val="204"/>
    </font>
    <font>
      <sz val="9"/>
      <color theme="1"/>
      <name val="AcadNusx"/>
    </font>
    <font>
      <sz val="9"/>
      <color theme="1"/>
      <name val="Arial"/>
      <family val="2"/>
      <charset val="204"/>
    </font>
    <font>
      <sz val="10"/>
      <color rgb="FF0070C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color indexed="8"/>
      <name val="AcadNusx"/>
    </font>
    <font>
      <sz val="10"/>
      <name val="Helv"/>
    </font>
    <font>
      <b/>
      <sz val="10"/>
      <name val="Calibri"/>
      <family val="2"/>
      <scheme val="minor"/>
    </font>
    <font>
      <b/>
      <sz val="11"/>
      <name val="AcadNusx"/>
    </font>
    <font>
      <b/>
      <vertAlign val="superscript"/>
      <sz val="11"/>
      <color indexed="8"/>
      <name val="AcadNusx"/>
    </font>
    <font>
      <sz val="11"/>
      <name val="AcadNusx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sz val="10"/>
      <name val="Calibri"/>
      <family val="2"/>
    </font>
    <font>
      <b/>
      <sz val="1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66CC"/>
      <name val="AcadNusx"/>
    </font>
    <font>
      <sz val="9"/>
      <color rgb="FF0066CC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9"/>
      <color rgb="FF0000FF"/>
      <name val="AcadNusx"/>
    </font>
    <font>
      <sz val="10"/>
      <color rgb="FF0066CC"/>
      <name val="AcadNusx"/>
    </font>
    <font>
      <sz val="1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19">
    <xf numFmtId="0" fontId="0" fillId="0" borderId="0"/>
    <xf numFmtId="0" fontId="23" fillId="0" borderId="0"/>
    <xf numFmtId="0" fontId="4" fillId="0" borderId="0"/>
    <xf numFmtId="43" fontId="31" fillId="0" borderId="0" applyFont="0" applyFill="0" applyBorder="0" applyAlignment="0" applyProtection="0"/>
    <xf numFmtId="0" fontId="23" fillId="0" borderId="0"/>
    <xf numFmtId="0" fontId="41" fillId="0" borderId="0"/>
    <xf numFmtId="0" fontId="31" fillId="0" borderId="0"/>
    <xf numFmtId="0" fontId="47" fillId="0" borderId="0"/>
    <xf numFmtId="164" fontId="31" fillId="0" borderId="0" applyFont="0" applyFill="0" applyBorder="0" applyAlignment="0" applyProtection="0"/>
    <xf numFmtId="0" fontId="38" fillId="0" borderId="0"/>
    <xf numFmtId="0" fontId="23" fillId="0" borderId="0"/>
    <xf numFmtId="0" fontId="2" fillId="0" borderId="0"/>
    <xf numFmtId="164" fontId="38" fillId="0" borderId="0" applyFont="0" applyFill="0" applyBorder="0" applyAlignment="0" applyProtection="0"/>
    <xf numFmtId="0" fontId="38" fillId="0" borderId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2" borderId="0" applyNumberFormat="0" applyBorder="0" applyAlignment="0" applyProtection="0"/>
    <xf numFmtId="0" fontId="66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23" borderId="0" applyNumberFormat="0" applyBorder="0" applyAlignment="0" applyProtection="0"/>
    <xf numFmtId="0" fontId="68" fillId="7" borderId="0" applyNumberFormat="0" applyBorder="0" applyAlignment="0" applyProtection="0"/>
    <xf numFmtId="0" fontId="69" fillId="24" borderId="14" applyNumberFormat="0" applyAlignment="0" applyProtection="0"/>
    <xf numFmtId="0" fontId="70" fillId="25" borderId="16" applyNumberFormat="0" applyAlignment="0" applyProtection="0"/>
    <xf numFmtId="17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8" borderId="0" applyNumberFormat="0" applyBorder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0" applyNumberFormat="0" applyFill="0" applyBorder="0" applyAlignment="0" applyProtection="0"/>
    <xf numFmtId="0" fontId="76" fillId="11" borderId="14" applyNumberFormat="0" applyAlignment="0" applyProtection="0"/>
    <xf numFmtId="0" fontId="77" fillId="0" borderId="20" applyNumberFormat="0" applyFill="0" applyAlignment="0" applyProtection="0"/>
    <xf numFmtId="0" fontId="78" fillId="26" borderId="0" applyNumberFormat="0" applyBorder="0" applyAlignment="0" applyProtection="0"/>
    <xf numFmtId="0" fontId="4" fillId="0" borderId="0"/>
    <xf numFmtId="0" fontId="23" fillId="0" borderId="0"/>
    <xf numFmtId="0" fontId="38" fillId="0" borderId="0"/>
    <xf numFmtId="0" fontId="4" fillId="27" borderId="21" applyNumberFormat="0" applyFont="0" applyAlignment="0" applyProtection="0"/>
    <xf numFmtId="0" fontId="79" fillId="24" borderId="22" applyNumberFormat="0" applyAlignment="0" applyProtection="0"/>
    <xf numFmtId="0" fontId="80" fillId="0" borderId="0" applyNumberFormat="0" applyFill="0" applyBorder="0" applyAlignment="0" applyProtection="0"/>
    <xf numFmtId="0" fontId="81" fillId="0" borderId="23" applyNumberFormat="0" applyFill="0" applyAlignment="0" applyProtection="0"/>
    <xf numFmtId="0" fontId="8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1" fillId="11" borderId="14" applyNumberFormat="0" applyAlignment="0" applyProtection="0"/>
    <xf numFmtId="0" fontId="51" fillId="11" borderId="14" applyNumberFormat="0" applyAlignment="0" applyProtection="0"/>
    <xf numFmtId="0" fontId="51" fillId="11" borderId="14" applyNumberFormat="0" applyAlignment="0" applyProtection="0"/>
    <xf numFmtId="0" fontId="52" fillId="24" borderId="22" applyNumberFormat="0" applyAlignment="0" applyProtection="0"/>
    <xf numFmtId="0" fontId="52" fillId="24" borderId="22" applyNumberFormat="0" applyAlignment="0" applyProtection="0"/>
    <xf numFmtId="0" fontId="52" fillId="24" borderId="22" applyNumberFormat="0" applyAlignment="0" applyProtection="0"/>
    <xf numFmtId="0" fontId="53" fillId="24" borderId="14" applyNumberFormat="0" applyAlignment="0" applyProtection="0"/>
    <xf numFmtId="0" fontId="53" fillId="24" borderId="14" applyNumberFormat="0" applyAlignment="0" applyProtection="0"/>
    <xf numFmtId="0" fontId="53" fillId="24" borderId="14" applyNumberFormat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8" fillId="25" borderId="16" applyNumberFormat="0" applyAlignment="0" applyProtection="0"/>
    <xf numFmtId="0" fontId="58" fillId="25" borderId="16" applyNumberFormat="0" applyAlignment="0" applyProtection="0"/>
    <xf numFmtId="0" fontId="58" fillId="25" borderId="16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31" fillId="0" borderId="0"/>
    <xf numFmtId="0" fontId="23" fillId="0" borderId="0"/>
    <xf numFmtId="0" fontId="23" fillId="0" borderId="0"/>
    <xf numFmtId="0" fontId="4" fillId="0" borderId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27" borderId="21" applyNumberFormat="0" applyFont="0" applyAlignment="0" applyProtection="0"/>
    <xf numFmtId="0" fontId="23" fillId="27" borderId="21" applyNumberFormat="0" applyFont="0" applyAlignment="0" applyProtection="0"/>
    <xf numFmtId="0" fontId="23" fillId="27" borderId="21" applyNumberFormat="0" applyFont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71" fontId="2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4" fillId="0" borderId="0"/>
    <xf numFmtId="0" fontId="38" fillId="0" borderId="0"/>
    <xf numFmtId="0" fontId="83" fillId="0" borderId="0"/>
    <xf numFmtId="0" fontId="85" fillId="0" borderId="0"/>
    <xf numFmtId="0" fontId="1" fillId="0" borderId="0"/>
    <xf numFmtId="171" fontId="85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27" borderId="21" applyNumberFormat="0" applyFont="0" applyAlignment="0" applyProtection="0"/>
    <xf numFmtId="0" fontId="85" fillId="27" borderId="21" applyNumberFormat="0" applyFont="0" applyAlignment="0" applyProtection="0"/>
    <xf numFmtId="0" fontId="85" fillId="27" borderId="21" applyNumberFormat="0" applyFont="0" applyAlignment="0" applyProtection="0"/>
    <xf numFmtId="171" fontId="8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1" fillId="0" borderId="0"/>
    <xf numFmtId="164" fontId="31" fillId="0" borderId="0" applyFont="0" applyFill="0" applyBorder="0" applyAlignment="0" applyProtection="0"/>
    <xf numFmtId="0" fontId="1" fillId="0" borderId="0"/>
    <xf numFmtId="164" fontId="3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3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22"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5" fontId="21" fillId="0" borderId="7" xfId="0" applyNumberFormat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2" fontId="21" fillId="2" borderId="7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7" xfId="0" applyNumberFormat="1" applyFont="1" applyBorder="1" applyAlignment="1" applyProtection="1">
      <alignment horizontal="center" vertical="center"/>
      <protection locked="0"/>
    </xf>
    <xf numFmtId="2" fontId="10" fillId="2" borderId="7" xfId="0" applyNumberFormat="1" applyFont="1" applyFill="1" applyBorder="1" applyAlignment="1" applyProtection="1">
      <alignment horizontal="center" vertical="center"/>
      <protection locked="0"/>
    </xf>
    <xf numFmtId="2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7" xfId="0" applyNumberFormat="1" applyFont="1" applyBorder="1" applyAlignment="1">
      <alignment horizontal="center" vertical="center"/>
    </xf>
    <xf numFmtId="2" fontId="28" fillId="2" borderId="7" xfId="0" applyNumberFormat="1" applyFont="1" applyFill="1" applyBorder="1" applyAlignment="1">
      <alignment horizontal="center" vertical="center"/>
    </xf>
    <xf numFmtId="2" fontId="29" fillId="0" borderId="7" xfId="0" applyNumberFormat="1" applyFont="1" applyBorder="1" applyAlignment="1">
      <alignment horizontal="center" vertical="center"/>
    </xf>
    <xf numFmtId="2" fontId="29" fillId="2" borderId="7" xfId="0" applyNumberFormat="1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2" fontId="25" fillId="0" borderId="7" xfId="0" applyNumberFormat="1" applyFont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/>
    </xf>
    <xf numFmtId="2" fontId="3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 wrapText="1"/>
    </xf>
    <xf numFmtId="2" fontId="3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2" fontId="35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2" fontId="37" fillId="0" borderId="7" xfId="0" applyNumberFormat="1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39" fillId="0" borderId="7" xfId="0" applyNumberFormat="1" applyFont="1" applyBorder="1" applyAlignment="1">
      <alignment horizontal="center" vertical="center" wrapText="1"/>
    </xf>
    <xf numFmtId="14" fontId="12" fillId="2" borderId="7" xfId="0" applyNumberFormat="1" applyFont="1" applyFill="1" applyBorder="1" applyAlignment="1">
      <alignment horizontal="center" vertical="center" wrapText="1"/>
    </xf>
    <xf numFmtId="169" fontId="9" fillId="2" borderId="7" xfId="0" applyNumberFormat="1" applyFont="1" applyFill="1" applyBorder="1" applyAlignment="1">
      <alignment horizontal="center" vertical="center" wrapText="1"/>
    </xf>
    <xf numFmtId="2" fontId="9" fillId="2" borderId="7" xfId="3" applyNumberFormat="1" applyFont="1" applyFill="1" applyBorder="1" applyAlignment="1">
      <alignment horizontal="center" vertical="center" wrapText="1"/>
    </xf>
    <xf numFmtId="165" fontId="9" fillId="2" borderId="7" xfId="3" applyNumberFormat="1" applyFont="1" applyFill="1" applyBorder="1" applyAlignment="1">
      <alignment horizontal="center" vertical="center" wrapText="1"/>
    </xf>
    <xf numFmtId="169" fontId="38" fillId="2" borderId="7" xfId="0" applyNumberFormat="1" applyFont="1" applyFill="1" applyBorder="1" applyAlignment="1">
      <alignment horizontal="center" vertical="center" wrapText="1"/>
    </xf>
    <xf numFmtId="169" fontId="40" fillId="2" borderId="7" xfId="0" applyNumberFormat="1" applyFont="1" applyFill="1" applyBorder="1" applyAlignment="1">
      <alignment horizontal="center" vertical="center" wrapText="1"/>
    </xf>
    <xf numFmtId="2" fontId="38" fillId="2" borderId="7" xfId="0" applyNumberFormat="1" applyFont="1" applyFill="1" applyBorder="1" applyAlignment="1">
      <alignment horizontal="center" vertical="center" wrapText="1"/>
    </xf>
    <xf numFmtId="49" fontId="3" fillId="0" borderId="7" xfId="5" applyNumberFormat="1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166" fontId="9" fillId="2" borderId="13" xfId="0" applyNumberFormat="1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2" fontId="5" fillId="0" borderId="7" xfId="2" applyNumberFormat="1" applyFont="1" applyBorder="1" applyAlignment="1">
      <alignment horizontal="center" vertical="center" wrapText="1"/>
    </xf>
    <xf numFmtId="0" fontId="45" fillId="0" borderId="0" xfId="0" applyFont="1"/>
    <xf numFmtId="0" fontId="45" fillId="0" borderId="7" xfId="0" applyFont="1" applyBorder="1" applyAlignment="1">
      <alignment horizontal="center" vertical="center"/>
    </xf>
    <xf numFmtId="2" fontId="45" fillId="0" borderId="7" xfId="0" applyNumberFormat="1" applyFont="1" applyBorder="1" applyAlignment="1">
      <alignment horizontal="center" vertical="center"/>
    </xf>
    <xf numFmtId="0" fontId="45" fillId="0" borderId="7" xfId="0" applyFont="1" applyBorder="1" applyAlignment="1">
      <alignment horizontal="center"/>
    </xf>
    <xf numFmtId="0" fontId="9" fillId="2" borderId="14" xfId="0" applyFont="1" applyFill="1" applyBorder="1" applyAlignment="1">
      <alignment horizontal="center" vertical="center" wrapText="1"/>
    </xf>
    <xf numFmtId="0" fontId="0" fillId="2" borderId="0" xfId="0" applyFill="1"/>
    <xf numFmtId="2" fontId="0" fillId="0" borderId="0" xfId="0" applyNumberFormat="1"/>
    <xf numFmtId="2" fontId="45" fillId="0" borderId="0" xfId="0" applyNumberFormat="1" applyFont="1"/>
    <xf numFmtId="2" fontId="15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6" fontId="21" fillId="2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9" fillId="2" borderId="7" xfId="0" quotePrefix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2" fontId="9" fillId="2" borderId="7" xfId="0" applyNumberFormat="1" applyFont="1" applyFill="1" applyBorder="1" applyAlignment="1" applyProtection="1">
      <alignment horizontal="center" vertical="center"/>
      <protection locked="0"/>
    </xf>
    <xf numFmtId="2" fontId="35" fillId="2" borderId="7" xfId="0" applyNumberFormat="1" applyFont="1" applyFill="1" applyBorder="1" applyAlignment="1">
      <alignment horizontal="center" vertical="center"/>
    </xf>
    <xf numFmtId="0" fontId="9" fillId="0" borderId="10" xfId="0" quotePrefix="1" applyFont="1" applyBorder="1" applyAlignment="1">
      <alignment horizontal="center" vertical="center" wrapText="1"/>
    </xf>
    <xf numFmtId="165" fontId="21" fillId="2" borderId="7" xfId="0" applyNumberFormat="1" applyFont="1" applyFill="1" applyBorder="1" applyAlignment="1">
      <alignment horizontal="center" vertical="center" wrapText="1"/>
    </xf>
    <xf numFmtId="165" fontId="14" fillId="2" borderId="7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 wrapText="1"/>
    </xf>
    <xf numFmtId="2" fontId="18" fillId="2" borderId="7" xfId="0" applyNumberFormat="1" applyFont="1" applyFill="1" applyBorder="1" applyAlignment="1">
      <alignment horizontal="center" vertical="center" wrapText="1"/>
    </xf>
    <xf numFmtId="4" fontId="9" fillId="2" borderId="7" xfId="1" applyNumberFormat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" fillId="2" borderId="7" xfId="0" quotePrefix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 vertical="center" wrapText="1"/>
    </xf>
    <xf numFmtId="165" fontId="12" fillId="2" borderId="7" xfId="0" applyNumberFormat="1" applyFont="1" applyFill="1" applyBorder="1" applyAlignment="1">
      <alignment horizontal="center" vertical="center" wrapText="1"/>
    </xf>
    <xf numFmtId="166" fontId="12" fillId="2" borderId="7" xfId="0" applyNumberFormat="1" applyFont="1" applyFill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horizontal="center" vertical="center" wrapText="1"/>
    </xf>
    <xf numFmtId="2" fontId="25" fillId="2" borderId="7" xfId="0" applyNumberFormat="1" applyFont="1" applyFill="1" applyBorder="1" applyAlignment="1">
      <alignment horizontal="center" vertical="center" wrapText="1"/>
    </xf>
    <xf numFmtId="2" fontId="30" fillId="2" borderId="7" xfId="0" applyNumberFormat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2" fontId="33" fillId="2" borderId="7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 wrapText="1"/>
    </xf>
    <xf numFmtId="2" fontId="22" fillId="2" borderId="7" xfId="0" applyNumberFormat="1" applyFont="1" applyFill="1" applyBorder="1" applyAlignment="1">
      <alignment horizontal="center" vertical="center" wrapText="1"/>
    </xf>
    <xf numFmtId="4" fontId="9" fillId="2" borderId="7" xfId="1" applyNumberFormat="1" applyFont="1" applyFill="1" applyBorder="1" applyAlignment="1">
      <alignment horizontal="center" vertical="center" wrapText="1"/>
    </xf>
    <xf numFmtId="43" fontId="21" fillId="2" borderId="7" xfId="3" applyFont="1" applyFill="1" applyBorder="1" applyAlignment="1">
      <alignment horizontal="center" vertical="center" wrapText="1"/>
    </xf>
    <xf numFmtId="2" fontId="34" fillId="2" borderId="7" xfId="0" applyNumberFormat="1" applyFont="1" applyFill="1" applyBorder="1" applyAlignment="1">
      <alignment horizontal="center" vertical="center" wrapText="1"/>
    </xf>
    <xf numFmtId="49" fontId="26" fillId="2" borderId="7" xfId="0" applyNumberFormat="1" applyFont="1" applyFill="1" applyBorder="1" applyAlignment="1">
      <alignment horizontal="center" vertical="center" wrapText="1"/>
    </xf>
    <xf numFmtId="2" fontId="27" fillId="2" borderId="7" xfId="0" applyNumberFormat="1" applyFont="1" applyFill="1" applyBorder="1" applyAlignment="1" applyProtection="1">
      <alignment horizontal="center" vertical="center"/>
      <protection locked="0"/>
    </xf>
    <xf numFmtId="2" fontId="39" fillId="2" borderId="7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/>
    </xf>
    <xf numFmtId="2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2" fontId="37" fillId="2" borderId="7" xfId="0" applyNumberFormat="1" applyFont="1" applyFill="1" applyBorder="1" applyAlignment="1">
      <alignment horizontal="center" vertical="center" wrapText="1"/>
    </xf>
    <xf numFmtId="49" fontId="3" fillId="2" borderId="7" xfId="5" applyNumberFormat="1" applyFont="1" applyFill="1" applyBorder="1" applyAlignment="1">
      <alignment horizontal="center" vertical="center" wrapText="1"/>
    </xf>
    <xf numFmtId="49" fontId="3" fillId="2" borderId="7" xfId="0" quotePrefix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5" xfId="0" quotePrefix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/>
    </xf>
    <xf numFmtId="0" fontId="9" fillId="0" borderId="0" xfId="0" applyFont="1"/>
    <xf numFmtId="0" fontId="0" fillId="0" borderId="0" xfId="0"/>
    <xf numFmtId="2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8" fillId="28" borderId="7" xfId="0" applyFont="1" applyFill="1" applyBorder="1" applyAlignment="1">
      <alignment horizontal="center" vertical="center" wrapText="1"/>
    </xf>
    <xf numFmtId="0" fontId="13" fillId="28" borderId="7" xfId="0" applyFont="1" applyFill="1" applyBorder="1" applyAlignment="1">
      <alignment horizontal="center" vertical="center" wrapText="1"/>
    </xf>
    <xf numFmtId="0" fontId="3" fillId="28" borderId="7" xfId="0" applyFont="1" applyFill="1" applyBorder="1" applyAlignment="1">
      <alignment horizontal="center" vertical="center" wrapText="1"/>
    </xf>
    <xf numFmtId="0" fontId="13" fillId="28" borderId="10" xfId="0" applyFont="1" applyFill="1" applyBorder="1" applyAlignment="1">
      <alignment horizontal="center" vertical="center" wrapText="1"/>
    </xf>
    <xf numFmtId="2" fontId="6" fillId="28" borderId="7" xfId="0" applyNumberFormat="1" applyFont="1" applyFill="1" applyBorder="1" applyAlignment="1">
      <alignment horizontal="center" vertical="center" wrapText="1"/>
    </xf>
    <xf numFmtId="4" fontId="13" fillId="28" borderId="7" xfId="0" applyNumberFormat="1" applyFont="1" applyFill="1" applyBorder="1" applyAlignment="1">
      <alignment horizontal="center" vertical="center" wrapText="1"/>
    </xf>
    <xf numFmtId="2" fontId="9" fillId="0" borderId="0" xfId="0" applyNumberFormat="1" applyFont="1"/>
    <xf numFmtId="0" fontId="6" fillId="28" borderId="7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 wrapText="1"/>
    </xf>
    <xf numFmtId="9" fontId="6" fillId="28" borderId="7" xfId="0" applyNumberFormat="1" applyFont="1" applyFill="1" applyBorder="1" applyAlignment="1">
      <alignment horizontal="center" vertical="center" wrapText="1"/>
    </xf>
    <xf numFmtId="4" fontId="6" fillId="28" borderId="7" xfId="0" applyNumberFormat="1" applyFont="1" applyFill="1" applyBorder="1" applyAlignment="1">
      <alignment horizontal="center" vertical="center" wrapText="1"/>
    </xf>
    <xf numFmtId="0" fontId="84" fillId="0" borderId="0" xfId="0" applyFont="1"/>
    <xf numFmtId="4" fontId="9" fillId="5" borderId="7" xfId="1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2" borderId="24" xfId="0" quotePrefix="1" applyFont="1" applyFill="1" applyBorder="1" applyAlignment="1">
      <alignment horizontal="center" vertical="center" wrapText="1"/>
    </xf>
    <xf numFmtId="167" fontId="14" fillId="2" borderId="7" xfId="0" applyNumberFormat="1" applyFont="1" applyFill="1" applyBorder="1" applyAlignment="1">
      <alignment horizontal="center" vertical="center" wrapText="1"/>
    </xf>
    <xf numFmtId="167" fontId="21" fillId="0" borderId="7" xfId="0" applyNumberFormat="1" applyFont="1" applyBorder="1" applyAlignment="1">
      <alignment horizontal="center" vertical="center" wrapText="1"/>
    </xf>
    <xf numFmtId="2" fontId="27" fillId="0" borderId="7" xfId="0" applyNumberFormat="1" applyFont="1" applyBorder="1" applyAlignment="1" applyProtection="1">
      <alignment horizontal="center" vertical="center"/>
      <protection locked="0"/>
    </xf>
    <xf numFmtId="2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0" fillId="0" borderId="0" xfId="0"/>
    <xf numFmtId="2" fontId="21" fillId="2" borderId="7" xfId="0" applyNumberFormat="1" applyFont="1" applyFill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0" fontId="45" fillId="0" borderId="7" xfId="0" applyFont="1" applyBorder="1"/>
    <xf numFmtId="0" fontId="45" fillId="0" borderId="7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 applyProtection="1">
      <alignment horizontal="center" vertical="center" wrapText="1"/>
      <protection locked="0"/>
    </xf>
    <xf numFmtId="43" fontId="18" fillId="0" borderId="7" xfId="3" applyFont="1" applyBorder="1" applyAlignment="1" applyProtection="1">
      <alignment horizontal="center" vertical="center"/>
      <protection locked="0"/>
    </xf>
    <xf numFmtId="2" fontId="18" fillId="0" borderId="7" xfId="0" applyNumberFormat="1" applyFont="1" applyBorder="1" applyAlignment="1" applyProtection="1">
      <alignment horizontal="center" vertical="center"/>
      <protection locked="0"/>
    </xf>
    <xf numFmtId="0" fontId="86" fillId="0" borderId="7" xfId="0" applyFont="1" applyBorder="1" applyAlignment="1">
      <alignment horizontal="center" vertical="center" wrapText="1"/>
    </xf>
    <xf numFmtId="2" fontId="86" fillId="0" borderId="7" xfId="0" applyNumberFormat="1" applyFont="1" applyBorder="1" applyAlignment="1">
      <alignment horizontal="center" vertical="center" wrapText="1"/>
    </xf>
    <xf numFmtId="43" fontId="86" fillId="0" borderId="7" xfId="3" applyFont="1" applyBorder="1" applyAlignment="1">
      <alignment horizontal="center" vertical="center" wrapText="1"/>
    </xf>
    <xf numFmtId="2" fontId="87" fillId="0" borderId="7" xfId="0" applyNumberFormat="1" applyFont="1" applyBorder="1" applyAlignment="1">
      <alignment horizontal="center" vertical="center"/>
    </xf>
    <xf numFmtId="43" fontId="87" fillId="0" borderId="7" xfId="3" applyFont="1" applyBorder="1" applyAlignment="1">
      <alignment horizontal="center" vertical="center"/>
    </xf>
    <xf numFmtId="2" fontId="9" fillId="0" borderId="7" xfId="0" applyNumberFormat="1" applyFont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>
      <alignment horizontal="center" vertical="center" wrapText="1"/>
    </xf>
    <xf numFmtId="2" fontId="27" fillId="0" borderId="7" xfId="0" applyNumberFormat="1" applyFont="1" applyBorder="1" applyAlignment="1" applyProtection="1">
      <alignment horizontal="center" vertical="center" wrapText="1"/>
      <protection locked="0"/>
    </xf>
    <xf numFmtId="2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" xfId="0" applyNumberFormat="1" applyFont="1" applyBorder="1" applyAlignment="1" applyProtection="1">
      <alignment horizontal="center" vertical="center"/>
      <protection locked="0"/>
    </xf>
    <xf numFmtId="2" fontId="12" fillId="0" borderId="7" xfId="0" applyNumberFormat="1" applyFont="1" applyBorder="1" applyAlignment="1" applyProtection="1">
      <alignment horizontal="center" vertical="center" wrapText="1"/>
      <protection locked="0"/>
    </xf>
    <xf numFmtId="2" fontId="88" fillId="0" borderId="7" xfId="0" applyNumberFormat="1" applyFont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center" vertical="center"/>
      <protection locked="0"/>
    </xf>
    <xf numFmtId="2" fontId="89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7" xfId="1" applyFont="1" applyFill="1" applyBorder="1" applyAlignment="1">
      <alignment horizontal="center" vertical="center" wrapText="1"/>
    </xf>
    <xf numFmtId="4" fontId="9" fillId="5" borderId="7" xfId="1" applyNumberFormat="1" applyFont="1" applyFill="1" applyBorder="1" applyAlignment="1">
      <alignment horizontal="center" vertical="center" wrapText="1"/>
    </xf>
    <xf numFmtId="4" fontId="3" fillId="5" borderId="7" xfId="1" applyNumberFormat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172" fontId="90" fillId="29" borderId="4" xfId="0" applyNumberFormat="1" applyFont="1" applyFill="1" applyBorder="1" applyAlignment="1">
      <alignment horizontal="center" vertical="center" wrapText="1"/>
    </xf>
    <xf numFmtId="172" fontId="90" fillId="29" borderId="8" xfId="0" applyNumberFormat="1" applyFont="1" applyFill="1" applyBorder="1" applyAlignment="1">
      <alignment horizontal="center" vertical="center" wrapText="1"/>
    </xf>
    <xf numFmtId="2" fontId="8" fillId="29" borderId="26" xfId="0" applyNumberFormat="1" applyFont="1" applyFill="1" applyBorder="1" applyAlignment="1">
      <alignment horizontal="center" vertical="center" wrapText="1"/>
    </xf>
    <xf numFmtId="173" fontId="21" fillId="29" borderId="7" xfId="0" applyNumberFormat="1" applyFont="1" applyFill="1" applyBorder="1" applyAlignment="1">
      <alignment horizontal="center" vertical="center" wrapText="1"/>
    </xf>
    <xf numFmtId="173" fontId="21" fillId="29" borderId="7" xfId="0" applyNumberFormat="1" applyFont="1" applyFill="1" applyBorder="1" applyAlignment="1">
      <alignment horizontal="center" vertical="center"/>
    </xf>
    <xf numFmtId="173" fontId="21" fillId="29" borderId="8" xfId="0" applyNumberFormat="1" applyFont="1" applyFill="1" applyBorder="1" applyAlignment="1">
      <alignment horizontal="center" vertical="center" wrapText="1"/>
    </xf>
    <xf numFmtId="2" fontId="21" fillId="29" borderId="26" xfId="0" applyNumberFormat="1" applyFont="1" applyFill="1" applyBorder="1" applyAlignment="1">
      <alignment horizontal="center" vertical="center" wrapText="1"/>
    </xf>
    <xf numFmtId="168" fontId="7" fillId="29" borderId="7" xfId="0" applyNumberFormat="1" applyFont="1" applyFill="1" applyBorder="1" applyAlignment="1">
      <alignment horizontal="center" vertical="center" wrapText="1"/>
    </xf>
    <xf numFmtId="168" fontId="7" fillId="29" borderId="8" xfId="0" applyNumberFormat="1" applyFont="1" applyFill="1" applyBorder="1" applyAlignment="1">
      <alignment horizontal="center" vertical="center" wrapText="1"/>
    </xf>
    <xf numFmtId="2" fontId="5" fillId="29" borderId="26" xfId="0" applyNumberFormat="1" applyFont="1" applyFill="1" applyBorder="1" applyAlignment="1">
      <alignment horizontal="center" vertical="center" wrapText="1"/>
    </xf>
    <xf numFmtId="168" fontId="7" fillId="0" borderId="7" xfId="0" applyNumberFormat="1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2" fontId="14" fillId="3" borderId="7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170" fontId="5" fillId="2" borderId="7" xfId="0" applyNumberFormat="1" applyFont="1" applyFill="1" applyBorder="1" applyAlignment="1">
      <alignment horizontal="center" vertical="center" wrapText="1"/>
    </xf>
    <xf numFmtId="2" fontId="9" fillId="2" borderId="7" xfId="0" quotePrefix="1" applyNumberFormat="1" applyFont="1" applyFill="1" applyBorder="1" applyAlignment="1">
      <alignment horizontal="center" vertical="center" wrapText="1"/>
    </xf>
    <xf numFmtId="2" fontId="9" fillId="0" borderId="7" xfId="4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3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9" fillId="3" borderId="7" xfId="0" quotePrefix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2" fontId="21" fillId="0" borderId="7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2" fontId="21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28" fillId="0" borderId="7" xfId="0" applyNumberFormat="1" applyFont="1" applyBorder="1" applyAlignment="1">
      <alignment horizontal="center" vertical="center"/>
    </xf>
    <xf numFmtId="2" fontId="28" fillId="2" borderId="7" xfId="0" applyNumberFormat="1" applyFont="1" applyFill="1" applyBorder="1" applyAlignment="1">
      <alignment horizontal="center" vertical="center"/>
    </xf>
    <xf numFmtId="2" fontId="29" fillId="0" borderId="7" xfId="0" applyNumberFormat="1" applyFont="1" applyBorder="1" applyAlignment="1">
      <alignment horizontal="center" vertical="center"/>
    </xf>
    <xf numFmtId="2" fontId="29" fillId="2" borderId="7" xfId="0" applyNumberFormat="1" applyFont="1" applyFill="1" applyBorder="1" applyAlignment="1">
      <alignment horizontal="center" vertical="center"/>
    </xf>
    <xf numFmtId="2" fontId="34" fillId="0" borderId="7" xfId="0" applyNumberFormat="1" applyFont="1" applyBorder="1" applyAlignment="1">
      <alignment horizontal="center" vertical="center" wrapText="1"/>
    </xf>
    <xf numFmtId="43" fontId="21" fillId="0" borderId="7" xfId="3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7" xfId="0" quotePrefix="1" applyFont="1" applyFill="1" applyBorder="1" applyAlignment="1">
      <alignment horizontal="center" vertical="center" wrapText="1"/>
    </xf>
    <xf numFmtId="2" fontId="35" fillId="2" borderId="7" xfId="0" applyNumberFormat="1" applyFont="1" applyFill="1" applyBorder="1" applyAlignment="1">
      <alignment horizontal="center" vertical="center"/>
    </xf>
    <xf numFmtId="49" fontId="3" fillId="2" borderId="7" xfId="0" quotePrefix="1" applyNumberFormat="1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21" fillId="0" borderId="7" xfId="0" applyNumberFormat="1" applyFont="1" applyFill="1" applyBorder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2" fontId="3" fillId="2" borderId="7" xfId="4" applyNumberFormat="1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2" fontId="3" fillId="0" borderId="7" xfId="4" applyNumberFormat="1" applyFont="1" applyBorder="1" applyAlignment="1">
      <alignment horizontal="center" vertical="center" wrapText="1"/>
    </xf>
    <xf numFmtId="0" fontId="10" fillId="2" borderId="7" xfId="4" applyFont="1" applyFill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2" fontId="10" fillId="2" borderId="7" xfId="4" applyNumberFormat="1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12" fillId="2" borderId="7" xfId="4" applyFont="1" applyFill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2" fontId="12" fillId="2" borderId="7" xfId="4" applyNumberFormat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/>
    </xf>
    <xf numFmtId="2" fontId="12" fillId="0" borderId="7" xfId="4" applyNumberFormat="1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 wrapText="1"/>
    </xf>
    <xf numFmtId="2" fontId="9" fillId="2" borderId="7" xfId="4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2" fontId="9" fillId="2" borderId="7" xfId="0" quotePrefix="1" applyNumberFormat="1" applyFont="1" applyFill="1" applyBorder="1" applyAlignment="1">
      <alignment horizontal="center" vertical="center" wrapText="1"/>
    </xf>
    <xf numFmtId="2" fontId="10" fillId="0" borderId="7" xfId="4" applyNumberFormat="1" applyFont="1" applyFill="1" applyBorder="1" applyAlignment="1">
      <alignment horizontal="center" vertical="center" wrapText="1"/>
    </xf>
    <xf numFmtId="2" fontId="12" fillId="0" borderId="7" xfId="4" applyNumberFormat="1" applyFont="1" applyFill="1" applyBorder="1" applyAlignment="1">
      <alignment horizontal="center" vertical="center" wrapText="1"/>
    </xf>
    <xf numFmtId="2" fontId="9" fillId="0" borderId="7" xfId="4" applyNumberFormat="1" applyFont="1" applyFill="1" applyBorder="1" applyAlignment="1">
      <alignment horizontal="center" vertical="center" wrapText="1"/>
    </xf>
    <xf numFmtId="2" fontId="43" fillId="0" borderId="7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6" fillId="0" borderId="7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11" fillId="0" borderId="7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2" fontId="5" fillId="0" borderId="7" xfId="2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13" fillId="28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2" fontId="6" fillId="28" borderId="7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8" fillId="0" borderId="7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21" fillId="0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2" fontId="43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quotePrefix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30" borderId="1" xfId="0" applyNumberFormat="1" applyFont="1" applyFill="1" applyBorder="1" applyAlignment="1">
      <alignment horizontal="center" vertical="center" wrapText="1"/>
    </xf>
    <xf numFmtId="1" fontId="19" fillId="2" borderId="7" xfId="0" applyNumberFormat="1" applyFont="1" applyFill="1" applyBorder="1" applyAlignment="1">
      <alignment horizontal="center" vertical="center" wrapText="1"/>
    </xf>
    <xf numFmtId="0" fontId="26" fillId="2" borderId="7" xfId="19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166" fontId="19" fillId="2" borderId="7" xfId="0" applyNumberFormat="1" applyFont="1" applyFill="1" applyBorder="1" applyAlignment="1">
      <alignment horizontal="center" vertical="center" wrapText="1"/>
    </xf>
    <xf numFmtId="2" fontId="19" fillId="2" borderId="7" xfId="0" applyNumberFormat="1" applyFont="1" applyFill="1" applyBorder="1" applyAlignment="1">
      <alignment horizontal="center" vertical="center" wrapText="1"/>
    </xf>
    <xf numFmtId="43" fontId="19" fillId="2" borderId="7" xfId="3" applyFont="1" applyFill="1" applyBorder="1" applyAlignment="1">
      <alignment horizontal="center" vertical="center" wrapText="1"/>
    </xf>
    <xf numFmtId="43" fontId="18" fillId="2" borderId="7" xfId="3" applyFont="1" applyFill="1" applyBorder="1" applyAlignment="1">
      <alignment horizontal="center" vertical="center" wrapText="1"/>
    </xf>
    <xf numFmtId="0" fontId="9" fillId="2" borderId="0" xfId="0" applyFont="1" applyFill="1"/>
    <xf numFmtId="2" fontId="18" fillId="2" borderId="0" xfId="0" applyNumberFormat="1" applyFont="1" applyFill="1"/>
    <xf numFmtId="0" fontId="18" fillId="2" borderId="0" xfId="0" applyFont="1" applyFill="1"/>
    <xf numFmtId="0" fontId="18" fillId="0" borderId="7" xfId="0" applyFont="1" applyBorder="1" applyAlignment="1">
      <alignment horizontal="center" vertical="center" wrapText="1"/>
    </xf>
    <xf numFmtId="0" fontId="18" fillId="0" borderId="7" xfId="0" quotePrefix="1" applyFont="1" applyBorder="1" applyAlignment="1">
      <alignment horizontal="center" vertical="center" wrapText="1"/>
    </xf>
    <xf numFmtId="165" fontId="18" fillId="0" borderId="7" xfId="0" applyNumberFormat="1" applyFont="1" applyBorder="1" applyAlignment="1">
      <alignment horizontal="center" vertical="center" wrapText="1"/>
    </xf>
    <xf numFmtId="2" fontId="18" fillId="0" borderId="0" xfId="0" applyNumberFormat="1" applyFont="1"/>
    <xf numFmtId="0" fontId="86" fillId="0" borderId="7" xfId="0" applyFont="1" applyBorder="1" applyAlignment="1">
      <alignment horizontal="center" vertical="center"/>
    </xf>
    <xf numFmtId="0" fontId="86" fillId="2" borderId="7" xfId="0" applyFont="1" applyFill="1" applyBorder="1" applyAlignment="1">
      <alignment horizontal="center" vertical="center"/>
    </xf>
    <xf numFmtId="14" fontId="18" fillId="2" borderId="7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2" fontId="18" fillId="2" borderId="7" xfId="4" applyNumberFormat="1" applyFont="1" applyFill="1" applyBorder="1" applyAlignment="1">
      <alignment horizontal="center" vertical="center" wrapText="1"/>
    </xf>
    <xf numFmtId="2" fontId="86" fillId="2" borderId="7" xfId="0" applyNumberFormat="1" applyFont="1" applyFill="1" applyBorder="1" applyAlignment="1">
      <alignment horizontal="center" vertical="center" wrapText="1"/>
    </xf>
    <xf numFmtId="0" fontId="18" fillId="2" borderId="7" xfId="4" applyFont="1" applyFill="1" applyBorder="1" applyAlignment="1">
      <alignment horizontal="center" vertical="center" wrapText="1"/>
    </xf>
    <xf numFmtId="0" fontId="87" fillId="2" borderId="7" xfId="0" applyFont="1" applyFill="1" applyBorder="1" applyAlignment="1">
      <alignment horizontal="center" vertical="center"/>
    </xf>
    <xf numFmtId="2" fontId="87" fillId="2" borderId="7" xfId="0" applyNumberFormat="1" applyFont="1" applyFill="1" applyBorder="1" applyAlignment="1">
      <alignment horizontal="center" vertical="center"/>
    </xf>
    <xf numFmtId="0" fontId="87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/>
    <xf numFmtId="0" fontId="18" fillId="2" borderId="7" xfId="192" applyFont="1" applyFill="1" applyBorder="1" applyAlignment="1">
      <alignment horizontal="center"/>
    </xf>
    <xf numFmtId="2" fontId="18" fillId="2" borderId="7" xfId="192" applyNumberFormat="1" applyFont="1" applyFill="1" applyBorder="1" applyAlignment="1">
      <alignment horizontal="center"/>
    </xf>
    <xf numFmtId="165" fontId="18" fillId="0" borderId="7" xfId="192" applyNumberFormat="1" applyFont="1" applyBorder="1" applyAlignment="1">
      <alignment horizontal="center"/>
    </xf>
    <xf numFmtId="43" fontId="18" fillId="2" borderId="7" xfId="3" applyFont="1" applyFill="1" applyBorder="1" applyAlignment="1">
      <alignment horizontal="center"/>
    </xf>
    <xf numFmtId="2" fontId="18" fillId="2" borderId="7" xfId="191" applyNumberFormat="1" applyFont="1" applyFill="1" applyBorder="1" applyAlignment="1">
      <alignment horizontal="center" vertical="center"/>
    </xf>
    <xf numFmtId="2" fontId="38" fillId="0" borderId="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21" fillId="2" borderId="12" xfId="0" applyNumberFormat="1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167" fontId="9" fillId="2" borderId="7" xfId="0" applyNumberFormat="1" applyFont="1" applyFill="1" applyBorder="1" applyAlignment="1">
      <alignment horizontal="center" vertical="center" wrapText="1"/>
    </xf>
    <xf numFmtId="0" fontId="9" fillId="0" borderId="31" xfId="0" quotePrefix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14" fontId="9" fillId="0" borderId="7" xfId="4" applyNumberFormat="1" applyFont="1" applyBorder="1" applyAlignment="1">
      <alignment horizontal="center" vertical="center" wrapText="1"/>
    </xf>
    <xf numFmtId="165" fontId="9" fillId="2" borderId="7" xfId="4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92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>
      <alignment horizontal="center" vertical="center" wrapText="1"/>
    </xf>
    <xf numFmtId="2" fontId="89" fillId="0" borderId="7" xfId="0" applyNumberFormat="1" applyFont="1" applyBorder="1" applyAlignment="1" applyProtection="1">
      <alignment horizontal="center" vertical="center" wrapText="1"/>
      <protection locked="0"/>
    </xf>
    <xf numFmtId="4" fontId="3" fillId="5" borderId="7" xfId="1" applyNumberFormat="1" applyFont="1" applyFill="1" applyBorder="1" applyAlignment="1">
      <alignment horizontal="center" vertical="center"/>
    </xf>
    <xf numFmtId="2" fontId="9" fillId="0" borderId="7" xfId="1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center" vertical="center" wrapText="1"/>
    </xf>
    <xf numFmtId="14" fontId="9" fillId="2" borderId="7" xfId="0" quotePrefix="1" applyNumberFormat="1" applyFont="1" applyFill="1" applyBorder="1" applyAlignment="1">
      <alignment horizontal="center" vertical="center" wrapText="1"/>
    </xf>
    <xf numFmtId="0" fontId="93" fillId="2" borderId="7" xfId="0" applyFont="1" applyFill="1" applyBorder="1" applyAlignment="1">
      <alignment horizontal="left" vertical="center" wrapText="1"/>
    </xf>
    <xf numFmtId="0" fontId="93" fillId="2" borderId="7" xfId="0" applyFont="1" applyFill="1" applyBorder="1" applyAlignment="1">
      <alignment horizontal="center" vertical="center" wrapText="1"/>
    </xf>
    <xf numFmtId="2" fontId="95" fillId="2" borderId="7" xfId="0" applyNumberFormat="1" applyFont="1" applyFill="1" applyBorder="1" applyAlignment="1">
      <alignment horizontal="center" vertical="center" wrapText="1"/>
    </xf>
    <xf numFmtId="165" fontId="93" fillId="0" borderId="7" xfId="0" applyNumberFormat="1" applyFont="1" applyBorder="1" applyAlignment="1">
      <alignment horizontal="center" vertical="center" wrapText="1"/>
    </xf>
    <xf numFmtId="0" fontId="95" fillId="2" borderId="7" xfId="0" applyFont="1" applyFill="1" applyBorder="1" applyAlignment="1">
      <alignment horizontal="left" vertical="center" wrapText="1"/>
    </xf>
    <xf numFmtId="0" fontId="95" fillId="2" borderId="7" xfId="0" applyFont="1" applyFill="1" applyBorder="1" applyAlignment="1">
      <alignment horizontal="center" vertical="center" wrapText="1"/>
    </xf>
    <xf numFmtId="2" fontId="95" fillId="0" borderId="7" xfId="0" applyNumberFormat="1" applyFont="1" applyBorder="1" applyAlignment="1">
      <alignment horizontal="center" vertical="center" wrapText="1"/>
    </xf>
    <xf numFmtId="0" fontId="95" fillId="2" borderId="7" xfId="0" applyFont="1" applyFill="1" applyBorder="1" applyAlignment="1">
      <alignment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2" fontId="26" fillId="2" borderId="7" xfId="0" applyNumberFormat="1" applyFont="1" applyFill="1" applyBorder="1" applyAlignment="1">
      <alignment horizontal="center" vertical="center" wrapText="1"/>
    </xf>
    <xf numFmtId="2" fontId="19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7" xfId="0" applyNumberFormat="1" applyFont="1" applyFill="1" applyBorder="1" applyAlignment="1" applyProtection="1">
      <alignment horizontal="center" vertical="center"/>
      <protection locked="0"/>
    </xf>
    <xf numFmtId="167" fontId="86" fillId="0" borderId="7" xfId="0" applyNumberFormat="1" applyFont="1" applyBorder="1" applyAlignment="1">
      <alignment horizontal="center" vertical="center" wrapText="1"/>
    </xf>
    <xf numFmtId="2" fontId="18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96" fillId="0" borderId="7" xfId="0" applyNumberFormat="1" applyFont="1" applyBorder="1" applyAlignment="1" applyProtection="1">
      <alignment horizontal="center" vertical="center"/>
      <protection locked="0"/>
    </xf>
    <xf numFmtId="167" fontId="86" fillId="2" borderId="7" xfId="0" applyNumberFormat="1" applyFont="1" applyFill="1" applyBorder="1" applyAlignment="1">
      <alignment horizontal="center" vertical="center" wrapText="1"/>
    </xf>
    <xf numFmtId="0" fontId="86" fillId="2" borderId="7" xfId="0" applyFont="1" applyFill="1" applyBorder="1" applyAlignment="1">
      <alignment horizontal="center" vertical="center" wrapText="1"/>
    </xf>
    <xf numFmtId="165" fontId="86" fillId="0" borderId="7" xfId="0" applyNumberFormat="1" applyFont="1" applyBorder="1" applyAlignment="1">
      <alignment horizontal="center" vertical="center" wrapText="1"/>
    </xf>
    <xf numFmtId="165" fontId="87" fillId="0" borderId="7" xfId="0" applyNumberFormat="1" applyFont="1" applyBorder="1" applyAlignment="1">
      <alignment horizontal="center" vertical="center"/>
    </xf>
    <xf numFmtId="14" fontId="86" fillId="0" borderId="7" xfId="0" applyNumberFormat="1" applyFont="1" applyBorder="1" applyAlignment="1">
      <alignment horizontal="center" vertical="center" wrapText="1"/>
    </xf>
    <xf numFmtId="165" fontId="1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/>
    <xf numFmtId="0" fontId="9" fillId="0" borderId="27" xfId="0" applyFont="1" applyBorder="1"/>
    <xf numFmtId="0" fontId="98" fillId="5" borderId="0" xfId="0" applyFont="1" applyFill="1" applyAlignment="1">
      <alignment vertical="center"/>
    </xf>
    <xf numFmtId="0" fontId="98" fillId="0" borderId="0" xfId="0" applyFont="1" applyAlignment="1">
      <alignment vertical="center"/>
    </xf>
    <xf numFmtId="0" fontId="99" fillId="5" borderId="0" xfId="0" applyFont="1" applyFill="1" applyAlignment="1">
      <alignment vertical="center"/>
    </xf>
    <xf numFmtId="0" fontId="99" fillId="0" borderId="0" xfId="0" applyFont="1" applyAlignment="1">
      <alignment vertical="center"/>
    </xf>
    <xf numFmtId="1" fontId="26" fillId="3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100" fillId="0" borderId="1" xfId="0" applyFont="1" applyBorder="1" applyAlignment="1">
      <alignment horizontal="center" vertical="center"/>
    </xf>
    <xf numFmtId="0" fontId="100" fillId="30" borderId="1" xfId="0" applyFont="1" applyFill="1" applyBorder="1" applyAlignment="1">
      <alignment horizontal="center" vertical="center"/>
    </xf>
    <xf numFmtId="1" fontId="86" fillId="3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30" borderId="1" xfId="0" applyNumberFormat="1" applyFont="1" applyFill="1" applyBorder="1" applyAlignment="1">
      <alignment horizontal="center" vertical="center" wrapText="1"/>
    </xf>
    <xf numFmtId="0" fontId="101" fillId="0" borderId="1" xfId="0" applyFont="1" applyBorder="1" applyAlignment="1">
      <alignment horizontal="center" vertical="center"/>
    </xf>
    <xf numFmtId="49" fontId="102" fillId="0" borderId="1" xfId="0" applyNumberFormat="1" applyFont="1" applyBorder="1" applyAlignment="1">
      <alignment horizontal="center" vertical="center" wrapText="1"/>
    </xf>
    <xf numFmtId="0" fontId="102" fillId="0" borderId="1" xfId="0" applyFont="1" applyBorder="1" applyAlignment="1">
      <alignment horizontal="center" vertical="center" wrapText="1"/>
    </xf>
    <xf numFmtId="2" fontId="102" fillId="0" borderId="1" xfId="0" applyNumberFormat="1" applyFont="1" applyBorder="1" applyAlignment="1">
      <alignment horizontal="center" vertical="center" wrapText="1"/>
    </xf>
    <xf numFmtId="0" fontId="103" fillId="0" borderId="1" xfId="0" applyFont="1" applyBorder="1" applyAlignment="1">
      <alignment horizontal="center" vertical="center"/>
    </xf>
    <xf numFmtId="0" fontId="103" fillId="30" borderId="1" xfId="0" applyFont="1" applyFill="1" applyBorder="1" applyAlignment="1">
      <alignment horizontal="center" vertical="center"/>
    </xf>
    <xf numFmtId="2" fontId="103" fillId="0" borderId="1" xfId="0" applyNumberFormat="1" applyFont="1" applyBorder="1" applyAlignment="1">
      <alignment horizontal="center" vertical="center"/>
    </xf>
    <xf numFmtId="0" fontId="86" fillId="0" borderId="1" xfId="0" applyFont="1" applyBorder="1" applyAlignment="1">
      <alignment horizontal="center" vertical="center" wrapText="1"/>
    </xf>
    <xf numFmtId="2" fontId="86" fillId="0" borderId="1" xfId="0" applyNumberFormat="1" applyFont="1" applyBorder="1" applyAlignment="1">
      <alignment horizontal="center" vertical="center" wrapText="1"/>
    </xf>
    <xf numFmtId="2" fontId="100" fillId="0" borderId="1" xfId="0" applyNumberFormat="1" applyFont="1" applyBorder="1" applyAlignment="1">
      <alignment horizontal="center" vertical="center"/>
    </xf>
    <xf numFmtId="49" fontId="86" fillId="0" borderId="1" xfId="0" applyNumberFormat="1" applyFont="1" applyBorder="1" applyAlignment="1">
      <alignment horizontal="center" vertical="center" wrapText="1"/>
    </xf>
    <xf numFmtId="0" fontId="86" fillId="3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103" fillId="0" borderId="1" xfId="0" applyNumberFormat="1" applyFont="1" applyFill="1" applyBorder="1" applyAlignment="1">
      <alignment horizontal="center" vertical="center"/>
    </xf>
    <xf numFmtId="2" fontId="100" fillId="0" borderId="1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center" vertical="center" wrapText="1"/>
    </xf>
    <xf numFmtId="49" fontId="86" fillId="0" borderId="7" xfId="0" applyNumberFormat="1" applyFont="1" applyBorder="1" applyAlignment="1">
      <alignment horizontal="center" vertical="center" wrapText="1"/>
    </xf>
    <xf numFmtId="0" fontId="18" fillId="2" borderId="7" xfId="0" quotePrefix="1" applyFont="1" applyFill="1" applyBorder="1" applyAlignment="1">
      <alignment horizontal="center" vertical="center" wrapText="1"/>
    </xf>
    <xf numFmtId="0" fontId="104" fillId="0" borderId="7" xfId="0" applyFont="1" applyBorder="1" applyAlignment="1">
      <alignment horizontal="center" vertical="center"/>
    </xf>
    <xf numFmtId="2" fontId="104" fillId="0" borderId="7" xfId="0" applyNumberFormat="1" applyFont="1" applyBorder="1" applyAlignment="1">
      <alignment horizontal="center" vertical="center"/>
    </xf>
    <xf numFmtId="0" fontId="4" fillId="0" borderId="7" xfId="0" applyFont="1" applyBorder="1"/>
    <xf numFmtId="0" fontId="105" fillId="0" borderId="7" xfId="0" applyFont="1" applyBorder="1"/>
    <xf numFmtId="0" fontId="104" fillId="0" borderId="7" xfId="0" applyFont="1" applyBorder="1"/>
    <xf numFmtId="165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106" fillId="0" borderId="1" xfId="0" applyFont="1" applyBorder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6" fillId="0" borderId="0" xfId="0" applyFont="1"/>
    <xf numFmtId="2" fontId="10" fillId="0" borderId="1" xfId="0" applyNumberFormat="1" applyFont="1" applyBorder="1" applyAlignment="1">
      <alignment horizontal="center" vertical="center" wrapText="1"/>
    </xf>
    <xf numFmtId="2" fontId="107" fillId="0" borderId="1" xfId="0" applyNumberFormat="1" applyFont="1" applyBorder="1" applyAlignment="1">
      <alignment horizontal="center" vertical="center" wrapText="1"/>
    </xf>
    <xf numFmtId="2" fontId="106" fillId="0" borderId="1" xfId="0" applyNumberFormat="1" applyFont="1" applyBorder="1" applyAlignment="1">
      <alignment horizontal="center" vertical="center"/>
    </xf>
    <xf numFmtId="0" fontId="19" fillId="30" borderId="1" xfId="0" applyFont="1" applyFill="1" applyBorder="1" applyAlignment="1">
      <alignment horizontal="center" vertical="center" wrapText="1"/>
    </xf>
    <xf numFmtId="2" fontId="19" fillId="3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7" fontId="10" fillId="3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1" fillId="30" borderId="1" xfId="0" applyFont="1" applyFill="1" applyBorder="1" applyAlignment="1">
      <alignment horizontal="center" vertical="center"/>
    </xf>
    <xf numFmtId="2" fontId="10" fillId="30" borderId="1" xfId="0" applyNumberFormat="1" applyFont="1" applyFill="1" applyBorder="1" applyAlignment="1">
      <alignment horizontal="center" vertical="center" wrapText="1"/>
    </xf>
    <xf numFmtId="167" fontId="108" fillId="30" borderId="1" xfId="0" applyNumberFormat="1" applyFont="1" applyFill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 wrapText="1"/>
    </xf>
    <xf numFmtId="2" fontId="108" fillId="0" borderId="1" xfId="0" applyNumberFormat="1" applyFont="1" applyBorder="1" applyAlignment="1">
      <alignment horizontal="center" vertical="center" wrapText="1"/>
    </xf>
    <xf numFmtId="2" fontId="108" fillId="30" borderId="1" xfId="0" applyNumberFormat="1" applyFont="1" applyFill="1" applyBorder="1" applyAlignment="1">
      <alignment horizontal="center" vertical="center" wrapText="1"/>
    </xf>
    <xf numFmtId="167" fontId="86" fillId="30" borderId="1" xfId="0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horizontal="center" vertical="center" wrapText="1"/>
    </xf>
    <xf numFmtId="2" fontId="86" fillId="0" borderId="7" xfId="0" applyNumberFormat="1" applyFont="1" applyFill="1" applyBorder="1" applyAlignment="1">
      <alignment horizontal="center" vertical="center" wrapText="1"/>
    </xf>
    <xf numFmtId="165" fontId="86" fillId="0" borderId="7" xfId="0" applyNumberFormat="1" applyFont="1" applyFill="1" applyBorder="1" applyAlignment="1">
      <alignment horizontal="center" vertical="center" wrapText="1"/>
    </xf>
    <xf numFmtId="2" fontId="102" fillId="0" borderId="1" xfId="0" applyNumberFormat="1" applyFont="1" applyFill="1" applyBorder="1" applyAlignment="1">
      <alignment horizontal="center" vertical="center" wrapText="1"/>
    </xf>
    <xf numFmtId="2" fontId="86" fillId="0" borderId="1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107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8" fillId="0" borderId="1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vertical="center" wrapText="1"/>
    </xf>
    <xf numFmtId="165" fontId="26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8" fillId="0" borderId="7" xfId="192" applyFont="1" applyFill="1" applyBorder="1" applyAlignment="1">
      <alignment horizontal="center" vertical="center" wrapText="1"/>
    </xf>
    <xf numFmtId="16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14" fontId="12" fillId="0" borderId="7" xfId="0" applyNumberFormat="1" applyFont="1" applyFill="1" applyBorder="1" applyAlignment="1">
      <alignment horizontal="center" vertical="center" wrapText="1"/>
    </xf>
    <xf numFmtId="168" fontId="9" fillId="0" borderId="7" xfId="0" applyNumberFormat="1" applyFont="1" applyFill="1" applyBorder="1" applyAlignment="1">
      <alignment horizontal="center" vertical="center" wrapText="1"/>
    </xf>
    <xf numFmtId="169" fontId="9" fillId="0" borderId="7" xfId="0" applyNumberFormat="1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219"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20% - Акцент1 2" xfId="20"/>
    <cellStyle name="20% - Акцент1 3" xfId="21"/>
    <cellStyle name="20% - Акцент1 4" xfId="22"/>
    <cellStyle name="20% - Акцент2 2" xfId="23"/>
    <cellStyle name="20% - Акцент2 3" xfId="24"/>
    <cellStyle name="20% - Акцент2 4" xfId="25"/>
    <cellStyle name="20% - Акцент3 2" xfId="26"/>
    <cellStyle name="20% - Акцент3 3" xfId="27"/>
    <cellStyle name="20% - Акцент3 4" xfId="28"/>
    <cellStyle name="20% - Акцент4 2" xfId="29"/>
    <cellStyle name="20% - Акцент4 3" xfId="30"/>
    <cellStyle name="20% - Акцент4 4" xfId="31"/>
    <cellStyle name="20% - Акцент5 2" xfId="32"/>
    <cellStyle name="20% - Акцент5 3" xfId="33"/>
    <cellStyle name="20% - Акцент5 4" xfId="34"/>
    <cellStyle name="20% - Акцент6 2" xfId="35"/>
    <cellStyle name="20% - Акцент6 3" xfId="36"/>
    <cellStyle name="20% - Акцент6 4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40% - Акцент1 2" xfId="44"/>
    <cellStyle name="40% - Акцент1 3" xfId="45"/>
    <cellStyle name="40% - Акцент1 4" xfId="46"/>
    <cellStyle name="40% - Акцент2 2" xfId="47"/>
    <cellStyle name="40% - Акцент2 3" xfId="48"/>
    <cellStyle name="40% - Акцент2 4" xfId="49"/>
    <cellStyle name="40% - Акцент3 2" xfId="50"/>
    <cellStyle name="40% - Акцент3 3" xfId="51"/>
    <cellStyle name="40% - Акцент3 4" xfId="52"/>
    <cellStyle name="40% - Акцент4 2" xfId="53"/>
    <cellStyle name="40% - Акцент4 3" xfId="54"/>
    <cellStyle name="40% - Акцент4 4" xfId="55"/>
    <cellStyle name="40% - Акцент5 2" xfId="56"/>
    <cellStyle name="40% - Акцент5 3" xfId="57"/>
    <cellStyle name="40% - Акцент5 4" xfId="58"/>
    <cellStyle name="40% - Акцент6 2" xfId="59"/>
    <cellStyle name="40% - Акцент6 3" xfId="60"/>
    <cellStyle name="40% - Акцент6 4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60% - Акцент1 2" xfId="68"/>
    <cellStyle name="60% - Акцент1 3" xfId="69"/>
    <cellStyle name="60% - Акцент1 4" xfId="70"/>
    <cellStyle name="60% - Акцент2 2" xfId="71"/>
    <cellStyle name="60% - Акцент2 3" xfId="72"/>
    <cellStyle name="60% - Акцент2 4" xfId="73"/>
    <cellStyle name="60% - Акцент3 2" xfId="74"/>
    <cellStyle name="60% - Акцент3 3" xfId="75"/>
    <cellStyle name="60% - Акцент3 4" xfId="76"/>
    <cellStyle name="60% - Акцент4 2" xfId="77"/>
    <cellStyle name="60% - Акцент4 3" xfId="78"/>
    <cellStyle name="60% - Акцент4 4" xfId="79"/>
    <cellStyle name="60% - Акцент5 2" xfId="80"/>
    <cellStyle name="60% - Акцент5 3" xfId="81"/>
    <cellStyle name="60% - Акцент5 4" xfId="82"/>
    <cellStyle name="60% - Акцент6 2" xfId="83"/>
    <cellStyle name="60% - Акцент6 3" xfId="84"/>
    <cellStyle name="60% - Акцент6 4" xfId="85"/>
    <cellStyle name="Accent1 2" xfId="86"/>
    <cellStyle name="Accent2 2" xfId="87"/>
    <cellStyle name="Accent3 2" xfId="88"/>
    <cellStyle name="Accent4 2" xfId="89"/>
    <cellStyle name="Accent5 2" xfId="90"/>
    <cellStyle name="Accent6 2" xfId="91"/>
    <cellStyle name="Bad 2" xfId="92"/>
    <cellStyle name="Calculation 2" xfId="93"/>
    <cellStyle name="Check Cell 2" xfId="94"/>
    <cellStyle name="Comma" xfId="3" builtinId="3"/>
    <cellStyle name="Comma 2" xfId="12"/>
    <cellStyle name="Comma 2 2" xfId="95"/>
    <cellStyle name="Comma 2 2 2" xfId="195"/>
    <cellStyle name="Comma 2 3" xfId="203"/>
    <cellStyle name="Comma 2 3 2" xfId="215"/>
    <cellStyle name="Comma 2 4" xfId="210"/>
    <cellStyle name="Comma 3" xfId="96"/>
    <cellStyle name="Comma 3 2" xfId="204"/>
    <cellStyle name="Comma 3 2 2" xfId="216"/>
    <cellStyle name="Comma 3 3" xfId="211"/>
    <cellStyle name="Explanatory Text 2" xfId="97"/>
    <cellStyle name="Good 2" xfId="98"/>
    <cellStyle name="Heading 1 2" xfId="99"/>
    <cellStyle name="Heading 2 2" xfId="100"/>
    <cellStyle name="Heading 3 2" xfId="101"/>
    <cellStyle name="Heading 4 2" xfId="102"/>
    <cellStyle name="Input 2" xfId="103"/>
    <cellStyle name="Linked Cell 2" xfId="104"/>
    <cellStyle name="Neutral 2" xfId="105"/>
    <cellStyle name="Normal" xfId="0" builtinId="0"/>
    <cellStyle name="Normal 11 2 2" xfId="190"/>
    <cellStyle name="Normal 14 3" xfId="106"/>
    <cellStyle name="Normal 2" xfId="7"/>
    <cellStyle name="Normal 2 10" xfId="191"/>
    <cellStyle name="Normal 2 2" xfId="107"/>
    <cellStyle name="Normal 2 2 2" xfId="196"/>
    <cellStyle name="Normal 3" xfId="10"/>
    <cellStyle name="Normal 3 2" xfId="193"/>
    <cellStyle name="Normal 36 2 2" xfId="192"/>
    <cellStyle name="Normal 4" xfId="9"/>
    <cellStyle name="Normal 5" xfId="13"/>
    <cellStyle name="Normal 6" xfId="108"/>
    <cellStyle name="Normal 8" xfId="6"/>
    <cellStyle name="Normal_stadion-1" xfId="5"/>
    <cellStyle name="Note 2" xfId="109"/>
    <cellStyle name="Output 2" xfId="110"/>
    <cellStyle name="Style 1" xfId="207"/>
    <cellStyle name="Title 2" xfId="111"/>
    <cellStyle name="Total 2" xfId="112"/>
    <cellStyle name="Warning Text 2" xfId="113"/>
    <cellStyle name="Акцент1 2" xfId="114"/>
    <cellStyle name="Акцент1 3" xfId="115"/>
    <cellStyle name="Акцент1 4" xfId="116"/>
    <cellStyle name="Акцент2 2" xfId="117"/>
    <cellStyle name="Акцент2 3" xfId="118"/>
    <cellStyle name="Акцент2 4" xfId="119"/>
    <cellStyle name="Акцент3 2" xfId="120"/>
    <cellStyle name="Акцент3 3" xfId="121"/>
    <cellStyle name="Акцент3 4" xfId="122"/>
    <cellStyle name="Акцент4 2" xfId="123"/>
    <cellStyle name="Акцент4 3" xfId="124"/>
    <cellStyle name="Акцент4 4" xfId="125"/>
    <cellStyle name="Акцент5 2" xfId="126"/>
    <cellStyle name="Акцент5 3" xfId="127"/>
    <cellStyle name="Акцент5 4" xfId="128"/>
    <cellStyle name="Акцент6 2" xfId="129"/>
    <cellStyle name="Акцент6 3" xfId="130"/>
    <cellStyle name="Акцент6 4" xfId="131"/>
    <cellStyle name="Ввод  2" xfId="132"/>
    <cellStyle name="Ввод  3" xfId="133"/>
    <cellStyle name="Ввод  4" xfId="134"/>
    <cellStyle name="Вывод 2" xfId="135"/>
    <cellStyle name="Вывод 3" xfId="136"/>
    <cellStyle name="Вывод 4" xfId="137"/>
    <cellStyle name="Вычисление 2" xfId="138"/>
    <cellStyle name="Вычисление 3" xfId="139"/>
    <cellStyle name="Вычисление 4" xfId="140"/>
    <cellStyle name="Заголовок 1 2" xfId="141"/>
    <cellStyle name="Заголовок 1 3" xfId="142"/>
    <cellStyle name="Заголовок 1 4" xfId="143"/>
    <cellStyle name="Заголовок 2 2" xfId="144"/>
    <cellStyle name="Заголовок 2 3" xfId="145"/>
    <cellStyle name="Заголовок 2 4" xfId="146"/>
    <cellStyle name="Заголовок 3 2" xfId="147"/>
    <cellStyle name="Заголовок 3 3" xfId="148"/>
    <cellStyle name="Заголовок 3 4" xfId="149"/>
    <cellStyle name="Заголовок 4 2" xfId="150"/>
    <cellStyle name="Заголовок 4 3" xfId="151"/>
    <cellStyle name="Заголовок 4 4" xfId="152"/>
    <cellStyle name="Итог 2" xfId="153"/>
    <cellStyle name="Итог 3" xfId="154"/>
    <cellStyle name="Итог 4" xfId="155"/>
    <cellStyle name="Контрольная ячейка 2" xfId="156"/>
    <cellStyle name="Контрольная ячейка 3" xfId="157"/>
    <cellStyle name="Контрольная ячейка 4" xfId="158"/>
    <cellStyle name="Название 2" xfId="159"/>
    <cellStyle name="Название 3" xfId="160"/>
    <cellStyle name="Название 4" xfId="161"/>
    <cellStyle name="Нейтральный 2" xfId="162"/>
    <cellStyle name="Нейтральный 3" xfId="163"/>
    <cellStyle name="Нейтральный 4" xfId="164"/>
    <cellStyle name="Обычный 2" xfId="165"/>
    <cellStyle name="Обычный 2 2" xfId="166"/>
    <cellStyle name="Обычный 2 2 2" xfId="197"/>
    <cellStyle name="Обычный 3" xfId="167"/>
    <cellStyle name="Обычный 3 2" xfId="198"/>
    <cellStyle name="Обычный 4" xfId="11"/>
    <cellStyle name="Обычный 4 2" xfId="194"/>
    <cellStyle name="Обычный 4 2 2" xfId="214"/>
    <cellStyle name="Обычный 4 3" xfId="209"/>
    <cellStyle name="Обычный 5" xfId="168"/>
    <cellStyle name="Обычный_S.S.S" xfId="2"/>
    <cellStyle name="Обычный_Лист1" xfId="4"/>
    <cellStyle name="Обычный_დემონტაჟი" xfId="1"/>
    <cellStyle name="Плохой 2" xfId="169"/>
    <cellStyle name="Плохой 3" xfId="170"/>
    <cellStyle name="Плохой 4" xfId="171"/>
    <cellStyle name="Пояснение 2" xfId="172"/>
    <cellStyle name="Пояснение 3" xfId="173"/>
    <cellStyle name="Пояснение 4" xfId="174"/>
    <cellStyle name="Примечание 2" xfId="175"/>
    <cellStyle name="Примечание 2 2" xfId="199"/>
    <cellStyle name="Примечание 3" xfId="176"/>
    <cellStyle name="Примечание 3 2" xfId="200"/>
    <cellStyle name="Примечание 4" xfId="177"/>
    <cellStyle name="Примечание 4 2" xfId="201"/>
    <cellStyle name="Связанная ячейка 2" xfId="178"/>
    <cellStyle name="Связанная ячейка 3" xfId="179"/>
    <cellStyle name="Связанная ячейка 4" xfId="180"/>
    <cellStyle name="Текст предупреждения 2" xfId="181"/>
    <cellStyle name="Текст предупреждения 3" xfId="182"/>
    <cellStyle name="Текст предупреждения 4" xfId="183"/>
    <cellStyle name="Финансовый 2" xfId="184"/>
    <cellStyle name="Финансовый 2 2" xfId="185"/>
    <cellStyle name="Финансовый 2 2 2" xfId="202"/>
    <cellStyle name="Финансовый 2 3" xfId="205"/>
    <cellStyle name="Финансовый 2 3 2" xfId="217"/>
    <cellStyle name="Финансовый 2 4" xfId="212"/>
    <cellStyle name="Финансовый 3" xfId="186"/>
    <cellStyle name="Финансовый 3 2" xfId="206"/>
    <cellStyle name="Финансовый 3 2 2" xfId="218"/>
    <cellStyle name="Финансовый 3 3" xfId="213"/>
    <cellStyle name="Финансовый 4" xfId="8"/>
    <cellStyle name="Финансовый 4 2" xfId="208"/>
    <cellStyle name="Хороший 2" xfId="187"/>
    <cellStyle name="Хороший 3" xfId="188"/>
    <cellStyle name="Хороший 4" xfId="1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600075</xdr:rowOff>
    </xdr:from>
    <xdr:to>
      <xdr:col>5</xdr:col>
      <xdr:colOff>0</xdr:colOff>
      <xdr:row>3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B80863F-F509-487C-8E5B-9BF2276E2F40}"/>
            </a:ext>
          </a:extLst>
        </xdr:cNvPr>
        <xdr:cNvSpPr>
          <a:spLocks noChangeShapeType="1"/>
        </xdr:cNvSpPr>
      </xdr:nvSpPr>
      <xdr:spPr bwMode="auto">
        <a:xfrm>
          <a:off x="6067425" y="9906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590550</xdr:rowOff>
    </xdr:from>
    <xdr:to>
      <xdr:col>7</xdr:col>
      <xdr:colOff>9525</xdr:colOff>
      <xdr:row>2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4FDA4A1-CF7D-4CD9-ADE9-8AD3C5D45FD6}"/>
            </a:ext>
          </a:extLst>
        </xdr:cNvPr>
        <xdr:cNvSpPr>
          <a:spLocks noChangeShapeType="1"/>
        </xdr:cNvSpPr>
      </xdr:nvSpPr>
      <xdr:spPr bwMode="auto">
        <a:xfrm flipH="1">
          <a:off x="7334250" y="9906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600075</xdr:rowOff>
    </xdr:from>
    <xdr:to>
      <xdr:col>5</xdr:col>
      <xdr:colOff>0</xdr:colOff>
      <xdr:row>3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E52CAB5-6536-4568-A443-22C423D2DCCF}"/>
            </a:ext>
          </a:extLst>
        </xdr:cNvPr>
        <xdr:cNvSpPr>
          <a:spLocks noChangeShapeType="1"/>
        </xdr:cNvSpPr>
      </xdr:nvSpPr>
      <xdr:spPr bwMode="auto">
        <a:xfrm>
          <a:off x="5924550" y="723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590550</xdr:rowOff>
    </xdr:from>
    <xdr:to>
      <xdr:col>7</xdr:col>
      <xdr:colOff>9525</xdr:colOff>
      <xdr:row>2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3CD8225-9C03-4B49-B72C-AEAF99C630A6}"/>
            </a:ext>
          </a:extLst>
        </xdr:cNvPr>
        <xdr:cNvSpPr>
          <a:spLocks noChangeShapeType="1"/>
        </xdr:cNvSpPr>
      </xdr:nvSpPr>
      <xdr:spPr bwMode="auto">
        <a:xfrm flipH="1">
          <a:off x="7219950" y="723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600075</xdr:rowOff>
    </xdr:from>
    <xdr:to>
      <xdr:col>5</xdr:col>
      <xdr:colOff>0</xdr:colOff>
      <xdr:row>3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5924550" y="723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590550</xdr:rowOff>
    </xdr:from>
    <xdr:to>
      <xdr:col>7</xdr:col>
      <xdr:colOff>9525</xdr:colOff>
      <xdr:row>2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B4BF163-F7EB-4F30-AF69-4D80CF7BE3E4}"/>
            </a:ext>
          </a:extLst>
        </xdr:cNvPr>
        <xdr:cNvSpPr>
          <a:spLocks noChangeShapeType="1"/>
        </xdr:cNvSpPr>
      </xdr:nvSpPr>
      <xdr:spPr bwMode="auto">
        <a:xfrm flipH="1">
          <a:off x="7219950" y="723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600075</xdr:rowOff>
    </xdr:from>
    <xdr:to>
      <xdr:col>5</xdr:col>
      <xdr:colOff>0</xdr:colOff>
      <xdr:row>3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BF4A7DA-3CFC-4019-BB67-7BD84FA626C8}"/>
            </a:ext>
          </a:extLst>
        </xdr:cNvPr>
        <xdr:cNvSpPr>
          <a:spLocks noChangeShapeType="1"/>
        </xdr:cNvSpPr>
      </xdr:nvSpPr>
      <xdr:spPr bwMode="auto">
        <a:xfrm>
          <a:off x="5924550" y="723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590550</xdr:rowOff>
    </xdr:from>
    <xdr:to>
      <xdr:col>7</xdr:col>
      <xdr:colOff>9525</xdr:colOff>
      <xdr:row>2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833E957-9D7D-4C22-A3BC-09DB0D0B70E7}"/>
            </a:ext>
          </a:extLst>
        </xdr:cNvPr>
        <xdr:cNvSpPr>
          <a:spLocks noChangeShapeType="1"/>
        </xdr:cNvSpPr>
      </xdr:nvSpPr>
      <xdr:spPr bwMode="auto">
        <a:xfrm flipH="1">
          <a:off x="7219950" y="723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600075</xdr:rowOff>
    </xdr:from>
    <xdr:to>
      <xdr:col>5</xdr:col>
      <xdr:colOff>0</xdr:colOff>
      <xdr:row>3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46B3B78-5FFB-48F3-9026-ED2B7DF8C015}"/>
            </a:ext>
          </a:extLst>
        </xdr:cNvPr>
        <xdr:cNvSpPr>
          <a:spLocks noChangeShapeType="1"/>
        </xdr:cNvSpPr>
      </xdr:nvSpPr>
      <xdr:spPr bwMode="auto">
        <a:xfrm>
          <a:off x="5972175" y="723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590550</xdr:rowOff>
    </xdr:from>
    <xdr:to>
      <xdr:col>7</xdr:col>
      <xdr:colOff>9525</xdr:colOff>
      <xdr:row>2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EDE7DFB-7C56-4A4E-90EC-5940C7903212}"/>
            </a:ext>
          </a:extLst>
        </xdr:cNvPr>
        <xdr:cNvSpPr>
          <a:spLocks noChangeShapeType="1"/>
        </xdr:cNvSpPr>
      </xdr:nvSpPr>
      <xdr:spPr bwMode="auto">
        <a:xfrm flipH="1">
          <a:off x="7467600" y="723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view="pageBreakPreview" zoomScaleNormal="100" zoomScaleSheetLayoutView="100" workbookViewId="0">
      <selection activeCell="B15" sqref="B15"/>
    </sheetView>
  </sheetViews>
  <sheetFormatPr defaultRowHeight="14.4" x14ac:dyDescent="0.3"/>
  <cols>
    <col min="1" max="1" width="5.6640625" customWidth="1"/>
    <col min="2" max="2" width="37.109375" customWidth="1"/>
    <col min="3" max="3" width="36" customWidth="1"/>
    <col min="4" max="4" width="9.109375" customWidth="1"/>
    <col min="5" max="5" width="7.33203125" customWidth="1"/>
    <col min="9" max="9" width="5" customWidth="1"/>
    <col min="10" max="10" width="8.6640625" customWidth="1"/>
    <col min="11" max="11" width="6.88671875" customWidth="1"/>
    <col min="12" max="12" width="6.6640625" customWidth="1"/>
  </cols>
  <sheetData>
    <row r="1" spans="1:5" ht="68.25" customHeight="1" x14ac:dyDescent="0.4">
      <c r="A1" s="590" t="s">
        <v>389</v>
      </c>
      <c r="B1" s="591"/>
      <c r="C1" s="591"/>
      <c r="D1" s="111"/>
      <c r="E1" s="111"/>
    </row>
    <row r="2" spans="1:5" ht="31.5" customHeight="1" x14ac:dyDescent="0.4">
      <c r="A2" s="231"/>
      <c r="B2" s="232" t="s">
        <v>142</v>
      </c>
      <c r="C2" s="233" t="s">
        <v>143</v>
      </c>
      <c r="D2" s="111"/>
      <c r="E2" s="111"/>
    </row>
    <row r="3" spans="1:5" ht="23.25" customHeight="1" x14ac:dyDescent="0.4">
      <c r="A3" s="112">
        <v>1</v>
      </c>
      <c r="B3" s="112" t="s">
        <v>138</v>
      </c>
      <c r="C3" s="113"/>
      <c r="D3" s="111"/>
      <c r="E3" s="111"/>
    </row>
    <row r="4" spans="1:5" ht="24.75" customHeight="1" x14ac:dyDescent="0.4">
      <c r="A4" s="112">
        <v>2</v>
      </c>
      <c r="B4" s="112" t="s">
        <v>146</v>
      </c>
      <c r="C4" s="113"/>
      <c r="D4" s="111"/>
      <c r="E4" s="111"/>
    </row>
    <row r="5" spans="1:5" ht="24" customHeight="1" x14ac:dyDescent="0.4">
      <c r="A5" s="112">
        <v>3</v>
      </c>
      <c r="B5" s="112" t="s">
        <v>139</v>
      </c>
      <c r="C5" s="113"/>
      <c r="D5" s="111"/>
      <c r="E5" s="111"/>
    </row>
    <row r="6" spans="1:5" ht="23.25" customHeight="1" x14ac:dyDescent="0.4">
      <c r="A6" s="112">
        <v>4</v>
      </c>
      <c r="B6" s="112" t="s">
        <v>157</v>
      </c>
      <c r="C6" s="113"/>
      <c r="D6" s="111"/>
      <c r="E6" s="111"/>
    </row>
    <row r="7" spans="1:5" ht="25.5" customHeight="1" x14ac:dyDescent="0.4">
      <c r="A7" s="112">
        <v>5</v>
      </c>
      <c r="B7" s="112" t="s">
        <v>140</v>
      </c>
      <c r="C7" s="113"/>
      <c r="D7" s="111"/>
      <c r="E7" s="118"/>
    </row>
    <row r="8" spans="1:5" ht="22.5" customHeight="1" x14ac:dyDescent="0.4">
      <c r="A8" s="112"/>
      <c r="B8" s="112" t="s">
        <v>36</v>
      </c>
      <c r="C8" s="113"/>
      <c r="D8" s="118"/>
      <c r="E8" s="111"/>
    </row>
    <row r="9" spans="1:5" ht="24" customHeight="1" x14ac:dyDescent="0.4">
      <c r="A9" s="112"/>
      <c r="B9" s="112" t="s">
        <v>390</v>
      </c>
      <c r="C9" s="113"/>
      <c r="D9" s="111"/>
      <c r="E9" s="111"/>
    </row>
    <row r="10" spans="1:5" ht="25.5" customHeight="1" x14ac:dyDescent="0.4">
      <c r="A10" s="112"/>
      <c r="B10" s="112" t="s">
        <v>36</v>
      </c>
      <c r="C10" s="113"/>
      <c r="D10" s="111"/>
      <c r="E10" s="111"/>
    </row>
    <row r="11" spans="1:5" ht="23.25" customHeight="1" x14ac:dyDescent="0.4">
      <c r="A11" s="112"/>
      <c r="B11" s="114" t="s">
        <v>141</v>
      </c>
      <c r="C11" s="113"/>
      <c r="D11" s="111"/>
      <c r="E11" s="111"/>
    </row>
    <row r="12" spans="1:5" ht="26.25" customHeight="1" x14ac:dyDescent="0.4">
      <c r="A12" s="112"/>
      <c r="B12" s="112" t="s">
        <v>36</v>
      </c>
      <c r="C12" s="113"/>
      <c r="D12" s="111"/>
      <c r="E12" s="111"/>
    </row>
    <row r="13" spans="1:5" ht="16.2" x14ac:dyDescent="0.4">
      <c r="A13" s="111"/>
      <c r="B13" s="111"/>
      <c r="C13" s="111"/>
      <c r="D13" s="111"/>
      <c r="E13" s="111"/>
    </row>
    <row r="14" spans="1:5" ht="16.2" x14ac:dyDescent="0.4">
      <c r="A14" s="111"/>
      <c r="B14" s="111"/>
      <c r="C14" s="111"/>
      <c r="D14" s="111"/>
      <c r="E14" s="111"/>
    </row>
    <row r="15" spans="1:5" ht="16.2" x14ac:dyDescent="0.4">
      <c r="A15" s="111"/>
      <c r="B15" s="169"/>
      <c r="C15" s="111"/>
      <c r="D15" s="111"/>
      <c r="E15" s="111"/>
    </row>
    <row r="16" spans="1:5" ht="16.2" x14ac:dyDescent="0.4">
      <c r="A16" s="111"/>
      <c r="B16" s="111"/>
      <c r="C16" s="111"/>
      <c r="D16" s="111"/>
      <c r="E16" s="111"/>
    </row>
    <row r="17" spans="1:5" ht="16.2" x14ac:dyDescent="0.4">
      <c r="A17" s="111"/>
      <c r="B17" s="111"/>
      <c r="C17" s="111"/>
      <c r="D17" s="111"/>
      <c r="E17" s="111"/>
    </row>
    <row r="18" spans="1:5" ht="16.2" x14ac:dyDescent="0.4">
      <c r="A18" s="111"/>
      <c r="B18" s="111"/>
      <c r="C18" s="111"/>
      <c r="D18" s="111"/>
      <c r="E18" s="111"/>
    </row>
    <row r="19" spans="1:5" ht="16.2" x14ac:dyDescent="0.4">
      <c r="A19" s="111"/>
      <c r="B19" s="111"/>
      <c r="C19" s="111"/>
      <c r="D19" s="111"/>
      <c r="E19" s="111"/>
    </row>
    <row r="20" spans="1:5" ht="16.2" x14ac:dyDescent="0.4">
      <c r="A20" s="111"/>
      <c r="B20" s="111"/>
      <c r="C20" s="111"/>
      <c r="D20" s="111"/>
      <c r="E20" s="111"/>
    </row>
    <row r="21" spans="1:5" ht="16.2" x14ac:dyDescent="0.4">
      <c r="A21" s="111"/>
      <c r="B21" s="111"/>
      <c r="C21" s="111"/>
      <c r="D21" s="111"/>
      <c r="E21" s="111"/>
    </row>
    <row r="22" spans="1:5" ht="16.2" x14ac:dyDescent="0.4">
      <c r="A22" s="111"/>
      <c r="B22" s="111"/>
      <c r="C22" s="111"/>
      <c r="D22" s="111"/>
      <c r="E22" s="111"/>
    </row>
    <row r="23" spans="1:5" ht="16.2" x14ac:dyDescent="0.4">
      <c r="A23" s="111"/>
      <c r="B23" s="111"/>
      <c r="C23" s="111"/>
      <c r="D23" s="111"/>
      <c r="E23" s="111"/>
    </row>
    <row r="24" spans="1:5" ht="16.2" x14ac:dyDescent="0.4">
      <c r="A24" s="111"/>
      <c r="B24" s="111"/>
      <c r="C24" s="111"/>
      <c r="D24" s="111"/>
      <c r="E24" s="111"/>
    </row>
    <row r="25" spans="1:5" ht="16.2" x14ac:dyDescent="0.4">
      <c r="A25" s="111"/>
      <c r="B25" s="111"/>
      <c r="C25" s="111"/>
      <c r="D25" s="111"/>
      <c r="E25" s="111"/>
    </row>
    <row r="26" spans="1:5" ht="16.2" x14ac:dyDescent="0.4">
      <c r="A26" s="111"/>
      <c r="B26" s="111"/>
      <c r="C26" s="111"/>
      <c r="D26" s="111"/>
      <c r="E26" s="111"/>
    </row>
    <row r="27" spans="1:5" ht="16.2" x14ac:dyDescent="0.4">
      <c r="A27" s="111"/>
      <c r="B27" s="111"/>
      <c r="C27" s="111"/>
      <c r="D27" s="111"/>
      <c r="E27" s="111"/>
    </row>
    <row r="28" spans="1:5" ht="16.2" x14ac:dyDescent="0.4">
      <c r="A28" s="111"/>
      <c r="B28" s="111"/>
      <c r="C28" s="111"/>
      <c r="D28" s="111"/>
      <c r="E28" s="111"/>
    </row>
    <row r="29" spans="1:5" ht="59.25" customHeight="1" x14ac:dyDescent="0.4">
      <c r="A29" s="111"/>
      <c r="B29" s="111"/>
      <c r="C29" s="111"/>
      <c r="D29" s="111"/>
      <c r="E29" s="111"/>
    </row>
    <row r="30" spans="1:5" ht="56.25" customHeight="1" x14ac:dyDescent="0.4">
      <c r="A30" s="111"/>
      <c r="B30" s="111"/>
      <c r="C30" s="111"/>
      <c r="D30" s="111"/>
      <c r="E30" s="111"/>
    </row>
    <row r="31" spans="1:5" ht="16.2" x14ac:dyDescent="0.4">
      <c r="A31" s="111"/>
      <c r="B31" s="111"/>
      <c r="C31" s="111"/>
      <c r="D31" s="111"/>
      <c r="E31" s="111"/>
    </row>
    <row r="32" spans="1:5" ht="16.2" x14ac:dyDescent="0.4">
      <c r="A32" s="111"/>
      <c r="B32" s="111"/>
      <c r="C32" s="111"/>
      <c r="D32" s="111"/>
      <c r="E32" s="111"/>
    </row>
    <row r="33" spans="1:5" ht="16.2" x14ac:dyDescent="0.4">
      <c r="A33" s="111"/>
      <c r="B33" s="111"/>
      <c r="C33" s="111"/>
      <c r="D33" s="111"/>
      <c r="E33" s="111"/>
    </row>
    <row r="34" spans="1:5" ht="16.2" x14ac:dyDescent="0.4">
      <c r="A34" s="111"/>
      <c r="B34" s="111"/>
      <c r="C34" s="111"/>
      <c r="D34" s="111"/>
      <c r="E34" s="111"/>
    </row>
    <row r="35" spans="1:5" ht="16.2" x14ac:dyDescent="0.4">
      <c r="A35" s="111"/>
      <c r="B35" s="111"/>
      <c r="C35" s="111"/>
      <c r="D35" s="111"/>
      <c r="E35" s="111"/>
    </row>
    <row r="36" spans="1:5" ht="16.2" x14ac:dyDescent="0.4">
      <c r="A36" s="111"/>
      <c r="B36" s="111"/>
      <c r="C36" s="111"/>
      <c r="D36" s="111"/>
      <c r="E36" s="111"/>
    </row>
    <row r="37" spans="1:5" ht="16.2" x14ac:dyDescent="0.4">
      <c r="A37" s="111"/>
      <c r="B37" s="111"/>
      <c r="C37" s="111"/>
      <c r="D37" s="111"/>
      <c r="E37" s="111"/>
    </row>
    <row r="38" spans="1:5" ht="16.2" x14ac:dyDescent="0.4">
      <c r="A38" s="111"/>
      <c r="B38" s="111"/>
      <c r="C38" s="111"/>
      <c r="D38" s="111"/>
      <c r="E38" s="111"/>
    </row>
    <row r="39" spans="1:5" ht="16.2" x14ac:dyDescent="0.4">
      <c r="A39" s="111"/>
      <c r="B39" s="111"/>
      <c r="C39" s="111"/>
      <c r="D39" s="111"/>
      <c r="E39" s="111"/>
    </row>
    <row r="40" spans="1:5" ht="16.2" x14ac:dyDescent="0.4">
      <c r="A40" s="111"/>
      <c r="B40" s="111"/>
      <c r="C40" s="111"/>
      <c r="D40" s="111"/>
      <c r="E40" s="111"/>
    </row>
    <row r="41" spans="1:5" ht="16.2" x14ac:dyDescent="0.4">
      <c r="A41" s="111"/>
      <c r="B41" s="111"/>
      <c r="C41" s="111"/>
      <c r="D41" s="111"/>
      <c r="E41" s="111"/>
    </row>
    <row r="42" spans="1:5" ht="16.2" x14ac:dyDescent="0.4">
      <c r="A42" s="111"/>
      <c r="B42" s="111"/>
      <c r="C42" s="111"/>
      <c r="D42" s="111"/>
      <c r="E42" s="111"/>
    </row>
    <row r="43" spans="1:5" ht="16.2" x14ac:dyDescent="0.4">
      <c r="A43" s="111"/>
      <c r="B43" s="111"/>
      <c r="C43" s="111"/>
      <c r="D43" s="111"/>
      <c r="E43" s="111"/>
    </row>
    <row r="44" spans="1:5" ht="16.2" x14ac:dyDescent="0.4">
      <c r="A44" s="111"/>
      <c r="B44" s="111"/>
      <c r="C44" s="111"/>
      <c r="D44" s="111"/>
      <c r="E44" s="111"/>
    </row>
    <row r="45" spans="1:5" ht="16.2" x14ac:dyDescent="0.4">
      <c r="A45" s="111"/>
      <c r="B45" s="111"/>
      <c r="C45" s="111"/>
      <c r="D45" s="111"/>
      <c r="E45" s="111"/>
    </row>
    <row r="46" spans="1:5" ht="16.2" x14ac:dyDescent="0.4">
      <c r="A46" s="111"/>
      <c r="B46" s="111"/>
      <c r="C46" s="111"/>
      <c r="D46" s="111"/>
      <c r="E46" s="111"/>
    </row>
    <row r="47" spans="1:5" ht="16.2" x14ac:dyDescent="0.4">
      <c r="A47" s="111"/>
      <c r="B47" s="111"/>
      <c r="C47" s="111"/>
      <c r="D47" s="111"/>
      <c r="E47" s="111"/>
    </row>
  </sheetData>
  <mergeCells count="1">
    <mergeCell ref="A1:C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view="pageBreakPreview" topLeftCell="A19" zoomScaleNormal="100" zoomScaleSheetLayoutView="100" workbookViewId="0">
      <selection activeCell="C32" sqref="C32"/>
    </sheetView>
  </sheetViews>
  <sheetFormatPr defaultRowHeight="14.4" x14ac:dyDescent="0.3"/>
  <cols>
    <col min="1" max="1" width="6.109375" customWidth="1"/>
    <col min="2" max="2" width="12.33203125" customWidth="1"/>
    <col min="3" max="3" width="37.21875" customWidth="1"/>
    <col min="4" max="4" width="9.33203125" customWidth="1"/>
    <col min="5" max="5" width="7.33203125" customWidth="1"/>
    <col min="6" max="6" width="10.21875" customWidth="1"/>
    <col min="7" max="7" width="8.33203125" customWidth="1"/>
    <col min="8" max="8" width="8.21875" customWidth="1"/>
    <col min="9" max="9" width="5" customWidth="1"/>
    <col min="10" max="10" width="8.6640625" customWidth="1"/>
    <col min="11" max="12" width="6.88671875" customWidth="1"/>
    <col min="13" max="13" width="11.6640625" customWidth="1"/>
    <col min="14" max="17" width="9.109375" customWidth="1"/>
    <col min="18" max="18" width="2.109375" customWidth="1"/>
    <col min="19" max="19" width="9.109375" customWidth="1"/>
  </cols>
  <sheetData>
    <row r="1" spans="1:20" ht="45" customHeight="1" x14ac:dyDescent="0.3">
      <c r="A1" s="597" t="s">
        <v>388</v>
      </c>
      <c r="B1" s="597"/>
      <c r="C1" s="597"/>
      <c r="D1" s="597"/>
      <c r="E1" s="597"/>
      <c r="F1" s="597"/>
      <c r="G1" s="597"/>
      <c r="H1" s="597"/>
      <c r="I1" s="598"/>
      <c r="J1" s="598"/>
      <c r="K1" s="598"/>
      <c r="L1" s="598"/>
      <c r="M1" s="598"/>
    </row>
    <row r="2" spans="1:20" ht="15" x14ac:dyDescent="0.3">
      <c r="A2" s="606"/>
      <c r="B2" s="606"/>
      <c r="C2" s="606"/>
      <c r="D2" s="606"/>
      <c r="E2" s="2"/>
      <c r="F2" s="2"/>
      <c r="G2" s="2"/>
      <c r="H2" s="2"/>
      <c r="I2" s="2"/>
      <c r="J2" s="2"/>
      <c r="K2" s="2"/>
      <c r="L2" s="2"/>
      <c r="M2" s="2"/>
    </row>
    <row r="3" spans="1:20" ht="27" customHeight="1" x14ac:dyDescent="0.3">
      <c r="A3" s="599" t="s">
        <v>0</v>
      </c>
      <c r="B3" s="600" t="s">
        <v>1</v>
      </c>
      <c r="C3" s="602" t="s">
        <v>2</v>
      </c>
      <c r="D3" s="602" t="s">
        <v>3</v>
      </c>
      <c r="E3" s="604" t="s">
        <v>4</v>
      </c>
      <c r="F3" s="605"/>
      <c r="G3" s="602" t="s">
        <v>5</v>
      </c>
      <c r="H3" s="602"/>
      <c r="I3" s="602" t="s">
        <v>6</v>
      </c>
      <c r="J3" s="602"/>
      <c r="K3" s="602" t="s">
        <v>7</v>
      </c>
      <c r="L3" s="602"/>
      <c r="M3" s="602" t="s">
        <v>8</v>
      </c>
    </row>
    <row r="4" spans="1:20" ht="37.799999999999997" x14ac:dyDescent="0.3">
      <c r="A4" s="599" t="s">
        <v>0</v>
      </c>
      <c r="B4" s="601"/>
      <c r="C4" s="602" t="s">
        <v>9</v>
      </c>
      <c r="D4" s="603" t="s">
        <v>10</v>
      </c>
      <c r="E4" s="4" t="s">
        <v>11</v>
      </c>
      <c r="F4" s="4" t="s">
        <v>12</v>
      </c>
      <c r="G4" s="5" t="s">
        <v>13</v>
      </c>
      <c r="H4" s="7" t="s">
        <v>14</v>
      </c>
      <c r="I4" s="7" t="s">
        <v>13</v>
      </c>
      <c r="J4" s="7" t="s">
        <v>14</v>
      </c>
      <c r="K4" s="7" t="s">
        <v>13</v>
      </c>
      <c r="L4" s="7" t="s">
        <v>14</v>
      </c>
      <c r="M4" s="602" t="s">
        <v>14</v>
      </c>
    </row>
    <row r="5" spans="1:20" x14ac:dyDescent="0.3">
      <c r="A5" s="199">
        <v>1</v>
      </c>
      <c r="B5" s="12">
        <v>2</v>
      </c>
      <c r="C5" s="12">
        <v>3</v>
      </c>
      <c r="D5" s="12">
        <v>4</v>
      </c>
      <c r="E5" s="11">
        <v>5</v>
      </c>
      <c r="F5" s="11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</row>
    <row r="6" spans="1:20" x14ac:dyDescent="0.3">
      <c r="A6" s="594" t="s">
        <v>159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6"/>
    </row>
    <row r="7" spans="1:20" s="288" customFormat="1" ht="43.2" x14ac:dyDescent="0.3">
      <c r="A7" s="354" t="s">
        <v>19</v>
      </c>
      <c r="B7" s="355" t="s">
        <v>254</v>
      </c>
      <c r="C7" s="355" t="s">
        <v>316</v>
      </c>
      <c r="D7" s="355" t="s">
        <v>15</v>
      </c>
      <c r="E7" s="356"/>
      <c r="F7" s="374">
        <v>0.03</v>
      </c>
      <c r="G7" s="374"/>
      <c r="H7" s="367"/>
      <c r="I7" s="353"/>
      <c r="J7" s="353"/>
      <c r="K7" s="353"/>
      <c r="L7" s="366"/>
      <c r="M7" s="374"/>
    </row>
    <row r="8" spans="1:20" s="288" customFormat="1" ht="15" x14ac:dyDescent="0.3">
      <c r="A8" s="357">
        <f>A7+0.1</f>
        <v>2.1</v>
      </c>
      <c r="B8" s="357"/>
      <c r="C8" s="358" t="s">
        <v>16</v>
      </c>
      <c r="D8" s="358" t="s">
        <v>17</v>
      </c>
      <c r="E8" s="359">
        <v>13.2</v>
      </c>
      <c r="F8" s="360">
        <f>F7*E8</f>
        <v>0.39599999999999996</v>
      </c>
      <c r="G8" s="358"/>
      <c r="H8" s="358"/>
      <c r="I8" s="365"/>
      <c r="J8" s="361"/>
      <c r="K8" s="358"/>
      <c r="L8" s="368"/>
      <c r="M8" s="359"/>
    </row>
    <row r="9" spans="1:20" s="288" customFormat="1" ht="15" x14ac:dyDescent="0.3">
      <c r="A9" s="357">
        <f>A8+0.1</f>
        <v>2.2000000000000002</v>
      </c>
      <c r="B9" s="357"/>
      <c r="C9" s="362" t="s">
        <v>249</v>
      </c>
      <c r="D9" s="362" t="s">
        <v>18</v>
      </c>
      <c r="E9" s="362">
        <v>9.6300000000000008</v>
      </c>
      <c r="F9" s="363">
        <f>F7*E9</f>
        <v>0.28889999999999999</v>
      </c>
      <c r="G9" s="359"/>
      <c r="H9" s="359"/>
      <c r="I9" s="363"/>
      <c r="J9" s="363"/>
      <c r="K9" s="363"/>
      <c r="L9" s="363"/>
      <c r="M9" s="363"/>
      <c r="N9" s="351"/>
      <c r="O9" s="351"/>
      <c r="P9" s="351"/>
      <c r="Q9" s="351"/>
      <c r="R9" s="351"/>
      <c r="S9" s="351"/>
      <c r="T9" s="351"/>
    </row>
    <row r="10" spans="1:20" s="288" customFormat="1" ht="18" x14ac:dyDescent="0.3">
      <c r="A10" s="357">
        <v>3</v>
      </c>
      <c r="B10" s="478" t="s">
        <v>317</v>
      </c>
      <c r="C10" s="479" t="s">
        <v>318</v>
      </c>
      <c r="D10" s="480" t="s">
        <v>319</v>
      </c>
      <c r="E10" s="481"/>
      <c r="F10" s="482">
        <v>3.08</v>
      </c>
      <c r="G10" s="359"/>
      <c r="H10" s="359"/>
      <c r="I10" s="363"/>
      <c r="J10" s="363"/>
      <c r="K10" s="363"/>
      <c r="L10" s="363"/>
      <c r="M10" s="363"/>
      <c r="N10" s="352"/>
      <c r="O10" s="352"/>
      <c r="P10" s="352"/>
      <c r="Q10" s="352"/>
      <c r="R10" s="352"/>
      <c r="S10" s="352"/>
      <c r="T10" s="352"/>
    </row>
    <row r="11" spans="1:20" s="288" customFormat="1" ht="16.2" x14ac:dyDescent="0.3">
      <c r="A11" s="357">
        <f>A10+0.1</f>
        <v>3.1</v>
      </c>
      <c r="B11" s="357"/>
      <c r="C11" s="483" t="s">
        <v>279</v>
      </c>
      <c r="D11" s="484" t="s">
        <v>17</v>
      </c>
      <c r="E11" s="481">
        <v>4.8</v>
      </c>
      <c r="F11" s="485">
        <f>F10*E11</f>
        <v>14.783999999999999</v>
      </c>
      <c r="G11" s="359"/>
      <c r="H11" s="359"/>
      <c r="I11" s="363"/>
      <c r="J11" s="363"/>
      <c r="K11" s="363"/>
      <c r="L11" s="363"/>
      <c r="M11" s="363"/>
      <c r="N11" s="352"/>
      <c r="O11" s="352"/>
      <c r="P11" s="352"/>
      <c r="Q11" s="352"/>
      <c r="R11" s="352"/>
      <c r="S11" s="352"/>
      <c r="T11" s="352"/>
    </row>
    <row r="12" spans="1:20" s="215" customFormat="1" ht="16.2" x14ac:dyDescent="0.3">
      <c r="A12" s="357">
        <f>A11+0.1</f>
        <v>3.2</v>
      </c>
      <c r="B12" s="357"/>
      <c r="C12" s="486" t="s">
        <v>61</v>
      </c>
      <c r="D12" s="484" t="s">
        <v>18</v>
      </c>
      <c r="E12" s="481">
        <v>1.1000000000000001</v>
      </c>
      <c r="F12" s="485">
        <f>E12*F10</f>
        <v>3.3880000000000003</v>
      </c>
      <c r="G12" s="359"/>
      <c r="H12" s="359"/>
      <c r="I12" s="363"/>
      <c r="J12" s="363"/>
      <c r="K12" s="363"/>
      <c r="L12" s="363"/>
      <c r="M12" s="363"/>
    </row>
    <row r="13" spans="1:20" s="215" customFormat="1" ht="26.25" customHeight="1" x14ac:dyDescent="0.3">
      <c r="A13" s="354" t="s">
        <v>52</v>
      </c>
      <c r="B13" s="355" t="s">
        <v>176</v>
      </c>
      <c r="C13" s="355" t="s">
        <v>320</v>
      </c>
      <c r="D13" s="355" t="s">
        <v>21</v>
      </c>
      <c r="E13" s="356"/>
      <c r="F13" s="374">
        <v>0.2</v>
      </c>
      <c r="G13" s="374"/>
      <c r="H13" s="376"/>
      <c r="I13" s="350"/>
      <c r="J13" s="350"/>
      <c r="K13" s="353"/>
      <c r="L13" s="366"/>
      <c r="M13" s="374"/>
    </row>
    <row r="14" spans="1:20" s="215" customFormat="1" ht="26.25" customHeight="1" x14ac:dyDescent="0.3">
      <c r="A14" s="357">
        <f>A13+0.1</f>
        <v>4.0999999999999996</v>
      </c>
      <c r="B14" s="355" t="s">
        <v>177</v>
      </c>
      <c r="C14" s="355" t="s">
        <v>321</v>
      </c>
      <c r="D14" s="355" t="s">
        <v>322</v>
      </c>
      <c r="E14" s="356">
        <f>63.4*0.6</f>
        <v>38.04</v>
      </c>
      <c r="F14" s="374">
        <f>F13*E14</f>
        <v>7.6080000000000005</v>
      </c>
      <c r="G14" s="356"/>
      <c r="H14" s="487"/>
      <c r="I14" s="488"/>
      <c r="J14" s="488"/>
      <c r="K14" s="4"/>
      <c r="L14" s="200"/>
      <c r="M14" s="356"/>
    </row>
    <row r="15" spans="1:20" s="215" customFormat="1" ht="26.25" customHeight="1" x14ac:dyDescent="0.3">
      <c r="A15" s="357">
        <f>A14+0.1</f>
        <v>4.1999999999999993</v>
      </c>
      <c r="B15" s="355" t="s">
        <v>178</v>
      </c>
      <c r="C15" s="355" t="s">
        <v>323</v>
      </c>
      <c r="D15" s="355" t="s">
        <v>70</v>
      </c>
      <c r="E15" s="356">
        <f>0.17*0.7</f>
        <v>0.11899999999999999</v>
      </c>
      <c r="F15" s="374">
        <f>F13*E15</f>
        <v>2.3800000000000002E-2</v>
      </c>
      <c r="G15" s="356"/>
      <c r="H15" s="487"/>
      <c r="I15" s="488"/>
      <c r="J15" s="488"/>
      <c r="K15" s="4"/>
      <c r="L15" s="200"/>
      <c r="M15" s="356"/>
    </row>
    <row r="16" spans="1:20" s="215" customFormat="1" ht="15" x14ac:dyDescent="0.3">
      <c r="A16" s="357">
        <f>A15+0.1</f>
        <v>4.2999999999999989</v>
      </c>
      <c r="B16" s="355" t="s">
        <v>179</v>
      </c>
      <c r="C16" s="355" t="s">
        <v>324</v>
      </c>
      <c r="D16" s="355" t="s">
        <v>70</v>
      </c>
      <c r="E16" s="356">
        <f>2.78*0.5</f>
        <v>1.39</v>
      </c>
      <c r="F16" s="374">
        <f>F13*E16</f>
        <v>0.27799999999999997</v>
      </c>
      <c r="G16" s="356"/>
      <c r="H16" s="487"/>
      <c r="I16" s="488"/>
      <c r="J16" s="488"/>
      <c r="K16" s="4"/>
      <c r="L16" s="200"/>
      <c r="M16" s="356"/>
    </row>
    <row r="17" spans="1:21" s="215" customFormat="1" ht="30" customHeight="1" x14ac:dyDescent="0.3">
      <c r="A17" s="354" t="s">
        <v>25</v>
      </c>
      <c r="B17" s="355" t="s">
        <v>236</v>
      </c>
      <c r="C17" s="355" t="s">
        <v>221</v>
      </c>
      <c r="D17" s="355" t="s">
        <v>22</v>
      </c>
      <c r="E17" s="356"/>
      <c r="F17" s="374">
        <v>75</v>
      </c>
      <c r="G17" s="374"/>
      <c r="H17" s="367"/>
      <c r="I17" s="353"/>
      <c r="J17" s="353"/>
      <c r="K17" s="353"/>
      <c r="L17" s="353"/>
      <c r="M17" s="374"/>
    </row>
    <row r="18" spans="1:21" s="215" customFormat="1" ht="24.75" customHeight="1" x14ac:dyDescent="0.3">
      <c r="A18" s="357">
        <f>A17+0.1</f>
        <v>5.0999999999999996</v>
      </c>
      <c r="B18" s="357"/>
      <c r="C18" s="358" t="s">
        <v>16</v>
      </c>
      <c r="D18" s="358" t="s">
        <v>22</v>
      </c>
      <c r="E18" s="368">
        <v>0.78500000000000003</v>
      </c>
      <c r="F18" s="360">
        <f>F17*E18</f>
        <v>58.875</v>
      </c>
      <c r="G18" s="358"/>
      <c r="H18" s="358"/>
      <c r="I18" s="365"/>
      <c r="J18" s="361"/>
      <c r="K18" s="358"/>
      <c r="L18" s="358"/>
      <c r="M18" s="359"/>
    </row>
    <row r="19" spans="1:21" s="288" customFormat="1" ht="43.2" x14ac:dyDescent="0.3">
      <c r="A19" s="354" t="s">
        <v>27</v>
      </c>
      <c r="B19" s="375" t="s">
        <v>20</v>
      </c>
      <c r="C19" s="355" t="s">
        <v>222</v>
      </c>
      <c r="D19" s="355" t="s">
        <v>26</v>
      </c>
      <c r="E19" s="356"/>
      <c r="F19" s="374">
        <v>6</v>
      </c>
      <c r="G19" s="374"/>
      <c r="H19" s="376"/>
      <c r="I19" s="350"/>
      <c r="J19" s="350"/>
      <c r="K19" s="353"/>
      <c r="L19" s="366"/>
      <c r="M19" s="374"/>
    </row>
    <row r="20" spans="1:21" s="288" customFormat="1" ht="43.2" x14ac:dyDescent="0.3">
      <c r="A20" s="354" t="s">
        <v>28</v>
      </c>
      <c r="B20" s="375" t="s">
        <v>20</v>
      </c>
      <c r="C20" s="355" t="s">
        <v>325</v>
      </c>
      <c r="D20" s="355" t="s">
        <v>26</v>
      </c>
      <c r="E20" s="356"/>
      <c r="F20" s="374">
        <v>1</v>
      </c>
      <c r="G20" s="374"/>
      <c r="H20" s="376"/>
      <c r="I20" s="350"/>
      <c r="J20" s="350"/>
      <c r="K20" s="353"/>
      <c r="L20" s="366"/>
      <c r="M20" s="374"/>
    </row>
    <row r="21" spans="1:21" s="288" customFormat="1" ht="43.2" x14ac:dyDescent="0.3">
      <c r="A21" s="354" t="s">
        <v>28</v>
      </c>
      <c r="B21" s="375" t="s">
        <v>20</v>
      </c>
      <c r="C21" s="355" t="s">
        <v>326</v>
      </c>
      <c r="D21" s="355" t="s">
        <v>26</v>
      </c>
      <c r="E21" s="356"/>
      <c r="F21" s="374">
        <v>1</v>
      </c>
      <c r="G21" s="374"/>
      <c r="H21" s="376"/>
      <c r="I21" s="350"/>
      <c r="J21" s="350"/>
      <c r="K21" s="353"/>
      <c r="L21" s="366"/>
      <c r="M21" s="374"/>
    </row>
    <row r="22" spans="1:21" s="215" customFormat="1" ht="28.8" x14ac:dyDescent="0.3">
      <c r="A22" s="354" t="s">
        <v>327</v>
      </c>
      <c r="B22" s="26" t="s">
        <v>20</v>
      </c>
      <c r="C22" s="355" t="s">
        <v>30</v>
      </c>
      <c r="D22" s="355" t="s">
        <v>21</v>
      </c>
      <c r="E22" s="356"/>
      <c r="F22" s="374">
        <v>0.2</v>
      </c>
      <c r="G22" s="374"/>
      <c r="H22" s="296"/>
      <c r="I22" s="296"/>
      <c r="J22" s="296"/>
      <c r="K22" s="296"/>
      <c r="L22" s="296"/>
      <c r="M22" s="376"/>
    </row>
    <row r="23" spans="1:21" s="215" customFormat="1" ht="25.2" x14ac:dyDescent="0.3">
      <c r="A23" s="357">
        <f>A22+0.1</f>
        <v>8.1</v>
      </c>
      <c r="B23" s="357" t="s">
        <v>31</v>
      </c>
      <c r="C23" s="362" t="s">
        <v>30</v>
      </c>
      <c r="D23" s="362" t="s">
        <v>21</v>
      </c>
      <c r="E23" s="362">
        <v>1</v>
      </c>
      <c r="F23" s="363">
        <f>F22*E23</f>
        <v>0.2</v>
      </c>
      <c r="G23" s="359"/>
      <c r="H23" s="359"/>
      <c r="I23" s="363"/>
      <c r="J23" s="363"/>
      <c r="K23" s="363"/>
      <c r="L23" s="363"/>
      <c r="M23" s="363"/>
    </row>
    <row r="24" spans="1:21" s="215" customFormat="1" ht="30.75" customHeight="1" x14ac:dyDescent="0.3">
      <c r="A24" s="354" t="s">
        <v>29</v>
      </c>
      <c r="B24" s="26" t="s">
        <v>20</v>
      </c>
      <c r="C24" s="355" t="s">
        <v>223</v>
      </c>
      <c r="D24" s="355" t="s">
        <v>21</v>
      </c>
      <c r="E24" s="356"/>
      <c r="F24" s="374">
        <f>F17*0.09</f>
        <v>6.75</v>
      </c>
      <c r="G24" s="374"/>
      <c r="H24" s="296"/>
      <c r="I24" s="296"/>
      <c r="J24" s="296"/>
      <c r="K24" s="296"/>
      <c r="L24" s="296"/>
      <c r="M24" s="376"/>
    </row>
    <row r="25" spans="1:21" s="215" customFormat="1" ht="15" x14ac:dyDescent="0.3">
      <c r="A25" s="357">
        <f>A24+0.1</f>
        <v>9.1</v>
      </c>
      <c r="B25" s="357" t="s">
        <v>31</v>
      </c>
      <c r="C25" s="362" t="s">
        <v>33</v>
      </c>
      <c r="D25" s="362" t="s">
        <v>21</v>
      </c>
      <c r="E25" s="362">
        <v>1</v>
      </c>
      <c r="F25" s="363">
        <f>F24*E25</f>
        <v>6.75</v>
      </c>
      <c r="G25" s="359"/>
      <c r="H25" s="359"/>
      <c r="I25" s="363"/>
      <c r="J25" s="363"/>
      <c r="K25" s="363"/>
      <c r="L25" s="363"/>
      <c r="M25" s="363"/>
    </row>
    <row r="26" spans="1:21" s="215" customFormat="1" ht="18.75" customHeight="1" x14ac:dyDescent="0.3">
      <c r="A26" s="354">
        <v>10</v>
      </c>
      <c r="B26" s="355" t="s">
        <v>20</v>
      </c>
      <c r="C26" s="355" t="s">
        <v>237</v>
      </c>
      <c r="D26" s="355" t="s">
        <v>104</v>
      </c>
      <c r="E26" s="355"/>
      <c r="F26" s="375">
        <v>255</v>
      </c>
      <c r="G26" s="355"/>
      <c r="H26" s="355"/>
      <c r="I26" s="355"/>
      <c r="J26" s="355"/>
      <c r="K26" s="355"/>
      <c r="L26" s="355"/>
      <c r="M26" s="355"/>
    </row>
    <row r="27" spans="1:21" s="215" customFormat="1" ht="24" customHeight="1" x14ac:dyDescent="0.3">
      <c r="A27" s="354" t="s">
        <v>238</v>
      </c>
      <c r="B27" s="26" t="s">
        <v>20</v>
      </c>
      <c r="C27" s="355" t="s">
        <v>224</v>
      </c>
      <c r="D27" s="355" t="s">
        <v>21</v>
      </c>
      <c r="E27" s="356"/>
      <c r="F27" s="374">
        <v>15</v>
      </c>
      <c r="G27" s="374"/>
      <c r="H27" s="296"/>
      <c r="I27" s="296"/>
      <c r="J27" s="296"/>
      <c r="K27" s="296"/>
      <c r="L27" s="296"/>
      <c r="M27" s="376"/>
    </row>
    <row r="28" spans="1:21" s="215" customFormat="1" ht="15" x14ac:dyDescent="0.3">
      <c r="A28" s="357">
        <f>A27+0.1</f>
        <v>11.1</v>
      </c>
      <c r="B28" s="357" t="s">
        <v>31</v>
      </c>
      <c r="C28" s="362" t="s">
        <v>33</v>
      </c>
      <c r="D28" s="362" t="s">
        <v>21</v>
      </c>
      <c r="E28" s="362">
        <v>1</v>
      </c>
      <c r="F28" s="363">
        <f>F27*E28</f>
        <v>15</v>
      </c>
      <c r="G28" s="359"/>
      <c r="H28" s="359"/>
      <c r="I28" s="363"/>
      <c r="J28" s="363"/>
      <c r="K28" s="363"/>
      <c r="L28" s="363"/>
      <c r="M28" s="363"/>
    </row>
    <row r="29" spans="1:21" s="215" customFormat="1" x14ac:dyDescent="0.3">
      <c r="A29" s="30"/>
      <c r="B29" s="26"/>
      <c r="C29" s="180" t="s">
        <v>34</v>
      </c>
      <c r="D29" s="26"/>
      <c r="E29" s="26"/>
      <c r="F29" s="275"/>
      <c r="G29" s="26"/>
      <c r="H29" s="259"/>
      <c r="I29" s="26"/>
      <c r="J29" s="276"/>
      <c r="K29" s="26"/>
      <c r="L29" s="277"/>
      <c r="M29" s="31"/>
      <c r="N29" s="364"/>
      <c r="S29" s="117"/>
      <c r="U29" s="117"/>
    </row>
    <row r="30" spans="1:21" s="215" customFormat="1" ht="15" x14ac:dyDescent="0.3">
      <c r="A30" s="225"/>
      <c r="B30" s="225"/>
      <c r="C30" s="225" t="s">
        <v>383</v>
      </c>
      <c r="D30" s="225" t="s">
        <v>18</v>
      </c>
      <c r="E30" s="226"/>
      <c r="F30" s="227"/>
      <c r="G30" s="227"/>
      <c r="H30" s="212"/>
      <c r="I30" s="212"/>
      <c r="J30" s="212"/>
      <c r="K30" s="212"/>
      <c r="L30" s="212"/>
      <c r="M30" s="226"/>
    </row>
    <row r="31" spans="1:21" s="215" customFormat="1" x14ac:dyDescent="0.3">
      <c r="A31" s="224"/>
      <c r="B31" s="224"/>
      <c r="C31" s="224" t="s">
        <v>36</v>
      </c>
      <c r="D31" s="224" t="s">
        <v>18</v>
      </c>
      <c r="E31" s="222"/>
      <c r="F31" s="15"/>
      <c r="G31" s="15"/>
      <c r="H31" s="35"/>
      <c r="I31" s="35"/>
      <c r="J31" s="35"/>
      <c r="K31" s="35"/>
      <c r="L31" s="35"/>
      <c r="M31" s="222"/>
    </row>
    <row r="32" spans="1:21" s="215" customFormat="1" ht="15" x14ac:dyDescent="0.3">
      <c r="A32" s="225"/>
      <c r="B32" s="225"/>
      <c r="C32" s="225" t="s">
        <v>380</v>
      </c>
      <c r="D32" s="225" t="s">
        <v>18</v>
      </c>
      <c r="E32" s="226"/>
      <c r="F32" s="227"/>
      <c r="G32" s="227"/>
      <c r="H32" s="212"/>
      <c r="I32" s="212"/>
      <c r="J32" s="212"/>
      <c r="K32" s="212"/>
      <c r="L32" s="212"/>
      <c r="M32" s="226"/>
    </row>
    <row r="33" spans="1:13" s="215" customFormat="1" x14ac:dyDescent="0.3">
      <c r="A33" s="36"/>
      <c r="B33" s="36"/>
      <c r="C33" s="36" t="s">
        <v>34</v>
      </c>
      <c r="D33" s="36" t="s">
        <v>18</v>
      </c>
      <c r="E33" s="37"/>
      <c r="F33" s="37"/>
      <c r="G33" s="37"/>
      <c r="H33" s="38"/>
      <c r="I33" s="38"/>
      <c r="J33" s="38"/>
      <c r="K33" s="38"/>
      <c r="L33" s="38"/>
      <c r="M33" s="37"/>
    </row>
    <row r="34" spans="1:13" s="215" customFormat="1" x14ac:dyDescent="0.3"/>
    <row r="35" spans="1:13" s="215" customFormat="1" x14ac:dyDescent="0.3">
      <c r="A35" s="592"/>
      <c r="B35" s="593"/>
      <c r="C35" s="593"/>
      <c r="D35" s="593"/>
      <c r="E35" s="593"/>
      <c r="F35" s="593"/>
      <c r="G35" s="593"/>
      <c r="H35" s="593"/>
      <c r="I35" s="593"/>
      <c r="J35" s="593"/>
      <c r="K35" s="593"/>
      <c r="L35" s="593"/>
      <c r="M35" s="593"/>
    </row>
    <row r="36" spans="1:13" s="215" customFormat="1" x14ac:dyDescent="0.3">
      <c r="A36" s="593"/>
      <c r="B36" s="593"/>
      <c r="C36" s="593"/>
      <c r="D36" s="593"/>
      <c r="E36" s="593"/>
      <c r="F36" s="593"/>
      <c r="G36" s="593"/>
      <c r="H36" s="593"/>
      <c r="I36" s="593"/>
      <c r="J36" s="593"/>
      <c r="K36" s="593"/>
      <c r="L36" s="593"/>
      <c r="M36" s="593"/>
    </row>
    <row r="37" spans="1:13" s="215" customFormat="1" x14ac:dyDescent="0.3">
      <c r="A37" s="593"/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93"/>
    </row>
    <row r="38" spans="1:13" x14ac:dyDescent="0.3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</row>
    <row r="39" spans="1:13" x14ac:dyDescent="0.3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</row>
    <row r="40" spans="1:13" x14ac:dyDescent="0.3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</row>
    <row r="41" spans="1:13" x14ac:dyDescent="0.3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</row>
  </sheetData>
  <mergeCells count="13">
    <mergeCell ref="A35:M37"/>
    <mergeCell ref="A6:M6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A2:D2"/>
  </mergeCells>
  <printOptions horizontalCentered="1"/>
  <pageMargins left="0" right="0" top="0.55118110236220474" bottom="0.55118110236220474" header="0.31496062992125984" footer="0.31496062992125984"/>
  <pageSetup paperSize="9" scale="90" orientation="landscape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topLeftCell="A4" zoomScaleNormal="100" zoomScaleSheetLayoutView="100" workbookViewId="0">
      <selection activeCell="C21" sqref="C21"/>
    </sheetView>
  </sheetViews>
  <sheetFormatPr defaultRowHeight="14.4" x14ac:dyDescent="0.3"/>
  <cols>
    <col min="1" max="1" width="6.109375" customWidth="1"/>
    <col min="2" max="2" width="10" customWidth="1"/>
    <col min="3" max="3" width="36" customWidth="1"/>
    <col min="4" max="4" width="9.109375" customWidth="1"/>
    <col min="5" max="5" width="8.77734375" customWidth="1"/>
    <col min="6" max="6" width="10.21875" customWidth="1"/>
    <col min="7" max="7" width="8.33203125" customWidth="1"/>
    <col min="8" max="8" width="8.21875" customWidth="1"/>
    <col min="9" max="9" width="6.77734375" customWidth="1"/>
    <col min="10" max="10" width="8.6640625" customWidth="1"/>
    <col min="11" max="12" width="6.88671875" customWidth="1"/>
    <col min="13" max="13" width="13.77734375" bestFit="1" customWidth="1"/>
    <col min="14" max="14" width="0" hidden="1" customWidth="1"/>
  </cols>
  <sheetData>
    <row r="1" spans="1:15" ht="35.25" customHeight="1" x14ac:dyDescent="0.3">
      <c r="A1" s="597" t="s">
        <v>387</v>
      </c>
      <c r="B1" s="597"/>
      <c r="C1" s="597"/>
      <c r="D1" s="597"/>
      <c r="E1" s="597"/>
      <c r="F1" s="597"/>
      <c r="G1" s="597"/>
      <c r="H1" s="597"/>
      <c r="I1" s="598"/>
      <c r="J1" s="598"/>
      <c r="K1" s="598"/>
      <c r="L1" s="598"/>
      <c r="M1" s="598"/>
    </row>
    <row r="2" spans="1:15" ht="13.5" customHeight="1" x14ac:dyDescent="0.3">
      <c r="A2" s="617"/>
      <c r="B2" s="617"/>
      <c r="C2" s="617"/>
      <c r="D2" s="617"/>
      <c r="E2" s="1"/>
      <c r="F2" s="2"/>
      <c r="G2" s="2"/>
      <c r="H2" s="1"/>
      <c r="I2" s="1"/>
      <c r="J2" s="2"/>
      <c r="K2" s="1"/>
      <c r="L2" s="1"/>
      <c r="M2" s="1"/>
    </row>
    <row r="3" spans="1:15" ht="27" customHeight="1" x14ac:dyDescent="0.3">
      <c r="A3" s="610" t="s">
        <v>0</v>
      </c>
      <c r="B3" s="611" t="s">
        <v>1</v>
      </c>
      <c r="C3" s="613" t="s">
        <v>2</v>
      </c>
      <c r="D3" s="613" t="s">
        <v>3</v>
      </c>
      <c r="E3" s="615" t="s">
        <v>4</v>
      </c>
      <c r="F3" s="616"/>
      <c r="G3" s="613" t="s">
        <v>5</v>
      </c>
      <c r="H3" s="613"/>
      <c r="I3" s="613" t="s">
        <v>6</v>
      </c>
      <c r="J3" s="613"/>
      <c r="K3" s="613" t="s">
        <v>7</v>
      </c>
      <c r="L3" s="613"/>
      <c r="M3" s="613" t="s">
        <v>8</v>
      </c>
    </row>
    <row r="4" spans="1:15" ht="22.5" customHeight="1" x14ac:dyDescent="0.3">
      <c r="A4" s="610" t="s">
        <v>0</v>
      </c>
      <c r="B4" s="612"/>
      <c r="C4" s="613" t="s">
        <v>9</v>
      </c>
      <c r="D4" s="614" t="s">
        <v>10</v>
      </c>
      <c r="E4" s="3" t="s">
        <v>11</v>
      </c>
      <c r="F4" s="4" t="s">
        <v>12</v>
      </c>
      <c r="G4" s="5" t="s">
        <v>13</v>
      </c>
      <c r="H4" s="6" t="s">
        <v>14</v>
      </c>
      <c r="I4" s="6" t="s">
        <v>13</v>
      </c>
      <c r="J4" s="7" t="s">
        <v>14</v>
      </c>
      <c r="K4" s="6" t="s">
        <v>13</v>
      </c>
      <c r="L4" s="6" t="s">
        <v>14</v>
      </c>
      <c r="M4" s="613" t="s">
        <v>14</v>
      </c>
    </row>
    <row r="5" spans="1:15" ht="21" customHeight="1" x14ac:dyDescent="0.3">
      <c r="A5" s="8">
        <v>1</v>
      </c>
      <c r="B5" s="9">
        <v>2</v>
      </c>
      <c r="C5" s="9">
        <v>3</v>
      </c>
      <c r="D5" s="9">
        <v>4</v>
      </c>
      <c r="E5" s="10">
        <v>5</v>
      </c>
      <c r="F5" s="11">
        <v>6</v>
      </c>
      <c r="G5" s="12">
        <v>7</v>
      </c>
      <c r="H5" s="9">
        <v>8</v>
      </c>
      <c r="I5" s="9">
        <v>9</v>
      </c>
      <c r="J5" s="12">
        <v>10</v>
      </c>
      <c r="K5" s="9">
        <v>11</v>
      </c>
      <c r="L5" s="9">
        <v>12</v>
      </c>
      <c r="M5" s="9">
        <v>13</v>
      </c>
    </row>
    <row r="6" spans="1:15" x14ac:dyDescent="0.3">
      <c r="A6" s="607" t="s">
        <v>156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9"/>
    </row>
    <row r="7" spans="1:15" s="352" customFormat="1" ht="28.8" x14ac:dyDescent="0.3">
      <c r="A7" s="375">
        <v>1</v>
      </c>
      <c r="B7" s="136" t="s">
        <v>183</v>
      </c>
      <c r="C7" s="355" t="s">
        <v>147</v>
      </c>
      <c r="D7" s="355" t="s">
        <v>104</v>
      </c>
      <c r="E7" s="137"/>
      <c r="F7" s="578">
        <v>129</v>
      </c>
      <c r="G7" s="26"/>
      <c r="H7" s="119"/>
      <c r="I7" s="120"/>
      <c r="J7" s="119"/>
      <c r="K7" s="120"/>
      <c r="L7" s="119"/>
      <c r="M7" s="31"/>
    </row>
    <row r="8" spans="1:15" s="352" customFormat="1" x14ac:dyDescent="0.3">
      <c r="A8" s="300">
        <f>A7+0.1</f>
        <v>1.1000000000000001</v>
      </c>
      <c r="B8" s="137"/>
      <c r="C8" s="302" t="s">
        <v>99</v>
      </c>
      <c r="D8" s="315" t="s">
        <v>17</v>
      </c>
      <c r="E8" s="121">
        <v>0.216</v>
      </c>
      <c r="F8" s="299">
        <f>E8*F7</f>
        <v>27.864000000000001</v>
      </c>
      <c r="G8" s="299"/>
      <c r="H8" s="299"/>
      <c r="I8" s="299"/>
      <c r="J8" s="299"/>
      <c r="K8" s="299"/>
      <c r="L8" s="299"/>
      <c r="M8" s="299"/>
    </row>
    <row r="9" spans="1:15" s="352" customFormat="1" ht="45" x14ac:dyDescent="0.3">
      <c r="A9" s="300">
        <f>A8+0.1</f>
        <v>1.2000000000000002</v>
      </c>
      <c r="B9" s="4" t="s">
        <v>20</v>
      </c>
      <c r="C9" s="357" t="s">
        <v>149</v>
      </c>
      <c r="D9" s="4" t="s">
        <v>148</v>
      </c>
      <c r="E9" s="4">
        <v>0.15</v>
      </c>
      <c r="F9" s="353">
        <f>E9*F7</f>
        <v>19.349999999999998</v>
      </c>
      <c r="G9" s="394"/>
      <c r="H9" s="297"/>
      <c r="I9" s="301"/>
      <c r="J9" s="299"/>
      <c r="K9" s="301"/>
      <c r="L9" s="299"/>
      <c r="M9" s="122"/>
    </row>
    <row r="10" spans="1:15" s="352" customFormat="1" ht="30.75" customHeight="1" x14ac:dyDescent="0.3">
      <c r="A10" s="375">
        <v>2</v>
      </c>
      <c r="B10" s="355" t="s">
        <v>162</v>
      </c>
      <c r="C10" s="355" t="s">
        <v>163</v>
      </c>
      <c r="D10" s="355" t="s">
        <v>104</v>
      </c>
      <c r="E10" s="355"/>
      <c r="F10" s="375">
        <f>F7</f>
        <v>129</v>
      </c>
      <c r="G10" s="374"/>
      <c r="H10" s="374"/>
      <c r="I10" s="375"/>
      <c r="J10" s="374"/>
      <c r="K10" s="375"/>
      <c r="L10" s="374"/>
      <c r="M10" s="374"/>
    </row>
    <row r="11" spans="1:15" s="352" customFormat="1" ht="23.25" customHeight="1" x14ac:dyDescent="0.3">
      <c r="A11" s="300">
        <f>A10+0.1</f>
        <v>2.1</v>
      </c>
      <c r="B11" s="138" t="s">
        <v>20</v>
      </c>
      <c r="C11" s="315" t="s">
        <v>99</v>
      </c>
      <c r="D11" s="315" t="s">
        <v>164</v>
      </c>
      <c r="E11" s="315">
        <v>1</v>
      </c>
      <c r="F11" s="301">
        <f>F10*E11</f>
        <v>129</v>
      </c>
      <c r="G11" s="78"/>
      <c r="H11" s="298"/>
      <c r="I11" s="311"/>
      <c r="J11" s="310"/>
      <c r="K11" s="298"/>
      <c r="L11" s="298"/>
      <c r="M11" s="310"/>
    </row>
    <row r="12" spans="1:15" s="352" customFormat="1" ht="30" x14ac:dyDescent="0.3">
      <c r="A12" s="300">
        <f>A11+0.1</f>
        <v>2.2000000000000002</v>
      </c>
      <c r="B12" s="317" t="s">
        <v>248</v>
      </c>
      <c r="C12" s="357" t="s">
        <v>165</v>
      </c>
      <c r="D12" s="357" t="s">
        <v>105</v>
      </c>
      <c r="E12" s="357">
        <v>1</v>
      </c>
      <c r="F12" s="297">
        <f>E12*F10</f>
        <v>129</v>
      </c>
      <c r="G12" s="297"/>
      <c r="H12" s="297"/>
      <c r="I12" s="296"/>
      <c r="J12" s="297"/>
      <c r="K12" s="296"/>
      <c r="L12" s="297"/>
      <c r="M12" s="297"/>
    </row>
    <row r="13" spans="1:15" s="352" customFormat="1" x14ac:dyDescent="0.3">
      <c r="A13" s="81">
        <f>A12+0.1</f>
        <v>2.3000000000000003</v>
      </c>
      <c r="B13" s="362"/>
      <c r="C13" s="362" t="s">
        <v>192</v>
      </c>
      <c r="D13" s="362" t="s">
        <v>18</v>
      </c>
      <c r="E13" s="363">
        <v>0.01</v>
      </c>
      <c r="F13" s="363">
        <f>F11*E13</f>
        <v>1.29</v>
      </c>
      <c r="G13" s="306"/>
      <c r="H13" s="306"/>
      <c r="I13" s="306"/>
      <c r="J13" s="307"/>
      <c r="K13" s="363"/>
      <c r="L13" s="363"/>
      <c r="M13" s="306"/>
    </row>
    <row r="14" spans="1:15" s="352" customFormat="1" ht="15" x14ac:dyDescent="0.3">
      <c r="A14" s="300">
        <f>A13+0.1</f>
        <v>2.4000000000000004</v>
      </c>
      <c r="B14" s="317"/>
      <c r="C14" s="357" t="s">
        <v>62</v>
      </c>
      <c r="D14" s="357" t="s">
        <v>18</v>
      </c>
      <c r="E14" s="357">
        <v>0.04</v>
      </c>
      <c r="F14" s="297">
        <f>E14*F10</f>
        <v>5.16</v>
      </c>
      <c r="G14" s="297"/>
      <c r="H14" s="297"/>
      <c r="I14" s="296"/>
      <c r="J14" s="297"/>
      <c r="K14" s="296"/>
      <c r="L14" s="297"/>
      <c r="M14" s="297"/>
    </row>
    <row r="15" spans="1:15" s="352" customFormat="1" x14ac:dyDescent="0.3">
      <c r="A15" s="84"/>
      <c r="B15" s="79"/>
      <c r="C15" s="375" t="s">
        <v>36</v>
      </c>
      <c r="D15" s="375" t="s">
        <v>18</v>
      </c>
      <c r="E15" s="374"/>
      <c r="F15" s="356"/>
      <c r="G15" s="356"/>
      <c r="H15" s="85"/>
      <c r="I15" s="35"/>
      <c r="J15" s="86"/>
      <c r="K15" s="26"/>
      <c r="L15" s="277"/>
      <c r="M15" s="374"/>
      <c r="N15" s="364">
        <f>SUM(H15:L15)</f>
        <v>0</v>
      </c>
      <c r="O15" s="364"/>
    </row>
    <row r="16" spans="1:15" s="352" customFormat="1" ht="15" x14ac:dyDescent="0.3">
      <c r="A16" s="296"/>
      <c r="B16" s="296"/>
      <c r="C16" s="296" t="s">
        <v>383</v>
      </c>
      <c r="D16" s="296" t="s">
        <v>18</v>
      </c>
      <c r="E16" s="297"/>
      <c r="F16" s="227"/>
      <c r="G16" s="227"/>
      <c r="H16" s="298"/>
      <c r="I16" s="298"/>
      <c r="J16" s="298"/>
      <c r="K16" s="298"/>
      <c r="L16" s="298"/>
      <c r="M16" s="297"/>
    </row>
    <row r="17" spans="1:13" s="352" customFormat="1" x14ac:dyDescent="0.3">
      <c r="A17" s="375"/>
      <c r="B17" s="375"/>
      <c r="C17" s="375" t="s">
        <v>36</v>
      </c>
      <c r="D17" s="375" t="s">
        <v>18</v>
      </c>
      <c r="E17" s="374"/>
      <c r="F17" s="356"/>
      <c r="G17" s="356"/>
      <c r="H17" s="35"/>
      <c r="I17" s="35"/>
      <c r="J17" s="35"/>
      <c r="K17" s="35"/>
      <c r="L17" s="35"/>
      <c r="M17" s="374"/>
    </row>
    <row r="18" spans="1:13" s="352" customFormat="1" ht="15" x14ac:dyDescent="0.3">
      <c r="A18" s="296"/>
      <c r="B18" s="296"/>
      <c r="C18" s="296" t="s">
        <v>380</v>
      </c>
      <c r="D18" s="296" t="s">
        <v>18</v>
      </c>
      <c r="E18" s="297"/>
      <c r="F18" s="227"/>
      <c r="G18" s="227"/>
      <c r="H18" s="298"/>
      <c r="I18" s="298"/>
      <c r="J18" s="298"/>
      <c r="K18" s="298"/>
      <c r="L18" s="298"/>
      <c r="M18" s="297"/>
    </row>
    <row r="19" spans="1:13" s="352" customFormat="1" x14ac:dyDescent="0.3">
      <c r="A19" s="36"/>
      <c r="B19" s="36"/>
      <c r="C19" s="36" t="s">
        <v>34</v>
      </c>
      <c r="D19" s="36" t="s">
        <v>18</v>
      </c>
      <c r="E19" s="37"/>
      <c r="F19" s="37"/>
      <c r="G19" s="37"/>
      <c r="H19" s="38"/>
      <c r="I19" s="38"/>
      <c r="J19" s="38"/>
      <c r="K19" s="38"/>
      <c r="L19" s="38"/>
      <c r="M19" s="37"/>
    </row>
    <row r="20" spans="1:13" s="215" customFormat="1" x14ac:dyDescent="0.3">
      <c r="A20" s="234"/>
      <c r="B20" s="234"/>
      <c r="C20" s="234"/>
      <c r="D20" s="234"/>
      <c r="E20" s="235"/>
      <c r="F20" s="235"/>
      <c r="G20" s="235"/>
      <c r="H20" s="236"/>
      <c r="I20" s="236"/>
      <c r="J20" s="236"/>
      <c r="K20" s="236"/>
      <c r="L20" s="236"/>
      <c r="M20" s="235"/>
    </row>
    <row r="21" spans="1:13" s="215" customFormat="1" ht="16.2" x14ac:dyDescent="0.4">
      <c r="C21" s="169"/>
      <c r="D21" s="111"/>
    </row>
    <row r="22" spans="1:13" s="215" customFormat="1" ht="16.2" x14ac:dyDescent="0.4">
      <c r="C22" s="111"/>
      <c r="D22" s="111"/>
    </row>
    <row r="23" spans="1:13" s="215" customFormat="1" x14ac:dyDescent="0.3"/>
  </sheetData>
  <mergeCells count="12">
    <mergeCell ref="A6:M6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A2:D2"/>
  </mergeCells>
  <printOptions horizontalCentered="1"/>
  <pageMargins left="0" right="0" top="0.55118110236220474" bottom="0.55118110236220474" header="0.31496062992125984" footer="0.31496062992125984"/>
  <pageSetup paperSize="9" scale="90" orientation="landscape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view="pageBreakPreview" topLeftCell="A118" zoomScaleNormal="100" zoomScaleSheetLayoutView="100" workbookViewId="0">
      <selection activeCell="C130" sqref="C130"/>
    </sheetView>
  </sheetViews>
  <sheetFormatPr defaultRowHeight="14.4" x14ac:dyDescent="0.3"/>
  <cols>
    <col min="1" max="1" width="6.109375" customWidth="1"/>
    <col min="2" max="2" width="10.88671875" customWidth="1"/>
    <col min="3" max="3" width="36.6640625" customWidth="1"/>
    <col min="4" max="4" width="9.109375" customWidth="1"/>
    <col min="5" max="5" width="10.77734375" customWidth="1"/>
    <col min="6" max="6" width="10.21875" customWidth="1"/>
    <col min="7" max="7" width="8.33203125" customWidth="1"/>
    <col min="8" max="9" width="8.21875" customWidth="1"/>
    <col min="10" max="10" width="8.6640625" customWidth="1"/>
    <col min="11" max="12" width="6.88671875" customWidth="1"/>
    <col min="13" max="13" width="16.6640625" customWidth="1"/>
    <col min="14" max="14" width="9.6640625" customWidth="1"/>
    <col min="15" max="16" width="9.109375" customWidth="1"/>
  </cols>
  <sheetData>
    <row r="1" spans="1:13" ht="38.25" customHeight="1" x14ac:dyDescent="0.3">
      <c r="A1" s="597" t="s">
        <v>384</v>
      </c>
      <c r="B1" s="597"/>
      <c r="C1" s="597"/>
      <c r="D1" s="597"/>
      <c r="E1" s="597"/>
      <c r="F1" s="597"/>
      <c r="G1" s="597"/>
      <c r="H1" s="597"/>
      <c r="I1" s="598"/>
      <c r="J1" s="598"/>
      <c r="K1" s="598"/>
      <c r="L1" s="598"/>
      <c r="M1" s="598"/>
    </row>
    <row r="2" spans="1:13" ht="11.25" customHeight="1" x14ac:dyDescent="0.3">
      <c r="A2" s="617"/>
      <c r="B2" s="617"/>
      <c r="C2" s="617"/>
      <c r="D2" s="617"/>
      <c r="E2" s="1"/>
      <c r="F2" s="2"/>
      <c r="G2" s="2"/>
      <c r="H2" s="1"/>
      <c r="I2" s="1"/>
      <c r="J2" s="2"/>
      <c r="K2" s="1"/>
      <c r="L2" s="1"/>
      <c r="M2" s="1"/>
    </row>
    <row r="3" spans="1:13" ht="30" customHeight="1" x14ac:dyDescent="0.3">
      <c r="A3" s="610" t="s">
        <v>0</v>
      </c>
      <c r="B3" s="611" t="s">
        <v>1</v>
      </c>
      <c r="C3" s="613" t="s">
        <v>2</v>
      </c>
      <c r="D3" s="613" t="s">
        <v>3</v>
      </c>
      <c r="E3" s="615" t="s">
        <v>4</v>
      </c>
      <c r="F3" s="616"/>
      <c r="G3" s="613" t="s">
        <v>5</v>
      </c>
      <c r="H3" s="613"/>
      <c r="I3" s="613" t="s">
        <v>6</v>
      </c>
      <c r="J3" s="613"/>
      <c r="K3" s="613" t="s">
        <v>7</v>
      </c>
      <c r="L3" s="613"/>
      <c r="M3" s="613" t="s">
        <v>8</v>
      </c>
    </row>
    <row r="4" spans="1:13" ht="33" customHeight="1" x14ac:dyDescent="0.3">
      <c r="A4" s="610" t="s">
        <v>0</v>
      </c>
      <c r="B4" s="612"/>
      <c r="C4" s="613" t="s">
        <v>9</v>
      </c>
      <c r="D4" s="614" t="s">
        <v>10</v>
      </c>
      <c r="E4" s="3" t="s">
        <v>11</v>
      </c>
      <c r="F4" s="4" t="s">
        <v>12</v>
      </c>
      <c r="G4" s="5" t="s">
        <v>13</v>
      </c>
      <c r="H4" s="6" t="s">
        <v>14</v>
      </c>
      <c r="I4" s="6" t="s">
        <v>13</v>
      </c>
      <c r="J4" s="7" t="s">
        <v>14</v>
      </c>
      <c r="K4" s="6" t="s">
        <v>13</v>
      </c>
      <c r="L4" s="6" t="s">
        <v>14</v>
      </c>
      <c r="M4" s="613" t="s">
        <v>14</v>
      </c>
    </row>
    <row r="5" spans="1:13" ht="15" customHeight="1" x14ac:dyDescent="0.3">
      <c r="A5" s="8">
        <v>1</v>
      </c>
      <c r="B5" s="9">
        <v>2</v>
      </c>
      <c r="C5" s="9">
        <v>3</v>
      </c>
      <c r="D5" s="9">
        <v>4</v>
      </c>
      <c r="E5" s="10">
        <v>5</v>
      </c>
      <c r="F5" s="11">
        <v>6</v>
      </c>
      <c r="G5" s="12">
        <v>7</v>
      </c>
      <c r="H5" s="9">
        <v>8</v>
      </c>
      <c r="I5" s="9">
        <v>9</v>
      </c>
      <c r="J5" s="12">
        <v>10</v>
      </c>
      <c r="K5" s="9">
        <v>11</v>
      </c>
      <c r="L5" s="9">
        <v>12</v>
      </c>
      <c r="M5" s="9">
        <v>13</v>
      </c>
    </row>
    <row r="6" spans="1:13" ht="24.75" customHeight="1" x14ac:dyDescent="0.3">
      <c r="A6" s="607" t="s">
        <v>160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9"/>
    </row>
    <row r="7" spans="1:13" ht="49.5" customHeight="1" x14ac:dyDescent="0.3">
      <c r="A7" s="70">
        <v>1</v>
      </c>
      <c r="B7" s="136" t="s">
        <v>20</v>
      </c>
      <c r="C7" s="147" t="s">
        <v>145</v>
      </c>
      <c r="D7" s="147" t="s">
        <v>94</v>
      </c>
      <c r="E7" s="145"/>
      <c r="F7" s="403">
        <v>300</v>
      </c>
      <c r="G7" s="54"/>
      <c r="H7" s="54"/>
      <c r="I7" s="73"/>
      <c r="J7" s="73"/>
      <c r="K7" s="73"/>
      <c r="L7" s="73"/>
      <c r="M7" s="148"/>
    </row>
    <row r="8" spans="1:13" ht="29.25" customHeight="1" x14ac:dyDescent="0.3">
      <c r="A8" s="201">
        <v>1.1000000000000001</v>
      </c>
      <c r="B8" s="136"/>
      <c r="C8" s="41" t="s">
        <v>16</v>
      </c>
      <c r="D8" s="41" t="s">
        <v>17</v>
      </c>
      <c r="E8" s="21">
        <v>0.216</v>
      </c>
      <c r="F8" s="386">
        <f>F7*E8</f>
        <v>64.8</v>
      </c>
      <c r="G8" s="41"/>
      <c r="H8" s="135"/>
      <c r="I8" s="53"/>
      <c r="J8" s="21"/>
      <c r="K8" s="41"/>
      <c r="L8" s="41"/>
      <c r="M8" s="21"/>
    </row>
    <row r="9" spans="1:13" ht="28.5" customHeight="1" x14ac:dyDescent="0.3">
      <c r="A9" s="39">
        <v>2</v>
      </c>
      <c r="B9" s="13" t="s">
        <v>40</v>
      </c>
      <c r="C9" s="14" t="s">
        <v>41</v>
      </c>
      <c r="D9" s="14" t="s">
        <v>59</v>
      </c>
      <c r="E9" s="15"/>
      <c r="F9" s="404">
        <f>F11*0.1</f>
        <v>5.9600000000000009</v>
      </c>
      <c r="G9" s="15"/>
      <c r="H9" s="14"/>
      <c r="I9" s="14"/>
      <c r="J9" s="14"/>
      <c r="K9" s="14"/>
      <c r="L9" s="14"/>
      <c r="M9" s="15"/>
    </row>
    <row r="10" spans="1:13" ht="23.25" customHeight="1" x14ac:dyDescent="0.3">
      <c r="A10" s="17">
        <f>A9+0.1</f>
        <v>2.1</v>
      </c>
      <c r="B10" s="40"/>
      <c r="C10" s="41" t="s">
        <v>16</v>
      </c>
      <c r="D10" s="41" t="s">
        <v>17</v>
      </c>
      <c r="E10" s="21">
        <v>2.06</v>
      </c>
      <c r="F10" s="386">
        <f>F9*E10</f>
        <v>12.277600000000001</v>
      </c>
      <c r="G10" s="41"/>
      <c r="H10" s="135"/>
      <c r="I10" s="53"/>
      <c r="J10" s="21"/>
      <c r="K10" s="41"/>
      <c r="L10" s="41"/>
      <c r="M10" s="21"/>
    </row>
    <row r="11" spans="1:13" ht="48" customHeight="1" x14ac:dyDescent="0.3">
      <c r="A11" s="44" t="s">
        <v>23</v>
      </c>
      <c r="B11" s="13" t="s">
        <v>42</v>
      </c>
      <c r="C11" s="61" t="s">
        <v>43</v>
      </c>
      <c r="D11" s="61" t="s">
        <v>59</v>
      </c>
      <c r="E11" s="54"/>
      <c r="F11" s="405">
        <f>(F118+F109)*0.4</f>
        <v>59.6</v>
      </c>
      <c r="G11" s="54"/>
      <c r="H11" s="54"/>
      <c r="I11" s="139"/>
      <c r="J11" s="139"/>
      <c r="K11" s="139"/>
      <c r="L11" s="139"/>
      <c r="M11" s="54"/>
    </row>
    <row r="12" spans="1:13" ht="24" customHeight="1" x14ac:dyDescent="0.3">
      <c r="A12" s="247">
        <f>A11+0.1</f>
        <v>3.1</v>
      </c>
      <c r="B12" s="61"/>
      <c r="C12" s="53" t="s">
        <v>44</v>
      </c>
      <c r="D12" s="53" t="s">
        <v>17</v>
      </c>
      <c r="E12" s="121">
        <v>9.9599999999999994E-2</v>
      </c>
      <c r="F12" s="391">
        <f>E12*F11</f>
        <v>5.9361600000000001</v>
      </c>
      <c r="G12" s="139"/>
      <c r="H12" s="139"/>
      <c r="I12" s="53"/>
      <c r="J12" s="150"/>
      <c r="K12" s="139"/>
      <c r="L12" s="139"/>
      <c r="M12" s="150"/>
    </row>
    <row r="13" spans="1:13" ht="24" customHeight="1" x14ac:dyDescent="0.3">
      <c r="A13" s="17">
        <f>A12+0.1</f>
        <v>3.2</v>
      </c>
      <c r="B13" s="76" t="s">
        <v>240</v>
      </c>
      <c r="C13" s="87" t="s">
        <v>45</v>
      </c>
      <c r="D13" s="87" t="s">
        <v>18</v>
      </c>
      <c r="E13" s="129">
        <v>0.223</v>
      </c>
      <c r="F13" s="384">
        <f>E13*F11</f>
        <v>13.290800000000001</v>
      </c>
      <c r="G13" s="21"/>
      <c r="H13" s="21"/>
      <c r="I13" s="56"/>
      <c r="J13" s="56"/>
      <c r="K13" s="56"/>
      <c r="L13" s="56"/>
      <c r="M13" s="56"/>
    </row>
    <row r="14" spans="1:13" ht="40.5" customHeight="1" x14ac:dyDescent="0.3">
      <c r="A14" s="13" t="s">
        <v>52</v>
      </c>
      <c r="B14" s="14" t="s">
        <v>47</v>
      </c>
      <c r="C14" s="14" t="s">
        <v>48</v>
      </c>
      <c r="D14" s="14" t="s">
        <v>59</v>
      </c>
      <c r="E14" s="48"/>
      <c r="F14" s="383">
        <f>F11</f>
        <v>59.6</v>
      </c>
      <c r="G14" s="15"/>
      <c r="H14" s="89"/>
      <c r="I14" s="89"/>
      <c r="J14" s="89"/>
      <c r="K14" s="89"/>
      <c r="L14" s="89"/>
      <c r="M14" s="54"/>
    </row>
    <row r="15" spans="1:13" ht="21" customHeight="1" x14ac:dyDescent="0.3">
      <c r="A15" s="17">
        <f>A14+0.1</f>
        <v>4.0999999999999996</v>
      </c>
      <c r="B15" s="14"/>
      <c r="C15" s="53" t="s">
        <v>44</v>
      </c>
      <c r="D15" s="53" t="s">
        <v>17</v>
      </c>
      <c r="E15" s="128">
        <f>15.5/1000</f>
        <v>1.55E-2</v>
      </c>
      <c r="F15" s="391">
        <f>F14*E15</f>
        <v>0.92380000000000007</v>
      </c>
      <c r="G15" s="90"/>
      <c r="H15" s="90"/>
      <c r="I15" s="21"/>
      <c r="J15" s="53"/>
      <c r="K15" s="53"/>
      <c r="L15" s="53"/>
      <c r="M15" s="53"/>
    </row>
    <row r="16" spans="1:13" ht="21" customHeight="1" x14ac:dyDescent="0.3">
      <c r="A16" s="17">
        <f>A15+0.1</f>
        <v>4.1999999999999993</v>
      </c>
      <c r="B16" s="176" t="s">
        <v>241</v>
      </c>
      <c r="C16" s="87" t="s">
        <v>49</v>
      </c>
      <c r="D16" s="87" t="s">
        <v>50</v>
      </c>
      <c r="E16" s="129">
        <f>34.7/1000</f>
        <v>3.4700000000000002E-2</v>
      </c>
      <c r="F16" s="384">
        <f>E16*F14</f>
        <v>2.06812</v>
      </c>
      <c r="G16" s="33"/>
      <c r="H16" s="33"/>
      <c r="I16" s="56"/>
      <c r="J16" s="56"/>
      <c r="K16" s="56"/>
      <c r="L16" s="56"/>
      <c r="M16" s="56"/>
    </row>
    <row r="17" spans="1:23" ht="21.75" customHeight="1" x14ac:dyDescent="0.3">
      <c r="A17" s="17">
        <f>A16+0.1</f>
        <v>4.2999999999999989</v>
      </c>
      <c r="B17" s="14"/>
      <c r="C17" s="87" t="s">
        <v>51</v>
      </c>
      <c r="D17" s="87" t="s">
        <v>18</v>
      </c>
      <c r="E17" s="129">
        <f>2.09/1000</f>
        <v>2.0899999999999998E-3</v>
      </c>
      <c r="F17" s="384">
        <f>E17*F14</f>
        <v>0.12456399999999999</v>
      </c>
      <c r="G17" s="21"/>
      <c r="H17" s="21"/>
      <c r="I17" s="56"/>
      <c r="J17" s="56"/>
      <c r="K17" s="56"/>
      <c r="L17" s="56"/>
      <c r="M17" s="56"/>
    </row>
    <row r="18" spans="1:23" ht="21.75" customHeight="1" x14ac:dyDescent="0.3">
      <c r="A18" s="179">
        <f>A17+0.1</f>
        <v>4.3999999999999986</v>
      </c>
      <c r="B18" s="225" t="s">
        <v>242</v>
      </c>
      <c r="C18" s="213" t="s">
        <v>239</v>
      </c>
      <c r="D18" s="213" t="s">
        <v>59</v>
      </c>
      <c r="E18" s="278">
        <f>0.04/1000</f>
        <v>4.0000000000000003E-5</v>
      </c>
      <c r="F18" s="370">
        <f>F14*E18</f>
        <v>2.3840000000000003E-3</v>
      </c>
      <c r="G18" s="227"/>
      <c r="H18" s="227"/>
      <c r="I18" s="218"/>
      <c r="J18" s="218"/>
      <c r="K18" s="218"/>
      <c r="L18" s="218"/>
      <c r="M18" s="218"/>
    </row>
    <row r="19" spans="1:23" ht="27" customHeight="1" x14ac:dyDescent="0.3">
      <c r="A19" s="13" t="s">
        <v>25</v>
      </c>
      <c r="B19" s="14" t="s">
        <v>181</v>
      </c>
      <c r="C19" s="14" t="s">
        <v>53</v>
      </c>
      <c r="D19" s="14" t="s">
        <v>182</v>
      </c>
      <c r="E19" s="15"/>
      <c r="F19" s="383">
        <f>F9</f>
        <v>5.9600000000000009</v>
      </c>
      <c r="G19" s="15"/>
      <c r="H19" s="17"/>
      <c r="I19" s="17"/>
      <c r="J19" s="17"/>
      <c r="K19" s="17"/>
      <c r="L19" s="17"/>
      <c r="M19" s="54"/>
    </row>
    <row r="20" spans="1:23" ht="24" customHeight="1" x14ac:dyDescent="0.3">
      <c r="A20" s="17">
        <f>A19+0.1</f>
        <v>5.0999999999999996</v>
      </c>
      <c r="B20" s="17"/>
      <c r="C20" s="43" t="s">
        <v>44</v>
      </c>
      <c r="D20" s="43" t="s">
        <v>17</v>
      </c>
      <c r="E20" s="46">
        <v>0.87</v>
      </c>
      <c r="F20" s="391">
        <f>F19*E20</f>
        <v>5.1852000000000009</v>
      </c>
      <c r="G20" s="22"/>
      <c r="H20" s="22"/>
      <c r="I20" s="43"/>
      <c r="J20" s="43"/>
      <c r="K20" s="43"/>
      <c r="L20" s="43"/>
      <c r="M20" s="43"/>
    </row>
    <row r="21" spans="1:23" ht="24" customHeight="1" x14ac:dyDescent="0.3">
      <c r="A21" s="13" t="s">
        <v>27</v>
      </c>
      <c r="B21" s="14"/>
      <c r="C21" s="14" t="s">
        <v>144</v>
      </c>
      <c r="D21" s="14" t="s">
        <v>21</v>
      </c>
      <c r="E21" s="15"/>
      <c r="F21" s="383">
        <f>(F19+F14)*1.85</f>
        <v>121.28600000000002</v>
      </c>
      <c r="G21" s="16"/>
      <c r="H21" s="27"/>
      <c r="I21" s="27"/>
      <c r="J21" s="27"/>
      <c r="K21" s="27"/>
      <c r="L21" s="27"/>
      <c r="M21" s="25"/>
    </row>
    <row r="22" spans="1:23" ht="30.75" customHeight="1" x14ac:dyDescent="0.3">
      <c r="A22" s="17">
        <f>A21+0.1</f>
        <v>6.1</v>
      </c>
      <c r="B22" s="17" t="s">
        <v>31</v>
      </c>
      <c r="C22" s="28" t="s">
        <v>33</v>
      </c>
      <c r="D22" s="28" t="s">
        <v>21</v>
      </c>
      <c r="E22" s="28">
        <v>1</v>
      </c>
      <c r="F22" s="384">
        <f>F21*E22</f>
        <v>121.28600000000002</v>
      </c>
      <c r="G22" s="19"/>
      <c r="H22" s="19"/>
      <c r="I22" s="29"/>
      <c r="J22" s="29"/>
      <c r="K22" s="29"/>
      <c r="L22" s="29"/>
      <c r="M22" s="29"/>
    </row>
    <row r="23" spans="1:23" s="410" customFormat="1" ht="39.6" x14ac:dyDescent="0.35">
      <c r="A23" s="154" t="s">
        <v>28</v>
      </c>
      <c r="B23" s="60" t="s">
        <v>67</v>
      </c>
      <c r="C23" s="489" t="s">
        <v>328</v>
      </c>
      <c r="D23" s="489" t="s">
        <v>15</v>
      </c>
      <c r="E23" s="490"/>
      <c r="F23" s="564">
        <v>6.3E-2</v>
      </c>
      <c r="G23" s="491"/>
      <c r="H23" s="492"/>
      <c r="I23" s="492"/>
      <c r="J23" s="492"/>
      <c r="K23" s="492"/>
      <c r="L23" s="240"/>
      <c r="M23" s="237"/>
    </row>
    <row r="24" spans="1:23" s="410" customFormat="1" ht="15" x14ac:dyDescent="0.35">
      <c r="A24" s="493">
        <f>A23+0.1</f>
        <v>7.1</v>
      </c>
      <c r="B24" s="241"/>
      <c r="C24" s="433" t="s">
        <v>68</v>
      </c>
      <c r="D24" s="433" t="s">
        <v>17</v>
      </c>
      <c r="E24" s="433">
        <v>89</v>
      </c>
      <c r="F24" s="565">
        <f>E24*F23</f>
        <v>5.6070000000000002</v>
      </c>
      <c r="G24" s="492"/>
      <c r="H24" s="492"/>
      <c r="I24" s="494"/>
      <c r="J24" s="494"/>
      <c r="K24" s="492"/>
      <c r="L24" s="240"/>
      <c r="M24" s="495"/>
    </row>
    <row r="25" spans="1:23" s="410" customFormat="1" ht="21" customHeight="1" x14ac:dyDescent="0.35">
      <c r="A25" s="241">
        <f>A24+0.1</f>
        <v>7.1999999999999993</v>
      </c>
      <c r="B25" s="241"/>
      <c r="C25" s="241" t="s">
        <v>69</v>
      </c>
      <c r="D25" s="241" t="s">
        <v>18</v>
      </c>
      <c r="E25" s="242">
        <v>37</v>
      </c>
      <c r="F25" s="565">
        <f>E25*F23</f>
        <v>2.331</v>
      </c>
      <c r="G25" s="436"/>
      <c r="H25" s="244"/>
      <c r="I25" s="244"/>
      <c r="J25" s="436"/>
      <c r="K25" s="433"/>
      <c r="L25" s="242"/>
      <c r="M25" s="244"/>
    </row>
    <row r="26" spans="1:23" s="423" customFormat="1" ht="21" customHeight="1" x14ac:dyDescent="0.35">
      <c r="A26" s="496">
        <f>A25+0.1</f>
        <v>7.2999999999999989</v>
      </c>
      <c r="B26" s="497" t="s">
        <v>245</v>
      </c>
      <c r="C26" s="497" t="s">
        <v>329</v>
      </c>
      <c r="D26" s="497" t="s">
        <v>59</v>
      </c>
      <c r="E26" s="433">
        <v>115</v>
      </c>
      <c r="F26" s="565">
        <f>E26*F23</f>
        <v>7.2450000000000001</v>
      </c>
      <c r="G26" s="433"/>
      <c r="H26" s="433"/>
      <c r="I26" s="436"/>
      <c r="J26" s="436"/>
      <c r="K26" s="436"/>
      <c r="L26" s="436"/>
      <c r="M26" s="436"/>
    </row>
    <row r="27" spans="1:23" s="410" customFormat="1" ht="21" customHeight="1" x14ac:dyDescent="0.35">
      <c r="A27" s="241">
        <f t="shared" ref="A27" si="0">A26+0.1</f>
        <v>7.3999999999999986</v>
      </c>
      <c r="B27" s="241"/>
      <c r="C27" s="241" t="s">
        <v>330</v>
      </c>
      <c r="D27" s="241" t="s">
        <v>18</v>
      </c>
      <c r="E27" s="242">
        <v>2</v>
      </c>
      <c r="F27" s="566">
        <f>E27*F23</f>
        <v>0.126</v>
      </c>
      <c r="G27" s="433"/>
      <c r="H27" s="498"/>
      <c r="I27" s="437"/>
      <c r="J27" s="435"/>
      <c r="K27" s="435"/>
      <c r="L27" s="437"/>
      <c r="M27" s="499"/>
    </row>
    <row r="28" spans="1:23" s="438" customFormat="1" ht="61.5" customHeight="1" x14ac:dyDescent="0.3">
      <c r="A28" s="154" t="s">
        <v>327</v>
      </c>
      <c r="B28" s="60" t="s">
        <v>331</v>
      </c>
      <c r="C28" s="79" t="s">
        <v>338</v>
      </c>
      <c r="D28" s="79" t="s">
        <v>15</v>
      </c>
      <c r="E28" s="237"/>
      <c r="F28" s="564">
        <v>5.3999999999999999E-2</v>
      </c>
      <c r="G28" s="490"/>
      <c r="H28" s="437"/>
      <c r="I28" s="437"/>
      <c r="J28" s="435"/>
      <c r="K28" s="435"/>
      <c r="L28" s="437"/>
      <c r="M28" s="237"/>
    </row>
    <row r="29" spans="1:23" s="502" customFormat="1" ht="21" customHeight="1" x14ac:dyDescent="0.35">
      <c r="A29" s="493">
        <f>A28+0.1</f>
        <v>8.1</v>
      </c>
      <c r="B29" s="241"/>
      <c r="C29" s="242" t="s">
        <v>44</v>
      </c>
      <c r="D29" s="242" t="s">
        <v>17</v>
      </c>
      <c r="E29" s="242">
        <v>1110</v>
      </c>
      <c r="F29" s="565">
        <f>E29*F28</f>
        <v>59.94</v>
      </c>
      <c r="G29" s="435"/>
      <c r="H29" s="437"/>
      <c r="I29" s="242"/>
      <c r="J29" s="433"/>
      <c r="K29" s="435"/>
      <c r="L29" s="437"/>
      <c r="M29" s="242"/>
      <c r="Q29" s="503"/>
      <c r="R29" s="171"/>
      <c r="S29" s="171"/>
      <c r="T29" s="171"/>
      <c r="U29" s="171"/>
      <c r="V29" s="171"/>
      <c r="W29" s="171"/>
    </row>
    <row r="30" spans="1:23" s="171" customFormat="1" ht="16.5" customHeight="1" x14ac:dyDescent="0.35">
      <c r="A30" s="241">
        <f>A29+0.1</f>
        <v>8.1999999999999993</v>
      </c>
      <c r="B30" s="241"/>
      <c r="C30" s="241" t="s">
        <v>249</v>
      </c>
      <c r="D30" s="241" t="s">
        <v>18</v>
      </c>
      <c r="E30" s="242">
        <v>96</v>
      </c>
      <c r="F30" s="565">
        <f>E30*F28</f>
        <v>5.1840000000000002</v>
      </c>
      <c r="G30" s="435"/>
      <c r="H30" s="437"/>
      <c r="I30" s="437"/>
      <c r="J30" s="435"/>
      <c r="K30" s="433"/>
      <c r="L30" s="242"/>
      <c r="M30" s="244"/>
    </row>
    <row r="31" spans="1:23" s="171" customFormat="1" ht="16.5" customHeight="1" x14ac:dyDescent="0.35">
      <c r="A31" s="497">
        <f t="shared" ref="A31:A37" si="1">A30+0.1</f>
        <v>8.2999999999999989</v>
      </c>
      <c r="B31" s="425" t="s">
        <v>332</v>
      </c>
      <c r="C31" s="497" t="s">
        <v>233</v>
      </c>
      <c r="D31" s="241" t="s">
        <v>59</v>
      </c>
      <c r="E31" s="242">
        <v>101.5</v>
      </c>
      <c r="F31" s="565">
        <f>F28*E31</f>
        <v>5.4809999999999999</v>
      </c>
      <c r="G31" s="494"/>
      <c r="H31" s="242"/>
      <c r="I31" s="437"/>
      <c r="J31" s="435"/>
      <c r="K31" s="435"/>
      <c r="L31" s="437"/>
      <c r="M31" s="244"/>
    </row>
    <row r="32" spans="1:23" s="171" customFormat="1" ht="16.5" customHeight="1" x14ac:dyDescent="0.35">
      <c r="A32" s="497">
        <f t="shared" si="1"/>
        <v>8.3999999999999986</v>
      </c>
      <c r="B32" s="241">
        <v>5.1390000000000002</v>
      </c>
      <c r="C32" s="241" t="s">
        <v>234</v>
      </c>
      <c r="D32" s="241" t="s">
        <v>94</v>
      </c>
      <c r="E32" s="242">
        <v>205</v>
      </c>
      <c r="F32" s="565">
        <v>16</v>
      </c>
      <c r="G32" s="433"/>
      <c r="H32" s="242"/>
      <c r="I32" s="437"/>
      <c r="J32" s="435"/>
      <c r="K32" s="435"/>
      <c r="L32" s="437"/>
      <c r="M32" s="244"/>
    </row>
    <row r="33" spans="1:21" s="505" customFormat="1" ht="19.5" customHeight="1" x14ac:dyDescent="0.3">
      <c r="A33" s="497">
        <f t="shared" si="1"/>
        <v>8.4999999999999982</v>
      </c>
      <c r="B33" s="242">
        <v>5.0999999999999996</v>
      </c>
      <c r="C33" s="241" t="s">
        <v>333</v>
      </c>
      <c r="D33" s="241" t="s">
        <v>59</v>
      </c>
      <c r="E33" s="242">
        <v>3.08</v>
      </c>
      <c r="F33" s="565">
        <f>E33*F28</f>
        <v>0.16632</v>
      </c>
      <c r="G33" s="433"/>
      <c r="H33" s="242"/>
      <c r="I33" s="437"/>
      <c r="J33" s="435"/>
      <c r="K33" s="435"/>
      <c r="L33" s="437"/>
      <c r="M33" s="244"/>
      <c r="N33" s="504"/>
      <c r="O33" s="504"/>
      <c r="P33" s="504"/>
      <c r="Q33" s="504"/>
      <c r="R33" s="504"/>
      <c r="S33" s="504"/>
      <c r="T33" s="504"/>
      <c r="U33" s="504"/>
    </row>
    <row r="34" spans="1:21" s="171" customFormat="1" ht="16.5" customHeight="1" x14ac:dyDescent="0.35">
      <c r="A34" s="497">
        <f t="shared" si="1"/>
        <v>8.5999999999999979</v>
      </c>
      <c r="B34" s="241" t="s">
        <v>204</v>
      </c>
      <c r="C34" s="241" t="s">
        <v>205</v>
      </c>
      <c r="D34" s="241" t="s">
        <v>74</v>
      </c>
      <c r="E34" s="242">
        <v>170</v>
      </c>
      <c r="F34" s="565">
        <f>E34*F28</f>
        <v>9.18</v>
      </c>
      <c r="G34" s="433"/>
      <c r="H34" s="242"/>
      <c r="I34" s="437"/>
      <c r="J34" s="435"/>
      <c r="K34" s="435"/>
      <c r="L34" s="437"/>
      <c r="M34" s="244"/>
    </row>
    <row r="35" spans="1:21" s="507" customFormat="1" ht="20.25" customHeight="1" x14ac:dyDescent="0.3">
      <c r="A35" s="497">
        <f t="shared" si="1"/>
        <v>8.6999999999999975</v>
      </c>
      <c r="B35" s="500" t="s">
        <v>20</v>
      </c>
      <c r="C35" s="241" t="s">
        <v>334</v>
      </c>
      <c r="D35" s="241" t="s">
        <v>335</v>
      </c>
      <c r="E35" s="242" t="s">
        <v>88</v>
      </c>
      <c r="F35" s="391">
        <v>291.06</v>
      </c>
      <c r="G35" s="501"/>
      <c r="H35" s="242"/>
      <c r="I35" s="437"/>
      <c r="J35" s="435"/>
      <c r="K35" s="435"/>
      <c r="L35" s="437"/>
      <c r="M35" s="244"/>
      <c r="N35" s="506"/>
      <c r="O35" s="506"/>
      <c r="P35" s="506"/>
      <c r="Q35" s="506"/>
      <c r="R35" s="506"/>
      <c r="S35" s="506"/>
      <c r="T35" s="506"/>
      <c r="U35" s="506"/>
    </row>
    <row r="36" spans="1:21" s="502" customFormat="1" ht="18" customHeight="1" x14ac:dyDescent="0.35">
      <c r="A36" s="497">
        <f t="shared" si="1"/>
        <v>8.7999999999999972</v>
      </c>
      <c r="B36" s="241" t="s">
        <v>336</v>
      </c>
      <c r="C36" s="241" t="s">
        <v>337</v>
      </c>
      <c r="D36" s="241" t="s">
        <v>335</v>
      </c>
      <c r="E36" s="242" t="s">
        <v>88</v>
      </c>
      <c r="F36" s="391">
        <v>87.61</v>
      </c>
      <c r="G36" s="501"/>
      <c r="H36" s="242"/>
      <c r="I36" s="437"/>
      <c r="J36" s="435"/>
      <c r="K36" s="435"/>
      <c r="L36" s="437"/>
      <c r="M36" s="244"/>
      <c r="R36" s="171"/>
      <c r="S36" s="171"/>
      <c r="T36" s="171"/>
    </row>
    <row r="37" spans="1:21" s="171" customFormat="1" ht="16.5" customHeight="1" x14ac:dyDescent="0.35">
      <c r="A37" s="497">
        <f t="shared" si="1"/>
        <v>8.8999999999999968</v>
      </c>
      <c r="B37" s="241"/>
      <c r="C37" s="241" t="s">
        <v>330</v>
      </c>
      <c r="D37" s="241" t="s">
        <v>18</v>
      </c>
      <c r="E37" s="242">
        <v>70</v>
      </c>
      <c r="F37" s="565">
        <f>E37*F28</f>
        <v>3.78</v>
      </c>
      <c r="G37" s="433"/>
      <c r="H37" s="242"/>
      <c r="I37" s="437"/>
      <c r="J37" s="435"/>
      <c r="K37" s="435"/>
      <c r="L37" s="437"/>
      <c r="M37" s="244"/>
    </row>
    <row r="38" spans="1:21" s="352" customFormat="1" ht="42.75" customHeight="1" x14ac:dyDescent="0.3">
      <c r="A38" s="508">
        <v>9</v>
      </c>
      <c r="B38" s="509" t="s">
        <v>339</v>
      </c>
      <c r="C38" s="510" t="s">
        <v>340</v>
      </c>
      <c r="D38" s="510" t="s">
        <v>59</v>
      </c>
      <c r="E38" s="511"/>
      <c r="F38" s="531">
        <v>7</v>
      </c>
      <c r="G38" s="511"/>
      <c r="H38" s="512"/>
      <c r="I38" s="512"/>
      <c r="J38" s="513"/>
      <c r="K38" s="512"/>
      <c r="L38" s="512"/>
      <c r="M38" s="531"/>
    </row>
    <row r="39" spans="1:21" s="352" customFormat="1" ht="21" customHeight="1" x14ac:dyDescent="0.3">
      <c r="A39" s="514">
        <f t="shared" ref="A39:A42" si="2">A38+0.1</f>
        <v>9.1</v>
      </c>
      <c r="B39" s="515"/>
      <c r="C39" s="516" t="s">
        <v>68</v>
      </c>
      <c r="D39" s="516" t="s">
        <v>17</v>
      </c>
      <c r="E39" s="517">
        <v>3.36</v>
      </c>
      <c r="F39" s="532">
        <f>E39*F38</f>
        <v>23.52</v>
      </c>
      <c r="G39" s="519"/>
      <c r="H39" s="519"/>
      <c r="I39" s="517"/>
      <c r="J39" s="518"/>
      <c r="K39" s="519"/>
      <c r="L39" s="519"/>
      <c r="M39" s="532"/>
    </row>
    <row r="40" spans="1:21" s="352" customFormat="1" ht="21" customHeight="1" x14ac:dyDescent="0.3">
      <c r="A40" s="514">
        <f t="shared" si="2"/>
        <v>9.1999999999999993</v>
      </c>
      <c r="B40" s="520"/>
      <c r="C40" s="521" t="s">
        <v>213</v>
      </c>
      <c r="D40" s="521" t="s">
        <v>18</v>
      </c>
      <c r="E40" s="522">
        <v>0.92</v>
      </c>
      <c r="F40" s="567">
        <f>E40*F38</f>
        <v>6.44</v>
      </c>
      <c r="G40" s="523"/>
      <c r="H40" s="523"/>
      <c r="I40" s="523"/>
      <c r="J40" s="524"/>
      <c r="K40" s="522"/>
      <c r="L40" s="522"/>
      <c r="M40" s="533"/>
    </row>
    <row r="41" spans="1:21" s="352" customFormat="1" ht="21" customHeight="1" x14ac:dyDescent="0.3">
      <c r="A41" s="514">
        <f t="shared" si="2"/>
        <v>9.2999999999999989</v>
      </c>
      <c r="B41" s="526" t="s">
        <v>341</v>
      </c>
      <c r="C41" s="526" t="s">
        <v>342</v>
      </c>
      <c r="D41" s="526" t="s">
        <v>59</v>
      </c>
      <c r="E41" s="527">
        <v>0.11</v>
      </c>
      <c r="F41" s="568">
        <f>E41*F38</f>
        <v>0.77</v>
      </c>
      <c r="G41" s="527"/>
      <c r="H41" s="527"/>
      <c r="I41" s="512"/>
      <c r="J41" s="513"/>
      <c r="K41" s="512"/>
      <c r="L41" s="512"/>
      <c r="M41" s="534"/>
    </row>
    <row r="42" spans="1:21" s="352" customFormat="1" ht="26.25" customHeight="1" x14ac:dyDescent="0.3">
      <c r="A42" s="514">
        <f t="shared" si="2"/>
        <v>9.3999999999999986</v>
      </c>
      <c r="B42" s="529" t="s">
        <v>343</v>
      </c>
      <c r="C42" s="526" t="s">
        <v>344</v>
      </c>
      <c r="D42" s="526" t="s">
        <v>26</v>
      </c>
      <c r="E42" s="527">
        <f>12.5*100/20</f>
        <v>62.5</v>
      </c>
      <c r="F42" s="568">
        <f>E42*F38</f>
        <v>437.5</v>
      </c>
      <c r="G42" s="527"/>
      <c r="H42" s="527"/>
      <c r="I42" s="512"/>
      <c r="J42" s="513"/>
      <c r="K42" s="512"/>
      <c r="L42" s="512"/>
      <c r="M42" s="534"/>
    </row>
    <row r="43" spans="1:21" s="352" customFormat="1" ht="21" customHeight="1" x14ac:dyDescent="0.3">
      <c r="A43" s="530">
        <v>14.5</v>
      </c>
      <c r="B43" s="529"/>
      <c r="C43" s="526" t="s">
        <v>91</v>
      </c>
      <c r="D43" s="526" t="s">
        <v>70</v>
      </c>
      <c r="E43" s="527">
        <v>0.16</v>
      </c>
      <c r="F43" s="568">
        <f>E43*F38</f>
        <v>1.1200000000000001</v>
      </c>
      <c r="G43" s="527"/>
      <c r="H43" s="527"/>
      <c r="I43" s="512"/>
      <c r="J43" s="513"/>
      <c r="K43" s="512"/>
      <c r="L43" s="512"/>
      <c r="M43" s="534"/>
    </row>
    <row r="44" spans="1:21" s="171" customFormat="1" ht="42.75" customHeight="1" x14ac:dyDescent="0.35">
      <c r="A44" s="49" t="s">
        <v>32</v>
      </c>
      <c r="B44" s="60" t="s">
        <v>360</v>
      </c>
      <c r="C44" s="30" t="s">
        <v>361</v>
      </c>
      <c r="D44" s="30" t="s">
        <v>15</v>
      </c>
      <c r="E44" s="376"/>
      <c r="F44" s="407">
        <v>0.01</v>
      </c>
      <c r="G44" s="376"/>
      <c r="H44" s="540"/>
      <c r="I44" s="540"/>
      <c r="J44" s="540"/>
      <c r="K44" s="540"/>
      <c r="L44" s="540"/>
      <c r="M44" s="376"/>
    </row>
    <row r="45" spans="1:21" s="410" customFormat="1" ht="16.5" customHeight="1" x14ac:dyDescent="0.35">
      <c r="A45" s="493">
        <f>A44+0.1</f>
        <v>10.1</v>
      </c>
      <c r="B45" s="241"/>
      <c r="C45" s="242" t="s">
        <v>44</v>
      </c>
      <c r="D45" s="242" t="s">
        <v>17</v>
      </c>
      <c r="E45" s="242">
        <v>242</v>
      </c>
      <c r="F45" s="565">
        <f>E45*F44</f>
        <v>2.42</v>
      </c>
      <c r="G45" s="541"/>
      <c r="H45" s="541"/>
      <c r="I45" s="242"/>
      <c r="J45" s="242"/>
      <c r="K45" s="541"/>
      <c r="L45" s="541"/>
      <c r="M45" s="242"/>
    </row>
    <row r="46" spans="1:21" s="410" customFormat="1" ht="16.5" customHeight="1" x14ac:dyDescent="0.35">
      <c r="A46" s="241">
        <f>A45+0.1</f>
        <v>10.199999999999999</v>
      </c>
      <c r="B46" s="241"/>
      <c r="C46" s="241" t="s">
        <v>249</v>
      </c>
      <c r="D46" s="241" t="s">
        <v>18</v>
      </c>
      <c r="E46" s="242">
        <v>108</v>
      </c>
      <c r="F46" s="565">
        <f>E46*F44</f>
        <v>1.08</v>
      </c>
      <c r="G46" s="542"/>
      <c r="H46" s="542"/>
      <c r="I46" s="542"/>
      <c r="J46" s="542"/>
      <c r="K46" s="242"/>
      <c r="L46" s="242"/>
      <c r="M46" s="242"/>
    </row>
    <row r="47" spans="1:21" s="171" customFormat="1" ht="16.5" customHeight="1" x14ac:dyDescent="0.35">
      <c r="A47" s="303">
        <f>A46+0.1</f>
        <v>10.299999999999999</v>
      </c>
      <c r="B47" s="313" t="s">
        <v>265</v>
      </c>
      <c r="C47" s="303" t="s">
        <v>233</v>
      </c>
      <c r="D47" s="303" t="s">
        <v>59</v>
      </c>
      <c r="E47" s="57">
        <v>101.5</v>
      </c>
      <c r="F47" s="392">
        <f>F44*E47</f>
        <v>1.0150000000000001</v>
      </c>
      <c r="G47" s="246"/>
      <c r="H47" s="57"/>
      <c r="I47" s="540"/>
      <c r="J47" s="540"/>
      <c r="K47" s="540"/>
      <c r="L47" s="540"/>
      <c r="M47" s="57"/>
    </row>
    <row r="48" spans="1:21" s="171" customFormat="1" ht="16.5" customHeight="1" x14ac:dyDescent="0.35">
      <c r="A48" s="303">
        <f t="shared" ref="A48:A52" si="3">A47+0.1</f>
        <v>10.399999999999999</v>
      </c>
      <c r="B48" s="303">
        <v>5.1390000000000002</v>
      </c>
      <c r="C48" s="303" t="s">
        <v>234</v>
      </c>
      <c r="D48" s="303" t="s">
        <v>94</v>
      </c>
      <c r="E48" s="57">
        <v>14</v>
      </c>
      <c r="F48" s="392">
        <f>E48*F44</f>
        <v>0.14000000000000001</v>
      </c>
      <c r="G48" s="57"/>
      <c r="H48" s="57"/>
      <c r="I48" s="540"/>
      <c r="J48" s="540"/>
      <c r="K48" s="540"/>
      <c r="L48" s="540"/>
      <c r="M48" s="57"/>
    </row>
    <row r="49" spans="1:33" s="171" customFormat="1" ht="16.5" customHeight="1" x14ac:dyDescent="0.35">
      <c r="A49" s="303">
        <f t="shared" si="3"/>
        <v>10.499999999999998</v>
      </c>
      <c r="B49" s="57">
        <v>5.0999999999999996</v>
      </c>
      <c r="C49" s="303" t="s">
        <v>333</v>
      </c>
      <c r="D49" s="303" t="s">
        <v>59</v>
      </c>
      <c r="E49" s="57">
        <v>0.17</v>
      </c>
      <c r="F49" s="569">
        <f>E49*F44</f>
        <v>1.7000000000000001E-3</v>
      </c>
      <c r="G49" s="57"/>
      <c r="H49" s="57"/>
      <c r="I49" s="540"/>
      <c r="J49" s="540"/>
      <c r="K49" s="540"/>
      <c r="L49" s="540"/>
      <c r="M49" s="57"/>
    </row>
    <row r="50" spans="1:33" s="171" customFormat="1" ht="16.5" customHeight="1" x14ac:dyDescent="0.35">
      <c r="A50" s="303">
        <f t="shared" si="3"/>
        <v>10.599999999999998</v>
      </c>
      <c r="B50" s="303" t="s">
        <v>336</v>
      </c>
      <c r="C50" s="303" t="s">
        <v>362</v>
      </c>
      <c r="D50" s="303" t="s">
        <v>74</v>
      </c>
      <c r="E50" s="57" t="s">
        <v>88</v>
      </c>
      <c r="F50" s="392">
        <v>97.81</v>
      </c>
      <c r="G50" s="543"/>
      <c r="H50" s="57"/>
      <c r="I50" s="540"/>
      <c r="J50" s="540"/>
      <c r="K50" s="540"/>
      <c r="L50" s="540"/>
      <c r="M50" s="57"/>
    </row>
    <row r="51" spans="1:33" s="507" customFormat="1" ht="20.25" customHeight="1" x14ac:dyDescent="0.3">
      <c r="A51" s="497">
        <f t="shared" si="3"/>
        <v>10.699999999999998</v>
      </c>
      <c r="B51" s="500" t="s">
        <v>20</v>
      </c>
      <c r="C51" s="241" t="s">
        <v>334</v>
      </c>
      <c r="D51" s="241" t="s">
        <v>335</v>
      </c>
      <c r="E51" s="242" t="s">
        <v>88</v>
      </c>
      <c r="F51" s="391">
        <v>13.65</v>
      </c>
      <c r="G51" s="501"/>
      <c r="H51" s="242"/>
      <c r="I51" s="437"/>
      <c r="J51" s="435"/>
      <c r="K51" s="435"/>
      <c r="L51" s="437"/>
      <c r="M51" s="244"/>
      <c r="N51" s="506"/>
      <c r="O51" s="506"/>
      <c r="P51" s="506"/>
      <c r="Q51" s="506"/>
      <c r="R51" s="506"/>
      <c r="S51" s="506"/>
      <c r="T51" s="506"/>
      <c r="U51" s="506"/>
    </row>
    <row r="52" spans="1:33" s="171" customFormat="1" ht="16.5" customHeight="1" x14ac:dyDescent="0.35">
      <c r="A52" s="497">
        <f t="shared" si="3"/>
        <v>10.799999999999997</v>
      </c>
      <c r="B52" s="303"/>
      <c r="C52" s="303" t="s">
        <v>330</v>
      </c>
      <c r="D52" s="303" t="s">
        <v>18</v>
      </c>
      <c r="E52" s="57">
        <v>22</v>
      </c>
      <c r="F52" s="392">
        <f>E52*F44</f>
        <v>0.22</v>
      </c>
      <c r="G52" s="57"/>
      <c r="H52" s="57"/>
      <c r="I52" s="540"/>
      <c r="J52" s="540"/>
      <c r="K52" s="540"/>
      <c r="L52" s="540"/>
      <c r="M52" s="57"/>
    </row>
    <row r="53" spans="1:33" s="352" customFormat="1" ht="27" customHeight="1" x14ac:dyDescent="0.3">
      <c r="A53" s="544">
        <v>11</v>
      </c>
      <c r="B53" s="509" t="s">
        <v>363</v>
      </c>
      <c r="C53" s="409" t="s">
        <v>364</v>
      </c>
      <c r="D53" s="409" t="s">
        <v>94</v>
      </c>
      <c r="E53" s="545"/>
      <c r="F53" s="570">
        <v>3.4</v>
      </c>
      <c r="G53" s="545"/>
      <c r="H53" s="546"/>
      <c r="I53" s="546"/>
      <c r="J53" s="546"/>
      <c r="K53" s="546"/>
      <c r="L53" s="547"/>
      <c r="M53" s="376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548"/>
      <c r="Y53" s="548"/>
      <c r="Z53" s="548"/>
    </row>
    <row r="54" spans="1:33" s="352" customFormat="1" ht="15.75" customHeight="1" x14ac:dyDescent="0.3">
      <c r="A54" s="493">
        <f>A53+0.1</f>
        <v>11.1</v>
      </c>
      <c r="B54" s="411"/>
      <c r="C54" s="516" t="s">
        <v>81</v>
      </c>
      <c r="D54" s="516" t="s">
        <v>17</v>
      </c>
      <c r="E54" s="516">
        <v>0.77900000000000003</v>
      </c>
      <c r="F54" s="571">
        <f>E54*F53</f>
        <v>2.6486000000000001</v>
      </c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48"/>
      <c r="Z54" s="548"/>
    </row>
    <row r="55" spans="1:33" s="352" customFormat="1" ht="15.75" customHeight="1" x14ac:dyDescent="0.3">
      <c r="A55" s="493">
        <f t="shared" ref="A55:A58" si="4">A54+0.1</f>
        <v>11.2</v>
      </c>
      <c r="B55" s="411"/>
      <c r="C55" s="411" t="s">
        <v>93</v>
      </c>
      <c r="D55" s="550" t="s">
        <v>70</v>
      </c>
      <c r="E55" s="550">
        <v>0.104</v>
      </c>
      <c r="F55" s="572">
        <f>F53*E55</f>
        <v>0.35359999999999997</v>
      </c>
      <c r="H55" s="546"/>
      <c r="I55" s="546"/>
      <c r="J55" s="517"/>
      <c r="K55" s="549"/>
      <c r="L55" s="546"/>
      <c r="M55" s="546"/>
      <c r="N55" s="549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548"/>
      <c r="Z55" s="548"/>
    </row>
    <row r="56" spans="1:33" s="352" customFormat="1" ht="15.75" customHeight="1" x14ac:dyDescent="0.3">
      <c r="A56" s="493">
        <f t="shared" si="4"/>
        <v>11.299999999999999</v>
      </c>
      <c r="B56" s="411" t="s">
        <v>365</v>
      </c>
      <c r="C56" s="411" t="s">
        <v>366</v>
      </c>
      <c r="D56" s="411" t="s">
        <v>94</v>
      </c>
      <c r="E56" s="412" t="s">
        <v>88</v>
      </c>
      <c r="F56" s="573">
        <f>F53*1.02</f>
        <v>3.468</v>
      </c>
      <c r="H56" s="550"/>
      <c r="I56" s="550"/>
      <c r="J56" s="550"/>
      <c r="K56" s="550"/>
      <c r="L56" s="550"/>
      <c r="M56" s="550"/>
      <c r="N56" s="550"/>
      <c r="O56" s="548"/>
      <c r="P56" s="548"/>
      <c r="Q56" s="548"/>
      <c r="R56" s="548"/>
      <c r="S56" s="548"/>
      <c r="T56" s="548"/>
      <c r="U56" s="548"/>
      <c r="V56" s="548"/>
      <c r="W56" s="548"/>
      <c r="X56" s="548"/>
      <c r="Y56" s="548"/>
      <c r="Z56" s="548"/>
    </row>
    <row r="57" spans="1:33" s="352" customFormat="1" ht="15.75" customHeight="1" x14ac:dyDescent="0.3">
      <c r="A57" s="493">
        <f t="shared" si="4"/>
        <v>11.399999999999999</v>
      </c>
      <c r="B57" s="411" t="s">
        <v>367</v>
      </c>
      <c r="C57" s="411" t="s">
        <v>368</v>
      </c>
      <c r="D57" s="411" t="s">
        <v>59</v>
      </c>
      <c r="E57" s="412">
        <v>2.1100000000000001E-2</v>
      </c>
      <c r="F57" s="573">
        <f>E57*F53</f>
        <v>7.1739999999999998E-2</v>
      </c>
      <c r="H57" s="412"/>
      <c r="I57" s="412"/>
      <c r="J57" s="546"/>
      <c r="K57" s="546"/>
      <c r="L57" s="546"/>
      <c r="M57" s="546"/>
      <c r="N57" s="551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</row>
    <row r="58" spans="1:33" s="352" customFormat="1" ht="15.75" customHeight="1" x14ac:dyDescent="0.3">
      <c r="A58" s="493">
        <f t="shared" si="4"/>
        <v>11.499999999999998</v>
      </c>
      <c r="B58" s="526"/>
      <c r="C58" s="526" t="s">
        <v>330</v>
      </c>
      <c r="D58" s="526" t="s">
        <v>70</v>
      </c>
      <c r="E58" s="527">
        <v>4.6600000000000003E-2</v>
      </c>
      <c r="F58" s="568">
        <f>E58*F53</f>
        <v>0.15844</v>
      </c>
      <c r="H58" s="412"/>
      <c r="I58" s="412"/>
      <c r="J58" s="546"/>
      <c r="K58" s="546"/>
      <c r="L58" s="546"/>
      <c r="M58" s="546"/>
      <c r="N58" s="551"/>
      <c r="O58" s="548"/>
      <c r="P58" s="548"/>
      <c r="Q58" s="548"/>
      <c r="R58" s="548"/>
      <c r="S58" s="548"/>
      <c r="T58" s="548"/>
      <c r="U58" s="548"/>
      <c r="V58" s="548"/>
      <c r="W58" s="548"/>
      <c r="X58" s="548"/>
      <c r="Y58" s="548"/>
      <c r="Z58" s="548"/>
    </row>
    <row r="59" spans="1:33" s="352" customFormat="1" ht="27" customHeight="1" x14ac:dyDescent="0.3">
      <c r="A59" s="508">
        <v>12</v>
      </c>
      <c r="B59" s="552" t="s">
        <v>369</v>
      </c>
      <c r="C59" s="552" t="s">
        <v>370</v>
      </c>
      <c r="D59" s="552" t="s">
        <v>371</v>
      </c>
      <c r="E59" s="553"/>
      <c r="F59" s="570">
        <v>0.253</v>
      </c>
      <c r="G59" s="553"/>
      <c r="H59" s="527"/>
      <c r="I59" s="527"/>
      <c r="J59" s="512"/>
      <c r="K59" s="513"/>
      <c r="L59" s="512"/>
      <c r="M59" s="512"/>
      <c r="N59" s="528"/>
      <c r="O59" s="554"/>
      <c r="P59" s="554"/>
      <c r="Q59" s="408"/>
      <c r="R59" s="408"/>
      <c r="S59" s="408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8"/>
      <c r="AF59" s="408"/>
      <c r="AG59" s="408"/>
    </row>
    <row r="60" spans="1:33" s="352" customFormat="1" ht="15.75" customHeight="1" x14ac:dyDescent="0.3">
      <c r="A60" s="555">
        <f>A59+0.1</f>
        <v>12.1</v>
      </c>
      <c r="B60" s="556"/>
      <c r="C60" s="556" t="s">
        <v>71</v>
      </c>
      <c r="D60" s="556" t="s">
        <v>17</v>
      </c>
      <c r="E60" s="549">
        <v>133</v>
      </c>
      <c r="F60" s="574">
        <f>E60*F59</f>
        <v>33.649000000000001</v>
      </c>
      <c r="G60" s="557"/>
      <c r="H60" s="519"/>
      <c r="I60" s="549"/>
      <c r="J60" s="558"/>
      <c r="K60" s="557"/>
      <c r="L60" s="519"/>
      <c r="M60" s="517"/>
      <c r="N60" s="554"/>
      <c r="O60" s="554"/>
      <c r="P60" s="554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/>
      <c r="AF60" s="408"/>
      <c r="AG60" s="408"/>
    </row>
    <row r="61" spans="1:33" s="352" customFormat="1" ht="15.75" customHeight="1" x14ac:dyDescent="0.3">
      <c r="A61" s="559">
        <f t="shared" ref="A61:A63" si="5">A60+0.1</f>
        <v>12.2</v>
      </c>
      <c r="B61" s="560"/>
      <c r="C61" s="560" t="s">
        <v>61</v>
      </c>
      <c r="D61" s="521" t="s">
        <v>18</v>
      </c>
      <c r="E61" s="561">
        <v>3.69</v>
      </c>
      <c r="F61" s="575">
        <f>E61*F59</f>
        <v>0.93357000000000001</v>
      </c>
      <c r="G61" s="524"/>
      <c r="H61" s="523"/>
      <c r="I61" s="523"/>
      <c r="J61" s="524"/>
      <c r="K61" s="562"/>
      <c r="L61" s="561"/>
      <c r="M61" s="525"/>
      <c r="N61" s="554"/>
      <c r="O61" s="554"/>
      <c r="P61" s="554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/>
      <c r="AF61" s="408"/>
      <c r="AG61" s="408"/>
    </row>
    <row r="62" spans="1:33" s="352" customFormat="1" ht="15.75" customHeight="1" x14ac:dyDescent="0.3">
      <c r="A62" s="563">
        <f t="shared" si="5"/>
        <v>12.299999999999999</v>
      </c>
      <c r="B62" s="411" t="s">
        <v>372</v>
      </c>
      <c r="C62" s="411" t="s">
        <v>203</v>
      </c>
      <c r="D62" s="411" t="s">
        <v>202</v>
      </c>
      <c r="E62" s="412" t="s">
        <v>88</v>
      </c>
      <c r="F62" s="573">
        <f>F59*100</f>
        <v>25.3</v>
      </c>
      <c r="G62" s="413"/>
      <c r="H62" s="412"/>
      <c r="I62" s="512"/>
      <c r="J62" s="513"/>
      <c r="K62" s="513"/>
      <c r="L62" s="512"/>
      <c r="M62" s="528"/>
      <c r="N62" s="438"/>
      <c r="O62" s="438"/>
      <c r="P62" s="438"/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8"/>
      <c r="AF62" s="408"/>
      <c r="AG62" s="408"/>
    </row>
    <row r="63" spans="1:33" s="352" customFormat="1" ht="15.75" customHeight="1" x14ac:dyDescent="0.3">
      <c r="A63" s="563">
        <f t="shared" si="5"/>
        <v>12.399999999999999</v>
      </c>
      <c r="B63" s="411"/>
      <c r="C63" s="411" t="s">
        <v>73</v>
      </c>
      <c r="D63" s="526" t="s">
        <v>18</v>
      </c>
      <c r="E63" s="412">
        <v>41.9</v>
      </c>
      <c r="F63" s="573">
        <f>E63*F59</f>
        <v>10.6007</v>
      </c>
      <c r="G63" s="413"/>
      <c r="H63" s="412"/>
      <c r="I63" s="512"/>
      <c r="J63" s="513"/>
      <c r="K63" s="513"/>
      <c r="L63" s="512"/>
      <c r="M63" s="528"/>
      <c r="N63" s="554"/>
      <c r="O63" s="554"/>
      <c r="P63" s="554"/>
      <c r="Q63" s="408"/>
      <c r="R63" s="408"/>
      <c r="S63" s="408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408"/>
    </row>
    <row r="64" spans="1:33" s="352" customFormat="1" ht="33.75" customHeight="1" x14ac:dyDescent="0.3">
      <c r="A64" s="535">
        <v>13</v>
      </c>
      <c r="B64" s="60" t="s">
        <v>345</v>
      </c>
      <c r="C64" s="79" t="s">
        <v>346</v>
      </c>
      <c r="D64" s="79" t="s">
        <v>56</v>
      </c>
      <c r="E64" s="237"/>
      <c r="F64" s="576">
        <v>1.4</v>
      </c>
      <c r="G64" s="490"/>
      <c r="H64" s="437"/>
      <c r="I64" s="437"/>
      <c r="J64" s="437"/>
      <c r="K64" s="435"/>
      <c r="L64" s="437"/>
      <c r="M64" s="237"/>
    </row>
    <row r="65" spans="1:13" s="352" customFormat="1" ht="21" customHeight="1" x14ac:dyDescent="0.3">
      <c r="A65" s="241">
        <f>A64+0.1</f>
        <v>13.1</v>
      </c>
      <c r="B65" s="536"/>
      <c r="C65" s="241" t="s">
        <v>68</v>
      </c>
      <c r="D65" s="241" t="s">
        <v>17</v>
      </c>
      <c r="E65" s="242">
        <v>93</v>
      </c>
      <c r="F65" s="565">
        <f>E65*F64</f>
        <v>130.19999999999999</v>
      </c>
      <c r="G65" s="435"/>
      <c r="H65" s="437"/>
      <c r="I65" s="242"/>
      <c r="J65" s="242"/>
      <c r="K65" s="435"/>
      <c r="L65" s="437"/>
      <c r="M65" s="242"/>
    </row>
    <row r="66" spans="1:13" s="352" customFormat="1" ht="21" customHeight="1" x14ac:dyDescent="0.3">
      <c r="A66" s="241">
        <f>A65+0.1</f>
        <v>13.2</v>
      </c>
      <c r="B66" s="536" t="s">
        <v>347</v>
      </c>
      <c r="C66" s="241" t="s">
        <v>348</v>
      </c>
      <c r="D66" s="241" t="s">
        <v>50</v>
      </c>
      <c r="E66" s="242">
        <v>2.4</v>
      </c>
      <c r="F66" s="565">
        <f>E66*F64</f>
        <v>3.36</v>
      </c>
      <c r="G66" s="435"/>
      <c r="H66" s="437"/>
      <c r="I66" s="437"/>
      <c r="J66" s="437"/>
      <c r="K66" s="433"/>
      <c r="L66" s="242"/>
      <c r="M66" s="244"/>
    </row>
    <row r="67" spans="1:13" s="352" customFormat="1" ht="21" customHeight="1" x14ac:dyDescent="0.3">
      <c r="A67" s="497">
        <f>A66+0.1</f>
        <v>13.299999999999999</v>
      </c>
      <c r="B67" s="536"/>
      <c r="C67" s="241" t="s">
        <v>349</v>
      </c>
      <c r="D67" s="241" t="s">
        <v>18</v>
      </c>
      <c r="E67" s="242">
        <v>2.6</v>
      </c>
      <c r="F67" s="565">
        <f>E67*F64</f>
        <v>3.6399999999999997</v>
      </c>
      <c r="G67" s="435"/>
      <c r="H67" s="437"/>
      <c r="I67" s="437"/>
      <c r="J67" s="437"/>
      <c r="K67" s="433"/>
      <c r="L67" s="242"/>
      <c r="M67" s="244"/>
    </row>
    <row r="68" spans="1:13" s="352" customFormat="1" ht="21" customHeight="1" x14ac:dyDescent="0.3">
      <c r="A68" s="497">
        <f>A67+0.1</f>
        <v>13.399999999999999</v>
      </c>
      <c r="B68" s="537" t="s">
        <v>350</v>
      </c>
      <c r="C68" s="424" t="s">
        <v>351</v>
      </c>
      <c r="D68" s="424" t="s">
        <v>59</v>
      </c>
      <c r="E68" s="59">
        <v>2.56</v>
      </c>
      <c r="F68" s="388">
        <f>E68*F64</f>
        <v>3.5839999999999996</v>
      </c>
      <c r="G68" s="59"/>
      <c r="H68" s="59"/>
      <c r="I68" s="538"/>
      <c r="J68" s="538"/>
      <c r="K68" s="538"/>
      <c r="L68" s="538"/>
      <c r="M68" s="539"/>
    </row>
    <row r="69" spans="1:13" s="352" customFormat="1" ht="38.25" customHeight="1" x14ac:dyDescent="0.3">
      <c r="A69" s="535">
        <v>14</v>
      </c>
      <c r="B69" s="60" t="s">
        <v>352</v>
      </c>
      <c r="C69" s="79" t="s">
        <v>353</v>
      </c>
      <c r="D69" s="79" t="s">
        <v>56</v>
      </c>
      <c r="E69" s="237"/>
      <c r="F69" s="577">
        <f>F64</f>
        <v>1.4</v>
      </c>
      <c r="G69" s="490"/>
      <c r="H69" s="437"/>
      <c r="I69" s="437"/>
      <c r="J69" s="437"/>
      <c r="K69" s="435"/>
      <c r="L69" s="437"/>
      <c r="M69" s="237"/>
    </row>
    <row r="70" spans="1:13" s="352" customFormat="1" ht="21" customHeight="1" x14ac:dyDescent="0.3">
      <c r="A70" s="241">
        <f>A69+0.1</f>
        <v>14.1</v>
      </c>
      <c r="B70" s="536"/>
      <c r="C70" s="241" t="s">
        <v>354</v>
      </c>
      <c r="D70" s="241" t="s">
        <v>17</v>
      </c>
      <c r="E70" s="242">
        <v>65.8</v>
      </c>
      <c r="F70" s="565">
        <f>E70*F69</f>
        <v>92.11999999999999</v>
      </c>
      <c r="G70" s="435"/>
      <c r="H70" s="437"/>
      <c r="I70" s="242"/>
      <c r="J70" s="242"/>
      <c r="K70" s="435"/>
      <c r="L70" s="437"/>
      <c r="M70" s="242"/>
    </row>
    <row r="71" spans="1:13" s="352" customFormat="1" ht="21" customHeight="1" x14ac:dyDescent="0.3">
      <c r="A71" s="241">
        <f>A70+0.1</f>
        <v>14.2</v>
      </c>
      <c r="B71" s="536"/>
      <c r="C71" s="241" t="s">
        <v>355</v>
      </c>
      <c r="D71" s="241" t="s">
        <v>18</v>
      </c>
      <c r="E71" s="242">
        <v>1</v>
      </c>
      <c r="F71" s="565">
        <f>E71*F69</f>
        <v>1.4</v>
      </c>
      <c r="G71" s="435"/>
      <c r="H71" s="437"/>
      <c r="I71" s="437"/>
      <c r="J71" s="437"/>
      <c r="K71" s="433"/>
      <c r="L71" s="242"/>
      <c r="M71" s="244"/>
    </row>
    <row r="72" spans="1:13" s="352" customFormat="1" ht="21" customHeight="1" x14ac:dyDescent="0.3">
      <c r="A72" s="497">
        <f>A71+0.1</f>
        <v>14.299999999999999</v>
      </c>
      <c r="B72" s="536" t="s">
        <v>356</v>
      </c>
      <c r="C72" s="241" t="s">
        <v>357</v>
      </c>
      <c r="D72" s="241" t="s">
        <v>74</v>
      </c>
      <c r="E72" s="242">
        <v>63</v>
      </c>
      <c r="F72" s="565">
        <f>E72*F69</f>
        <v>88.199999999999989</v>
      </c>
      <c r="G72" s="433"/>
      <c r="H72" s="242"/>
      <c r="I72" s="437"/>
      <c r="J72" s="437"/>
      <c r="K72" s="435"/>
      <c r="L72" s="437"/>
      <c r="M72" s="244"/>
    </row>
    <row r="73" spans="1:13" s="352" customFormat="1" ht="21" customHeight="1" x14ac:dyDescent="0.3">
      <c r="A73" s="497">
        <f>A72+0.1</f>
        <v>14.399999999999999</v>
      </c>
      <c r="B73" s="536" t="s">
        <v>280</v>
      </c>
      <c r="C73" s="241" t="s">
        <v>358</v>
      </c>
      <c r="D73" s="241" t="s">
        <v>74</v>
      </c>
      <c r="E73" s="242">
        <v>79</v>
      </c>
      <c r="F73" s="565">
        <f>E73*F69</f>
        <v>110.6</v>
      </c>
      <c r="G73" s="433"/>
      <c r="H73" s="242"/>
      <c r="I73" s="437"/>
      <c r="J73" s="437"/>
      <c r="K73" s="435"/>
      <c r="L73" s="437"/>
      <c r="M73" s="244"/>
    </row>
    <row r="74" spans="1:13" s="352" customFormat="1" ht="15" x14ac:dyDescent="0.3">
      <c r="A74" s="497">
        <f>A73+0.1</f>
        <v>14.499999999999998</v>
      </c>
      <c r="B74" s="536"/>
      <c r="C74" s="241" t="s">
        <v>359</v>
      </c>
      <c r="D74" s="424" t="s">
        <v>18</v>
      </c>
      <c r="E74" s="242">
        <v>1.6</v>
      </c>
      <c r="F74" s="565">
        <f>E74*F69</f>
        <v>2.2399999999999998</v>
      </c>
      <c r="G74" s="433"/>
      <c r="H74" s="242"/>
      <c r="I74" s="437"/>
      <c r="J74" s="437"/>
      <c r="K74" s="435"/>
      <c r="L74" s="437"/>
      <c r="M74" s="244"/>
    </row>
    <row r="75" spans="1:13" s="352" customFormat="1" ht="57" customHeight="1" x14ac:dyDescent="0.3">
      <c r="A75" s="544">
        <v>15</v>
      </c>
      <c r="B75" s="509" t="s">
        <v>20</v>
      </c>
      <c r="C75" s="409" t="s">
        <v>373</v>
      </c>
      <c r="D75" s="409" t="s">
        <v>26</v>
      </c>
      <c r="E75" s="545"/>
      <c r="F75" s="570">
        <v>1</v>
      </c>
      <c r="G75" s="545"/>
      <c r="H75" s="546"/>
      <c r="I75" s="546"/>
      <c r="J75" s="546"/>
      <c r="K75" s="546"/>
      <c r="L75" s="547"/>
      <c r="M75" s="376"/>
    </row>
    <row r="76" spans="1:13" s="352" customFormat="1" ht="66.75" customHeight="1" x14ac:dyDescent="0.3">
      <c r="A76" s="544">
        <v>16</v>
      </c>
      <c r="B76" s="509" t="s">
        <v>20</v>
      </c>
      <c r="C76" s="409" t="s">
        <v>374</v>
      </c>
      <c r="D76" s="409" t="s">
        <v>26</v>
      </c>
      <c r="E76" s="545"/>
      <c r="F76" s="570">
        <v>1</v>
      </c>
      <c r="G76" s="545"/>
      <c r="H76" s="546"/>
      <c r="I76" s="546"/>
      <c r="J76" s="546"/>
      <c r="K76" s="546"/>
      <c r="L76" s="547"/>
      <c r="M76" s="376"/>
    </row>
    <row r="77" spans="1:13" ht="41.25" customHeight="1" x14ac:dyDescent="0.3">
      <c r="A77" s="70">
        <v>17</v>
      </c>
      <c r="B77" s="71" t="s">
        <v>75</v>
      </c>
      <c r="C77" s="71" t="s">
        <v>169</v>
      </c>
      <c r="D77" s="71" t="s">
        <v>59</v>
      </c>
      <c r="E77" s="72"/>
      <c r="F77" s="403">
        <f>F11/2</f>
        <v>29.8</v>
      </c>
      <c r="G77" s="74"/>
      <c r="H77" s="32"/>
      <c r="I77" s="16"/>
      <c r="J77" s="16"/>
      <c r="K77" s="16"/>
      <c r="L77" s="16"/>
      <c r="M77" s="16"/>
    </row>
    <row r="78" spans="1:13" ht="21.75" customHeight="1" x14ac:dyDescent="0.3">
      <c r="A78" s="75">
        <f t="shared" ref="A78:A82" si="6">A77+0.1</f>
        <v>17.100000000000001</v>
      </c>
      <c r="B78" s="18"/>
      <c r="C78" s="41" t="s">
        <v>71</v>
      </c>
      <c r="D78" s="41" t="s">
        <v>17</v>
      </c>
      <c r="E78" s="141">
        <f>15/100</f>
        <v>0.15</v>
      </c>
      <c r="F78" s="371">
        <f>E78*F77</f>
        <v>4.47</v>
      </c>
      <c r="G78" s="21"/>
      <c r="H78" s="21"/>
      <c r="I78" s="21"/>
      <c r="J78" s="21"/>
      <c r="K78" s="21"/>
      <c r="L78" s="21"/>
      <c r="M78" s="21"/>
    </row>
    <row r="79" spans="1:13" ht="29.25" customHeight="1" x14ac:dyDescent="0.3">
      <c r="A79" s="22">
        <f t="shared" si="6"/>
        <v>17.200000000000003</v>
      </c>
      <c r="B79" s="76">
        <v>13.2</v>
      </c>
      <c r="C79" s="89" t="s">
        <v>76</v>
      </c>
      <c r="D79" s="89" t="s">
        <v>50</v>
      </c>
      <c r="E79" s="142">
        <f>2.16/100</f>
        <v>2.1600000000000001E-2</v>
      </c>
      <c r="F79" s="393">
        <f>E79*F77</f>
        <v>0.64368000000000003</v>
      </c>
      <c r="G79" s="90"/>
      <c r="H79" s="90"/>
      <c r="I79" s="90"/>
      <c r="J79" s="90"/>
      <c r="K79" s="230"/>
      <c r="L79" s="90"/>
      <c r="M79" s="90"/>
    </row>
    <row r="80" spans="1:13" ht="21.75" customHeight="1" x14ac:dyDescent="0.3">
      <c r="A80" s="176">
        <f t="shared" si="6"/>
        <v>17.300000000000004</v>
      </c>
      <c r="B80" s="176">
        <v>13.222</v>
      </c>
      <c r="C80" s="89" t="s">
        <v>77</v>
      </c>
      <c r="D80" s="89" t="s">
        <v>50</v>
      </c>
      <c r="E80" s="142">
        <f>2.73/100</f>
        <v>2.7300000000000001E-2</v>
      </c>
      <c r="F80" s="393">
        <f>E80*F77</f>
        <v>0.81354000000000004</v>
      </c>
      <c r="G80" s="90"/>
      <c r="H80" s="90"/>
      <c r="I80" s="90"/>
      <c r="J80" s="90"/>
      <c r="K80" s="230"/>
      <c r="L80" s="90"/>
      <c r="M80" s="90"/>
    </row>
    <row r="81" spans="1:14" ht="22.5" customHeight="1" x14ac:dyDescent="0.3">
      <c r="A81" s="176">
        <f t="shared" si="6"/>
        <v>17.400000000000006</v>
      </c>
      <c r="B81" s="176">
        <v>13.228999999999999</v>
      </c>
      <c r="C81" s="89" t="s">
        <v>200</v>
      </c>
      <c r="D81" s="89" t="s">
        <v>184</v>
      </c>
      <c r="E81" s="143">
        <f>0.97/100</f>
        <v>9.7000000000000003E-3</v>
      </c>
      <c r="F81" s="393">
        <f>F77*E81</f>
        <v>0.28906000000000004</v>
      </c>
      <c r="G81" s="90"/>
      <c r="H81" s="90"/>
      <c r="I81" s="90"/>
      <c r="J81" s="90"/>
      <c r="K81" s="230"/>
      <c r="L81" s="90"/>
      <c r="M81" s="90"/>
    </row>
    <row r="82" spans="1:14" ht="22.5" customHeight="1" x14ac:dyDescent="0.3">
      <c r="A82" s="225">
        <f t="shared" si="6"/>
        <v>17.500000000000007</v>
      </c>
      <c r="B82" s="225" t="s">
        <v>245</v>
      </c>
      <c r="C82" s="213" t="s">
        <v>243</v>
      </c>
      <c r="D82" s="45" t="s">
        <v>59</v>
      </c>
      <c r="E82" s="58">
        <v>1.22</v>
      </c>
      <c r="F82" s="392">
        <f>E82*F77</f>
        <v>36.356000000000002</v>
      </c>
      <c r="G82" s="58"/>
      <c r="H82" s="58"/>
      <c r="I82" s="69"/>
      <c r="J82" s="69"/>
      <c r="K82" s="69"/>
      <c r="L82" s="69"/>
      <c r="M82" s="69"/>
    </row>
    <row r="83" spans="1:14" ht="22.5" customHeight="1" x14ac:dyDescent="0.3">
      <c r="A83" s="225">
        <f>A82+0.1</f>
        <v>17.600000000000009</v>
      </c>
      <c r="B83" s="27"/>
      <c r="C83" s="17" t="s">
        <v>220</v>
      </c>
      <c r="D83" s="17" t="s">
        <v>59</v>
      </c>
      <c r="E83" s="144">
        <f>7/100</f>
        <v>7.0000000000000007E-2</v>
      </c>
      <c r="F83" s="381">
        <f>E83*F77</f>
        <v>2.0860000000000003</v>
      </c>
      <c r="G83" s="33"/>
      <c r="H83" s="33"/>
      <c r="I83" s="33"/>
      <c r="J83" s="33"/>
      <c r="K83" s="33"/>
      <c r="L83" s="33"/>
      <c r="M83" s="33"/>
    </row>
    <row r="84" spans="1:14" ht="59.25" customHeight="1" x14ac:dyDescent="0.3">
      <c r="A84" s="70">
        <v>18</v>
      </c>
      <c r="B84" s="71" t="s">
        <v>75</v>
      </c>
      <c r="C84" s="136" t="s">
        <v>170</v>
      </c>
      <c r="D84" s="136" t="s">
        <v>59</v>
      </c>
      <c r="E84" s="145"/>
      <c r="F84" s="403">
        <f>F77/2</f>
        <v>14.9</v>
      </c>
      <c r="G84" s="146"/>
      <c r="H84" s="33"/>
      <c r="I84" s="15"/>
      <c r="J84" s="15"/>
      <c r="K84" s="15"/>
      <c r="L84" s="15"/>
      <c r="M84" s="15"/>
    </row>
    <row r="85" spans="1:14" ht="27.75" customHeight="1" x14ac:dyDescent="0.3">
      <c r="A85" s="75">
        <f t="shared" ref="A85:A89" si="7">A84+0.1</f>
        <v>18.100000000000001</v>
      </c>
      <c r="B85" s="18"/>
      <c r="C85" s="41" t="s">
        <v>71</v>
      </c>
      <c r="D85" s="41" t="s">
        <v>17</v>
      </c>
      <c r="E85" s="141">
        <f>15/100</f>
        <v>0.15</v>
      </c>
      <c r="F85" s="371">
        <f>E85*F84</f>
        <v>2.2349999999999999</v>
      </c>
      <c r="G85" s="21"/>
      <c r="H85" s="21"/>
      <c r="I85" s="21"/>
      <c r="J85" s="21"/>
      <c r="K85" s="21"/>
      <c r="L85" s="21"/>
      <c r="M85" s="21"/>
    </row>
    <row r="86" spans="1:14" ht="28.5" customHeight="1" x14ac:dyDescent="0.3">
      <c r="A86" s="22">
        <f t="shared" si="7"/>
        <v>18.200000000000003</v>
      </c>
      <c r="B86" s="76">
        <v>13.2</v>
      </c>
      <c r="C86" s="89" t="s">
        <v>76</v>
      </c>
      <c r="D86" s="89" t="s">
        <v>50</v>
      </c>
      <c r="E86" s="142">
        <f>2.16/100</f>
        <v>2.1600000000000001E-2</v>
      </c>
      <c r="F86" s="393">
        <f>E86*F84</f>
        <v>0.32184000000000001</v>
      </c>
      <c r="G86" s="90"/>
      <c r="H86" s="90"/>
      <c r="I86" s="90"/>
      <c r="J86" s="90"/>
      <c r="K86" s="230"/>
      <c r="L86" s="90"/>
      <c r="M86" s="90"/>
      <c r="N86" s="116"/>
    </row>
    <row r="87" spans="1:14" ht="20.25" customHeight="1" x14ac:dyDescent="0.3">
      <c r="A87" s="176">
        <f t="shared" si="7"/>
        <v>18.300000000000004</v>
      </c>
      <c r="B87" s="176">
        <v>13.222</v>
      </c>
      <c r="C87" s="89" t="s">
        <v>77</v>
      </c>
      <c r="D87" s="89" t="s">
        <v>50</v>
      </c>
      <c r="E87" s="142">
        <f>2.73/100</f>
        <v>2.7300000000000001E-2</v>
      </c>
      <c r="F87" s="393">
        <f>E87*F84</f>
        <v>0.40677000000000002</v>
      </c>
      <c r="G87" s="90"/>
      <c r="H87" s="90"/>
      <c r="I87" s="90"/>
      <c r="J87" s="90"/>
      <c r="K87" s="230"/>
      <c r="L87" s="90"/>
      <c r="M87" s="90"/>
      <c r="N87" s="116"/>
    </row>
    <row r="88" spans="1:14" ht="21.75" customHeight="1" x14ac:dyDescent="0.3">
      <c r="A88" s="176">
        <f t="shared" si="7"/>
        <v>18.400000000000006</v>
      </c>
      <c r="B88" s="176">
        <v>13.228999999999999</v>
      </c>
      <c r="C88" s="89" t="s">
        <v>200</v>
      </c>
      <c r="D88" s="89" t="s">
        <v>184</v>
      </c>
      <c r="E88" s="143">
        <f>0.97/100</f>
        <v>9.7000000000000003E-3</v>
      </c>
      <c r="F88" s="393">
        <f>F84*E88</f>
        <v>0.14453000000000002</v>
      </c>
      <c r="G88" s="90"/>
      <c r="H88" s="90"/>
      <c r="I88" s="90"/>
      <c r="J88" s="90"/>
      <c r="K88" s="230"/>
      <c r="L88" s="90"/>
      <c r="M88" s="90"/>
    </row>
    <row r="89" spans="1:14" ht="24" customHeight="1" x14ac:dyDescent="0.3">
      <c r="A89" s="225">
        <f t="shared" si="7"/>
        <v>18.500000000000007</v>
      </c>
      <c r="B89" s="225" t="s">
        <v>259</v>
      </c>
      <c r="C89" s="213" t="s">
        <v>161</v>
      </c>
      <c r="D89" s="45" t="s">
        <v>59</v>
      </c>
      <c r="E89" s="58">
        <v>1.22</v>
      </c>
      <c r="F89" s="392">
        <f>E89*F84</f>
        <v>18.178000000000001</v>
      </c>
      <c r="G89" s="58"/>
      <c r="H89" s="58"/>
      <c r="I89" s="69"/>
      <c r="J89" s="69"/>
      <c r="K89" s="69"/>
      <c r="L89" s="69"/>
      <c r="M89" s="69"/>
    </row>
    <row r="90" spans="1:14" ht="24" customHeight="1" x14ac:dyDescent="0.3">
      <c r="A90" s="225">
        <f>A89+0.1</f>
        <v>18.600000000000009</v>
      </c>
      <c r="B90" s="27"/>
      <c r="C90" s="179" t="s">
        <v>220</v>
      </c>
      <c r="D90" s="179" t="s">
        <v>59</v>
      </c>
      <c r="E90" s="144">
        <f>7/100</f>
        <v>7.0000000000000007E-2</v>
      </c>
      <c r="F90" s="381">
        <f>E90*F84</f>
        <v>1.0430000000000001</v>
      </c>
      <c r="G90" s="33"/>
      <c r="H90" s="33"/>
      <c r="I90" s="33"/>
      <c r="J90" s="33"/>
      <c r="K90" s="33"/>
      <c r="L90" s="33"/>
      <c r="M90" s="33"/>
    </row>
    <row r="91" spans="1:14" ht="52.5" customHeight="1" x14ac:dyDescent="0.3">
      <c r="A91" s="24">
        <v>19</v>
      </c>
      <c r="B91" s="14" t="s">
        <v>79</v>
      </c>
      <c r="C91" s="24" t="s">
        <v>80</v>
      </c>
      <c r="D91" s="24" t="s">
        <v>60</v>
      </c>
      <c r="E91" s="24"/>
      <c r="F91" s="383">
        <f>(F94+F95)/100</f>
        <v>1.1399999999999999</v>
      </c>
      <c r="G91" s="24"/>
      <c r="H91" s="34"/>
      <c r="I91" s="34"/>
      <c r="J91" s="34"/>
      <c r="K91" s="34"/>
      <c r="L91" s="34"/>
      <c r="M91" s="16"/>
    </row>
    <row r="92" spans="1:14" ht="24" customHeight="1" x14ac:dyDescent="0.3">
      <c r="A92" s="45">
        <f>A91+0.1</f>
        <v>19.100000000000001</v>
      </c>
      <c r="B92" s="27"/>
      <c r="C92" s="52" t="s">
        <v>81</v>
      </c>
      <c r="D92" s="52" t="s">
        <v>82</v>
      </c>
      <c r="E92" s="43">
        <v>74</v>
      </c>
      <c r="F92" s="391">
        <f>E92*F91</f>
        <v>84.36</v>
      </c>
      <c r="G92" s="34"/>
      <c r="H92" s="34"/>
      <c r="I92" s="43"/>
      <c r="J92" s="77"/>
      <c r="K92" s="34"/>
      <c r="L92" s="34"/>
      <c r="M92" s="77"/>
    </row>
    <row r="93" spans="1:14" s="215" customFormat="1" ht="28.5" customHeight="1" x14ac:dyDescent="0.3">
      <c r="A93" s="176">
        <f t="shared" ref="A93" si="8">A92+0.1</f>
        <v>19.200000000000003</v>
      </c>
      <c r="B93" s="76"/>
      <c r="C93" s="229" t="s">
        <v>63</v>
      </c>
      <c r="D93" s="229" t="s">
        <v>50</v>
      </c>
      <c r="E93" s="142">
        <v>0.71</v>
      </c>
      <c r="F93" s="393">
        <f>E93*F91</f>
        <v>0.8093999999999999</v>
      </c>
      <c r="G93" s="230"/>
      <c r="H93" s="230"/>
      <c r="I93" s="230"/>
      <c r="J93" s="230"/>
      <c r="K93" s="230"/>
      <c r="L93" s="230"/>
      <c r="M93" s="230"/>
      <c r="N93" s="116"/>
    </row>
    <row r="94" spans="1:14" s="288" customFormat="1" ht="24" customHeight="1" x14ac:dyDescent="0.3">
      <c r="A94" s="300">
        <f>A93+0.1</f>
        <v>19.300000000000004</v>
      </c>
      <c r="B94" s="296" t="s">
        <v>20</v>
      </c>
      <c r="C94" s="296" t="s">
        <v>281</v>
      </c>
      <c r="D94" s="296" t="s">
        <v>22</v>
      </c>
      <c r="E94" s="297" t="s">
        <v>83</v>
      </c>
      <c r="F94" s="381">
        <v>77</v>
      </c>
      <c r="G94" s="220"/>
      <c r="H94" s="297"/>
      <c r="I94" s="78"/>
      <c r="J94" s="78"/>
      <c r="K94" s="78"/>
      <c r="L94" s="78"/>
      <c r="M94" s="78"/>
    </row>
    <row r="95" spans="1:14" ht="24" customHeight="1" x14ac:dyDescent="0.3">
      <c r="A95" s="300">
        <f t="shared" ref="A95:A98" si="9">A94+0.1</f>
        <v>19.400000000000006</v>
      </c>
      <c r="B95" s="225" t="s">
        <v>260</v>
      </c>
      <c r="C95" s="27" t="s">
        <v>84</v>
      </c>
      <c r="D95" s="27" t="s">
        <v>22</v>
      </c>
      <c r="E95" s="32" t="s">
        <v>83</v>
      </c>
      <c r="F95" s="381">
        <v>37</v>
      </c>
      <c r="G95" s="227"/>
      <c r="H95" s="32"/>
      <c r="I95" s="78"/>
      <c r="J95" s="78"/>
      <c r="K95" s="78"/>
      <c r="L95" s="78"/>
      <c r="M95" s="78"/>
    </row>
    <row r="96" spans="1:14" ht="15" x14ac:dyDescent="0.3">
      <c r="A96" s="300">
        <f t="shared" si="9"/>
        <v>19.500000000000007</v>
      </c>
      <c r="B96" s="225" t="s">
        <v>261</v>
      </c>
      <c r="C96" s="27" t="s">
        <v>85</v>
      </c>
      <c r="D96" s="27" t="s">
        <v>64</v>
      </c>
      <c r="E96" s="32">
        <v>2</v>
      </c>
      <c r="F96" s="381">
        <f>E96*F91</f>
        <v>2.2799999999999998</v>
      </c>
      <c r="G96" s="226"/>
      <c r="H96" s="32"/>
      <c r="I96" s="34"/>
      <c r="J96" s="34"/>
      <c r="K96" s="34"/>
      <c r="L96" s="34"/>
      <c r="M96" s="78"/>
    </row>
    <row r="97" spans="1:13" ht="24" customHeight="1" x14ac:dyDescent="0.3">
      <c r="A97" s="300">
        <f t="shared" si="9"/>
        <v>19.600000000000009</v>
      </c>
      <c r="B97" s="55" t="s">
        <v>245</v>
      </c>
      <c r="C97" s="55" t="s">
        <v>243</v>
      </c>
      <c r="D97" s="55" t="s">
        <v>59</v>
      </c>
      <c r="E97" s="57">
        <v>2</v>
      </c>
      <c r="F97" s="392">
        <f>E97*F91</f>
        <v>2.2799999999999998</v>
      </c>
      <c r="G97" s="57"/>
      <c r="H97" s="57"/>
      <c r="I97" s="68"/>
      <c r="J97" s="68"/>
      <c r="K97" s="68"/>
      <c r="L97" s="68"/>
      <c r="M97" s="68"/>
    </row>
    <row r="98" spans="1:13" ht="15" x14ac:dyDescent="0.3">
      <c r="A98" s="300">
        <f t="shared" si="9"/>
        <v>19.70000000000001</v>
      </c>
      <c r="B98" s="27"/>
      <c r="C98" s="27" t="s">
        <v>73</v>
      </c>
      <c r="D98" s="27" t="s">
        <v>18</v>
      </c>
      <c r="E98" s="32">
        <v>9.6</v>
      </c>
      <c r="F98" s="381">
        <f>E98*F91</f>
        <v>10.943999999999999</v>
      </c>
      <c r="G98" s="32"/>
      <c r="H98" s="32"/>
      <c r="I98" s="34"/>
      <c r="J98" s="34"/>
      <c r="K98" s="34"/>
      <c r="L98" s="34"/>
      <c r="M98" s="78"/>
    </row>
    <row r="99" spans="1:13" ht="37.5" customHeight="1" x14ac:dyDescent="0.3">
      <c r="A99" s="70">
        <v>20</v>
      </c>
      <c r="B99" s="79" t="s">
        <v>86</v>
      </c>
      <c r="C99" s="30" t="s">
        <v>87</v>
      </c>
      <c r="D99" s="30" t="s">
        <v>78</v>
      </c>
      <c r="E99" s="25"/>
      <c r="F99" s="405">
        <f>F109*10*1.1*0.4/1000</f>
        <v>0.26400000000000001</v>
      </c>
      <c r="G99" s="25"/>
      <c r="H99" s="68"/>
      <c r="I99" s="68"/>
      <c r="J99" s="69"/>
      <c r="K99" s="68"/>
      <c r="L99" s="68"/>
      <c r="M99" s="25"/>
    </row>
    <row r="100" spans="1:13" ht="27" customHeight="1" x14ac:dyDescent="0.3">
      <c r="A100" s="75">
        <f>A99+0.1</f>
        <v>20.100000000000001</v>
      </c>
      <c r="B100" s="52"/>
      <c r="C100" s="52" t="s">
        <v>44</v>
      </c>
      <c r="D100" s="52" t="s">
        <v>17</v>
      </c>
      <c r="E100" s="43">
        <v>12.3</v>
      </c>
      <c r="F100" s="391">
        <f>E100*F99</f>
        <v>3.2472000000000003</v>
      </c>
      <c r="G100" s="80"/>
      <c r="H100" s="80"/>
      <c r="I100" s="19"/>
      <c r="J100" s="53"/>
      <c r="K100" s="80"/>
      <c r="L100" s="80"/>
      <c r="M100" s="43"/>
    </row>
    <row r="101" spans="1:13" x14ac:dyDescent="0.3">
      <c r="A101" s="81">
        <f>A100+0.1</f>
        <v>20.200000000000003</v>
      </c>
      <c r="B101" s="28"/>
      <c r="C101" s="28" t="s">
        <v>69</v>
      </c>
      <c r="D101" s="28" t="s">
        <v>18</v>
      </c>
      <c r="E101" s="29">
        <v>1.4</v>
      </c>
      <c r="F101" s="384">
        <f>E101*F99</f>
        <v>0.36959999999999998</v>
      </c>
      <c r="G101" s="66"/>
      <c r="H101" s="66"/>
      <c r="I101" s="66"/>
      <c r="J101" s="67"/>
      <c r="K101" s="29"/>
      <c r="L101" s="29"/>
      <c r="M101" s="66"/>
    </row>
    <row r="102" spans="1:13" ht="19.5" customHeight="1" x14ac:dyDescent="0.3">
      <c r="A102" s="109">
        <f t="shared" ref="A102" si="10">A101+0.1</f>
        <v>20.300000000000004</v>
      </c>
      <c r="B102" s="110" t="s">
        <v>262</v>
      </c>
      <c r="C102" s="109" t="s">
        <v>65</v>
      </c>
      <c r="D102" s="109" t="s">
        <v>21</v>
      </c>
      <c r="E102" s="110" t="s">
        <v>83</v>
      </c>
      <c r="F102" s="369">
        <f>F99</f>
        <v>0.26400000000000001</v>
      </c>
      <c r="G102" s="110"/>
      <c r="H102" s="110"/>
      <c r="I102" s="27"/>
      <c r="J102" s="27"/>
      <c r="K102" s="27"/>
      <c r="L102" s="27"/>
      <c r="M102" s="32"/>
    </row>
    <row r="103" spans="1:13" ht="21" customHeight="1" x14ac:dyDescent="0.3">
      <c r="A103" s="82">
        <f t="shared" ref="A103" si="11">A102+0.1</f>
        <v>20.400000000000006</v>
      </c>
      <c r="B103" s="55"/>
      <c r="C103" s="55" t="s">
        <v>62</v>
      </c>
      <c r="D103" s="296" t="s">
        <v>18</v>
      </c>
      <c r="E103" s="57">
        <v>7.15</v>
      </c>
      <c r="F103" s="392">
        <f>E103*F99</f>
        <v>1.8876000000000002</v>
      </c>
      <c r="G103" s="57"/>
      <c r="H103" s="57"/>
      <c r="I103" s="68"/>
      <c r="J103" s="69"/>
      <c r="K103" s="68"/>
      <c r="L103" s="68"/>
      <c r="M103" s="68"/>
    </row>
    <row r="104" spans="1:13" s="215" customFormat="1" ht="54" customHeight="1" x14ac:dyDescent="0.3">
      <c r="A104" s="70">
        <v>21</v>
      </c>
      <c r="B104" s="79" t="s">
        <v>89</v>
      </c>
      <c r="C104" s="30" t="s">
        <v>225</v>
      </c>
      <c r="D104" s="30" t="s">
        <v>59</v>
      </c>
      <c r="E104" s="25"/>
      <c r="F104" s="405">
        <f>F109*0.08</f>
        <v>4.8</v>
      </c>
      <c r="G104" s="25"/>
      <c r="H104" s="68"/>
      <c r="I104" s="68"/>
      <c r="J104" s="69"/>
      <c r="K104" s="68"/>
      <c r="L104" s="68"/>
      <c r="M104" s="25"/>
    </row>
    <row r="105" spans="1:13" s="215" customFormat="1" ht="15" x14ac:dyDescent="0.3">
      <c r="A105" s="75">
        <f>A104+0.1</f>
        <v>21.1</v>
      </c>
      <c r="B105" s="52"/>
      <c r="C105" s="52" t="s">
        <v>44</v>
      </c>
      <c r="D105" s="52" t="s">
        <v>17</v>
      </c>
      <c r="E105" s="175">
        <v>1.37</v>
      </c>
      <c r="F105" s="391">
        <f>E105*F104</f>
        <v>6.5760000000000005</v>
      </c>
      <c r="G105" s="80"/>
      <c r="H105" s="80"/>
      <c r="I105" s="223"/>
      <c r="J105" s="216"/>
      <c r="K105" s="80"/>
      <c r="L105" s="80"/>
      <c r="M105" s="175"/>
    </row>
    <row r="106" spans="1:13" s="215" customFormat="1" x14ac:dyDescent="0.3">
      <c r="A106" s="81">
        <f>A105+0.1</f>
        <v>21.200000000000003</v>
      </c>
      <c r="B106" s="28"/>
      <c r="C106" s="28" t="s">
        <v>69</v>
      </c>
      <c r="D106" s="28" t="s">
        <v>18</v>
      </c>
      <c r="E106" s="29">
        <v>0.28299999999999997</v>
      </c>
      <c r="F106" s="384">
        <f>E106*F104</f>
        <v>1.3583999999999998</v>
      </c>
      <c r="G106" s="66"/>
      <c r="H106" s="66"/>
      <c r="I106" s="66"/>
      <c r="J106" s="67"/>
      <c r="K106" s="29"/>
      <c r="L106" s="29"/>
      <c r="M106" s="66"/>
    </row>
    <row r="107" spans="1:13" s="215" customFormat="1" ht="15" x14ac:dyDescent="0.3">
      <c r="A107" s="82">
        <f>A106+0.1</f>
        <v>21.300000000000004</v>
      </c>
      <c r="B107" s="55" t="s">
        <v>20</v>
      </c>
      <c r="C107" s="55" t="s">
        <v>226</v>
      </c>
      <c r="D107" s="55" t="s">
        <v>59</v>
      </c>
      <c r="E107" s="57">
        <v>1.02</v>
      </c>
      <c r="F107" s="392">
        <f>E107*F104</f>
        <v>4.8959999999999999</v>
      </c>
      <c r="G107" s="57"/>
      <c r="H107" s="57"/>
      <c r="I107" s="68"/>
      <c r="J107" s="69"/>
      <c r="K107" s="68"/>
      <c r="L107" s="68"/>
      <c r="M107" s="68"/>
    </row>
    <row r="108" spans="1:13" s="215" customFormat="1" ht="15" x14ac:dyDescent="0.3">
      <c r="A108" s="82">
        <f>A107+0.1</f>
        <v>21.400000000000006</v>
      </c>
      <c r="B108" s="55"/>
      <c r="C108" s="55" t="s">
        <v>62</v>
      </c>
      <c r="D108" s="55" t="s">
        <v>18</v>
      </c>
      <c r="E108" s="57">
        <v>0.62</v>
      </c>
      <c r="F108" s="392">
        <f>E108*F104</f>
        <v>2.976</v>
      </c>
      <c r="G108" s="57"/>
      <c r="H108" s="57"/>
      <c r="I108" s="68"/>
      <c r="J108" s="69"/>
      <c r="K108" s="68"/>
      <c r="L108" s="68"/>
      <c r="M108" s="68"/>
    </row>
    <row r="109" spans="1:13" s="215" customFormat="1" ht="50.25" customHeight="1" x14ac:dyDescent="0.3">
      <c r="A109" s="181">
        <v>22</v>
      </c>
      <c r="B109" s="260" t="s">
        <v>227</v>
      </c>
      <c r="C109" s="260" t="s">
        <v>228</v>
      </c>
      <c r="D109" s="261" t="s">
        <v>24</v>
      </c>
      <c r="E109" s="262"/>
      <c r="F109" s="405">
        <v>60</v>
      </c>
      <c r="G109" s="25"/>
      <c r="H109" s="212"/>
      <c r="I109" s="212"/>
      <c r="J109" s="212"/>
      <c r="K109" s="212"/>
      <c r="L109" s="212"/>
      <c r="M109" s="25"/>
    </row>
    <row r="110" spans="1:13" s="215" customFormat="1" x14ac:dyDescent="0.3">
      <c r="A110" s="213">
        <f t="shared" ref="A110:A112" si="12">A109+0.1</f>
        <v>22.1</v>
      </c>
      <c r="B110" s="263"/>
      <c r="C110" s="264" t="s">
        <v>229</v>
      </c>
      <c r="D110" s="265" t="s">
        <v>18</v>
      </c>
      <c r="E110" s="266">
        <v>1</v>
      </c>
      <c r="F110" s="391">
        <f>E110*F109</f>
        <v>60</v>
      </c>
      <c r="G110" s="212"/>
      <c r="H110" s="212"/>
      <c r="I110" s="175"/>
      <c r="J110" s="175"/>
      <c r="K110" s="212"/>
      <c r="L110" s="212"/>
      <c r="M110" s="175"/>
    </row>
    <row r="111" spans="1:13" s="215" customFormat="1" ht="15" x14ac:dyDescent="0.3">
      <c r="A111" s="213">
        <f t="shared" si="12"/>
        <v>22.200000000000003</v>
      </c>
      <c r="B111" s="225" t="s">
        <v>20</v>
      </c>
      <c r="C111" s="267" t="s">
        <v>230</v>
      </c>
      <c r="D111" s="268" t="s">
        <v>90</v>
      </c>
      <c r="E111" s="269">
        <v>1.02</v>
      </c>
      <c r="F111" s="392">
        <f>E111*F109</f>
        <v>61.2</v>
      </c>
      <c r="G111" s="57"/>
      <c r="H111" s="57"/>
      <c r="I111" s="212"/>
      <c r="J111" s="212"/>
      <c r="K111" s="212"/>
      <c r="L111" s="212"/>
      <c r="M111" s="78"/>
    </row>
    <row r="112" spans="1:13" s="215" customFormat="1" ht="21" customHeight="1" x14ac:dyDescent="0.3">
      <c r="A112" s="213">
        <f t="shared" si="12"/>
        <v>22.300000000000004</v>
      </c>
      <c r="B112" s="225" t="s">
        <v>20</v>
      </c>
      <c r="C112" s="270" t="s">
        <v>231</v>
      </c>
      <c r="D112" s="268" t="s">
        <v>232</v>
      </c>
      <c r="E112" s="269">
        <v>0.5</v>
      </c>
      <c r="F112" s="392">
        <f>F109*E112</f>
        <v>30</v>
      </c>
      <c r="G112" s="57"/>
      <c r="H112" s="57"/>
      <c r="I112" s="212"/>
      <c r="J112" s="212"/>
      <c r="K112" s="212"/>
      <c r="L112" s="212"/>
      <c r="M112" s="78"/>
    </row>
    <row r="113" spans="1:19" ht="51.75" customHeight="1" x14ac:dyDescent="0.3">
      <c r="A113" s="13" t="s">
        <v>375</v>
      </c>
      <c r="B113" s="61" t="s">
        <v>167</v>
      </c>
      <c r="C113" s="14" t="s">
        <v>193</v>
      </c>
      <c r="D113" s="14" t="s">
        <v>59</v>
      </c>
      <c r="E113" s="15"/>
      <c r="F113" s="383">
        <f>F118*0.05</f>
        <v>4.45</v>
      </c>
      <c r="G113" s="16"/>
      <c r="H113" s="34"/>
      <c r="I113" s="34"/>
      <c r="J113" s="34"/>
      <c r="K113" s="34"/>
      <c r="L113" s="34"/>
      <c r="M113" s="16"/>
    </row>
    <row r="114" spans="1:19" ht="15" x14ac:dyDescent="0.3">
      <c r="A114" s="45">
        <f>A113+0.1</f>
        <v>23.1</v>
      </c>
      <c r="B114" s="27"/>
      <c r="C114" s="52" t="s">
        <v>16</v>
      </c>
      <c r="D114" s="52" t="s">
        <v>17</v>
      </c>
      <c r="E114" s="52">
        <v>3</v>
      </c>
      <c r="F114" s="385">
        <f>E114*F113</f>
        <v>13.350000000000001</v>
      </c>
      <c r="G114" s="34"/>
      <c r="H114" s="34"/>
      <c r="I114" s="43"/>
      <c r="J114" s="77"/>
      <c r="K114" s="34"/>
      <c r="L114" s="34"/>
      <c r="M114" s="77"/>
    </row>
    <row r="115" spans="1:19" ht="15" x14ac:dyDescent="0.3">
      <c r="A115" s="198">
        <f t="shared" ref="A115:A117" si="13">A114+0.1</f>
        <v>23.200000000000003</v>
      </c>
      <c r="B115" s="225" t="s">
        <v>263</v>
      </c>
      <c r="C115" s="179" t="s">
        <v>199</v>
      </c>
      <c r="D115" s="197" t="s">
        <v>59</v>
      </c>
      <c r="E115" s="196" t="s">
        <v>88</v>
      </c>
      <c r="F115" s="381">
        <f>F113*0.8</f>
        <v>3.5600000000000005</v>
      </c>
      <c r="G115" s="227"/>
      <c r="H115" s="33"/>
      <c r="I115" s="139"/>
      <c r="J115" s="139"/>
      <c r="K115" s="139"/>
      <c r="L115" s="139"/>
      <c r="M115" s="140"/>
    </row>
    <row r="116" spans="1:19" ht="15" x14ac:dyDescent="0.3">
      <c r="A116" s="198">
        <f t="shared" si="13"/>
        <v>23.300000000000004</v>
      </c>
      <c r="B116" s="225" t="s">
        <v>264</v>
      </c>
      <c r="C116" s="179" t="s">
        <v>198</v>
      </c>
      <c r="D116" s="197" t="s">
        <v>59</v>
      </c>
      <c r="E116" s="196" t="s">
        <v>88</v>
      </c>
      <c r="F116" s="381">
        <f>F113*0.2</f>
        <v>0.89000000000000012</v>
      </c>
      <c r="G116" s="227"/>
      <c r="H116" s="33"/>
      <c r="I116" s="139"/>
      <c r="J116" s="139"/>
      <c r="K116" s="139"/>
      <c r="L116" s="139"/>
      <c r="M116" s="140"/>
    </row>
    <row r="117" spans="1:19" ht="15" x14ac:dyDescent="0.3">
      <c r="A117" s="198">
        <f t="shared" si="13"/>
        <v>23.400000000000006</v>
      </c>
      <c r="B117" s="27"/>
      <c r="C117" s="197" t="s">
        <v>91</v>
      </c>
      <c r="D117" s="197" t="s">
        <v>18</v>
      </c>
      <c r="E117" s="196">
        <v>0.01</v>
      </c>
      <c r="F117" s="381">
        <f>E117*F113</f>
        <v>4.4500000000000005E-2</v>
      </c>
      <c r="G117" s="32"/>
      <c r="H117" s="32"/>
      <c r="I117" s="34"/>
      <c r="J117" s="34"/>
      <c r="K117" s="34"/>
      <c r="L117" s="34"/>
      <c r="M117" s="78"/>
    </row>
    <row r="118" spans="1:19" ht="39.6" x14ac:dyDescent="0.3">
      <c r="A118" s="83">
        <v>24</v>
      </c>
      <c r="B118" s="49" t="s">
        <v>168</v>
      </c>
      <c r="C118" s="24" t="s">
        <v>92</v>
      </c>
      <c r="D118" s="24" t="s">
        <v>94</v>
      </c>
      <c r="E118" s="16"/>
      <c r="F118" s="383">
        <v>89</v>
      </c>
      <c r="G118" s="16"/>
      <c r="H118" s="34"/>
      <c r="I118" s="34"/>
      <c r="J118" s="34"/>
      <c r="K118" s="34"/>
      <c r="L118" s="1"/>
      <c r="M118" s="16"/>
    </row>
    <row r="119" spans="1:19" ht="15" x14ac:dyDescent="0.3">
      <c r="A119" s="45">
        <f>A118+0.1</f>
        <v>24.1</v>
      </c>
      <c r="B119" s="27"/>
      <c r="C119" s="52" t="s">
        <v>81</v>
      </c>
      <c r="D119" s="52" t="s">
        <v>17</v>
      </c>
      <c r="E119" s="52">
        <v>0.40200000000000002</v>
      </c>
      <c r="F119" s="391">
        <f>E119*F118</f>
        <v>35.777999999999999</v>
      </c>
      <c r="G119" s="34"/>
      <c r="H119" s="34"/>
      <c r="I119" s="43"/>
      <c r="J119" s="77"/>
      <c r="K119" s="34"/>
      <c r="L119" s="34"/>
      <c r="M119" s="77"/>
    </row>
    <row r="120" spans="1:19" s="215" customFormat="1" x14ac:dyDescent="0.3">
      <c r="A120" s="81">
        <f>A119+0.1</f>
        <v>24.200000000000003</v>
      </c>
      <c r="B120" s="28"/>
      <c r="C120" s="28" t="s">
        <v>93</v>
      </c>
      <c r="D120" s="28" t="s">
        <v>70</v>
      </c>
      <c r="E120" s="29">
        <v>0.129</v>
      </c>
      <c r="F120" s="384">
        <f>F118*E120</f>
        <v>11.481</v>
      </c>
      <c r="G120" s="66"/>
      <c r="H120" s="66"/>
      <c r="I120" s="66"/>
      <c r="J120" s="67"/>
      <c r="K120" s="29"/>
      <c r="L120" s="29"/>
      <c r="M120" s="66"/>
    </row>
    <row r="121" spans="1:19" ht="38.25" customHeight="1" x14ac:dyDescent="0.3">
      <c r="A121" s="45">
        <f>A120+0.1</f>
        <v>24.300000000000004</v>
      </c>
      <c r="B121" s="27" t="s">
        <v>20</v>
      </c>
      <c r="C121" s="411" t="s">
        <v>377</v>
      </c>
      <c r="D121" s="27" t="s">
        <v>94</v>
      </c>
      <c r="E121" s="32">
        <v>1</v>
      </c>
      <c r="F121" s="381">
        <f>F118*E121</f>
        <v>89</v>
      </c>
      <c r="G121" s="32"/>
      <c r="H121" s="32"/>
      <c r="I121" s="34"/>
      <c r="J121" s="34"/>
      <c r="K121" s="34"/>
      <c r="L121" s="34"/>
      <c r="M121" s="78"/>
    </row>
    <row r="122" spans="1:19" ht="15" x14ac:dyDescent="0.3">
      <c r="A122" s="45">
        <f>A121+0.1</f>
        <v>24.400000000000006</v>
      </c>
      <c r="B122" s="225" t="s">
        <v>263</v>
      </c>
      <c r="C122" s="27" t="s">
        <v>95</v>
      </c>
      <c r="D122" s="27" t="s">
        <v>59</v>
      </c>
      <c r="E122" s="406">
        <v>5.0000000000000001E-4</v>
      </c>
      <c r="F122" s="381">
        <f>E122*F118</f>
        <v>4.4499999999999998E-2</v>
      </c>
      <c r="G122" s="32"/>
      <c r="H122" s="32"/>
      <c r="I122" s="34"/>
      <c r="J122" s="34"/>
      <c r="K122" s="34"/>
      <c r="L122" s="34"/>
      <c r="M122" s="78"/>
    </row>
    <row r="123" spans="1:19" s="171" customFormat="1" ht="15" x14ac:dyDescent="0.35">
      <c r="A123" s="183"/>
      <c r="B123" s="184"/>
      <c r="C123" s="185" t="s">
        <v>34</v>
      </c>
      <c r="D123" s="184"/>
      <c r="E123" s="184"/>
      <c r="F123" s="186"/>
      <c r="G123" s="186"/>
      <c r="H123" s="187"/>
      <c r="I123" s="184"/>
      <c r="J123" s="380"/>
      <c r="K123" s="186"/>
      <c r="L123" s="187"/>
      <c r="M123" s="373"/>
      <c r="N123" s="189"/>
      <c r="R123" s="189"/>
    </row>
    <row r="124" spans="1:19" s="171" customFormat="1" ht="15" x14ac:dyDescent="0.35">
      <c r="A124" s="183"/>
      <c r="B124" s="184"/>
      <c r="C124" s="190" t="s">
        <v>385</v>
      </c>
      <c r="D124" s="191" t="s">
        <v>18</v>
      </c>
      <c r="E124" s="192">
        <v>0.1</v>
      </c>
      <c r="F124" s="186"/>
      <c r="G124" s="186"/>
      <c r="H124" s="184"/>
      <c r="I124" s="184"/>
      <c r="J124" s="187"/>
      <c r="K124" s="186"/>
      <c r="L124" s="187"/>
      <c r="M124" s="193"/>
      <c r="S124" s="194"/>
    </row>
    <row r="125" spans="1:19" s="171" customFormat="1" ht="15" x14ac:dyDescent="0.35">
      <c r="A125" s="183"/>
      <c r="B125" s="184"/>
      <c r="C125" s="184" t="s">
        <v>197</v>
      </c>
      <c r="D125" s="186" t="s">
        <v>18</v>
      </c>
      <c r="E125" s="190"/>
      <c r="F125" s="186"/>
      <c r="G125" s="186"/>
      <c r="H125" s="184"/>
      <c r="I125" s="184"/>
      <c r="J125" s="187"/>
      <c r="K125" s="186"/>
      <c r="L125" s="187"/>
      <c r="M125" s="188"/>
    </row>
    <row r="126" spans="1:19" s="171" customFormat="1" ht="15" x14ac:dyDescent="0.35">
      <c r="A126" s="183"/>
      <c r="B126" s="184"/>
      <c r="C126" s="190" t="s">
        <v>386</v>
      </c>
      <c r="D126" s="191" t="s">
        <v>18</v>
      </c>
      <c r="E126" s="192">
        <v>0.08</v>
      </c>
      <c r="F126" s="186"/>
      <c r="G126" s="186"/>
      <c r="H126" s="184"/>
      <c r="I126" s="184"/>
      <c r="J126" s="187"/>
      <c r="K126" s="186"/>
      <c r="L126" s="187"/>
      <c r="M126" s="193"/>
    </row>
    <row r="127" spans="1:19" x14ac:dyDescent="0.3">
      <c r="A127" s="36"/>
      <c r="B127" s="36"/>
      <c r="C127" s="36" t="s">
        <v>34</v>
      </c>
      <c r="D127" s="36" t="s">
        <v>18</v>
      </c>
      <c r="E127" s="37"/>
      <c r="F127" s="37"/>
      <c r="G127" s="37"/>
      <c r="H127" s="38"/>
      <c r="I127" s="38"/>
      <c r="J127" s="38"/>
      <c r="K127" s="38"/>
      <c r="L127" s="38"/>
      <c r="M127" s="37"/>
    </row>
    <row r="130" spans="3:4" ht="16.2" x14ac:dyDescent="0.4">
      <c r="C130" s="169"/>
      <c r="D130" s="111"/>
    </row>
    <row r="131" spans="3:4" ht="16.2" x14ac:dyDescent="0.4">
      <c r="C131" s="111"/>
      <c r="D131" s="111"/>
    </row>
    <row r="132" spans="3:4" ht="16.2" x14ac:dyDescent="0.4">
      <c r="C132" s="111"/>
      <c r="D132" s="111"/>
    </row>
  </sheetData>
  <mergeCells count="12">
    <mergeCell ref="A6:M6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A2:D2"/>
  </mergeCells>
  <printOptions horizontalCentered="1"/>
  <pageMargins left="0" right="0" top="0.55118110236220474" bottom="0.55118110236220474" header="0.31496062992125984" footer="0.31496062992125984"/>
  <pageSetup paperSize="9" scale="90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view="pageBreakPreview" zoomScaleNormal="100" zoomScaleSheetLayoutView="100" workbookViewId="0">
      <selection activeCell="C122" sqref="C122"/>
    </sheetView>
  </sheetViews>
  <sheetFormatPr defaultRowHeight="14.4" x14ac:dyDescent="0.3"/>
  <cols>
    <col min="1" max="1" width="6.109375" customWidth="1"/>
    <col min="2" max="2" width="13.6640625" customWidth="1"/>
    <col min="3" max="3" width="38" customWidth="1"/>
    <col min="4" max="4" width="9.109375" customWidth="1"/>
    <col min="5" max="5" width="9.88671875" customWidth="1"/>
    <col min="6" max="6" width="10.21875" customWidth="1"/>
    <col min="7" max="7" width="8.33203125" customWidth="1"/>
    <col min="8" max="8" width="9" customWidth="1"/>
    <col min="9" max="9" width="5.77734375" customWidth="1"/>
    <col min="10" max="10" width="8.6640625" customWidth="1"/>
    <col min="11" max="11" width="8.88671875" customWidth="1"/>
    <col min="12" max="12" width="6.88671875" customWidth="1"/>
    <col min="13" max="13" width="12.77734375" customWidth="1"/>
    <col min="14" max="16" width="9.109375" customWidth="1"/>
  </cols>
  <sheetData>
    <row r="1" spans="1:13" ht="36.75" customHeight="1" x14ac:dyDescent="0.3">
      <c r="A1" s="597" t="s">
        <v>381</v>
      </c>
      <c r="B1" s="597"/>
      <c r="C1" s="597"/>
      <c r="D1" s="597"/>
      <c r="E1" s="597"/>
      <c r="F1" s="597"/>
      <c r="G1" s="597"/>
      <c r="H1" s="597"/>
      <c r="I1" s="598"/>
      <c r="J1" s="598"/>
      <c r="K1" s="598"/>
      <c r="L1" s="598"/>
      <c r="M1" s="598"/>
    </row>
    <row r="2" spans="1:13" ht="15" x14ac:dyDescent="0.3">
      <c r="A2" s="617">
        <f>დემონტაჟი!A2</f>
        <v>0</v>
      </c>
      <c r="B2" s="617"/>
      <c r="C2" s="617"/>
      <c r="D2" s="617"/>
      <c r="E2" s="1"/>
      <c r="F2" s="2"/>
      <c r="G2" s="2"/>
      <c r="H2" s="1"/>
      <c r="I2" s="1"/>
      <c r="J2" s="2"/>
      <c r="K2" s="1"/>
      <c r="L2" s="1"/>
      <c r="M2" s="1"/>
    </row>
    <row r="3" spans="1:13" ht="27" customHeight="1" x14ac:dyDescent="0.3">
      <c r="A3" s="610" t="s">
        <v>0</v>
      </c>
      <c r="B3" s="611" t="s">
        <v>1</v>
      </c>
      <c r="C3" s="613" t="s">
        <v>2</v>
      </c>
      <c r="D3" s="613" t="s">
        <v>3</v>
      </c>
      <c r="E3" s="615" t="s">
        <v>4</v>
      </c>
      <c r="F3" s="616"/>
      <c r="G3" s="613" t="s">
        <v>5</v>
      </c>
      <c r="H3" s="613"/>
      <c r="I3" s="613" t="s">
        <v>6</v>
      </c>
      <c r="J3" s="613"/>
      <c r="K3" s="613" t="s">
        <v>7</v>
      </c>
      <c r="L3" s="613"/>
      <c r="M3" s="613" t="s">
        <v>8</v>
      </c>
    </row>
    <row r="4" spans="1:13" ht="25.2" x14ac:dyDescent="0.3">
      <c r="A4" s="610" t="s">
        <v>0</v>
      </c>
      <c r="B4" s="612"/>
      <c r="C4" s="613" t="s">
        <v>9</v>
      </c>
      <c r="D4" s="614" t="s">
        <v>10</v>
      </c>
      <c r="E4" s="3" t="s">
        <v>11</v>
      </c>
      <c r="F4" s="4" t="s">
        <v>12</v>
      </c>
      <c r="G4" s="5" t="s">
        <v>13</v>
      </c>
      <c r="H4" s="6" t="s">
        <v>14</v>
      </c>
      <c r="I4" s="6" t="s">
        <v>13</v>
      </c>
      <c r="J4" s="7" t="s">
        <v>14</v>
      </c>
      <c r="K4" s="6" t="s">
        <v>13</v>
      </c>
      <c r="L4" s="6" t="s">
        <v>14</v>
      </c>
      <c r="M4" s="613" t="s">
        <v>14</v>
      </c>
    </row>
    <row r="5" spans="1:13" ht="21" customHeight="1" x14ac:dyDescent="0.3">
      <c r="A5" s="8">
        <v>1</v>
      </c>
      <c r="B5" s="9">
        <v>2</v>
      </c>
      <c r="C5" s="9">
        <v>3</v>
      </c>
      <c r="D5" s="9">
        <v>4</v>
      </c>
      <c r="E5" s="10">
        <v>5</v>
      </c>
      <c r="F5" s="11">
        <v>6</v>
      </c>
      <c r="G5" s="12">
        <v>7</v>
      </c>
      <c r="H5" s="9">
        <v>8</v>
      </c>
      <c r="I5" s="9">
        <v>9</v>
      </c>
      <c r="J5" s="12">
        <v>10</v>
      </c>
      <c r="K5" s="9">
        <v>11</v>
      </c>
      <c r="L5" s="9">
        <v>12</v>
      </c>
      <c r="M5" s="9">
        <v>13</v>
      </c>
    </row>
    <row r="6" spans="1:13" ht="23.25" customHeight="1" x14ac:dyDescent="0.3">
      <c r="A6" s="607" t="s">
        <v>157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9"/>
    </row>
    <row r="7" spans="1:13" ht="30.75" customHeight="1" x14ac:dyDescent="0.3">
      <c r="A7" s="39">
        <v>1</v>
      </c>
      <c r="B7" s="13" t="s">
        <v>40</v>
      </c>
      <c r="C7" s="14" t="s">
        <v>41</v>
      </c>
      <c r="D7" s="14" t="s">
        <v>59</v>
      </c>
      <c r="E7" s="15"/>
      <c r="F7" s="383">
        <f>F18+F13</f>
        <v>2.8600000000000003</v>
      </c>
      <c r="G7" s="16"/>
      <c r="H7" s="24"/>
      <c r="I7" s="24"/>
      <c r="J7" s="24"/>
      <c r="K7" s="24"/>
      <c r="L7" s="24"/>
      <c r="M7" s="16"/>
    </row>
    <row r="8" spans="1:13" ht="23.25" customHeight="1" x14ac:dyDescent="0.3">
      <c r="A8" s="17">
        <f>A7+0.1</f>
        <v>1.1000000000000001</v>
      </c>
      <c r="B8" s="40"/>
      <c r="C8" s="41" t="s">
        <v>16</v>
      </c>
      <c r="D8" s="41" t="s">
        <v>17</v>
      </c>
      <c r="E8" s="21">
        <v>2.06</v>
      </c>
      <c r="F8" s="386">
        <f>F7*E8</f>
        <v>5.8916000000000004</v>
      </c>
      <c r="G8" s="18"/>
      <c r="H8" s="42"/>
      <c r="I8" s="43"/>
      <c r="J8" s="19"/>
      <c r="K8" s="18"/>
      <c r="L8" s="18"/>
      <c r="M8" s="19"/>
    </row>
    <row r="9" spans="1:13" ht="34.5" customHeight="1" x14ac:dyDescent="0.3">
      <c r="A9" s="13" t="s">
        <v>19</v>
      </c>
      <c r="B9" s="14" t="s">
        <v>185</v>
      </c>
      <c r="C9" s="14" t="s">
        <v>53</v>
      </c>
      <c r="D9" s="14" t="s">
        <v>186</v>
      </c>
      <c r="E9" s="15"/>
      <c r="F9" s="383">
        <f>F7</f>
        <v>2.8600000000000003</v>
      </c>
      <c r="G9" s="15"/>
      <c r="H9" s="17"/>
      <c r="I9" s="17"/>
      <c r="J9" s="17"/>
      <c r="K9" s="17"/>
      <c r="L9" s="17"/>
      <c r="M9" s="54"/>
    </row>
    <row r="10" spans="1:13" ht="23.25" customHeight="1" x14ac:dyDescent="0.3">
      <c r="A10" s="17">
        <f>A9+0.1</f>
        <v>2.1</v>
      </c>
      <c r="B10" s="17"/>
      <c r="C10" s="53" t="s">
        <v>44</v>
      </c>
      <c r="D10" s="53" t="s">
        <v>17</v>
      </c>
      <c r="E10" s="128">
        <v>0.87</v>
      </c>
      <c r="F10" s="391">
        <f>F9*E10</f>
        <v>2.4882000000000004</v>
      </c>
      <c r="G10" s="89"/>
      <c r="H10" s="89"/>
      <c r="I10" s="53"/>
      <c r="J10" s="53"/>
      <c r="K10" s="53"/>
      <c r="L10" s="53"/>
      <c r="M10" s="53"/>
    </row>
    <row r="11" spans="1:13" ht="23.25" customHeight="1" x14ac:dyDescent="0.3">
      <c r="A11" s="13" t="s">
        <v>23</v>
      </c>
      <c r="B11" s="14"/>
      <c r="C11" s="14" t="s">
        <v>144</v>
      </c>
      <c r="D11" s="14" t="s">
        <v>21</v>
      </c>
      <c r="E11" s="15"/>
      <c r="F11" s="383">
        <f>F9*1.85</f>
        <v>5.2910000000000013</v>
      </c>
      <c r="G11" s="15"/>
      <c r="H11" s="17"/>
      <c r="I11" s="17"/>
      <c r="J11" s="17"/>
      <c r="K11" s="17"/>
      <c r="L11" s="17"/>
      <c r="M11" s="54"/>
    </row>
    <row r="12" spans="1:13" ht="23.25" customHeight="1" x14ac:dyDescent="0.3">
      <c r="A12" s="17">
        <f>A11+0.1</f>
        <v>3.1</v>
      </c>
      <c r="B12" s="17" t="s">
        <v>31</v>
      </c>
      <c r="C12" s="87" t="s">
        <v>33</v>
      </c>
      <c r="D12" s="87" t="s">
        <v>21</v>
      </c>
      <c r="E12" s="87">
        <v>1</v>
      </c>
      <c r="F12" s="384">
        <f>F11*E12</f>
        <v>5.2910000000000013</v>
      </c>
      <c r="G12" s="21"/>
      <c r="H12" s="21"/>
      <c r="I12" s="206"/>
      <c r="J12" s="56"/>
      <c r="K12" s="56"/>
      <c r="L12" s="56"/>
      <c r="M12" s="56"/>
    </row>
    <row r="13" spans="1:13" s="215" customFormat="1" ht="46.5" customHeight="1" x14ac:dyDescent="0.3">
      <c r="A13" s="180">
        <v>4</v>
      </c>
      <c r="B13" s="154" t="s">
        <v>67</v>
      </c>
      <c r="C13" s="181" t="s">
        <v>246</v>
      </c>
      <c r="D13" s="181" t="s">
        <v>59</v>
      </c>
      <c r="E13" s="54"/>
      <c r="F13" s="407">
        <f>F18*0.1</f>
        <v>0.26</v>
      </c>
      <c r="G13" s="62"/>
      <c r="H13" s="125"/>
      <c r="I13" s="125"/>
      <c r="J13" s="125"/>
      <c r="K13" s="125"/>
      <c r="L13" s="125"/>
      <c r="M13" s="54"/>
    </row>
    <row r="14" spans="1:13" s="215" customFormat="1" ht="23.25" customHeight="1" x14ac:dyDescent="0.3">
      <c r="A14" s="179">
        <f>A13+0.1</f>
        <v>4.0999999999999996</v>
      </c>
      <c r="B14" s="92"/>
      <c r="C14" s="216" t="s">
        <v>68</v>
      </c>
      <c r="D14" s="216" t="s">
        <v>17</v>
      </c>
      <c r="E14" s="216">
        <v>0.89</v>
      </c>
      <c r="F14" s="391">
        <f>E14*F13</f>
        <v>0.23140000000000002</v>
      </c>
      <c r="G14" s="64"/>
      <c r="H14" s="64"/>
      <c r="I14" s="65"/>
      <c r="J14" s="65"/>
      <c r="K14" s="125"/>
      <c r="L14" s="125"/>
      <c r="M14" s="155"/>
    </row>
    <row r="15" spans="1:13" s="215" customFormat="1" ht="23.25" customHeight="1" x14ac:dyDescent="0.3">
      <c r="A15" s="179">
        <f>A14+0.1</f>
        <v>4.1999999999999993</v>
      </c>
      <c r="B15" s="181"/>
      <c r="C15" s="87" t="s">
        <v>69</v>
      </c>
      <c r="D15" s="87" t="s">
        <v>107</v>
      </c>
      <c r="E15" s="217">
        <v>0.37</v>
      </c>
      <c r="F15" s="384">
        <f>E15*F13</f>
        <v>9.6200000000000008E-2</v>
      </c>
      <c r="G15" s="67"/>
      <c r="H15" s="67"/>
      <c r="I15" s="67"/>
      <c r="J15" s="67"/>
      <c r="K15" s="217"/>
      <c r="L15" s="217"/>
      <c r="M15" s="67"/>
    </row>
    <row r="16" spans="1:13" s="215" customFormat="1" ht="23.25" customHeight="1" x14ac:dyDescent="0.3">
      <c r="A16" s="179">
        <f>A15+0.1</f>
        <v>4.2999999999999989</v>
      </c>
      <c r="B16" s="55" t="s">
        <v>245</v>
      </c>
      <c r="C16" s="55" t="s">
        <v>243</v>
      </c>
      <c r="D16" s="213" t="s">
        <v>59</v>
      </c>
      <c r="E16" s="218" t="s">
        <v>88</v>
      </c>
      <c r="F16" s="392">
        <f>F13</f>
        <v>0.26</v>
      </c>
      <c r="G16" s="218"/>
      <c r="H16" s="218"/>
      <c r="I16" s="69"/>
      <c r="J16" s="69"/>
      <c r="K16" s="69"/>
      <c r="L16" s="69"/>
      <c r="M16" s="69"/>
    </row>
    <row r="17" spans="1:13" s="215" customFormat="1" ht="23.25" customHeight="1" x14ac:dyDescent="0.3">
      <c r="A17" s="179">
        <f>A16+0.1</f>
        <v>4.3999999999999986</v>
      </c>
      <c r="B17" s="213"/>
      <c r="C17" s="179" t="s">
        <v>73</v>
      </c>
      <c r="D17" s="179" t="s">
        <v>72</v>
      </c>
      <c r="E17" s="227">
        <v>0.02</v>
      </c>
      <c r="F17" s="381">
        <f>E17*F13</f>
        <v>5.2000000000000006E-3</v>
      </c>
      <c r="G17" s="227"/>
      <c r="H17" s="227"/>
      <c r="I17" s="227"/>
      <c r="J17" s="227"/>
      <c r="K17" s="227"/>
      <c r="L17" s="227"/>
      <c r="M17" s="227"/>
    </row>
    <row r="18" spans="1:13" s="215" customFormat="1" ht="34.5" customHeight="1" x14ac:dyDescent="0.3">
      <c r="A18" s="224">
        <v>5</v>
      </c>
      <c r="B18" s="162" t="s">
        <v>187</v>
      </c>
      <c r="C18" s="180" t="s">
        <v>96</v>
      </c>
      <c r="D18" s="180" t="s">
        <v>97</v>
      </c>
      <c r="E18" s="180"/>
      <c r="F18" s="383">
        <f>(F29+F27+F25)*0.2</f>
        <v>2.6</v>
      </c>
      <c r="G18" s="180"/>
      <c r="H18" s="15"/>
      <c r="I18" s="180"/>
      <c r="J18" s="15"/>
      <c r="K18" s="180"/>
      <c r="L18" s="15"/>
      <c r="M18" s="15"/>
    </row>
    <row r="19" spans="1:13" s="215" customFormat="1" ht="30" customHeight="1" x14ac:dyDescent="0.3">
      <c r="A19" s="213">
        <f t="shared" ref="A19:A24" si="0">A18+0.1</f>
        <v>5.0999999999999996</v>
      </c>
      <c r="B19" s="123"/>
      <c r="C19" s="203" t="s">
        <v>44</v>
      </c>
      <c r="D19" s="92" t="s">
        <v>17</v>
      </c>
      <c r="E19" s="216">
        <v>4.5</v>
      </c>
      <c r="F19" s="391">
        <f>E19*F18</f>
        <v>11.700000000000001</v>
      </c>
      <c r="G19" s="126"/>
      <c r="H19" s="126"/>
      <c r="I19" s="21"/>
      <c r="J19" s="216"/>
      <c r="K19" s="126"/>
      <c r="L19" s="126"/>
      <c r="M19" s="216"/>
    </row>
    <row r="20" spans="1:13" s="215" customFormat="1" ht="24" customHeight="1" x14ac:dyDescent="0.3">
      <c r="A20" s="204">
        <f t="shared" si="0"/>
        <v>5.1999999999999993</v>
      </c>
      <c r="B20" s="205"/>
      <c r="C20" s="87" t="s">
        <v>69</v>
      </c>
      <c r="D20" s="87" t="s">
        <v>18</v>
      </c>
      <c r="E20" s="217">
        <v>0.37</v>
      </c>
      <c r="F20" s="217">
        <f>E20*F18</f>
        <v>0.96199999999999997</v>
      </c>
      <c r="G20" s="67"/>
      <c r="H20" s="67"/>
      <c r="I20" s="67"/>
      <c r="J20" s="67"/>
      <c r="K20" s="217"/>
      <c r="L20" s="217"/>
      <c r="M20" s="67"/>
    </row>
    <row r="21" spans="1:13" s="116" customFormat="1" ht="24" customHeight="1" x14ac:dyDescent="0.3">
      <c r="A21" s="213">
        <f t="shared" si="0"/>
        <v>5.2999999999999989</v>
      </c>
      <c r="B21" s="317" t="s">
        <v>265</v>
      </c>
      <c r="C21" s="213" t="s">
        <v>233</v>
      </c>
      <c r="D21" s="213" t="s">
        <v>59</v>
      </c>
      <c r="E21" s="218">
        <v>1.02</v>
      </c>
      <c r="F21" s="218">
        <f>E21*F18</f>
        <v>2.6520000000000001</v>
      </c>
      <c r="G21" s="305"/>
      <c r="H21" s="218"/>
      <c r="I21" s="69"/>
      <c r="J21" s="69"/>
      <c r="K21" s="69"/>
      <c r="L21" s="69"/>
      <c r="M21" s="69"/>
    </row>
    <row r="22" spans="1:13" s="116" customFormat="1" ht="24" customHeight="1" x14ac:dyDescent="0.3">
      <c r="A22" s="213">
        <f t="shared" si="0"/>
        <v>5.3999999999999986</v>
      </c>
      <c r="B22" s="123">
        <v>5.1390000000000002</v>
      </c>
      <c r="C22" s="213" t="s">
        <v>207</v>
      </c>
      <c r="D22" s="213" t="s">
        <v>94</v>
      </c>
      <c r="E22" s="218">
        <v>1.61</v>
      </c>
      <c r="F22" s="218">
        <f>F18*E22</f>
        <v>4.1860000000000008</v>
      </c>
      <c r="G22" s="305"/>
      <c r="H22" s="218"/>
      <c r="I22" s="69"/>
      <c r="J22" s="69"/>
      <c r="K22" s="69"/>
      <c r="L22" s="69"/>
      <c r="M22" s="69"/>
    </row>
    <row r="23" spans="1:13" s="116" customFormat="1" ht="24" customHeight="1" x14ac:dyDescent="0.3">
      <c r="A23" s="213">
        <f t="shared" si="0"/>
        <v>5.4999999999999982</v>
      </c>
      <c r="B23" s="279">
        <v>5.0999999999999996</v>
      </c>
      <c r="C23" s="213" t="s">
        <v>196</v>
      </c>
      <c r="D23" s="213" t="s">
        <v>59</v>
      </c>
      <c r="E23" s="218">
        <f>1.72/100</f>
        <v>1.72E-2</v>
      </c>
      <c r="F23" s="218">
        <f>F18*E23</f>
        <v>4.4720000000000003E-2</v>
      </c>
      <c r="G23" s="305"/>
      <c r="H23" s="218"/>
      <c r="I23" s="69"/>
      <c r="J23" s="69"/>
      <c r="K23" s="69"/>
      <c r="L23" s="69"/>
      <c r="M23" s="69"/>
    </row>
    <row r="24" spans="1:13" s="116" customFormat="1" ht="24" customHeight="1" x14ac:dyDescent="0.3">
      <c r="A24" s="213">
        <f t="shared" si="0"/>
        <v>5.5999999999999979</v>
      </c>
      <c r="B24" s="123"/>
      <c r="C24" s="213" t="s">
        <v>62</v>
      </c>
      <c r="D24" s="213" t="s">
        <v>18</v>
      </c>
      <c r="E24" s="218">
        <v>0.28000000000000003</v>
      </c>
      <c r="F24" s="218">
        <f>E24*F18</f>
        <v>0.72800000000000009</v>
      </c>
      <c r="G24" s="218"/>
      <c r="H24" s="218"/>
      <c r="I24" s="69"/>
      <c r="J24" s="69"/>
      <c r="K24" s="69"/>
      <c r="L24" s="69"/>
      <c r="M24" s="69"/>
    </row>
    <row r="25" spans="1:13" ht="37.5" customHeight="1" x14ac:dyDescent="0.3">
      <c r="A25" s="165">
        <v>19</v>
      </c>
      <c r="B25" s="166" t="s">
        <v>106</v>
      </c>
      <c r="C25" s="167" t="s">
        <v>201</v>
      </c>
      <c r="D25" s="167" t="s">
        <v>39</v>
      </c>
      <c r="E25" s="446"/>
      <c r="F25" s="372">
        <f>SUM(F26:F26)</f>
        <v>7</v>
      </c>
      <c r="G25" s="446"/>
      <c r="H25" s="372"/>
      <c r="I25" s="167"/>
      <c r="J25" s="168"/>
      <c r="K25" s="167"/>
      <c r="L25" s="168"/>
      <c r="M25" s="168"/>
    </row>
    <row r="26" spans="1:13" ht="55.5" customHeight="1" x14ac:dyDescent="0.3">
      <c r="A26" s="45">
        <f>A25+0.1</f>
        <v>19.100000000000001</v>
      </c>
      <c r="B26" s="127" t="s">
        <v>106</v>
      </c>
      <c r="C26" s="27" t="s">
        <v>108</v>
      </c>
      <c r="D26" s="27" t="s">
        <v>26</v>
      </c>
      <c r="E26" s="197" t="s">
        <v>88</v>
      </c>
      <c r="F26" s="381">
        <v>7</v>
      </c>
      <c r="G26" s="197"/>
      <c r="H26" s="381"/>
      <c r="I26" s="27"/>
      <c r="J26" s="32"/>
      <c r="K26" s="27"/>
      <c r="L26" s="32"/>
      <c r="M26" s="32"/>
    </row>
    <row r="27" spans="1:13" x14ac:dyDescent="0.3">
      <c r="A27" s="24">
        <v>20</v>
      </c>
      <c r="B27" s="91" t="s">
        <v>106</v>
      </c>
      <c r="C27" s="24" t="s">
        <v>109</v>
      </c>
      <c r="D27" s="24" t="s">
        <v>39</v>
      </c>
      <c r="E27" s="447"/>
      <c r="F27" s="383">
        <f>F28</f>
        <v>3</v>
      </c>
      <c r="G27" s="447"/>
      <c r="H27" s="383"/>
      <c r="I27" s="24"/>
      <c r="J27" s="16"/>
      <c r="K27" s="24"/>
      <c r="L27" s="16"/>
      <c r="M27" s="16"/>
    </row>
    <row r="28" spans="1:13" ht="45" x14ac:dyDescent="0.3">
      <c r="A28" s="45">
        <f>A27+0.1</f>
        <v>20.100000000000001</v>
      </c>
      <c r="B28" s="88" t="s">
        <v>106</v>
      </c>
      <c r="C28" s="27" t="s">
        <v>110</v>
      </c>
      <c r="D28" s="27" t="s">
        <v>26</v>
      </c>
      <c r="E28" s="197">
        <v>1</v>
      </c>
      <c r="F28" s="381">
        <v>3</v>
      </c>
      <c r="G28" s="197"/>
      <c r="H28" s="381"/>
      <c r="I28" s="27"/>
      <c r="J28" s="32"/>
      <c r="K28" s="27"/>
      <c r="L28" s="32"/>
      <c r="M28" s="32"/>
    </row>
    <row r="29" spans="1:13" ht="34.5" customHeight="1" x14ac:dyDescent="0.3">
      <c r="A29" s="24">
        <v>21</v>
      </c>
      <c r="B29" s="91" t="s">
        <v>106</v>
      </c>
      <c r="C29" s="24" t="s">
        <v>166</v>
      </c>
      <c r="D29" s="24" t="s">
        <v>39</v>
      </c>
      <c r="E29" s="447"/>
      <c r="F29" s="383">
        <f>SUM(F30:F31)</f>
        <v>3</v>
      </c>
      <c r="G29" s="447"/>
      <c r="H29" s="383"/>
      <c r="I29" s="24"/>
      <c r="J29" s="16"/>
      <c r="K29" s="24"/>
      <c r="L29" s="16"/>
      <c r="M29" s="16"/>
    </row>
    <row r="30" spans="1:13" s="352" customFormat="1" ht="59.25" customHeight="1" x14ac:dyDescent="0.3">
      <c r="A30" s="300">
        <f t="shared" ref="A30" si="1">A29+0.1</f>
        <v>21.1</v>
      </c>
      <c r="B30" s="313" t="s">
        <v>106</v>
      </c>
      <c r="C30" s="296" t="s">
        <v>256</v>
      </c>
      <c r="D30" s="296" t="s">
        <v>26</v>
      </c>
      <c r="E30" s="448" t="s">
        <v>83</v>
      </c>
      <c r="F30" s="381">
        <v>2</v>
      </c>
      <c r="G30" s="197"/>
      <c r="H30" s="381"/>
      <c r="I30" s="296"/>
      <c r="J30" s="297"/>
      <c r="K30" s="296"/>
      <c r="L30" s="297"/>
      <c r="M30" s="297"/>
    </row>
    <row r="31" spans="1:13" s="352" customFormat="1" ht="59.25" customHeight="1" x14ac:dyDescent="0.3">
      <c r="A31" s="300" t="e">
        <f>#REF!+0.1</f>
        <v>#REF!</v>
      </c>
      <c r="B31" s="313" t="s">
        <v>106</v>
      </c>
      <c r="C31" s="296" t="s">
        <v>278</v>
      </c>
      <c r="D31" s="296" t="s">
        <v>26</v>
      </c>
      <c r="E31" s="448" t="s">
        <v>83</v>
      </c>
      <c r="F31" s="381">
        <v>1</v>
      </c>
      <c r="G31" s="197"/>
      <c r="H31" s="381"/>
      <c r="I31" s="296"/>
      <c r="J31" s="297"/>
      <c r="K31" s="296"/>
      <c r="L31" s="297"/>
      <c r="M31" s="297"/>
    </row>
    <row r="32" spans="1:13" s="215" customFormat="1" ht="23.25" customHeight="1" x14ac:dyDescent="0.3">
      <c r="A32" s="271"/>
      <c r="B32" s="271"/>
      <c r="C32" s="272" t="s">
        <v>206</v>
      </c>
      <c r="D32" s="273"/>
      <c r="E32" s="449"/>
      <c r="F32" s="384"/>
      <c r="G32" s="371"/>
      <c r="H32" s="371"/>
      <c r="I32" s="274"/>
      <c r="J32" s="274"/>
      <c r="K32" s="274"/>
      <c r="L32" s="274"/>
      <c r="M32" s="274"/>
    </row>
    <row r="33" spans="1:18" s="352" customFormat="1" ht="23.25" customHeight="1" x14ac:dyDescent="0.3">
      <c r="A33" s="39">
        <v>1</v>
      </c>
      <c r="B33" s="354" t="s">
        <v>40</v>
      </c>
      <c r="C33" s="355" t="s">
        <v>41</v>
      </c>
      <c r="D33" s="355" t="s">
        <v>59</v>
      </c>
      <c r="E33" s="383"/>
      <c r="F33" s="383">
        <f>F44+F39</f>
        <v>1.29</v>
      </c>
      <c r="G33" s="383"/>
      <c r="H33" s="447"/>
      <c r="I33" s="375"/>
      <c r="J33" s="375"/>
      <c r="K33" s="375"/>
      <c r="L33" s="375"/>
      <c r="M33" s="374"/>
    </row>
    <row r="34" spans="1:18" s="352" customFormat="1" ht="23.25" customHeight="1" x14ac:dyDescent="0.3">
      <c r="A34" s="357">
        <f>A33+0.1</f>
        <v>1.1000000000000001</v>
      </c>
      <c r="B34" s="40"/>
      <c r="C34" s="228" t="s">
        <v>16</v>
      </c>
      <c r="D34" s="228" t="s">
        <v>17</v>
      </c>
      <c r="E34" s="371">
        <v>2.06</v>
      </c>
      <c r="F34" s="386">
        <f>F33*E34</f>
        <v>2.6574</v>
      </c>
      <c r="G34" s="450"/>
      <c r="H34" s="451"/>
      <c r="I34" s="299"/>
      <c r="J34" s="359"/>
      <c r="K34" s="358"/>
      <c r="L34" s="358"/>
      <c r="M34" s="359"/>
    </row>
    <row r="35" spans="1:18" s="352" customFormat="1" ht="33.75" customHeight="1" x14ac:dyDescent="0.3">
      <c r="A35" s="354" t="s">
        <v>19</v>
      </c>
      <c r="B35" s="355" t="s">
        <v>185</v>
      </c>
      <c r="C35" s="355" t="s">
        <v>53</v>
      </c>
      <c r="D35" s="355" t="s">
        <v>186</v>
      </c>
      <c r="E35" s="383"/>
      <c r="F35" s="383">
        <f>F33</f>
        <v>1.29</v>
      </c>
      <c r="G35" s="383"/>
      <c r="H35" s="197"/>
      <c r="I35" s="357"/>
      <c r="J35" s="357"/>
      <c r="K35" s="357"/>
      <c r="L35" s="357"/>
      <c r="M35" s="54"/>
    </row>
    <row r="36" spans="1:18" s="352" customFormat="1" ht="23.25" customHeight="1" x14ac:dyDescent="0.3">
      <c r="A36" s="357">
        <f>A35+0.1</f>
        <v>2.1</v>
      </c>
      <c r="B36" s="357"/>
      <c r="C36" s="302" t="s">
        <v>44</v>
      </c>
      <c r="D36" s="302" t="s">
        <v>17</v>
      </c>
      <c r="E36" s="128">
        <v>0.87</v>
      </c>
      <c r="F36" s="391">
        <f>F35*E36</f>
        <v>1.1223000000000001</v>
      </c>
      <c r="G36" s="229"/>
      <c r="H36" s="229"/>
      <c r="I36" s="302"/>
      <c r="J36" s="302"/>
      <c r="K36" s="302"/>
      <c r="L36" s="302"/>
      <c r="M36" s="302"/>
    </row>
    <row r="37" spans="1:18" s="352" customFormat="1" ht="23.25" customHeight="1" x14ac:dyDescent="0.3">
      <c r="A37" s="354" t="s">
        <v>23</v>
      </c>
      <c r="B37" s="355"/>
      <c r="C37" s="355" t="s">
        <v>144</v>
      </c>
      <c r="D37" s="355" t="s">
        <v>21</v>
      </c>
      <c r="E37" s="356"/>
      <c r="F37" s="383">
        <f>F35*1.85</f>
        <v>2.3865000000000003</v>
      </c>
      <c r="G37" s="356"/>
      <c r="H37" s="357"/>
      <c r="I37" s="357"/>
      <c r="J37" s="357"/>
      <c r="K37" s="357"/>
      <c r="L37" s="357"/>
      <c r="M37" s="54"/>
    </row>
    <row r="38" spans="1:18" s="352" customFormat="1" ht="23.25" customHeight="1" x14ac:dyDescent="0.3">
      <c r="A38" s="357">
        <f>A37+0.1</f>
        <v>3.1</v>
      </c>
      <c r="B38" s="357" t="s">
        <v>31</v>
      </c>
      <c r="C38" s="312" t="s">
        <v>33</v>
      </c>
      <c r="D38" s="312" t="s">
        <v>21</v>
      </c>
      <c r="E38" s="312">
        <v>1</v>
      </c>
      <c r="F38" s="384">
        <f>F37*E38</f>
        <v>2.3865000000000003</v>
      </c>
      <c r="G38" s="361"/>
      <c r="H38" s="361"/>
      <c r="I38" s="206"/>
      <c r="J38" s="304"/>
      <c r="K38" s="304"/>
      <c r="L38" s="304"/>
      <c r="M38" s="304"/>
    </row>
    <row r="39" spans="1:18" s="352" customFormat="1" ht="48.75" customHeight="1" x14ac:dyDescent="0.3">
      <c r="A39" s="355">
        <v>4</v>
      </c>
      <c r="B39" s="154" t="s">
        <v>67</v>
      </c>
      <c r="C39" s="377" t="s">
        <v>246</v>
      </c>
      <c r="D39" s="377" t="s">
        <v>59</v>
      </c>
      <c r="E39" s="54"/>
      <c r="F39" s="407">
        <v>0.26</v>
      </c>
      <c r="G39" s="62"/>
      <c r="H39" s="125"/>
      <c r="I39" s="125"/>
      <c r="J39" s="125"/>
      <c r="K39" s="125"/>
      <c r="L39" s="125"/>
      <c r="M39" s="54"/>
    </row>
    <row r="40" spans="1:18" s="352" customFormat="1" ht="23.25" customHeight="1" x14ac:dyDescent="0.3">
      <c r="A40" s="357">
        <f>A39+0.1</f>
        <v>4.0999999999999996</v>
      </c>
      <c r="B40" s="315"/>
      <c r="C40" s="302" t="s">
        <v>68</v>
      </c>
      <c r="D40" s="302" t="s">
        <v>17</v>
      </c>
      <c r="E40" s="302">
        <v>0.89</v>
      </c>
      <c r="F40" s="391">
        <f>E40*F39</f>
        <v>0.23140000000000002</v>
      </c>
      <c r="G40" s="64"/>
      <c r="H40" s="64"/>
      <c r="I40" s="65"/>
      <c r="J40" s="65"/>
      <c r="K40" s="125"/>
      <c r="L40" s="125"/>
      <c r="M40" s="155"/>
    </row>
    <row r="41" spans="1:18" s="352" customFormat="1" ht="23.25" customHeight="1" x14ac:dyDescent="0.3">
      <c r="A41" s="357">
        <f>A40+0.1</f>
        <v>4.1999999999999993</v>
      </c>
      <c r="B41" s="377"/>
      <c r="C41" s="312" t="s">
        <v>69</v>
      </c>
      <c r="D41" s="312" t="s">
        <v>107</v>
      </c>
      <c r="E41" s="304">
        <v>0.37</v>
      </c>
      <c r="F41" s="384">
        <f>E41*F39</f>
        <v>9.6200000000000008E-2</v>
      </c>
      <c r="G41" s="307"/>
      <c r="H41" s="307"/>
      <c r="I41" s="307"/>
      <c r="J41" s="307"/>
      <c r="K41" s="304"/>
      <c r="L41" s="304"/>
      <c r="M41" s="307"/>
    </row>
    <row r="42" spans="1:18" s="352" customFormat="1" ht="23.25" customHeight="1" x14ac:dyDescent="0.3">
      <c r="A42" s="357">
        <f>A41+0.1</f>
        <v>4.2999999999999989</v>
      </c>
      <c r="B42" s="303" t="s">
        <v>245</v>
      </c>
      <c r="C42" s="303" t="s">
        <v>243</v>
      </c>
      <c r="D42" s="300" t="s">
        <v>59</v>
      </c>
      <c r="E42" s="305" t="s">
        <v>88</v>
      </c>
      <c r="F42" s="392">
        <f>F39</f>
        <v>0.26</v>
      </c>
      <c r="G42" s="305"/>
      <c r="H42" s="305"/>
      <c r="I42" s="309"/>
      <c r="J42" s="309"/>
      <c r="K42" s="309"/>
      <c r="L42" s="309"/>
      <c r="M42" s="309"/>
    </row>
    <row r="43" spans="1:18" s="352" customFormat="1" ht="23.25" customHeight="1" x14ac:dyDescent="0.3">
      <c r="A43" s="357">
        <f>A42+0.1</f>
        <v>4.3999999999999986</v>
      </c>
      <c r="B43" s="300"/>
      <c r="C43" s="357" t="s">
        <v>73</v>
      </c>
      <c r="D43" s="357" t="s">
        <v>72</v>
      </c>
      <c r="E43" s="227">
        <v>0.02</v>
      </c>
      <c r="F43" s="381">
        <f>E43*F39</f>
        <v>5.2000000000000006E-3</v>
      </c>
      <c r="G43" s="227"/>
      <c r="H43" s="227"/>
      <c r="I43" s="227"/>
      <c r="J43" s="227"/>
      <c r="K43" s="227"/>
      <c r="L43" s="227"/>
      <c r="M43" s="227"/>
    </row>
    <row r="44" spans="1:18" s="281" customFormat="1" ht="32.25" customHeight="1" x14ac:dyDescent="0.3">
      <c r="A44" s="295">
        <v>6</v>
      </c>
      <c r="B44" s="319" t="s">
        <v>187</v>
      </c>
      <c r="C44" s="291" t="s">
        <v>96</v>
      </c>
      <c r="D44" s="291" t="s">
        <v>97</v>
      </c>
      <c r="E44" s="291"/>
      <c r="F44" s="383">
        <v>1.03</v>
      </c>
      <c r="G44" s="291"/>
      <c r="H44" s="292"/>
      <c r="I44" s="291"/>
      <c r="J44" s="292"/>
      <c r="K44" s="291"/>
      <c r="L44" s="292"/>
      <c r="M44" s="292"/>
    </row>
    <row r="45" spans="1:18" s="281" customFormat="1" ht="23.25" customHeight="1" x14ac:dyDescent="0.3">
      <c r="A45" s="300">
        <v>6.1</v>
      </c>
      <c r="B45" s="317"/>
      <c r="C45" s="315" t="s">
        <v>44</v>
      </c>
      <c r="D45" s="320" t="s">
        <v>17</v>
      </c>
      <c r="E45" s="302">
        <v>4.5</v>
      </c>
      <c r="F45" s="391">
        <v>32.49</v>
      </c>
      <c r="G45" s="318"/>
      <c r="H45" s="318"/>
      <c r="I45" s="294"/>
      <c r="J45" s="302"/>
      <c r="K45" s="318"/>
      <c r="L45" s="318"/>
      <c r="M45" s="302"/>
    </row>
    <row r="46" spans="1:18" s="281" customFormat="1" ht="23.25" customHeight="1" x14ac:dyDescent="0.3">
      <c r="A46" s="300">
        <v>6.1999999999999993</v>
      </c>
      <c r="B46" s="317"/>
      <c r="C46" s="312" t="s">
        <v>69</v>
      </c>
      <c r="D46" s="344" t="s">
        <v>18</v>
      </c>
      <c r="E46" s="304">
        <v>0.37</v>
      </c>
      <c r="F46" s="384">
        <v>2.6713999999999998</v>
      </c>
      <c r="G46" s="307"/>
      <c r="H46" s="307"/>
      <c r="I46" s="307"/>
      <c r="J46" s="307"/>
      <c r="K46" s="304"/>
      <c r="L46" s="304"/>
      <c r="M46" s="304"/>
    </row>
    <row r="47" spans="1:18" s="281" customFormat="1" ht="23.25" customHeight="1" x14ac:dyDescent="0.3">
      <c r="A47" s="300">
        <v>6.2999999999999989</v>
      </c>
      <c r="B47" s="317" t="s">
        <v>265</v>
      </c>
      <c r="C47" s="300" t="s">
        <v>233</v>
      </c>
      <c r="D47" s="300" t="s">
        <v>59</v>
      </c>
      <c r="E47" s="305">
        <v>1.02</v>
      </c>
      <c r="F47" s="392">
        <v>7.3643999999999998</v>
      </c>
      <c r="G47" s="305"/>
      <c r="H47" s="305"/>
      <c r="I47" s="309"/>
      <c r="J47" s="309"/>
      <c r="K47" s="309"/>
      <c r="L47" s="309"/>
      <c r="M47" s="305"/>
    </row>
    <row r="48" spans="1:18" s="215" customFormat="1" ht="26.25" customHeight="1" x14ac:dyDescent="0.3">
      <c r="A48" s="300">
        <v>6.4999999999999982</v>
      </c>
      <c r="B48" s="317">
        <v>5.1390000000000002</v>
      </c>
      <c r="C48" s="296" t="s">
        <v>234</v>
      </c>
      <c r="D48" s="300" t="s">
        <v>94</v>
      </c>
      <c r="E48" s="305">
        <v>1.61</v>
      </c>
      <c r="F48" s="392">
        <v>11.6242</v>
      </c>
      <c r="G48" s="305"/>
      <c r="H48" s="305"/>
      <c r="I48" s="309"/>
      <c r="J48" s="309"/>
      <c r="K48" s="309"/>
      <c r="L48" s="309"/>
      <c r="M48" s="305"/>
      <c r="N48" s="288"/>
      <c r="O48" s="288"/>
      <c r="P48" s="288"/>
      <c r="Q48" s="288"/>
      <c r="R48" s="288"/>
    </row>
    <row r="49" spans="1:18" s="215" customFormat="1" ht="19.5" customHeight="1" x14ac:dyDescent="0.3">
      <c r="A49" s="300">
        <v>6.5999999999999979</v>
      </c>
      <c r="B49" s="345">
        <v>5.0999999999999996</v>
      </c>
      <c r="C49" s="300" t="s">
        <v>196</v>
      </c>
      <c r="D49" s="300" t="s">
        <v>59</v>
      </c>
      <c r="E49" s="305">
        <v>1.72E-2</v>
      </c>
      <c r="F49" s="392">
        <v>0.124184</v>
      </c>
      <c r="G49" s="305"/>
      <c r="H49" s="305"/>
      <c r="I49" s="309"/>
      <c r="J49" s="309"/>
      <c r="K49" s="309"/>
      <c r="L49" s="309"/>
      <c r="M49" s="305"/>
      <c r="N49" s="288"/>
      <c r="O49" s="288"/>
      <c r="P49" s="288"/>
      <c r="Q49" s="288"/>
      <c r="R49" s="288"/>
    </row>
    <row r="50" spans="1:18" s="215" customFormat="1" ht="19.5" customHeight="1" x14ac:dyDescent="0.3">
      <c r="A50" s="300">
        <v>6.6999999999999975</v>
      </c>
      <c r="B50" s="317"/>
      <c r="C50" s="300" t="s">
        <v>62</v>
      </c>
      <c r="D50" s="300" t="s">
        <v>18</v>
      </c>
      <c r="E50" s="305">
        <v>0.28000000000000003</v>
      </c>
      <c r="F50" s="392">
        <v>2.0216000000000003</v>
      </c>
      <c r="G50" s="305"/>
      <c r="H50" s="305"/>
      <c r="I50" s="309"/>
      <c r="J50" s="309"/>
      <c r="K50" s="309"/>
      <c r="L50" s="309"/>
      <c r="M50" s="305"/>
      <c r="N50" s="288"/>
      <c r="O50" s="288"/>
      <c r="P50" s="288"/>
      <c r="Q50" s="288"/>
      <c r="R50" s="288"/>
    </row>
    <row r="51" spans="1:18" s="215" customFormat="1" ht="28.5" customHeight="1" x14ac:dyDescent="0.3">
      <c r="A51" s="324">
        <v>7</v>
      </c>
      <c r="B51" s="323" t="s">
        <v>210</v>
      </c>
      <c r="C51" s="325" t="s">
        <v>235</v>
      </c>
      <c r="D51" s="325" t="s">
        <v>78</v>
      </c>
      <c r="E51" s="326"/>
      <c r="F51" s="407">
        <v>0.73299999999999998</v>
      </c>
      <c r="G51" s="326"/>
      <c r="H51" s="327"/>
      <c r="I51" s="327"/>
      <c r="J51" s="327"/>
      <c r="K51" s="328"/>
      <c r="L51" s="328"/>
      <c r="M51" s="329"/>
      <c r="N51" s="288"/>
      <c r="O51" s="288"/>
      <c r="P51" s="288"/>
      <c r="Q51" s="288"/>
      <c r="R51" s="288"/>
    </row>
    <row r="52" spans="1:18" s="215" customFormat="1" ht="19.5" customHeight="1" x14ac:dyDescent="0.3">
      <c r="A52" s="330">
        <v>7.1</v>
      </c>
      <c r="B52" s="331"/>
      <c r="C52" s="330" t="s">
        <v>71</v>
      </c>
      <c r="D52" s="330" t="s">
        <v>17</v>
      </c>
      <c r="E52" s="332">
        <v>30.1</v>
      </c>
      <c r="F52" s="346">
        <v>97.563370800000015</v>
      </c>
      <c r="G52" s="333"/>
      <c r="H52" s="333"/>
      <c r="I52" s="294"/>
      <c r="J52" s="294"/>
      <c r="K52" s="334"/>
      <c r="L52" s="334"/>
      <c r="M52" s="299"/>
      <c r="N52" s="288"/>
      <c r="O52" s="288"/>
      <c r="P52" s="288"/>
      <c r="Q52" s="288"/>
      <c r="R52" s="288"/>
    </row>
    <row r="53" spans="1:18" s="215" customFormat="1" ht="19.5" customHeight="1" x14ac:dyDescent="0.3">
      <c r="A53" s="335">
        <v>7.1999999999999993</v>
      </c>
      <c r="B53" s="336"/>
      <c r="C53" s="335" t="s">
        <v>61</v>
      </c>
      <c r="D53" s="312" t="s">
        <v>18</v>
      </c>
      <c r="E53" s="337">
        <v>6.46</v>
      </c>
      <c r="F53" s="347">
        <v>20.938849680000004</v>
      </c>
      <c r="G53" s="338"/>
      <c r="H53" s="338"/>
      <c r="I53" s="338"/>
      <c r="J53" s="338"/>
      <c r="K53" s="339"/>
      <c r="L53" s="339"/>
      <c r="M53" s="306"/>
      <c r="N53" s="288"/>
      <c r="O53" s="288"/>
      <c r="P53" s="288"/>
      <c r="Q53" s="288"/>
      <c r="R53" s="288"/>
    </row>
    <row r="54" spans="1:18" s="215" customFormat="1" ht="19.5" customHeight="1" x14ac:dyDescent="0.3">
      <c r="A54" s="340">
        <v>7.2999999999999989</v>
      </c>
      <c r="B54" s="340" t="s">
        <v>266</v>
      </c>
      <c r="C54" s="341" t="s">
        <v>251</v>
      </c>
      <c r="D54" s="341" t="s">
        <v>202</v>
      </c>
      <c r="E54" s="342" t="s">
        <v>83</v>
      </c>
      <c r="F54" s="348">
        <v>183</v>
      </c>
      <c r="G54" s="342"/>
      <c r="H54" s="342"/>
      <c r="I54" s="327"/>
      <c r="J54" s="327"/>
      <c r="K54" s="328"/>
      <c r="L54" s="328"/>
      <c r="M54" s="308"/>
      <c r="N54" s="290"/>
      <c r="O54" s="290"/>
      <c r="P54" s="290"/>
      <c r="Q54" s="288"/>
      <c r="R54" s="288"/>
    </row>
    <row r="55" spans="1:18" s="215" customFormat="1" ht="19.5" customHeight="1" x14ac:dyDescent="0.3">
      <c r="A55" s="340">
        <v>7.3999999999999986</v>
      </c>
      <c r="B55" s="340" t="s">
        <v>267</v>
      </c>
      <c r="C55" s="341" t="s">
        <v>247</v>
      </c>
      <c r="D55" s="341" t="s">
        <v>202</v>
      </c>
      <c r="E55" s="342" t="s">
        <v>83</v>
      </c>
      <c r="F55" s="348">
        <v>4.0999999999999996</v>
      </c>
      <c r="G55" s="342"/>
      <c r="H55" s="342"/>
      <c r="I55" s="327"/>
      <c r="J55" s="327"/>
      <c r="K55" s="328"/>
      <c r="L55" s="328"/>
      <c r="M55" s="308"/>
      <c r="N55" s="290"/>
      <c r="O55" s="290"/>
      <c r="P55" s="290"/>
      <c r="Q55" s="288"/>
      <c r="R55" s="288"/>
    </row>
    <row r="56" spans="1:18" s="116" customFormat="1" ht="21.75" customHeight="1" x14ac:dyDescent="0.3">
      <c r="A56" s="340">
        <v>7.4999999999999982</v>
      </c>
      <c r="B56" s="340" t="s">
        <v>268</v>
      </c>
      <c r="C56" s="341" t="s">
        <v>252</v>
      </c>
      <c r="D56" s="341" t="s">
        <v>202</v>
      </c>
      <c r="E56" s="342" t="s">
        <v>83</v>
      </c>
      <c r="F56" s="348">
        <v>34</v>
      </c>
      <c r="G56" s="342"/>
      <c r="H56" s="342"/>
      <c r="I56" s="327"/>
      <c r="J56" s="327"/>
      <c r="K56" s="328"/>
      <c r="L56" s="328"/>
      <c r="M56" s="308"/>
      <c r="N56" s="290"/>
      <c r="O56" s="290"/>
      <c r="P56" s="290"/>
      <c r="Q56" s="289"/>
      <c r="R56" s="289"/>
    </row>
    <row r="57" spans="1:18" s="215" customFormat="1" ht="39.75" customHeight="1" x14ac:dyDescent="0.3">
      <c r="A57" s="300">
        <v>7.5999999999999979</v>
      </c>
      <c r="B57" s="340" t="s">
        <v>250</v>
      </c>
      <c r="C57" s="341" t="s">
        <v>253</v>
      </c>
      <c r="D57" s="341" t="s">
        <v>26</v>
      </c>
      <c r="E57" s="342" t="s">
        <v>83</v>
      </c>
      <c r="F57" s="348">
        <v>238</v>
      </c>
      <c r="G57" s="342"/>
      <c r="H57" s="342"/>
      <c r="I57" s="327"/>
      <c r="J57" s="327"/>
      <c r="K57" s="328"/>
      <c r="L57" s="328"/>
      <c r="M57" s="308"/>
      <c r="N57" s="316"/>
      <c r="O57" s="316"/>
      <c r="P57" s="316"/>
      <c r="Q57" s="290"/>
      <c r="R57" s="290"/>
    </row>
    <row r="58" spans="1:18" s="116" customFormat="1" ht="19.5" customHeight="1" x14ac:dyDescent="0.3">
      <c r="A58" s="300">
        <v>7.6999999999999975</v>
      </c>
      <c r="B58" s="303" t="s">
        <v>204</v>
      </c>
      <c r="C58" s="341" t="s">
        <v>205</v>
      </c>
      <c r="D58" s="341" t="s">
        <v>74</v>
      </c>
      <c r="E58" s="342">
        <v>4.8</v>
      </c>
      <c r="F58" s="348">
        <v>15.558278400000003</v>
      </c>
      <c r="G58" s="342"/>
      <c r="H58" s="342"/>
      <c r="I58" s="327"/>
      <c r="J58" s="327"/>
      <c r="K58" s="328"/>
      <c r="L58" s="328"/>
      <c r="M58" s="308"/>
      <c r="N58" s="290"/>
      <c r="O58" s="290"/>
      <c r="P58" s="290"/>
      <c r="Q58" s="290"/>
      <c r="R58" s="290"/>
    </row>
    <row r="59" spans="1:18" s="116" customFormat="1" ht="19.5" customHeight="1" x14ac:dyDescent="0.3">
      <c r="A59" s="300">
        <v>7.7999999999999972</v>
      </c>
      <c r="B59" s="340"/>
      <c r="C59" s="341" t="s">
        <v>73</v>
      </c>
      <c r="D59" s="300" t="s">
        <v>18</v>
      </c>
      <c r="E59" s="342">
        <v>5.4</v>
      </c>
      <c r="F59" s="348">
        <v>17.503063200000003</v>
      </c>
      <c r="G59" s="342"/>
      <c r="H59" s="342"/>
      <c r="I59" s="327"/>
      <c r="J59" s="327"/>
      <c r="K59" s="328"/>
      <c r="L59" s="328"/>
      <c r="M59" s="308"/>
      <c r="N59" s="290"/>
      <c r="O59" s="290"/>
      <c r="P59" s="290"/>
      <c r="Q59" s="290"/>
      <c r="R59" s="290"/>
    </row>
    <row r="60" spans="1:18" s="211" customFormat="1" ht="30.75" customHeight="1" x14ac:dyDescent="0.3">
      <c r="A60" s="295">
        <v>8</v>
      </c>
      <c r="B60" s="314" t="s">
        <v>98</v>
      </c>
      <c r="C60" s="295" t="s">
        <v>217</v>
      </c>
      <c r="D60" s="295" t="s">
        <v>24</v>
      </c>
      <c r="E60" s="295"/>
      <c r="F60" s="321">
        <v>112.01</v>
      </c>
      <c r="G60" s="343"/>
      <c r="H60" s="293"/>
      <c r="I60" s="295"/>
      <c r="J60" s="293"/>
      <c r="K60" s="295"/>
      <c r="L60" s="293"/>
      <c r="M60" s="293"/>
      <c r="Q60" s="290"/>
      <c r="R60" s="290"/>
    </row>
    <row r="61" spans="1:18" s="211" customFormat="1" ht="19.5" customHeight="1" x14ac:dyDescent="0.3">
      <c r="A61" s="300">
        <v>8.1</v>
      </c>
      <c r="B61" s="313"/>
      <c r="C61" s="301" t="s">
        <v>99</v>
      </c>
      <c r="D61" s="301" t="s">
        <v>17</v>
      </c>
      <c r="E61" s="301">
        <v>0.68</v>
      </c>
      <c r="F61" s="322">
        <v>196.37094400000007</v>
      </c>
      <c r="G61" s="298"/>
      <c r="H61" s="298"/>
      <c r="I61" s="311"/>
      <c r="J61" s="310"/>
      <c r="K61" s="298"/>
      <c r="L61" s="298"/>
      <c r="M61" s="310"/>
      <c r="Q61" s="290"/>
      <c r="R61" s="290"/>
    </row>
    <row r="62" spans="1:18" s="211" customFormat="1" ht="19.5" customHeight="1" x14ac:dyDescent="0.3">
      <c r="A62" s="335">
        <v>8.1999999999999993</v>
      </c>
      <c r="B62" s="336"/>
      <c r="C62" s="335" t="s">
        <v>100</v>
      </c>
      <c r="D62" s="312" t="s">
        <v>18</v>
      </c>
      <c r="E62" s="337">
        <v>2.9999999999999997E-4</v>
      </c>
      <c r="F62" s="347">
        <v>8.6634240000000015E-2</v>
      </c>
      <c r="G62" s="338"/>
      <c r="H62" s="338"/>
      <c r="I62" s="338"/>
      <c r="J62" s="338"/>
      <c r="K62" s="339"/>
      <c r="L62" s="339"/>
      <c r="M62" s="306"/>
      <c r="Q62" s="316"/>
      <c r="R62" s="316"/>
    </row>
    <row r="63" spans="1:18" s="211" customFormat="1" ht="19.5" customHeight="1" x14ac:dyDescent="0.3">
      <c r="A63" s="300">
        <v>8.2999999999999989</v>
      </c>
      <c r="B63" s="313" t="s">
        <v>270</v>
      </c>
      <c r="C63" s="296" t="s">
        <v>101</v>
      </c>
      <c r="D63" s="296" t="s">
        <v>74</v>
      </c>
      <c r="E63" s="296">
        <v>0.5</v>
      </c>
      <c r="F63" s="297">
        <v>144.39040000000003</v>
      </c>
      <c r="G63" s="297"/>
      <c r="H63" s="297"/>
      <c r="I63" s="296"/>
      <c r="J63" s="297"/>
      <c r="K63" s="296"/>
      <c r="L63" s="297"/>
      <c r="M63" s="297"/>
      <c r="Q63" s="290"/>
      <c r="R63" s="290"/>
    </row>
    <row r="64" spans="1:18" s="211" customFormat="1" ht="21" customHeight="1" x14ac:dyDescent="0.3">
      <c r="A64" s="300">
        <v>8.3999999999999986</v>
      </c>
      <c r="B64" s="313" t="s">
        <v>269</v>
      </c>
      <c r="C64" s="296" t="s">
        <v>102</v>
      </c>
      <c r="D64" s="296" t="s">
        <v>74</v>
      </c>
      <c r="E64" s="296">
        <v>2.7E-2</v>
      </c>
      <c r="F64" s="297">
        <v>7.7970816000000012</v>
      </c>
      <c r="G64" s="297"/>
      <c r="H64" s="297"/>
      <c r="I64" s="296"/>
      <c r="J64" s="297"/>
      <c r="K64" s="296"/>
      <c r="L64" s="297"/>
      <c r="M64" s="297"/>
      <c r="Q64" s="290"/>
      <c r="R64" s="290"/>
    </row>
    <row r="65" spans="1:18" s="211" customFormat="1" ht="19.5" customHeight="1" x14ac:dyDescent="0.3">
      <c r="A65" s="300">
        <v>8.4999999999999982</v>
      </c>
      <c r="B65" s="313"/>
      <c r="C65" s="296" t="s">
        <v>62</v>
      </c>
      <c r="D65" s="296" t="s">
        <v>18</v>
      </c>
      <c r="E65" s="296">
        <v>1.9E-3</v>
      </c>
      <c r="F65" s="297">
        <v>0.54868352000000009</v>
      </c>
      <c r="G65" s="297"/>
      <c r="H65" s="297"/>
      <c r="I65" s="296"/>
      <c r="J65" s="297"/>
      <c r="K65" s="296"/>
      <c r="L65" s="297"/>
      <c r="M65" s="297"/>
      <c r="N65" s="290"/>
      <c r="O65" s="290"/>
      <c r="P65" s="290"/>
      <c r="Q65" s="290"/>
      <c r="R65" s="290"/>
    </row>
    <row r="66" spans="1:18" s="215" customFormat="1" ht="28.5" customHeight="1" x14ac:dyDescent="0.3">
      <c r="A66" s="284"/>
      <c r="B66" s="285"/>
      <c r="C66" s="283" t="s">
        <v>255</v>
      </c>
      <c r="D66" s="286"/>
      <c r="E66" s="286"/>
      <c r="F66" s="287"/>
      <c r="G66" s="286"/>
      <c r="H66" s="287"/>
      <c r="I66" s="286"/>
      <c r="J66" s="287"/>
      <c r="K66" s="286"/>
      <c r="L66" s="287"/>
      <c r="M66" s="287"/>
      <c r="N66" s="282"/>
      <c r="O66" s="282"/>
      <c r="P66" s="282"/>
      <c r="Q66" s="282"/>
      <c r="R66" s="282"/>
    </row>
    <row r="67" spans="1:18" s="352" customFormat="1" ht="39.6" x14ac:dyDescent="0.3">
      <c r="A67" s="60" t="s">
        <v>52</v>
      </c>
      <c r="B67" s="60" t="s">
        <v>67</v>
      </c>
      <c r="C67" s="79" t="s">
        <v>208</v>
      </c>
      <c r="D67" s="79" t="s">
        <v>59</v>
      </c>
      <c r="E67" s="237"/>
      <c r="F67" s="54">
        <v>0.75</v>
      </c>
      <c r="G67" s="238"/>
      <c r="H67" s="239"/>
      <c r="I67" s="240"/>
      <c r="J67" s="239"/>
      <c r="K67" s="240"/>
      <c r="L67" s="239"/>
      <c r="M67" s="237"/>
      <c r="Q67" s="290"/>
      <c r="R67" s="290"/>
    </row>
    <row r="68" spans="1:18" s="352" customFormat="1" x14ac:dyDescent="0.3">
      <c r="A68" s="207">
        <f>A67+0.1</f>
        <v>4.0999999999999996</v>
      </c>
      <c r="B68" s="241"/>
      <c r="C68" s="299" t="s">
        <v>68</v>
      </c>
      <c r="D68" s="299" t="s">
        <v>17</v>
      </c>
      <c r="E68" s="299">
        <v>0.89</v>
      </c>
      <c r="F68" s="299">
        <f>E68*F67</f>
        <v>0.66749999999999998</v>
      </c>
      <c r="G68" s="35"/>
      <c r="H68" s="35"/>
      <c r="I68" s="299"/>
      <c r="J68" s="202"/>
      <c r="K68" s="35"/>
      <c r="L68" s="35"/>
      <c r="M68" s="202"/>
      <c r="Q68" s="290"/>
      <c r="R68" s="290"/>
    </row>
    <row r="69" spans="1:18" s="352" customFormat="1" x14ac:dyDescent="0.3">
      <c r="A69" s="362">
        <f>A68+0.1</f>
        <v>4.1999999999999993</v>
      </c>
      <c r="B69" s="79"/>
      <c r="C69" s="362" t="s">
        <v>103</v>
      </c>
      <c r="D69" s="362" t="s">
        <v>18</v>
      </c>
      <c r="E69" s="363">
        <v>0.37</v>
      </c>
      <c r="F69" s="363">
        <f>E69*F67</f>
        <v>0.27749999999999997</v>
      </c>
      <c r="G69" s="298"/>
      <c r="H69" s="298"/>
      <c r="I69" s="298"/>
      <c r="J69" s="298"/>
      <c r="K69" s="363"/>
      <c r="L69" s="363"/>
      <c r="M69" s="363"/>
      <c r="Q69" s="290"/>
      <c r="R69" s="290"/>
    </row>
    <row r="70" spans="1:18" s="352" customFormat="1" x14ac:dyDescent="0.3">
      <c r="A70" s="452">
        <f>A69+0.1</f>
        <v>4.2999999999999989</v>
      </c>
      <c r="B70" s="303" t="s">
        <v>242</v>
      </c>
      <c r="C70" s="303" t="s">
        <v>291</v>
      </c>
      <c r="D70" s="303" t="s">
        <v>59</v>
      </c>
      <c r="E70" s="57">
        <v>1.1499999999999999</v>
      </c>
      <c r="F70" s="57">
        <f>E70*F67</f>
        <v>0.86249999999999993</v>
      </c>
      <c r="G70" s="57"/>
      <c r="H70" s="57"/>
      <c r="I70" s="308"/>
      <c r="J70" s="308"/>
      <c r="K70" s="308"/>
      <c r="L70" s="308"/>
      <c r="M70" s="308"/>
      <c r="Q70" s="290"/>
      <c r="R70" s="290"/>
    </row>
    <row r="71" spans="1:18" s="352" customFormat="1" x14ac:dyDescent="0.3">
      <c r="A71" s="303">
        <f>A70+0.1</f>
        <v>4.3999999999999986</v>
      </c>
      <c r="B71" s="241"/>
      <c r="C71" s="241" t="s">
        <v>66</v>
      </c>
      <c r="D71" s="241" t="s">
        <v>18</v>
      </c>
      <c r="E71" s="242">
        <v>0.02</v>
      </c>
      <c r="F71" s="242">
        <f>E71*F67</f>
        <v>1.4999999999999999E-2</v>
      </c>
      <c r="G71" s="242"/>
      <c r="H71" s="243"/>
      <c r="I71" s="244"/>
      <c r="J71" s="245"/>
      <c r="K71" s="244"/>
      <c r="L71" s="245"/>
      <c r="M71" s="244"/>
      <c r="Q71" s="290"/>
      <c r="R71" s="290"/>
    </row>
    <row r="72" spans="1:18" s="352" customFormat="1" ht="52.8" x14ac:dyDescent="0.3">
      <c r="A72" s="70">
        <v>5</v>
      </c>
      <c r="B72" s="79" t="s">
        <v>89</v>
      </c>
      <c r="C72" s="30" t="s">
        <v>292</v>
      </c>
      <c r="D72" s="30" t="s">
        <v>59</v>
      </c>
      <c r="E72" s="376"/>
      <c r="F72" s="54">
        <v>1.55</v>
      </c>
      <c r="G72" s="376"/>
      <c r="H72" s="308"/>
      <c r="I72" s="308"/>
      <c r="J72" s="309"/>
      <c r="K72" s="308"/>
      <c r="L72" s="308"/>
      <c r="M72" s="376"/>
      <c r="Q72" s="290"/>
      <c r="R72" s="290"/>
    </row>
    <row r="73" spans="1:18" s="352" customFormat="1" ht="15" x14ac:dyDescent="0.3">
      <c r="A73" s="75">
        <f>A72+0.1</f>
        <v>5.0999999999999996</v>
      </c>
      <c r="B73" s="301"/>
      <c r="C73" s="301" t="s">
        <v>44</v>
      </c>
      <c r="D73" s="301" t="s">
        <v>17</v>
      </c>
      <c r="E73" s="299">
        <v>1.37</v>
      </c>
      <c r="F73" s="302">
        <f>E73*F72</f>
        <v>2.1235000000000004</v>
      </c>
      <c r="G73" s="80"/>
      <c r="H73" s="80"/>
      <c r="I73" s="359"/>
      <c r="J73" s="302"/>
      <c r="K73" s="80"/>
      <c r="L73" s="80"/>
      <c r="M73" s="299"/>
      <c r="Q73" s="290"/>
      <c r="R73" s="290"/>
    </row>
    <row r="74" spans="1:18" s="352" customFormat="1" x14ac:dyDescent="0.3">
      <c r="A74" s="81">
        <f>A73+0.1</f>
        <v>5.1999999999999993</v>
      </c>
      <c r="B74" s="362"/>
      <c r="C74" s="362" t="s">
        <v>69</v>
      </c>
      <c r="D74" s="362" t="s">
        <v>18</v>
      </c>
      <c r="E74" s="363">
        <v>0.28299999999999997</v>
      </c>
      <c r="F74" s="304">
        <f>E74*F72</f>
        <v>0.43864999999999998</v>
      </c>
      <c r="G74" s="306"/>
      <c r="H74" s="306"/>
      <c r="I74" s="306"/>
      <c r="J74" s="307"/>
      <c r="K74" s="363"/>
      <c r="L74" s="363"/>
      <c r="M74" s="306"/>
      <c r="Q74" s="290"/>
      <c r="R74" s="290"/>
    </row>
    <row r="75" spans="1:18" s="352" customFormat="1" ht="15" x14ac:dyDescent="0.3">
      <c r="A75" s="82">
        <f>A74+0.1</f>
        <v>5.2999999999999989</v>
      </c>
      <c r="B75" s="397" t="s">
        <v>293</v>
      </c>
      <c r="C75" s="398" t="s">
        <v>294</v>
      </c>
      <c r="D75" s="398" t="s">
        <v>97</v>
      </c>
      <c r="E75" s="398">
        <v>1.02</v>
      </c>
      <c r="F75" s="399">
        <f>E75*F72</f>
        <v>1.5810000000000002</v>
      </c>
      <c r="G75" s="398"/>
      <c r="H75" s="399"/>
      <c r="I75" s="398"/>
      <c r="J75" s="399"/>
      <c r="K75" s="398"/>
      <c r="L75" s="399"/>
      <c r="M75" s="399"/>
      <c r="Q75" s="290"/>
      <c r="R75" s="290"/>
    </row>
    <row r="76" spans="1:18" s="352" customFormat="1" ht="15" x14ac:dyDescent="0.3">
      <c r="A76" s="82">
        <f>A75+0.1</f>
        <v>5.3999999999999986</v>
      </c>
      <c r="B76" s="303"/>
      <c r="C76" s="303" t="s">
        <v>62</v>
      </c>
      <c r="D76" s="303" t="s">
        <v>70</v>
      </c>
      <c r="E76" s="57">
        <v>0.62</v>
      </c>
      <c r="F76" s="305">
        <f>E76*F72</f>
        <v>0.96099999999999997</v>
      </c>
      <c r="G76" s="57"/>
      <c r="H76" s="57"/>
      <c r="I76" s="308"/>
      <c r="J76" s="309"/>
      <c r="K76" s="308"/>
      <c r="L76" s="308"/>
      <c r="M76" s="308"/>
      <c r="Q76" s="290"/>
      <c r="R76" s="290"/>
    </row>
    <row r="77" spans="1:18" s="352" customFormat="1" ht="28.8" x14ac:dyDescent="0.3">
      <c r="A77" s="401">
        <v>6</v>
      </c>
      <c r="B77" s="378" t="s">
        <v>20</v>
      </c>
      <c r="C77" s="453" t="s">
        <v>209</v>
      </c>
      <c r="D77" s="454" t="s">
        <v>104</v>
      </c>
      <c r="E77" s="454"/>
      <c r="F77" s="455">
        <v>9</v>
      </c>
      <c r="G77" s="456"/>
      <c r="H77" s="455"/>
      <c r="I77" s="454"/>
      <c r="J77" s="455"/>
      <c r="K77" s="454"/>
      <c r="L77" s="455"/>
      <c r="M77" s="457"/>
      <c r="Q77" s="290"/>
      <c r="R77" s="290"/>
    </row>
    <row r="78" spans="1:18" s="352" customFormat="1" ht="15" x14ac:dyDescent="0.3">
      <c r="A78" s="400">
        <f>A77+0.1</f>
        <v>6.1</v>
      </c>
      <c r="B78" s="313"/>
      <c r="C78" s="458" t="s">
        <v>99</v>
      </c>
      <c r="D78" s="302" t="s">
        <v>18</v>
      </c>
      <c r="E78" s="302">
        <v>1</v>
      </c>
      <c r="F78" s="302">
        <f>F77*E78</f>
        <v>9</v>
      </c>
      <c r="G78" s="64"/>
      <c r="H78" s="64"/>
      <c r="I78" s="65"/>
      <c r="J78" s="65"/>
      <c r="K78" s="63"/>
      <c r="L78" s="63"/>
      <c r="M78" s="208"/>
      <c r="Q78" s="290"/>
      <c r="R78" s="290"/>
    </row>
    <row r="79" spans="1:18" s="352" customFormat="1" ht="15" x14ac:dyDescent="0.3">
      <c r="A79" s="400">
        <f>A78+0.1</f>
        <v>6.1999999999999993</v>
      </c>
      <c r="B79" s="317" t="s">
        <v>295</v>
      </c>
      <c r="C79" s="459" t="s">
        <v>244</v>
      </c>
      <c r="D79" s="400" t="s">
        <v>74</v>
      </c>
      <c r="E79" s="357">
        <v>6</v>
      </c>
      <c r="F79" s="227">
        <f>E79*F77</f>
        <v>54</v>
      </c>
      <c r="G79" s="227"/>
      <c r="H79" s="227"/>
      <c r="I79" s="357"/>
      <c r="J79" s="227"/>
      <c r="K79" s="459"/>
      <c r="L79" s="460"/>
      <c r="M79" s="460"/>
      <c r="N79" s="316"/>
      <c r="O79" s="316"/>
      <c r="P79" s="316"/>
      <c r="Q79" s="290"/>
      <c r="R79" s="290"/>
    </row>
    <row r="80" spans="1:18" s="352" customFormat="1" ht="17.399999999999999" x14ac:dyDescent="0.3">
      <c r="A80" s="400">
        <f>A79+0.1</f>
        <v>6.2999999999999989</v>
      </c>
      <c r="B80" s="317" t="s">
        <v>296</v>
      </c>
      <c r="C80" s="459" t="s">
        <v>297</v>
      </c>
      <c r="D80" s="461" t="s">
        <v>105</v>
      </c>
      <c r="E80" s="357">
        <v>1</v>
      </c>
      <c r="F80" s="227">
        <f>E80*F77</f>
        <v>9</v>
      </c>
      <c r="G80" s="462"/>
      <c r="H80" s="227"/>
      <c r="I80" s="357"/>
      <c r="J80" s="227"/>
      <c r="K80" s="459"/>
      <c r="L80" s="460"/>
      <c r="M80" s="460"/>
      <c r="N80" s="316"/>
      <c r="O80" s="316"/>
      <c r="P80" s="316"/>
      <c r="Q80" s="290"/>
      <c r="R80" s="290"/>
    </row>
    <row r="81" spans="1:18" s="352" customFormat="1" ht="15" x14ac:dyDescent="0.3">
      <c r="A81" s="300">
        <f>A80+0.1</f>
        <v>6.3999999999999986</v>
      </c>
      <c r="B81" s="463"/>
      <c r="C81" s="398" t="s">
        <v>62</v>
      </c>
      <c r="D81" s="464" t="s">
        <v>18</v>
      </c>
      <c r="E81" s="296">
        <v>0.05</v>
      </c>
      <c r="F81" s="297">
        <f>E81*F77</f>
        <v>0.45</v>
      </c>
      <c r="G81" s="296"/>
      <c r="H81" s="297"/>
      <c r="I81" s="296"/>
      <c r="J81" s="297"/>
      <c r="K81" s="465"/>
      <c r="L81" s="399"/>
      <c r="M81" s="399"/>
      <c r="Q81" s="290"/>
      <c r="R81" s="290"/>
    </row>
    <row r="82" spans="1:18" s="352" customFormat="1" ht="43.2" x14ac:dyDescent="0.3">
      <c r="A82" s="324">
        <v>7</v>
      </c>
      <c r="B82" s="375" t="s">
        <v>210</v>
      </c>
      <c r="C82" s="325" t="s">
        <v>298</v>
      </c>
      <c r="D82" s="466" t="s">
        <v>78</v>
      </c>
      <c r="E82" s="326"/>
      <c r="F82" s="326">
        <v>0.28999999999999998</v>
      </c>
      <c r="G82" s="326"/>
      <c r="H82" s="327"/>
      <c r="I82" s="327"/>
      <c r="J82" s="327"/>
      <c r="K82" s="467"/>
      <c r="L82" s="328"/>
      <c r="M82" s="329"/>
      <c r="Q82" s="290"/>
      <c r="R82" s="290"/>
    </row>
    <row r="83" spans="1:18" s="352" customFormat="1" ht="15" x14ac:dyDescent="0.3">
      <c r="A83" s="330">
        <f t="shared" ref="A83:A84" si="2">A82+0.1</f>
        <v>7.1</v>
      </c>
      <c r="B83" s="331"/>
      <c r="C83" s="330" t="s">
        <v>71</v>
      </c>
      <c r="D83" s="330" t="s">
        <v>17</v>
      </c>
      <c r="E83" s="332">
        <v>30.1</v>
      </c>
      <c r="F83" s="332">
        <v>8.59</v>
      </c>
      <c r="G83" s="333"/>
      <c r="H83" s="333"/>
      <c r="I83" s="361"/>
      <c r="J83" s="361"/>
      <c r="K83" s="334"/>
      <c r="L83" s="334"/>
      <c r="M83" s="299"/>
      <c r="Q83" s="290"/>
      <c r="R83" s="290"/>
    </row>
    <row r="84" spans="1:18" s="352" customFormat="1" ht="23.25" customHeight="1" x14ac:dyDescent="0.3">
      <c r="A84" s="335">
        <f t="shared" si="2"/>
        <v>7.1999999999999993</v>
      </c>
      <c r="B84" s="336"/>
      <c r="C84" s="335" t="s">
        <v>61</v>
      </c>
      <c r="D84" s="312" t="s">
        <v>18</v>
      </c>
      <c r="E84" s="337">
        <v>6.46</v>
      </c>
      <c r="F84" s="337">
        <v>1.84</v>
      </c>
      <c r="G84" s="338"/>
      <c r="H84" s="338"/>
      <c r="I84" s="338"/>
      <c r="J84" s="338"/>
      <c r="K84" s="339"/>
      <c r="L84" s="339"/>
      <c r="M84" s="306"/>
      <c r="Q84" s="290"/>
      <c r="R84" s="290"/>
    </row>
    <row r="85" spans="1:18" s="352" customFormat="1" ht="15" x14ac:dyDescent="0.35">
      <c r="A85" s="300">
        <f>A84+0.1</f>
        <v>7.2999999999999989</v>
      </c>
      <c r="B85" s="340" t="s">
        <v>299</v>
      </c>
      <c r="C85" s="341" t="s">
        <v>203</v>
      </c>
      <c r="D85" s="341" t="s">
        <v>202</v>
      </c>
      <c r="E85" s="342" t="s">
        <v>88</v>
      </c>
      <c r="F85" s="342">
        <v>71.12</v>
      </c>
      <c r="G85" s="280"/>
      <c r="H85" s="280"/>
      <c r="I85" s="328"/>
      <c r="J85" s="328"/>
      <c r="K85" s="328"/>
      <c r="L85" s="328"/>
      <c r="M85" s="308"/>
      <c r="N85" s="438"/>
      <c r="O85" s="438"/>
      <c r="P85" s="438"/>
      <c r="Q85" s="438"/>
      <c r="R85" s="171"/>
    </row>
    <row r="86" spans="1:18" s="352" customFormat="1" ht="15" x14ac:dyDescent="0.3">
      <c r="A86" s="300">
        <f t="shared" ref="A86:A90" si="3">A85+0.1</f>
        <v>7.3999999999999986</v>
      </c>
      <c r="B86" s="340" t="s">
        <v>300</v>
      </c>
      <c r="C86" s="341" t="s">
        <v>301</v>
      </c>
      <c r="D86" s="341" t="s">
        <v>202</v>
      </c>
      <c r="E86" s="342" t="s">
        <v>88</v>
      </c>
      <c r="F86" s="342">
        <v>0.64</v>
      </c>
      <c r="G86" s="280"/>
      <c r="H86" s="280"/>
      <c r="I86" s="328"/>
      <c r="J86" s="328"/>
      <c r="K86" s="328"/>
      <c r="L86" s="328"/>
      <c r="M86" s="308"/>
      <c r="N86" s="438"/>
      <c r="O86" s="438"/>
      <c r="P86" s="438"/>
      <c r="Q86" s="438"/>
    </row>
    <row r="87" spans="1:18" s="352" customFormat="1" ht="15" x14ac:dyDescent="0.3">
      <c r="A87" s="300">
        <f t="shared" si="3"/>
        <v>7.4999999999999982</v>
      </c>
      <c r="B87" s="340" t="s">
        <v>302</v>
      </c>
      <c r="C87" s="341" t="s">
        <v>303</v>
      </c>
      <c r="D87" s="341" t="s">
        <v>202</v>
      </c>
      <c r="E87" s="342" t="s">
        <v>83</v>
      </c>
      <c r="F87" s="280">
        <v>31.2</v>
      </c>
      <c r="G87" s="342"/>
      <c r="H87" s="280"/>
      <c r="I87" s="328"/>
      <c r="J87" s="328"/>
      <c r="K87" s="328"/>
      <c r="L87" s="328"/>
      <c r="M87" s="308"/>
      <c r="N87" s="290"/>
      <c r="O87" s="290"/>
      <c r="P87" s="290"/>
    </row>
    <row r="88" spans="1:18" s="352" customFormat="1" ht="15" x14ac:dyDescent="0.3">
      <c r="A88" s="300">
        <f t="shared" si="3"/>
        <v>7.5999999999999979</v>
      </c>
      <c r="B88" s="468" t="s">
        <v>304</v>
      </c>
      <c r="C88" s="341" t="s">
        <v>305</v>
      </c>
      <c r="D88" s="341" t="s">
        <v>24</v>
      </c>
      <c r="E88" s="342" t="s">
        <v>88</v>
      </c>
      <c r="F88" s="469">
        <v>1.1999999999999999E-3</v>
      </c>
      <c r="G88" s="342"/>
      <c r="H88" s="280"/>
      <c r="I88" s="328"/>
      <c r="J88" s="328"/>
      <c r="K88" s="328"/>
      <c r="L88" s="328"/>
      <c r="M88" s="308"/>
      <c r="N88" s="438"/>
      <c r="O88" s="438"/>
      <c r="P88" s="470"/>
    </row>
    <row r="89" spans="1:18" s="352" customFormat="1" ht="30" x14ac:dyDescent="0.3">
      <c r="A89" s="300">
        <f t="shared" si="3"/>
        <v>7.6999999999999975</v>
      </c>
      <c r="B89" s="340" t="s">
        <v>250</v>
      </c>
      <c r="C89" s="341" t="s">
        <v>306</v>
      </c>
      <c r="D89" s="341" t="s">
        <v>26</v>
      </c>
      <c r="E89" s="342" t="s">
        <v>88</v>
      </c>
      <c r="F89" s="342">
        <v>28</v>
      </c>
      <c r="G89" s="280"/>
      <c r="H89" s="280"/>
      <c r="I89" s="328"/>
      <c r="J89" s="328"/>
      <c r="K89" s="328"/>
      <c r="L89" s="328"/>
      <c r="M89" s="308"/>
      <c r="N89" s="438"/>
      <c r="O89" s="438"/>
      <c r="P89" s="470"/>
    </row>
    <row r="90" spans="1:18" s="352" customFormat="1" ht="15" x14ac:dyDescent="0.3">
      <c r="A90" s="300">
        <f t="shared" si="3"/>
        <v>7.7999999999999972</v>
      </c>
      <c r="B90" s="468" t="s">
        <v>20</v>
      </c>
      <c r="C90" s="341" t="s">
        <v>307</v>
      </c>
      <c r="D90" s="341" t="s">
        <v>26</v>
      </c>
      <c r="E90" s="342" t="s">
        <v>88</v>
      </c>
      <c r="F90" s="342">
        <v>4</v>
      </c>
      <c r="G90" s="280"/>
      <c r="H90" s="280"/>
      <c r="I90" s="328"/>
      <c r="J90" s="328"/>
      <c r="K90" s="328"/>
      <c r="L90" s="328"/>
      <c r="M90" s="308"/>
      <c r="N90" s="438"/>
      <c r="O90" s="438"/>
      <c r="P90" s="470"/>
    </row>
    <row r="91" spans="1:18" s="352" customFormat="1" ht="15" x14ac:dyDescent="0.3">
      <c r="A91" s="300">
        <f>A90+0.1</f>
        <v>7.8999999999999968</v>
      </c>
      <c r="B91" s="57" t="s">
        <v>204</v>
      </c>
      <c r="C91" s="341" t="s">
        <v>205</v>
      </c>
      <c r="D91" s="341" t="s">
        <v>74</v>
      </c>
      <c r="E91" s="342">
        <v>4.8</v>
      </c>
      <c r="F91" s="342">
        <v>1.37</v>
      </c>
      <c r="G91" s="342"/>
      <c r="H91" s="342"/>
      <c r="I91" s="327"/>
      <c r="J91" s="327"/>
      <c r="K91" s="328"/>
      <c r="L91" s="328"/>
      <c r="M91" s="308"/>
      <c r="N91" s="290"/>
      <c r="O91" s="290"/>
      <c r="P91" s="290"/>
      <c r="Q91" s="290"/>
      <c r="R91" s="290"/>
    </row>
    <row r="92" spans="1:18" s="352" customFormat="1" ht="15" x14ac:dyDescent="0.3">
      <c r="A92" s="305">
        <v>7.1</v>
      </c>
      <c r="B92" s="340"/>
      <c r="C92" s="341" t="s">
        <v>73</v>
      </c>
      <c r="D92" s="300" t="s">
        <v>70</v>
      </c>
      <c r="E92" s="342">
        <v>5.4</v>
      </c>
      <c r="F92" s="342">
        <v>1.54</v>
      </c>
      <c r="G92" s="342"/>
      <c r="H92" s="342"/>
      <c r="I92" s="327"/>
      <c r="J92" s="327"/>
      <c r="K92" s="328"/>
      <c r="L92" s="328"/>
      <c r="M92" s="308"/>
      <c r="Q92" s="290"/>
      <c r="R92" s="290"/>
    </row>
    <row r="93" spans="1:18" s="352" customFormat="1" ht="39.6" x14ac:dyDescent="0.3">
      <c r="A93" s="214">
        <v>8</v>
      </c>
      <c r="B93" s="44" t="s">
        <v>211</v>
      </c>
      <c r="C93" s="355" t="s">
        <v>212</v>
      </c>
      <c r="D93" s="355" t="s">
        <v>56</v>
      </c>
      <c r="E93" s="356"/>
      <c r="F93" s="374">
        <v>0.13439999999999999</v>
      </c>
      <c r="G93" s="62"/>
      <c r="H93" s="209"/>
      <c r="I93" s="209"/>
      <c r="J93" s="209"/>
      <c r="K93" s="246"/>
      <c r="L93" s="246"/>
      <c r="M93" s="471"/>
      <c r="Q93" s="290"/>
      <c r="R93" s="290"/>
    </row>
    <row r="94" spans="1:18" s="352" customFormat="1" ht="15" x14ac:dyDescent="0.3">
      <c r="A94" s="228">
        <f>A93+0.1</f>
        <v>8.1</v>
      </c>
      <c r="B94" s="247"/>
      <c r="C94" s="228" t="s">
        <v>16</v>
      </c>
      <c r="D94" s="228" t="s">
        <v>17</v>
      </c>
      <c r="E94" s="361">
        <v>43.9</v>
      </c>
      <c r="F94" s="361">
        <f>F93*E94</f>
        <v>5.9001599999999996</v>
      </c>
      <c r="G94" s="65"/>
      <c r="H94" s="65"/>
      <c r="I94" s="65"/>
      <c r="J94" s="65"/>
      <c r="K94" s="246"/>
      <c r="L94" s="246"/>
      <c r="M94" s="248"/>
      <c r="Q94" s="290"/>
      <c r="R94" s="290"/>
    </row>
    <row r="95" spans="1:18" s="352" customFormat="1" ht="15" x14ac:dyDescent="0.3">
      <c r="A95" s="229">
        <f t="shared" ref="A95:A98" si="4">A94+0.1</f>
        <v>8.1999999999999993</v>
      </c>
      <c r="B95" s="247"/>
      <c r="C95" s="229" t="s">
        <v>213</v>
      </c>
      <c r="D95" s="229" t="s">
        <v>18</v>
      </c>
      <c r="E95" s="230">
        <v>3.5</v>
      </c>
      <c r="F95" s="230">
        <f>E95*F93</f>
        <v>0.47039999999999998</v>
      </c>
      <c r="G95" s="249"/>
      <c r="H95" s="249"/>
      <c r="I95" s="249"/>
      <c r="J95" s="249"/>
      <c r="K95" s="250"/>
      <c r="L95" s="251"/>
      <c r="M95" s="252"/>
      <c r="Q95" s="290"/>
      <c r="R95" s="290"/>
    </row>
    <row r="96" spans="1:18" s="352" customFormat="1" ht="15" x14ac:dyDescent="0.3">
      <c r="A96" s="452">
        <f t="shared" si="4"/>
        <v>8.2999999999999989</v>
      </c>
      <c r="B96" s="472" t="s">
        <v>304</v>
      </c>
      <c r="C96" s="296" t="s">
        <v>305</v>
      </c>
      <c r="D96" s="296" t="s">
        <v>24</v>
      </c>
      <c r="E96" s="297">
        <v>135</v>
      </c>
      <c r="F96" s="297">
        <f>E96*F93</f>
        <v>18.143999999999998</v>
      </c>
      <c r="G96" s="246"/>
      <c r="H96" s="246"/>
      <c r="I96" s="246"/>
      <c r="J96" s="246"/>
      <c r="K96" s="253"/>
      <c r="L96" s="253"/>
      <c r="M96" s="473"/>
      <c r="Q96" s="290"/>
      <c r="R96" s="290"/>
    </row>
    <row r="97" spans="1:18" s="352" customFormat="1" ht="15" x14ac:dyDescent="0.3">
      <c r="A97" s="452">
        <f t="shared" si="4"/>
        <v>8.3999999999999986</v>
      </c>
      <c r="B97" s="296" t="s">
        <v>20</v>
      </c>
      <c r="C97" s="296" t="s">
        <v>214</v>
      </c>
      <c r="D97" s="296" t="s">
        <v>74</v>
      </c>
      <c r="E97" s="297">
        <v>10.6</v>
      </c>
      <c r="F97" s="297">
        <f>E97*F93</f>
        <v>1.4246399999999999</v>
      </c>
      <c r="G97" s="246"/>
      <c r="H97" s="246"/>
      <c r="I97" s="246"/>
      <c r="J97" s="246"/>
      <c r="K97" s="63"/>
      <c r="L97" s="63"/>
      <c r="M97" s="473"/>
      <c r="Q97" s="290"/>
      <c r="R97" s="290"/>
    </row>
    <row r="98" spans="1:18" s="352" customFormat="1" ht="15" x14ac:dyDescent="0.3">
      <c r="A98" s="452">
        <f t="shared" si="4"/>
        <v>8.4999999999999982</v>
      </c>
      <c r="B98" s="247"/>
      <c r="C98" s="357" t="s">
        <v>91</v>
      </c>
      <c r="D98" s="357" t="s">
        <v>18</v>
      </c>
      <c r="E98" s="227">
        <v>8.16</v>
      </c>
      <c r="F98" s="227">
        <f>E98*F93</f>
        <v>1.0967039999999999</v>
      </c>
      <c r="G98" s="209"/>
      <c r="H98" s="209"/>
      <c r="I98" s="209"/>
      <c r="J98" s="209"/>
      <c r="K98" s="63"/>
      <c r="L98" s="63"/>
      <c r="M98" s="254"/>
      <c r="Q98" s="290"/>
      <c r="R98" s="290"/>
    </row>
    <row r="99" spans="1:18" s="352" customFormat="1" ht="28.8" x14ac:dyDescent="0.3">
      <c r="A99" s="377">
        <v>9</v>
      </c>
      <c r="B99" s="255" t="s">
        <v>106</v>
      </c>
      <c r="C99" s="255" t="s">
        <v>308</v>
      </c>
      <c r="D99" s="375" t="s">
        <v>97</v>
      </c>
      <c r="E99" s="195"/>
      <c r="F99" s="474">
        <f>F102</f>
        <v>0.14000000000000001</v>
      </c>
      <c r="G99" s="256"/>
      <c r="H99" s="256"/>
      <c r="I99" s="256"/>
      <c r="J99" s="256"/>
      <c r="K99" s="256"/>
      <c r="L99" s="256"/>
      <c r="M99" s="257"/>
      <c r="Q99" s="290"/>
      <c r="R99" s="290"/>
    </row>
    <row r="100" spans="1:18" s="352" customFormat="1" ht="15" x14ac:dyDescent="0.3">
      <c r="A100" s="228">
        <f t="shared" ref="A100:A104" si="5">A99+0.1</f>
        <v>9.1</v>
      </c>
      <c r="B100" s="247"/>
      <c r="C100" s="228" t="s">
        <v>215</v>
      </c>
      <c r="D100" s="228" t="s">
        <v>107</v>
      </c>
      <c r="E100" s="361">
        <v>1</v>
      </c>
      <c r="F100" s="361">
        <f>F99*E100</f>
        <v>0.14000000000000001</v>
      </c>
      <c r="G100" s="65"/>
      <c r="H100" s="65"/>
      <c r="I100" s="65"/>
      <c r="J100" s="65"/>
      <c r="K100" s="246"/>
      <c r="L100" s="246"/>
      <c r="M100" s="248"/>
      <c r="Q100" s="290"/>
      <c r="R100" s="290"/>
    </row>
    <row r="101" spans="1:18" s="352" customFormat="1" ht="15" x14ac:dyDescent="0.3">
      <c r="A101" s="229">
        <f t="shared" si="5"/>
        <v>9.1999999999999993</v>
      </c>
      <c r="B101" s="247"/>
      <c r="C101" s="229" t="s">
        <v>192</v>
      </c>
      <c r="D101" s="229" t="s">
        <v>18</v>
      </c>
      <c r="E101" s="230">
        <v>0.78</v>
      </c>
      <c r="F101" s="230">
        <f>E101*F99</f>
        <v>0.10920000000000002</v>
      </c>
      <c r="G101" s="249"/>
      <c r="H101" s="249"/>
      <c r="I101" s="249"/>
      <c r="J101" s="249"/>
      <c r="K101" s="250"/>
      <c r="L101" s="251"/>
      <c r="M101" s="252"/>
      <c r="Q101" s="290"/>
      <c r="R101" s="290"/>
    </row>
    <row r="102" spans="1:18" s="352" customFormat="1" ht="15" x14ac:dyDescent="0.3">
      <c r="A102" s="300">
        <f t="shared" si="5"/>
        <v>9.2999999999999989</v>
      </c>
      <c r="B102" s="475" t="s">
        <v>309</v>
      </c>
      <c r="C102" s="258" t="s">
        <v>310</v>
      </c>
      <c r="D102" s="296" t="s">
        <v>97</v>
      </c>
      <c r="E102" s="195" t="s">
        <v>83</v>
      </c>
      <c r="F102" s="195">
        <v>0.14000000000000001</v>
      </c>
      <c r="G102" s="296"/>
      <c r="H102" s="297"/>
      <c r="I102" s="256"/>
      <c r="J102" s="256"/>
      <c r="K102" s="256"/>
      <c r="L102" s="256"/>
      <c r="M102" s="297"/>
      <c r="Q102" s="290"/>
      <c r="R102" s="290"/>
    </row>
    <row r="103" spans="1:18" s="352" customFormat="1" ht="15" x14ac:dyDescent="0.3">
      <c r="A103" s="300">
        <f t="shared" si="5"/>
        <v>9.3999999999999986</v>
      </c>
      <c r="B103" s="296" t="s">
        <v>20</v>
      </c>
      <c r="C103" s="258" t="s">
        <v>216</v>
      </c>
      <c r="D103" s="296" t="s">
        <v>107</v>
      </c>
      <c r="E103" s="195" t="s">
        <v>83</v>
      </c>
      <c r="F103" s="195">
        <v>170</v>
      </c>
      <c r="G103" s="296"/>
      <c r="H103" s="297"/>
      <c r="I103" s="256"/>
      <c r="J103" s="256"/>
      <c r="K103" s="256"/>
      <c r="L103" s="256"/>
      <c r="M103" s="297"/>
      <c r="Q103" s="290"/>
      <c r="R103" s="290"/>
    </row>
    <row r="104" spans="1:18" s="352" customFormat="1" ht="15" x14ac:dyDescent="0.3">
      <c r="A104" s="300">
        <f t="shared" si="5"/>
        <v>9.4999999999999982</v>
      </c>
      <c r="B104" s="313"/>
      <c r="C104" s="296" t="s">
        <v>62</v>
      </c>
      <c r="D104" s="296" t="s">
        <v>18</v>
      </c>
      <c r="E104" s="296">
        <v>0.32</v>
      </c>
      <c r="F104" s="297">
        <f>E104*F99</f>
        <v>4.4800000000000006E-2</v>
      </c>
      <c r="G104" s="296"/>
      <c r="H104" s="297"/>
      <c r="I104" s="296"/>
      <c r="J104" s="297"/>
      <c r="K104" s="296"/>
      <c r="L104" s="297"/>
      <c r="M104" s="297"/>
      <c r="Q104" s="290"/>
      <c r="R104" s="290"/>
    </row>
    <row r="105" spans="1:18" s="352" customFormat="1" ht="28.8" x14ac:dyDescent="0.3">
      <c r="A105" s="401">
        <v>10</v>
      </c>
      <c r="B105" s="378" t="s">
        <v>98</v>
      </c>
      <c r="C105" s="375" t="s">
        <v>311</v>
      </c>
      <c r="D105" s="375" t="s">
        <v>24</v>
      </c>
      <c r="E105" s="375"/>
      <c r="F105" s="374">
        <f>P91*1.1</f>
        <v>0</v>
      </c>
      <c r="G105" s="379"/>
      <c r="H105" s="374"/>
      <c r="I105" s="375"/>
      <c r="J105" s="374"/>
      <c r="K105" s="375"/>
      <c r="L105" s="374"/>
      <c r="M105" s="374"/>
      <c r="Q105" s="290"/>
      <c r="R105" s="290"/>
    </row>
    <row r="106" spans="1:18" s="352" customFormat="1" ht="15" x14ac:dyDescent="0.3">
      <c r="A106" s="476">
        <f>A105+0.1</f>
        <v>10.1</v>
      </c>
      <c r="B106" s="313"/>
      <c r="C106" s="301" t="s">
        <v>99</v>
      </c>
      <c r="D106" s="301" t="s">
        <v>17</v>
      </c>
      <c r="E106" s="301">
        <v>0.68</v>
      </c>
      <c r="F106" s="299">
        <f>F105*E106</f>
        <v>0</v>
      </c>
      <c r="G106" s="298"/>
      <c r="H106" s="298"/>
      <c r="I106" s="311"/>
      <c r="J106" s="310"/>
      <c r="K106" s="298"/>
      <c r="L106" s="298"/>
      <c r="M106" s="310"/>
      <c r="Q106" s="290"/>
      <c r="R106" s="290"/>
    </row>
    <row r="107" spans="1:18" s="352" customFormat="1" ht="15" x14ac:dyDescent="0.3">
      <c r="A107" s="229">
        <f>A106+0.1</f>
        <v>10.199999999999999</v>
      </c>
      <c r="B107" s="247"/>
      <c r="C107" s="229" t="s">
        <v>100</v>
      </c>
      <c r="D107" s="229" t="s">
        <v>18</v>
      </c>
      <c r="E107" s="230">
        <v>2.9999999999999997E-4</v>
      </c>
      <c r="F107" s="230">
        <f>F105*E107</f>
        <v>0</v>
      </c>
      <c r="G107" s="249"/>
      <c r="H107" s="249"/>
      <c r="I107" s="249"/>
      <c r="J107" s="249"/>
      <c r="K107" s="250"/>
      <c r="L107" s="251"/>
      <c r="M107" s="252"/>
      <c r="Q107" s="290"/>
      <c r="R107" s="290"/>
    </row>
    <row r="108" spans="1:18" s="352" customFormat="1" ht="15" x14ac:dyDescent="0.3">
      <c r="A108" s="400">
        <f>A107+0.1</f>
        <v>10.299999999999999</v>
      </c>
      <c r="B108" s="313" t="s">
        <v>312</v>
      </c>
      <c r="C108" s="296" t="s">
        <v>101</v>
      </c>
      <c r="D108" s="296" t="s">
        <v>74</v>
      </c>
      <c r="E108" s="296">
        <v>0.5</v>
      </c>
      <c r="F108" s="297">
        <f>F105*E108</f>
        <v>0</v>
      </c>
      <c r="G108" s="477"/>
      <c r="H108" s="297"/>
      <c r="I108" s="296"/>
      <c r="J108" s="297"/>
      <c r="K108" s="296"/>
      <c r="L108" s="297"/>
      <c r="M108" s="297"/>
      <c r="Q108" s="290"/>
      <c r="R108" s="290"/>
    </row>
    <row r="109" spans="1:18" s="352" customFormat="1" ht="15" x14ac:dyDescent="0.3">
      <c r="A109" s="400">
        <f>A108+0.1</f>
        <v>10.399999999999999</v>
      </c>
      <c r="B109" s="313" t="s">
        <v>313</v>
      </c>
      <c r="C109" s="296" t="s">
        <v>102</v>
      </c>
      <c r="D109" s="296" t="s">
        <v>74</v>
      </c>
      <c r="E109" s="296">
        <v>2.7E-2</v>
      </c>
      <c r="F109" s="297">
        <f>F105*E109</f>
        <v>0</v>
      </c>
      <c r="G109" s="296"/>
      <c r="H109" s="297"/>
      <c r="I109" s="296"/>
      <c r="J109" s="297"/>
      <c r="K109" s="296"/>
      <c r="L109" s="297"/>
      <c r="M109" s="297"/>
      <c r="Q109" s="290"/>
      <c r="R109" s="290"/>
    </row>
    <row r="110" spans="1:18" s="352" customFormat="1" ht="15" x14ac:dyDescent="0.3">
      <c r="A110" s="400">
        <f>A109+0.1</f>
        <v>10.499999999999998</v>
      </c>
      <c r="B110" s="313"/>
      <c r="C110" s="296" t="s">
        <v>62</v>
      </c>
      <c r="D110" s="296" t="s">
        <v>18</v>
      </c>
      <c r="E110" s="296">
        <v>1.9E-3</v>
      </c>
      <c r="F110" s="297">
        <f>E110*F105</f>
        <v>0</v>
      </c>
      <c r="G110" s="296"/>
      <c r="H110" s="297"/>
      <c r="I110" s="296"/>
      <c r="J110" s="297"/>
      <c r="K110" s="296"/>
      <c r="L110" s="297"/>
      <c r="M110" s="297"/>
      <c r="Q110" s="290"/>
      <c r="R110" s="290"/>
    </row>
    <row r="111" spans="1:18" s="352" customFormat="1" ht="16.8" x14ac:dyDescent="0.3">
      <c r="A111" s="402">
        <v>11</v>
      </c>
      <c r="B111" s="378" t="s">
        <v>314</v>
      </c>
      <c r="C111" s="375" t="s">
        <v>218</v>
      </c>
      <c r="D111" s="375" t="s">
        <v>104</v>
      </c>
      <c r="E111" s="375"/>
      <c r="F111" s="374">
        <v>10</v>
      </c>
      <c r="G111" s="379"/>
      <c r="H111" s="374"/>
      <c r="I111" s="375"/>
      <c r="J111" s="374"/>
      <c r="K111" s="375"/>
      <c r="L111" s="374"/>
      <c r="M111" s="374"/>
      <c r="Q111" s="290"/>
      <c r="R111" s="290"/>
    </row>
    <row r="112" spans="1:18" s="352" customFormat="1" ht="15" x14ac:dyDescent="0.3">
      <c r="A112" s="228">
        <f>A111+0.1</f>
        <v>11.1</v>
      </c>
      <c r="B112" s="397"/>
      <c r="C112" s="301" t="s">
        <v>99</v>
      </c>
      <c r="D112" s="301" t="s">
        <v>17</v>
      </c>
      <c r="E112" s="301">
        <v>0.11799999999999999</v>
      </c>
      <c r="F112" s="301">
        <f>F111*E112</f>
        <v>1.18</v>
      </c>
      <c r="G112" s="298"/>
      <c r="H112" s="298"/>
      <c r="I112" s="311"/>
      <c r="J112" s="310"/>
      <c r="K112" s="298"/>
      <c r="L112" s="298"/>
      <c r="M112" s="310"/>
      <c r="Q112" s="290"/>
      <c r="R112" s="290"/>
    </row>
    <row r="113" spans="1:18" s="352" customFormat="1" ht="15" x14ac:dyDescent="0.3">
      <c r="A113" s="300">
        <f>A112+0.1</f>
        <v>11.2</v>
      </c>
      <c r="B113" s="313" t="s">
        <v>315</v>
      </c>
      <c r="C113" s="296" t="s">
        <v>219</v>
      </c>
      <c r="D113" s="296" t="s">
        <v>74</v>
      </c>
      <c r="E113" s="296">
        <v>0.20799999999999999</v>
      </c>
      <c r="F113" s="297">
        <f>E113*F111</f>
        <v>2.08</v>
      </c>
      <c r="G113" s="477"/>
      <c r="H113" s="297"/>
      <c r="I113" s="296"/>
      <c r="J113" s="297"/>
      <c r="K113" s="296"/>
      <c r="L113" s="297"/>
      <c r="M113" s="297"/>
      <c r="Q113" s="290"/>
      <c r="R113" s="290"/>
    </row>
    <row r="114" spans="1:18" s="352" customFormat="1" ht="15" x14ac:dyDescent="0.3">
      <c r="A114" s="300">
        <f>A113+0.1</f>
        <v>11.299999999999999</v>
      </c>
      <c r="B114" s="313" t="s">
        <v>106</v>
      </c>
      <c r="C114" s="296" t="s">
        <v>62</v>
      </c>
      <c r="D114" s="296" t="s">
        <v>18</v>
      </c>
      <c r="E114" s="296">
        <v>1.1999999999999999E-3</v>
      </c>
      <c r="F114" s="297">
        <f>E114*F111</f>
        <v>1.1999999999999999E-2</v>
      </c>
      <c r="G114" s="296"/>
      <c r="H114" s="297"/>
      <c r="I114" s="296"/>
      <c r="J114" s="297"/>
      <c r="K114" s="296"/>
      <c r="L114" s="297"/>
      <c r="M114" s="297"/>
      <c r="Q114" s="290"/>
      <c r="R114" s="290"/>
    </row>
    <row r="115" spans="1:18" x14ac:dyDescent="0.3">
      <c r="A115" s="84"/>
      <c r="B115" s="79"/>
      <c r="C115" s="24" t="s">
        <v>36</v>
      </c>
      <c r="D115" s="24" t="s">
        <v>18</v>
      </c>
      <c r="E115" s="16"/>
      <c r="F115" s="15"/>
      <c r="G115" s="15"/>
      <c r="H115" s="85"/>
      <c r="I115" s="35"/>
      <c r="J115" s="86"/>
      <c r="K115" s="26"/>
      <c r="L115" s="396"/>
      <c r="M115" s="16"/>
      <c r="N115" s="117"/>
    </row>
    <row r="116" spans="1:18" ht="15" x14ac:dyDescent="0.3">
      <c r="A116" s="27"/>
      <c r="B116" s="27"/>
      <c r="C116" s="27" t="s">
        <v>383</v>
      </c>
      <c r="D116" s="27" t="s">
        <v>18</v>
      </c>
      <c r="E116" s="32"/>
      <c r="F116" s="33"/>
      <c r="G116" s="33"/>
      <c r="H116" s="34"/>
      <c r="I116" s="34"/>
      <c r="J116" s="34"/>
      <c r="K116" s="34"/>
      <c r="L116" s="34"/>
      <c r="M116" s="32"/>
      <c r="N116" s="117"/>
      <c r="O116" s="124"/>
    </row>
    <row r="117" spans="1:18" x14ac:dyDescent="0.3">
      <c r="A117" s="24"/>
      <c r="B117" s="24"/>
      <c r="C117" s="24" t="s">
        <v>36</v>
      </c>
      <c r="D117" s="24" t="s">
        <v>18</v>
      </c>
      <c r="E117" s="16"/>
      <c r="F117" s="15"/>
      <c r="G117" s="15"/>
      <c r="H117" s="35"/>
      <c r="I117" s="35"/>
      <c r="J117" s="85"/>
      <c r="K117" s="85"/>
      <c r="L117" s="35"/>
      <c r="M117" s="16"/>
    </row>
    <row r="118" spans="1:18" ht="15" x14ac:dyDescent="0.3">
      <c r="A118" s="27"/>
      <c r="B118" s="27"/>
      <c r="C118" s="27" t="s">
        <v>382</v>
      </c>
      <c r="D118" s="27" t="s">
        <v>18</v>
      </c>
      <c r="E118" s="32"/>
      <c r="F118" s="33"/>
      <c r="G118" s="33"/>
      <c r="H118" s="34"/>
      <c r="I118" s="34"/>
      <c r="J118" s="34"/>
      <c r="K118" s="34"/>
      <c r="L118" s="34"/>
      <c r="M118" s="32"/>
    </row>
    <row r="119" spans="1:18" x14ac:dyDescent="0.3">
      <c r="A119" s="36"/>
      <c r="B119" s="36"/>
      <c r="C119" s="36" t="s">
        <v>34</v>
      </c>
      <c r="D119" s="36" t="s">
        <v>18</v>
      </c>
      <c r="E119" s="37"/>
      <c r="F119" s="37"/>
      <c r="G119" s="37"/>
      <c r="H119" s="38"/>
      <c r="I119" s="38"/>
      <c r="J119" s="38"/>
      <c r="K119" s="38"/>
      <c r="L119" s="38"/>
      <c r="M119" s="37"/>
    </row>
    <row r="122" spans="1:18" ht="16.2" x14ac:dyDescent="0.4">
      <c r="C122" s="169"/>
      <c r="D122" s="111"/>
    </row>
    <row r="123" spans="1:18" ht="16.2" x14ac:dyDescent="0.4">
      <c r="C123" s="111"/>
      <c r="D123" s="111"/>
    </row>
    <row r="124" spans="1:18" ht="16.2" x14ac:dyDescent="0.4">
      <c r="C124" s="111"/>
      <c r="D124" s="111"/>
    </row>
  </sheetData>
  <mergeCells count="12">
    <mergeCell ref="A6:M6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A2:D2"/>
  </mergeCells>
  <printOptions horizontalCentered="1"/>
  <pageMargins left="0" right="0" top="0.55118110236220474" bottom="0.55118110236220474" header="0.31496062992125984" footer="0.31496062992125984"/>
  <pageSetup paperSize="9" scale="85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view="pageBreakPreview" topLeftCell="A85" zoomScaleNormal="100" zoomScaleSheetLayoutView="100" workbookViewId="0">
      <selection activeCell="C96" sqref="C96"/>
    </sheetView>
  </sheetViews>
  <sheetFormatPr defaultRowHeight="14.4" x14ac:dyDescent="0.3"/>
  <cols>
    <col min="1" max="1" width="6.109375" customWidth="1"/>
    <col min="2" max="2" width="10" customWidth="1"/>
    <col min="3" max="3" width="39.21875" customWidth="1"/>
    <col min="4" max="4" width="12.21875" customWidth="1"/>
    <col min="5" max="5" width="12.77734375" customWidth="1"/>
    <col min="6" max="6" width="8.109375" customWidth="1"/>
    <col min="7" max="7" width="8.33203125" customWidth="1"/>
    <col min="8" max="8" width="8.21875" customWidth="1"/>
    <col min="9" max="9" width="6.33203125" customWidth="1"/>
    <col min="10" max="10" width="8.6640625" customWidth="1"/>
    <col min="11" max="12" width="6.88671875" customWidth="1"/>
    <col min="14" max="17" width="9.109375" hidden="1" customWidth="1"/>
  </cols>
  <sheetData>
    <row r="1" spans="1:16" ht="35.25" customHeight="1" x14ac:dyDescent="0.3">
      <c r="A1" s="597" t="s">
        <v>378</v>
      </c>
      <c r="B1" s="597"/>
      <c r="C1" s="597"/>
      <c r="D1" s="597"/>
      <c r="E1" s="597"/>
      <c r="F1" s="597"/>
      <c r="G1" s="597"/>
      <c r="H1" s="597"/>
      <c r="I1" s="598"/>
      <c r="J1" s="598"/>
      <c r="K1" s="598"/>
      <c r="L1" s="598"/>
      <c r="M1" s="598"/>
    </row>
    <row r="2" spans="1:16" ht="15" x14ac:dyDescent="0.3">
      <c r="A2" s="617"/>
      <c r="B2" s="617"/>
      <c r="C2" s="617"/>
      <c r="D2" s="617"/>
      <c r="E2" s="1"/>
      <c r="F2" s="2"/>
      <c r="G2" s="2"/>
      <c r="H2" s="1"/>
      <c r="I2" s="1"/>
      <c r="J2" s="2"/>
      <c r="K2" s="1"/>
      <c r="L2" s="1"/>
      <c r="M2" s="1"/>
    </row>
    <row r="3" spans="1:16" ht="27" customHeight="1" x14ac:dyDescent="0.3">
      <c r="A3" s="610" t="s">
        <v>0</v>
      </c>
      <c r="B3" s="611" t="s">
        <v>1</v>
      </c>
      <c r="C3" s="613" t="s">
        <v>2</v>
      </c>
      <c r="D3" s="613" t="s">
        <v>3</v>
      </c>
      <c r="E3" s="615" t="s">
        <v>4</v>
      </c>
      <c r="F3" s="616"/>
      <c r="G3" s="613" t="s">
        <v>5</v>
      </c>
      <c r="H3" s="613"/>
      <c r="I3" s="613" t="s">
        <v>6</v>
      </c>
      <c r="J3" s="613"/>
      <c r="K3" s="613" t="s">
        <v>7</v>
      </c>
      <c r="L3" s="613"/>
      <c r="M3" s="613" t="s">
        <v>8</v>
      </c>
    </row>
    <row r="4" spans="1:16" ht="50.4" x14ac:dyDescent="0.3">
      <c r="A4" s="610" t="s">
        <v>0</v>
      </c>
      <c r="B4" s="612"/>
      <c r="C4" s="613" t="s">
        <v>9</v>
      </c>
      <c r="D4" s="614" t="s">
        <v>10</v>
      </c>
      <c r="E4" s="3" t="s">
        <v>11</v>
      </c>
      <c r="F4" s="4" t="s">
        <v>12</v>
      </c>
      <c r="G4" s="5" t="s">
        <v>13</v>
      </c>
      <c r="H4" s="164" t="s">
        <v>14</v>
      </c>
      <c r="I4" s="164" t="s">
        <v>13</v>
      </c>
      <c r="J4" s="7" t="s">
        <v>14</v>
      </c>
      <c r="K4" s="164" t="s">
        <v>13</v>
      </c>
      <c r="L4" s="164" t="s">
        <v>14</v>
      </c>
      <c r="M4" s="613" t="s">
        <v>14</v>
      </c>
    </row>
    <row r="5" spans="1:16" ht="21.75" customHeight="1" x14ac:dyDescent="0.3">
      <c r="A5" s="8">
        <v>1</v>
      </c>
      <c r="B5" s="163">
        <v>2</v>
      </c>
      <c r="C5" s="163">
        <v>3</v>
      </c>
      <c r="D5" s="163">
        <v>4</v>
      </c>
      <c r="E5" s="10">
        <v>5</v>
      </c>
      <c r="F5" s="11">
        <v>6</v>
      </c>
      <c r="G5" s="12">
        <v>7</v>
      </c>
      <c r="H5" s="163">
        <v>8</v>
      </c>
      <c r="I5" s="163">
        <v>9</v>
      </c>
      <c r="J5" s="12">
        <v>10</v>
      </c>
      <c r="K5" s="163">
        <v>11</v>
      </c>
      <c r="L5" s="163">
        <v>12</v>
      </c>
      <c r="M5" s="163">
        <v>13</v>
      </c>
    </row>
    <row r="6" spans="1:16" ht="23.25" customHeight="1" x14ac:dyDescent="0.3">
      <c r="A6" s="607" t="s">
        <v>158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9"/>
    </row>
    <row r="7" spans="1:16" ht="21" customHeight="1" x14ac:dyDescent="0.3">
      <c r="A7" s="607" t="s">
        <v>136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1"/>
    </row>
    <row r="8" spans="1:16" ht="28.5" customHeight="1" x14ac:dyDescent="0.3">
      <c r="A8" s="39">
        <v>1</v>
      </c>
      <c r="B8" s="13" t="s">
        <v>40</v>
      </c>
      <c r="C8" s="14" t="s">
        <v>150</v>
      </c>
      <c r="D8" s="14" t="s">
        <v>15</v>
      </c>
      <c r="E8" s="15"/>
      <c r="F8" s="149">
        <f>N8*0.5*0.8/100</f>
        <v>0.45443200000000006</v>
      </c>
      <c r="G8" s="16"/>
      <c r="H8" s="24"/>
      <c r="I8" s="24"/>
      <c r="J8" s="24"/>
      <c r="K8" s="24"/>
      <c r="L8" s="24"/>
      <c r="M8" s="16"/>
      <c r="N8">
        <v>113.608</v>
      </c>
    </row>
    <row r="9" spans="1:16" ht="23.25" customHeight="1" x14ac:dyDescent="0.3">
      <c r="A9" s="17">
        <f>A8+0.1</f>
        <v>1.1000000000000001</v>
      </c>
      <c r="B9" s="40"/>
      <c r="C9" s="41" t="s">
        <v>16</v>
      </c>
      <c r="D9" s="41" t="s">
        <v>17</v>
      </c>
      <c r="E9" s="21">
        <v>206</v>
      </c>
      <c r="F9" s="134">
        <f>F8*E9</f>
        <v>93.612992000000006</v>
      </c>
      <c r="G9" s="18"/>
      <c r="H9" s="42"/>
      <c r="I9" s="43"/>
      <c r="J9" s="19"/>
      <c r="K9" s="18"/>
      <c r="L9" s="18"/>
      <c r="M9" s="19"/>
    </row>
    <row r="10" spans="1:16" ht="38.25" customHeight="1" x14ac:dyDescent="0.3">
      <c r="A10" s="181">
        <v>2</v>
      </c>
      <c r="B10" s="154" t="s">
        <v>67</v>
      </c>
      <c r="C10" s="61" t="s">
        <v>246</v>
      </c>
      <c r="D10" s="61" t="s">
        <v>15</v>
      </c>
      <c r="E10" s="54"/>
      <c r="F10" s="50">
        <f>F15/5/100</f>
        <v>5.5000000000000005E-3</v>
      </c>
      <c r="G10" s="62"/>
      <c r="H10" s="125"/>
      <c r="I10" s="125"/>
      <c r="J10" s="125"/>
      <c r="K10" s="125"/>
      <c r="L10" s="125"/>
      <c r="M10" s="54"/>
    </row>
    <row r="11" spans="1:16" ht="24" customHeight="1" x14ac:dyDescent="0.3">
      <c r="A11" s="45">
        <f>A10+0.1</f>
        <v>2.1</v>
      </c>
      <c r="B11" s="92"/>
      <c r="C11" s="53" t="s">
        <v>68</v>
      </c>
      <c r="D11" s="53" t="s">
        <v>17</v>
      </c>
      <c r="E11" s="53">
        <v>89</v>
      </c>
      <c r="F11" s="53">
        <f>E11*F10</f>
        <v>0.48950000000000005</v>
      </c>
      <c r="G11" s="64"/>
      <c r="H11" s="64"/>
      <c r="I11" s="65"/>
      <c r="J11" s="65"/>
      <c r="K11" s="125"/>
      <c r="L11" s="125"/>
      <c r="M11" s="155"/>
    </row>
    <row r="12" spans="1:16" ht="24" customHeight="1" x14ac:dyDescent="0.3">
      <c r="A12" s="45">
        <f t="shared" ref="A12:A14" si="0">A11+0.1</f>
        <v>2.2000000000000002</v>
      </c>
      <c r="B12" s="61"/>
      <c r="C12" s="87" t="s">
        <v>69</v>
      </c>
      <c r="D12" s="87" t="s">
        <v>107</v>
      </c>
      <c r="E12" s="56">
        <v>37</v>
      </c>
      <c r="F12" s="56">
        <f>E12*F10</f>
        <v>0.20350000000000001</v>
      </c>
      <c r="G12" s="67"/>
      <c r="H12" s="67"/>
      <c r="I12" s="67"/>
      <c r="J12" s="67"/>
      <c r="K12" s="56"/>
      <c r="L12" s="56"/>
      <c r="M12" s="67"/>
    </row>
    <row r="13" spans="1:16" ht="24" customHeight="1" x14ac:dyDescent="0.3">
      <c r="A13" s="45">
        <f t="shared" si="0"/>
        <v>2.3000000000000003</v>
      </c>
      <c r="B13" s="55" t="s">
        <v>245</v>
      </c>
      <c r="C13" s="55" t="s">
        <v>243</v>
      </c>
      <c r="D13" s="45" t="s">
        <v>59</v>
      </c>
      <c r="E13" s="58" t="s">
        <v>88</v>
      </c>
      <c r="F13" s="58">
        <f>F10*100</f>
        <v>0.55000000000000004</v>
      </c>
      <c r="G13" s="58"/>
      <c r="H13" s="58"/>
      <c r="I13" s="69"/>
      <c r="J13" s="69"/>
      <c r="K13" s="69"/>
      <c r="L13" s="69"/>
      <c r="M13" s="69"/>
    </row>
    <row r="14" spans="1:16" ht="24" customHeight="1" x14ac:dyDescent="0.3">
      <c r="A14" s="45">
        <f t="shared" si="0"/>
        <v>2.4000000000000004</v>
      </c>
      <c r="B14" s="45"/>
      <c r="C14" s="17" t="s">
        <v>73</v>
      </c>
      <c r="D14" s="17" t="s">
        <v>72</v>
      </c>
      <c r="E14" s="33">
        <v>2</v>
      </c>
      <c r="F14" s="33">
        <f>E14*F10</f>
        <v>1.1000000000000001E-2</v>
      </c>
      <c r="G14" s="33"/>
      <c r="H14" s="33"/>
      <c r="I14" s="33"/>
      <c r="J14" s="33"/>
      <c r="K14" s="33"/>
      <c r="L14" s="33"/>
      <c r="M14" s="33"/>
    </row>
    <row r="15" spans="1:16" ht="24" customHeight="1" x14ac:dyDescent="0.3">
      <c r="A15" s="24">
        <v>3</v>
      </c>
      <c r="B15" s="162" t="s">
        <v>187</v>
      </c>
      <c r="C15" s="14" t="s">
        <v>96</v>
      </c>
      <c r="D15" s="24" t="s">
        <v>97</v>
      </c>
      <c r="E15" s="24"/>
      <c r="F15" s="14">
        <f>F31*0.5*0.5*0.5+2</f>
        <v>2.75</v>
      </c>
      <c r="G15" s="24"/>
      <c r="H15" s="16"/>
      <c r="I15" s="24"/>
      <c r="J15" s="16"/>
      <c r="K15" s="24"/>
      <c r="L15" s="16"/>
      <c r="M15" s="16"/>
      <c r="N15" s="1"/>
      <c r="O15" s="1"/>
      <c r="P15" s="1"/>
    </row>
    <row r="16" spans="1:16" ht="24" customHeight="1" x14ac:dyDescent="0.3">
      <c r="A16" s="45">
        <f>A15+0.1</f>
        <v>3.1</v>
      </c>
      <c r="B16" s="88"/>
      <c r="C16" s="52" t="s">
        <v>44</v>
      </c>
      <c r="D16" s="52" t="s">
        <v>17</v>
      </c>
      <c r="E16" s="43">
        <v>4.5</v>
      </c>
      <c r="F16" s="53">
        <f>E16*F15</f>
        <v>12.375</v>
      </c>
      <c r="G16" s="126"/>
      <c r="H16" s="80"/>
      <c r="I16" s="19"/>
      <c r="J16" s="53"/>
      <c r="K16" s="126"/>
      <c r="L16" s="80"/>
      <c r="M16" s="175"/>
      <c r="N16" s="1"/>
      <c r="O16" s="1"/>
      <c r="P16" s="1"/>
    </row>
    <row r="17" spans="1:20" ht="24" customHeight="1" x14ac:dyDescent="0.3">
      <c r="A17" s="45">
        <f>A16+0.1</f>
        <v>3.2</v>
      </c>
      <c r="B17" s="88"/>
      <c r="C17" s="28" t="s">
        <v>69</v>
      </c>
      <c r="D17" s="28" t="s">
        <v>18</v>
      </c>
      <c r="E17" s="29">
        <v>0.37</v>
      </c>
      <c r="F17" s="56">
        <f>E17*F15</f>
        <v>1.0175000000000001</v>
      </c>
      <c r="G17" s="67"/>
      <c r="H17" s="66"/>
      <c r="I17" s="66"/>
      <c r="J17" s="67"/>
      <c r="K17" s="56"/>
      <c r="L17" s="29"/>
      <c r="M17" s="66"/>
      <c r="N17" s="1"/>
      <c r="O17" s="1"/>
      <c r="P17" s="1"/>
    </row>
    <row r="18" spans="1:20" ht="24" customHeight="1" x14ac:dyDescent="0.3">
      <c r="A18" s="45">
        <f>A17+0.1</f>
        <v>3.3000000000000003</v>
      </c>
      <c r="B18" s="317" t="s">
        <v>271</v>
      </c>
      <c r="C18" s="17" t="s">
        <v>194</v>
      </c>
      <c r="D18" s="55" t="s">
        <v>59</v>
      </c>
      <c r="E18" s="57">
        <v>1.02</v>
      </c>
      <c r="F18" s="58">
        <f>E18*F15</f>
        <v>2.8050000000000002</v>
      </c>
      <c r="G18" s="305"/>
      <c r="H18" s="57"/>
      <c r="I18" s="68"/>
      <c r="J18" s="69"/>
      <c r="K18" s="69"/>
      <c r="L18" s="68"/>
      <c r="M18" s="68"/>
      <c r="N18" s="1"/>
      <c r="O18" s="1"/>
      <c r="P18" s="1"/>
    </row>
    <row r="19" spans="1:20" ht="24" customHeight="1" x14ac:dyDescent="0.3">
      <c r="A19" s="45">
        <f t="shared" ref="A19:A21" si="1">A18+0.1</f>
        <v>3.4000000000000004</v>
      </c>
      <c r="B19" s="123">
        <v>5.1390000000000002</v>
      </c>
      <c r="C19" s="17" t="s">
        <v>195</v>
      </c>
      <c r="D19" s="45" t="s">
        <v>188</v>
      </c>
      <c r="E19" s="58">
        <v>1.61</v>
      </c>
      <c r="F19" s="58">
        <f>F15*E19</f>
        <v>4.4275000000000002</v>
      </c>
      <c r="G19" s="305"/>
      <c r="H19" s="58"/>
      <c r="I19" s="69"/>
      <c r="J19" s="69"/>
      <c r="K19" s="69"/>
      <c r="L19" s="69"/>
      <c r="M19" s="69"/>
      <c r="N19" s="1"/>
      <c r="O19" s="1"/>
      <c r="P19" s="1"/>
    </row>
    <row r="20" spans="1:20" ht="24" customHeight="1" x14ac:dyDescent="0.3">
      <c r="A20" s="45">
        <f t="shared" si="1"/>
        <v>3.5000000000000004</v>
      </c>
      <c r="B20" s="279">
        <v>5.0999999999999996</v>
      </c>
      <c r="C20" s="17" t="s">
        <v>196</v>
      </c>
      <c r="D20" s="45" t="s">
        <v>180</v>
      </c>
      <c r="E20" s="58">
        <f>1.72/100</f>
        <v>1.72E-2</v>
      </c>
      <c r="F20" s="58">
        <f>F15*E20</f>
        <v>4.7300000000000002E-2</v>
      </c>
      <c r="G20" s="305"/>
      <c r="H20" s="58"/>
      <c r="I20" s="69"/>
      <c r="J20" s="69"/>
      <c r="K20" s="69"/>
      <c r="L20" s="69"/>
      <c r="M20" s="69"/>
      <c r="N20" s="1"/>
      <c r="O20" s="1"/>
      <c r="P20" s="1"/>
    </row>
    <row r="21" spans="1:20" ht="24" customHeight="1" x14ac:dyDescent="0.3">
      <c r="A21" s="45">
        <f t="shared" si="1"/>
        <v>3.6000000000000005</v>
      </c>
      <c r="B21" s="45"/>
      <c r="C21" s="45" t="s">
        <v>62</v>
      </c>
      <c r="D21" s="45" t="s">
        <v>70</v>
      </c>
      <c r="E21" s="58">
        <v>0.28000000000000003</v>
      </c>
      <c r="F21" s="392">
        <f>E21*F15</f>
        <v>0.77</v>
      </c>
      <c r="G21" s="305"/>
      <c r="H21" s="58"/>
      <c r="I21" s="69"/>
      <c r="J21" s="69"/>
      <c r="K21" s="69"/>
      <c r="L21" s="69"/>
      <c r="M21" s="69"/>
      <c r="N21" s="1"/>
      <c r="O21" s="1"/>
      <c r="P21" s="1"/>
    </row>
    <row r="22" spans="1:20" s="421" customFormat="1" ht="51.75" customHeight="1" x14ac:dyDescent="0.35">
      <c r="A22" s="414">
        <f>A15+1</f>
        <v>4</v>
      </c>
      <c r="B22" s="415" t="s">
        <v>282</v>
      </c>
      <c r="C22" s="416" t="s">
        <v>290</v>
      </c>
      <c r="D22" s="416" t="s">
        <v>26</v>
      </c>
      <c r="E22" s="417"/>
      <c r="F22" s="119">
        <v>1</v>
      </c>
      <c r="G22" s="418"/>
      <c r="H22" s="419"/>
      <c r="I22" s="418"/>
      <c r="J22" s="420"/>
      <c r="K22" s="131"/>
      <c r="L22" s="131"/>
      <c r="M22" s="418"/>
      <c r="R22" s="422"/>
      <c r="S22" s="423"/>
      <c r="T22" s="423"/>
    </row>
    <row r="23" spans="1:20" s="171" customFormat="1" ht="18" customHeight="1" x14ac:dyDescent="0.35">
      <c r="A23" s="424">
        <f>A22+0.1</f>
        <v>4.0999999999999996</v>
      </c>
      <c r="B23" s="425"/>
      <c r="C23" s="424" t="s">
        <v>71</v>
      </c>
      <c r="D23" s="424" t="s">
        <v>18</v>
      </c>
      <c r="E23" s="426">
        <v>2.52</v>
      </c>
      <c r="F23" s="59">
        <f>E23*F22</f>
        <v>2.52</v>
      </c>
      <c r="G23" s="131"/>
      <c r="H23" s="59"/>
      <c r="I23" s="59"/>
      <c r="J23" s="59"/>
      <c r="K23" s="131"/>
      <c r="L23" s="59"/>
      <c r="M23" s="59"/>
      <c r="R23" s="427"/>
      <c r="S23" s="410"/>
      <c r="T23" s="410"/>
    </row>
    <row r="24" spans="1:20" s="171" customFormat="1" ht="19.5" customHeight="1" x14ac:dyDescent="0.35">
      <c r="A24" s="428">
        <f>A23+0.1</f>
        <v>4.1999999999999993</v>
      </c>
      <c r="B24" s="426">
        <v>13.3</v>
      </c>
      <c r="C24" s="424" t="s">
        <v>283</v>
      </c>
      <c r="D24" s="424" t="s">
        <v>50</v>
      </c>
      <c r="E24" s="426">
        <v>1.2</v>
      </c>
      <c r="F24" s="59">
        <f>E24*F22</f>
        <v>1.2</v>
      </c>
      <c r="G24" s="59"/>
      <c r="H24" s="59"/>
      <c r="I24" s="59"/>
      <c r="J24" s="59"/>
      <c r="K24" s="59"/>
      <c r="L24" s="59"/>
      <c r="M24" s="59"/>
    </row>
    <row r="25" spans="1:20" s="171" customFormat="1" ht="19.5" customHeight="1" x14ac:dyDescent="0.35">
      <c r="A25" s="428">
        <f>A24+0.1</f>
        <v>4.2999999999999989</v>
      </c>
      <c r="B25" s="424">
        <v>13.46</v>
      </c>
      <c r="C25" s="424" t="s">
        <v>284</v>
      </c>
      <c r="D25" s="424" t="s">
        <v>50</v>
      </c>
      <c r="E25" s="426">
        <v>1.25</v>
      </c>
      <c r="F25" s="59">
        <f>F22*E25</f>
        <v>1.25</v>
      </c>
      <c r="G25" s="59"/>
      <c r="H25" s="59"/>
      <c r="I25" s="59"/>
      <c r="J25" s="59"/>
      <c r="K25" s="59"/>
      <c r="L25" s="59"/>
      <c r="M25" s="59"/>
    </row>
    <row r="26" spans="1:20" s="421" customFormat="1" ht="18" customHeight="1" x14ac:dyDescent="0.35">
      <c r="A26" s="429">
        <f t="shared" ref="A26:A30" si="2">A25+0.1</f>
        <v>4.3999999999999986</v>
      </c>
      <c r="B26" s="430" t="s">
        <v>20</v>
      </c>
      <c r="C26" s="431" t="s">
        <v>285</v>
      </c>
      <c r="D26" s="431" t="s">
        <v>123</v>
      </c>
      <c r="E26" s="432" t="s">
        <v>88</v>
      </c>
      <c r="F26" s="59">
        <f>Q26*F22</f>
        <v>6</v>
      </c>
      <c r="G26" s="131"/>
      <c r="H26" s="433"/>
      <c r="I26" s="131"/>
      <c r="J26" s="420"/>
      <c r="K26" s="131"/>
      <c r="L26" s="420"/>
      <c r="M26" s="131"/>
      <c r="P26" s="421">
        <f>F26*0.4775</f>
        <v>2.8649999999999998</v>
      </c>
      <c r="Q26" s="421">
        <v>6</v>
      </c>
      <c r="R26" s="422"/>
      <c r="S26" s="423"/>
      <c r="T26" s="423"/>
    </row>
    <row r="27" spans="1:20" s="421" customFormat="1" ht="25.5" customHeight="1" x14ac:dyDescent="0.35">
      <c r="A27" s="429">
        <f t="shared" si="2"/>
        <v>4.4999999999999982</v>
      </c>
      <c r="B27" s="430" t="s">
        <v>286</v>
      </c>
      <c r="C27" s="431" t="s">
        <v>287</v>
      </c>
      <c r="D27" s="431" t="s">
        <v>123</v>
      </c>
      <c r="E27" s="432" t="s">
        <v>88</v>
      </c>
      <c r="F27" s="59">
        <f>Q27*F22</f>
        <v>2.5</v>
      </c>
      <c r="G27" s="131"/>
      <c r="H27" s="433"/>
      <c r="I27" s="131"/>
      <c r="J27" s="420"/>
      <c r="K27" s="131"/>
      <c r="L27" s="420"/>
      <c r="M27" s="131"/>
      <c r="P27" s="421">
        <f>F27*0.3581</f>
        <v>0.89524999999999988</v>
      </c>
      <c r="Q27" s="421">
        <v>2.5</v>
      </c>
      <c r="R27" s="422"/>
      <c r="S27" s="423"/>
      <c r="T27" s="423"/>
    </row>
    <row r="28" spans="1:20" s="171" customFormat="1" ht="16.5" customHeight="1" x14ac:dyDescent="0.35">
      <c r="A28" s="429">
        <f t="shared" si="2"/>
        <v>4.5999999999999979</v>
      </c>
      <c r="B28" s="431" t="s">
        <v>20</v>
      </c>
      <c r="C28" s="434" t="s">
        <v>288</v>
      </c>
      <c r="D28" s="434" t="s">
        <v>26</v>
      </c>
      <c r="E28" s="432" t="s">
        <v>88</v>
      </c>
      <c r="F28" s="59">
        <f>Q28*F22</f>
        <v>1</v>
      </c>
      <c r="G28" s="432"/>
      <c r="H28" s="433"/>
      <c r="I28" s="435"/>
      <c r="J28" s="435"/>
      <c r="K28" s="435"/>
      <c r="L28" s="437"/>
      <c r="M28" s="244"/>
      <c r="P28" s="439">
        <f>F28</f>
        <v>1</v>
      </c>
      <c r="Q28" s="171">
        <v>1</v>
      </c>
    </row>
    <row r="29" spans="1:20" s="421" customFormat="1" ht="18" customHeight="1" x14ac:dyDescent="0.35">
      <c r="A29" s="429">
        <f t="shared" si="2"/>
        <v>4.6999999999999975</v>
      </c>
      <c r="B29" s="431" t="s">
        <v>20</v>
      </c>
      <c r="C29" s="431" t="s">
        <v>289</v>
      </c>
      <c r="D29" s="431" t="s">
        <v>26</v>
      </c>
      <c r="E29" s="131" t="s">
        <v>88</v>
      </c>
      <c r="F29" s="59">
        <f>Q29*F22</f>
        <v>1</v>
      </c>
      <c r="G29" s="131"/>
      <c r="H29" s="433"/>
      <c r="I29" s="131"/>
      <c r="J29" s="420"/>
      <c r="K29" s="131"/>
      <c r="L29" s="420"/>
      <c r="M29" s="131"/>
      <c r="Q29" s="421">
        <v>1</v>
      </c>
      <c r="R29" s="422"/>
      <c r="S29" s="423"/>
      <c r="T29" s="423"/>
    </row>
    <row r="30" spans="1:20" s="421" customFormat="1" ht="18" customHeight="1" x14ac:dyDescent="0.35">
      <c r="A30" s="429">
        <f t="shared" si="2"/>
        <v>4.7999999999999972</v>
      </c>
      <c r="B30" s="579"/>
      <c r="C30" s="440" t="s">
        <v>66</v>
      </c>
      <c r="D30" s="440" t="s">
        <v>18</v>
      </c>
      <c r="E30" s="441">
        <v>0.21</v>
      </c>
      <c r="F30" s="442">
        <f>F22*E30</f>
        <v>0.21</v>
      </c>
      <c r="G30" s="441"/>
      <c r="H30" s="433"/>
      <c r="I30" s="440"/>
      <c r="J30" s="443"/>
      <c r="K30" s="440"/>
      <c r="L30" s="443"/>
      <c r="M30" s="444"/>
      <c r="R30" s="422"/>
      <c r="S30" s="423"/>
      <c r="T30" s="423"/>
    </row>
    <row r="31" spans="1:20" ht="40.5" customHeight="1" x14ac:dyDescent="0.3">
      <c r="A31" s="14">
        <v>4</v>
      </c>
      <c r="B31" s="580" t="s">
        <v>189</v>
      </c>
      <c r="C31" s="61" t="s">
        <v>111</v>
      </c>
      <c r="D31" s="61" t="s">
        <v>26</v>
      </c>
      <c r="E31" s="54"/>
      <c r="F31" s="405">
        <v>6</v>
      </c>
      <c r="G31" s="150"/>
      <c r="H31" s="139"/>
      <c r="I31" s="73"/>
      <c r="J31" s="73"/>
      <c r="K31" s="73"/>
      <c r="L31" s="73"/>
      <c r="M31" s="15"/>
      <c r="N31" s="1"/>
      <c r="O31" s="1"/>
      <c r="P31" s="1"/>
    </row>
    <row r="32" spans="1:20" ht="24" customHeight="1" x14ac:dyDescent="0.3">
      <c r="A32" s="45">
        <f t="shared" ref="A32:A37" si="3">A31+0.1</f>
        <v>4.0999999999999996</v>
      </c>
      <c r="B32" s="581"/>
      <c r="C32" s="92" t="s">
        <v>71</v>
      </c>
      <c r="D32" s="92" t="s">
        <v>17</v>
      </c>
      <c r="E32" s="92">
        <v>5.4</v>
      </c>
      <c r="F32" s="385">
        <f>E32*F31</f>
        <v>32.400000000000006</v>
      </c>
      <c r="G32" s="139"/>
      <c r="H32" s="139"/>
      <c r="I32" s="152"/>
      <c r="J32" s="153"/>
      <c r="K32" s="139"/>
      <c r="L32" s="139"/>
      <c r="M32" s="153"/>
      <c r="N32" s="1"/>
      <c r="O32" s="1"/>
      <c r="P32" s="1"/>
    </row>
    <row r="33" spans="1:16" s="215" customFormat="1" ht="20.25" customHeight="1" x14ac:dyDescent="0.3">
      <c r="A33" s="213">
        <f t="shared" si="3"/>
        <v>4.1999999999999993</v>
      </c>
      <c r="B33" s="582">
        <v>13.46</v>
      </c>
      <c r="C33" s="229" t="s">
        <v>190</v>
      </c>
      <c r="D33" s="229" t="s">
        <v>50</v>
      </c>
      <c r="E33" s="230">
        <v>1.25</v>
      </c>
      <c r="F33" s="393">
        <f>E33*F31</f>
        <v>7.5</v>
      </c>
      <c r="G33" s="230"/>
      <c r="H33" s="230"/>
      <c r="I33" s="230"/>
      <c r="J33" s="230"/>
      <c r="K33" s="230"/>
      <c r="L33" s="230"/>
      <c r="M33" s="230"/>
      <c r="N33" s="211"/>
      <c r="O33" s="211"/>
      <c r="P33" s="211"/>
    </row>
    <row r="34" spans="1:16" ht="24" customHeight="1" x14ac:dyDescent="0.3">
      <c r="A34" s="45">
        <f t="shared" si="3"/>
        <v>4.2999999999999989</v>
      </c>
      <c r="B34" s="381" t="s">
        <v>272</v>
      </c>
      <c r="C34" s="17" t="s">
        <v>112</v>
      </c>
      <c r="D34" s="17" t="s">
        <v>22</v>
      </c>
      <c r="E34" s="33" t="s">
        <v>83</v>
      </c>
      <c r="F34" s="388">
        <f>F31*N34</f>
        <v>15</v>
      </c>
      <c r="G34" s="227"/>
      <c r="H34" s="33"/>
      <c r="I34" s="33"/>
      <c r="J34" s="33"/>
      <c r="K34" s="156"/>
      <c r="L34" s="156"/>
      <c r="M34" s="33"/>
      <c r="N34" s="1">
        <v>2.5</v>
      </c>
      <c r="O34" s="1">
        <f>F34*0.34</f>
        <v>5.1000000000000005</v>
      </c>
      <c r="P34" s="1"/>
    </row>
    <row r="35" spans="1:16" ht="24" customHeight="1" x14ac:dyDescent="0.3">
      <c r="A35" s="45">
        <f t="shared" si="3"/>
        <v>4.3999999999999986</v>
      </c>
      <c r="B35" s="381" t="s">
        <v>273</v>
      </c>
      <c r="C35" s="17" t="s">
        <v>113</v>
      </c>
      <c r="D35" s="17" t="s">
        <v>22</v>
      </c>
      <c r="E35" s="33" t="s">
        <v>83</v>
      </c>
      <c r="F35" s="388">
        <f>F31*N35</f>
        <v>7.8000000000000007</v>
      </c>
      <c r="G35" s="227"/>
      <c r="H35" s="227"/>
      <c r="I35" s="33"/>
      <c r="J35" s="33"/>
      <c r="K35" s="156"/>
      <c r="L35" s="156"/>
      <c r="M35" s="33"/>
      <c r="N35" s="1">
        <v>1.3</v>
      </c>
      <c r="O35" s="1">
        <f>F35*0.24</f>
        <v>1.8720000000000001</v>
      </c>
      <c r="P35" s="1"/>
    </row>
    <row r="36" spans="1:16" ht="24" customHeight="1" x14ac:dyDescent="0.3">
      <c r="A36" s="45">
        <f t="shared" si="3"/>
        <v>4.4999999999999982</v>
      </c>
      <c r="B36" s="381" t="s">
        <v>274</v>
      </c>
      <c r="C36" s="17" t="s">
        <v>114</v>
      </c>
      <c r="D36" s="17" t="s">
        <v>22</v>
      </c>
      <c r="E36" s="33" t="s">
        <v>83</v>
      </c>
      <c r="F36" s="388">
        <f>F31*N36</f>
        <v>4.8000000000000007</v>
      </c>
      <c r="G36" s="227"/>
      <c r="H36" s="227"/>
      <c r="I36" s="33"/>
      <c r="J36" s="33"/>
      <c r="K36" s="156"/>
      <c r="L36" s="156"/>
      <c r="M36" s="33"/>
      <c r="N36" s="1">
        <v>0.8</v>
      </c>
      <c r="O36" s="1">
        <f>F36*0.18</f>
        <v>0.8640000000000001</v>
      </c>
      <c r="P36" s="1"/>
    </row>
    <row r="37" spans="1:16" ht="24" customHeight="1" x14ac:dyDescent="0.3">
      <c r="A37" s="45">
        <f t="shared" si="3"/>
        <v>4.5999999999999979</v>
      </c>
      <c r="B37" s="197"/>
      <c r="C37" s="17" t="s">
        <v>66</v>
      </c>
      <c r="D37" s="17" t="s">
        <v>18</v>
      </c>
      <c r="E37" s="33">
        <v>1.5</v>
      </c>
      <c r="F37" s="381">
        <f>E37*F31</f>
        <v>9</v>
      </c>
      <c r="G37" s="33"/>
      <c r="H37" s="227"/>
      <c r="I37" s="33"/>
      <c r="J37" s="33"/>
      <c r="K37" s="33"/>
      <c r="L37" s="33"/>
      <c r="M37" s="33"/>
      <c r="N37" s="1"/>
      <c r="O37" s="1">
        <f>SUM(O34:O36)</f>
        <v>7.8360000000000003</v>
      </c>
      <c r="P37" s="1"/>
    </row>
    <row r="38" spans="1:16" ht="24" customHeight="1" x14ac:dyDescent="0.3">
      <c r="A38" s="14">
        <v>5</v>
      </c>
      <c r="B38" s="583" t="s">
        <v>115</v>
      </c>
      <c r="C38" s="14" t="s">
        <v>172</v>
      </c>
      <c r="D38" s="14" t="s">
        <v>39</v>
      </c>
      <c r="E38" s="15"/>
      <c r="F38" s="383">
        <f>F31+1</f>
        <v>7</v>
      </c>
      <c r="G38" s="15"/>
      <c r="H38" s="33"/>
      <c r="I38" s="33"/>
      <c r="J38" s="33"/>
      <c r="K38" s="33"/>
      <c r="L38" s="33"/>
      <c r="M38" s="15"/>
      <c r="N38" s="1"/>
      <c r="O38" s="1"/>
      <c r="P38" s="1"/>
    </row>
    <row r="39" spans="1:16" ht="24" customHeight="1" x14ac:dyDescent="0.3">
      <c r="A39" s="45">
        <f t="shared" ref="A39:A44" si="4">A38+0.1</f>
        <v>5.0999999999999996</v>
      </c>
      <c r="B39" s="584"/>
      <c r="C39" s="41" t="s">
        <v>71</v>
      </c>
      <c r="D39" s="41" t="s">
        <v>17</v>
      </c>
      <c r="E39" s="21">
        <v>0.9</v>
      </c>
      <c r="F39" s="371">
        <f>F38*E39</f>
        <v>6.3</v>
      </c>
      <c r="G39" s="21"/>
      <c r="H39" s="21"/>
      <c r="I39" s="21"/>
      <c r="J39" s="21"/>
      <c r="K39" s="21"/>
      <c r="L39" s="21"/>
      <c r="M39" s="21"/>
      <c r="N39" s="1"/>
      <c r="O39" s="1"/>
      <c r="P39" s="1"/>
    </row>
    <row r="40" spans="1:16" ht="20.25" customHeight="1" x14ac:dyDescent="0.3">
      <c r="A40" s="45">
        <f t="shared" si="4"/>
        <v>5.1999999999999993</v>
      </c>
      <c r="B40" s="585"/>
      <c r="C40" s="89" t="s">
        <v>103</v>
      </c>
      <c r="D40" s="89" t="s">
        <v>18</v>
      </c>
      <c r="E40" s="90">
        <f>0.7/100</f>
        <v>6.9999999999999993E-3</v>
      </c>
      <c r="F40" s="393">
        <f>F38*E40</f>
        <v>4.8999999999999995E-2</v>
      </c>
      <c r="G40" s="90"/>
      <c r="H40" s="90"/>
      <c r="I40" s="90"/>
      <c r="J40" s="90"/>
      <c r="K40" s="90"/>
      <c r="L40" s="90"/>
      <c r="M40" s="90"/>
      <c r="N40" s="1"/>
      <c r="O40" s="1"/>
      <c r="P40" s="1"/>
    </row>
    <row r="41" spans="1:16" ht="22.5" customHeight="1" x14ac:dyDescent="0.3">
      <c r="A41" s="45">
        <f t="shared" si="4"/>
        <v>5.2999999999999989</v>
      </c>
      <c r="B41" s="586" t="s">
        <v>275</v>
      </c>
      <c r="C41" s="95" t="s">
        <v>171</v>
      </c>
      <c r="D41" s="95" t="s">
        <v>22</v>
      </c>
      <c r="E41" s="33" t="s">
        <v>83</v>
      </c>
      <c r="F41" s="381">
        <v>90</v>
      </c>
      <c r="G41" s="96"/>
      <c r="H41" s="33"/>
      <c r="I41" s="33"/>
      <c r="J41" s="33"/>
      <c r="K41" s="33"/>
      <c r="L41" s="33"/>
      <c r="M41" s="33"/>
      <c r="N41" s="33">
        <v>8.5</v>
      </c>
      <c r="O41" s="1"/>
      <c r="P41" s="1"/>
    </row>
    <row r="42" spans="1:16" ht="24" customHeight="1" x14ac:dyDescent="0.3">
      <c r="A42" s="45">
        <f t="shared" si="4"/>
        <v>5.3999999999999986</v>
      </c>
      <c r="B42" s="587" t="s">
        <v>20</v>
      </c>
      <c r="C42" s="95" t="s">
        <v>151</v>
      </c>
      <c r="D42" s="95" t="s">
        <v>22</v>
      </c>
      <c r="E42" s="33" t="s">
        <v>83</v>
      </c>
      <c r="F42" s="381">
        <v>146</v>
      </c>
      <c r="G42" s="96"/>
      <c r="H42" s="227"/>
      <c r="I42" s="33"/>
      <c r="J42" s="33"/>
      <c r="K42" s="33"/>
      <c r="L42" s="33"/>
      <c r="M42" s="33"/>
      <c r="N42" s="1">
        <f>N8+(F38*0.9)</f>
        <v>119.908</v>
      </c>
      <c r="O42" s="1"/>
      <c r="P42" s="1"/>
    </row>
    <row r="43" spans="1:16" ht="24" customHeight="1" x14ac:dyDescent="0.3">
      <c r="A43" s="45">
        <f t="shared" si="4"/>
        <v>5.4999999999999982</v>
      </c>
      <c r="B43" s="587" t="s">
        <v>152</v>
      </c>
      <c r="C43" s="95" t="s">
        <v>153</v>
      </c>
      <c r="D43" s="95" t="s">
        <v>26</v>
      </c>
      <c r="E43" s="33" t="s">
        <v>83</v>
      </c>
      <c r="F43" s="381">
        <f>F31</f>
        <v>6</v>
      </c>
      <c r="G43" s="97"/>
      <c r="H43" s="227"/>
      <c r="I43" s="33"/>
      <c r="J43" s="33"/>
      <c r="K43" s="33"/>
      <c r="L43" s="33"/>
      <c r="M43" s="33"/>
      <c r="N43" s="1"/>
      <c r="O43" s="1"/>
      <c r="P43" s="1"/>
    </row>
    <row r="44" spans="1:16" ht="24" customHeight="1" x14ac:dyDescent="0.3">
      <c r="A44" s="45">
        <f t="shared" si="4"/>
        <v>5.5999999999999979</v>
      </c>
      <c r="B44" s="98"/>
      <c r="C44" s="99" t="s">
        <v>66</v>
      </c>
      <c r="D44" s="17" t="s">
        <v>18</v>
      </c>
      <c r="E44" s="100">
        <v>0.14000000000000001</v>
      </c>
      <c r="F44" s="445">
        <f>E44*F38</f>
        <v>0.98000000000000009</v>
      </c>
      <c r="G44" s="96"/>
      <c r="H44" s="227"/>
      <c r="I44" s="33"/>
      <c r="J44" s="33"/>
      <c r="K44" s="33"/>
      <c r="L44" s="33"/>
      <c r="M44" s="33"/>
      <c r="N44" s="1"/>
      <c r="O44" s="1"/>
      <c r="P44" s="1"/>
    </row>
    <row r="45" spans="1:16" ht="35.25" customHeight="1" x14ac:dyDescent="0.3">
      <c r="A45" s="14">
        <v>6</v>
      </c>
      <c r="B45" s="138" t="s">
        <v>98</v>
      </c>
      <c r="C45" s="14" t="s">
        <v>116</v>
      </c>
      <c r="D45" s="14" t="s">
        <v>24</v>
      </c>
      <c r="E45" s="14"/>
      <c r="F45" s="383">
        <f>O37*1.1</f>
        <v>8.6196000000000002</v>
      </c>
      <c r="G45" s="13"/>
      <c r="H45" s="15"/>
      <c r="I45" s="14"/>
      <c r="J45" s="15"/>
      <c r="K45" s="14"/>
      <c r="L45" s="15"/>
      <c r="M45" s="15"/>
      <c r="N45" s="1"/>
      <c r="O45" s="1"/>
      <c r="P45" s="1"/>
    </row>
    <row r="46" spans="1:16" ht="24" customHeight="1" x14ac:dyDescent="0.3">
      <c r="A46" s="45">
        <f>A45+0.1</f>
        <v>6.1</v>
      </c>
      <c r="B46" s="123"/>
      <c r="C46" s="92" t="s">
        <v>99</v>
      </c>
      <c r="D46" s="92" t="s">
        <v>17</v>
      </c>
      <c r="E46" s="92">
        <v>0.68</v>
      </c>
      <c r="F46" s="216">
        <f>F45*E46</f>
        <v>5.8613280000000003</v>
      </c>
      <c r="G46" s="139"/>
      <c r="H46" s="139"/>
      <c r="I46" s="152"/>
      <c r="J46" s="153"/>
      <c r="K46" s="139"/>
      <c r="L46" s="139"/>
      <c r="M46" s="153"/>
      <c r="N46" s="1"/>
      <c r="O46" s="1"/>
      <c r="P46" s="1"/>
    </row>
    <row r="47" spans="1:16" s="215" customFormat="1" ht="20.25" customHeight="1" x14ac:dyDescent="0.3">
      <c r="A47" s="213">
        <f>A46+0.1</f>
        <v>6.1999999999999993</v>
      </c>
      <c r="B47" s="94"/>
      <c r="C47" s="229" t="s">
        <v>100</v>
      </c>
      <c r="D47" s="229" t="s">
        <v>18</v>
      </c>
      <c r="E47" s="230">
        <v>2.9999999999999997E-4</v>
      </c>
      <c r="F47" s="230">
        <f>F45*E47</f>
        <v>2.5858799999999996E-3</v>
      </c>
      <c r="G47" s="230"/>
      <c r="H47" s="230"/>
      <c r="I47" s="230"/>
      <c r="J47" s="230"/>
      <c r="K47" s="230"/>
      <c r="L47" s="230"/>
      <c r="M47" s="230"/>
      <c r="N47" s="211"/>
      <c r="O47" s="211"/>
      <c r="P47" s="211"/>
    </row>
    <row r="48" spans="1:16" ht="24" customHeight="1" x14ac:dyDescent="0.3">
      <c r="A48" s="45">
        <f>A47+0.1</f>
        <v>6.2999999999999989</v>
      </c>
      <c r="B48" s="317" t="s">
        <v>270</v>
      </c>
      <c r="C48" s="115" t="s">
        <v>101</v>
      </c>
      <c r="D48" s="17" t="s">
        <v>74</v>
      </c>
      <c r="E48" s="115">
        <f>25.3/100</f>
        <v>0.253</v>
      </c>
      <c r="F48" s="33">
        <f>F45*E48</f>
        <v>2.1807588</v>
      </c>
      <c r="G48" s="227"/>
      <c r="H48" s="33"/>
      <c r="I48" s="17"/>
      <c r="J48" s="33"/>
      <c r="K48" s="17"/>
      <c r="L48" s="33"/>
      <c r="M48" s="33"/>
      <c r="N48" s="1"/>
      <c r="O48" s="1"/>
      <c r="P48" s="1"/>
    </row>
    <row r="49" spans="1:18" ht="24" customHeight="1" x14ac:dyDescent="0.3">
      <c r="A49" s="45">
        <f>A48+0.1</f>
        <v>6.3999999999999986</v>
      </c>
      <c r="B49" s="317" t="s">
        <v>269</v>
      </c>
      <c r="C49" s="17" t="s">
        <v>102</v>
      </c>
      <c r="D49" s="17" t="s">
        <v>74</v>
      </c>
      <c r="E49" s="115">
        <v>2.7E-2</v>
      </c>
      <c r="F49" s="33">
        <f>F45*E49</f>
        <v>0.2327292</v>
      </c>
      <c r="G49" s="227"/>
      <c r="H49" s="33"/>
      <c r="I49" s="17"/>
      <c r="J49" s="33"/>
      <c r="K49" s="17"/>
      <c r="L49" s="33"/>
      <c r="M49" s="33"/>
      <c r="N49" s="1"/>
      <c r="O49" s="1"/>
      <c r="P49" s="1"/>
    </row>
    <row r="50" spans="1:18" ht="24" customHeight="1" x14ac:dyDescent="0.3">
      <c r="A50" s="45">
        <f>A49+0.1</f>
        <v>6.4999999999999982</v>
      </c>
      <c r="B50" s="123"/>
      <c r="C50" s="17" t="s">
        <v>62</v>
      </c>
      <c r="D50" s="17" t="s">
        <v>18</v>
      </c>
      <c r="E50" s="115">
        <f>0.19/100</f>
        <v>1.9E-3</v>
      </c>
      <c r="F50" s="33">
        <f>E50*F45</f>
        <v>1.6377240000000001E-2</v>
      </c>
      <c r="G50" s="227"/>
      <c r="H50" s="33"/>
      <c r="I50" s="17"/>
      <c r="J50" s="33"/>
      <c r="K50" s="17"/>
      <c r="L50" s="33"/>
      <c r="M50" s="33"/>
      <c r="N50" s="1"/>
      <c r="O50" s="1"/>
      <c r="P50" s="1"/>
    </row>
    <row r="51" spans="1:18" ht="39" customHeight="1" x14ac:dyDescent="0.3">
      <c r="A51" s="44" t="s">
        <v>28</v>
      </c>
      <c r="B51" s="61" t="s">
        <v>191</v>
      </c>
      <c r="C51" s="61" t="s">
        <v>58</v>
      </c>
      <c r="D51" s="61" t="s">
        <v>15</v>
      </c>
      <c r="E51" s="54"/>
      <c r="F51" s="54">
        <f>(N8*0.5*0.2)/100</f>
        <v>0.11360800000000001</v>
      </c>
      <c r="G51" s="54"/>
      <c r="H51" s="130"/>
      <c r="I51" s="17"/>
      <c r="J51" s="17"/>
      <c r="K51" s="17"/>
      <c r="L51" s="17"/>
      <c r="M51" s="54"/>
    </row>
    <row r="52" spans="1:18" ht="24" customHeight="1" x14ac:dyDescent="0.3">
      <c r="A52" s="45">
        <f>A51+0.1</f>
        <v>7.1</v>
      </c>
      <c r="B52" s="92"/>
      <c r="C52" s="92" t="s">
        <v>57</v>
      </c>
      <c r="D52" s="92" t="s">
        <v>17</v>
      </c>
      <c r="E52" s="53">
        <v>300</v>
      </c>
      <c r="F52" s="53">
        <f>E52*F51</f>
        <v>34.082400000000007</v>
      </c>
      <c r="G52" s="17"/>
      <c r="H52" s="130"/>
      <c r="I52" s="53"/>
      <c r="J52" s="53"/>
      <c r="K52" s="17"/>
      <c r="L52" s="17"/>
      <c r="M52" s="150"/>
    </row>
    <row r="53" spans="1:18" ht="24" customHeight="1" x14ac:dyDescent="0.3">
      <c r="A53" s="45">
        <f>A52+0.1</f>
        <v>7.1999999999999993</v>
      </c>
      <c r="B53" s="45" t="s">
        <v>263</v>
      </c>
      <c r="C53" s="45" t="s">
        <v>95</v>
      </c>
      <c r="D53" s="45" t="s">
        <v>59</v>
      </c>
      <c r="E53" s="58">
        <v>115</v>
      </c>
      <c r="F53" s="58">
        <f>E53*F51</f>
        <v>13.064920000000003</v>
      </c>
      <c r="G53" s="58"/>
      <c r="H53" s="58"/>
      <c r="I53" s="17"/>
      <c r="J53" s="17"/>
      <c r="K53" s="17"/>
      <c r="L53" s="17"/>
      <c r="M53" s="33"/>
    </row>
    <row r="54" spans="1:18" ht="20.25" customHeight="1" x14ac:dyDescent="0.3">
      <c r="A54" s="45">
        <f>A53+0.1</f>
        <v>7.2999999999999989</v>
      </c>
      <c r="B54" s="45"/>
      <c r="C54" s="45" t="s">
        <v>62</v>
      </c>
      <c r="D54" s="45" t="s">
        <v>18</v>
      </c>
      <c r="E54" s="58">
        <v>1</v>
      </c>
      <c r="F54" s="58">
        <f>F51*E54</f>
        <v>0.11360800000000001</v>
      </c>
      <c r="G54" s="58"/>
      <c r="H54" s="58"/>
      <c r="I54" s="17"/>
      <c r="J54" s="17"/>
      <c r="K54" s="17"/>
      <c r="L54" s="17"/>
      <c r="M54" s="33"/>
    </row>
    <row r="55" spans="1:18" ht="36.75" customHeight="1" x14ac:dyDescent="0.3">
      <c r="A55" s="47">
        <v>8</v>
      </c>
      <c r="B55" s="47" t="s">
        <v>46</v>
      </c>
      <c r="C55" s="47" t="s">
        <v>154</v>
      </c>
      <c r="D55" s="61" t="s">
        <v>15</v>
      </c>
      <c r="E55" s="132"/>
      <c r="F55" s="170">
        <f>(N8*0.5*0.6)/100</f>
        <v>0.34082400000000002</v>
      </c>
      <c r="G55" s="132"/>
      <c r="H55" s="132"/>
      <c r="I55" s="132"/>
      <c r="J55" s="151"/>
      <c r="K55" s="151"/>
      <c r="L55" s="151"/>
      <c r="M55" s="54"/>
    </row>
    <row r="56" spans="1:18" ht="24" customHeight="1" x14ac:dyDescent="0.3">
      <c r="A56" s="45">
        <f>A55+0.1</f>
        <v>8.1</v>
      </c>
      <c r="B56" s="133"/>
      <c r="C56" s="53" t="s">
        <v>44</v>
      </c>
      <c r="D56" s="41" t="s">
        <v>18</v>
      </c>
      <c r="E56" s="21">
        <v>121</v>
      </c>
      <c r="F56" s="134">
        <f>E56*F55</f>
        <v>41.239704000000003</v>
      </c>
      <c r="G56" s="41"/>
      <c r="H56" s="135"/>
      <c r="I56" s="53"/>
      <c r="J56" s="150"/>
      <c r="K56" s="41"/>
      <c r="L56" s="41"/>
      <c r="M56" s="21"/>
    </row>
    <row r="57" spans="1:18" ht="27" customHeight="1" x14ac:dyDescent="0.3">
      <c r="A57" s="13" t="s">
        <v>29</v>
      </c>
      <c r="B57" s="14" t="s">
        <v>185</v>
      </c>
      <c r="C57" s="14" t="s">
        <v>53</v>
      </c>
      <c r="D57" s="14" t="s">
        <v>54</v>
      </c>
      <c r="E57" s="15"/>
      <c r="F57" s="15">
        <f>F51</f>
        <v>0.11360800000000001</v>
      </c>
      <c r="G57" s="15"/>
      <c r="H57" s="17"/>
      <c r="I57" s="17"/>
      <c r="J57" s="17"/>
      <c r="K57" s="17"/>
      <c r="L57" s="17"/>
      <c r="M57" s="54"/>
    </row>
    <row r="58" spans="1:18" ht="24" customHeight="1" x14ac:dyDescent="0.3">
      <c r="A58" s="17">
        <f>A57+0.1</f>
        <v>9.1</v>
      </c>
      <c r="B58" s="17"/>
      <c r="C58" s="53" t="s">
        <v>44</v>
      </c>
      <c r="D58" s="53" t="s">
        <v>17</v>
      </c>
      <c r="E58" s="128">
        <v>0.87</v>
      </c>
      <c r="F58" s="53">
        <f>F57*E58</f>
        <v>9.8838960000000017E-2</v>
      </c>
      <c r="G58" s="89"/>
      <c r="H58" s="89"/>
      <c r="I58" s="53"/>
      <c r="J58" s="53"/>
      <c r="K58" s="53"/>
      <c r="L58" s="53"/>
      <c r="M58" s="53"/>
    </row>
    <row r="59" spans="1:18" ht="24" customHeight="1" x14ac:dyDescent="0.3">
      <c r="A59" s="13" t="s">
        <v>32</v>
      </c>
      <c r="B59" s="14"/>
      <c r="C59" s="14" t="s">
        <v>144</v>
      </c>
      <c r="D59" s="14" t="s">
        <v>21</v>
      </c>
      <c r="E59" s="15"/>
      <c r="F59" s="15">
        <f>F57*185/1000</f>
        <v>2.1017480000000002E-2</v>
      </c>
      <c r="G59" s="15"/>
      <c r="H59" s="17"/>
      <c r="I59" s="17"/>
      <c r="J59" s="17"/>
      <c r="K59" s="17"/>
      <c r="L59" s="17"/>
      <c r="M59" s="54"/>
    </row>
    <row r="60" spans="1:18" ht="30.75" customHeight="1" x14ac:dyDescent="0.3">
      <c r="A60" s="17">
        <f>A59+0.1</f>
        <v>10.1</v>
      </c>
      <c r="B60" s="17" t="s">
        <v>31</v>
      </c>
      <c r="C60" s="87" t="s">
        <v>33</v>
      </c>
      <c r="D60" s="87" t="s">
        <v>21</v>
      </c>
      <c r="E60" s="87">
        <v>1</v>
      </c>
      <c r="F60" s="56">
        <f>F59*E60</f>
        <v>2.1017480000000002E-2</v>
      </c>
      <c r="G60" s="21"/>
      <c r="H60" s="21"/>
      <c r="I60" s="56"/>
      <c r="J60" s="56"/>
      <c r="K60" s="56"/>
      <c r="L60" s="56"/>
      <c r="M60" s="56"/>
    </row>
    <row r="61" spans="1:18" ht="26.25" customHeight="1" x14ac:dyDescent="0.3">
      <c r="A61" s="157"/>
      <c r="B61" s="17"/>
      <c r="C61" s="14" t="s">
        <v>36</v>
      </c>
      <c r="D61" s="14" t="s">
        <v>18</v>
      </c>
      <c r="E61" s="15"/>
      <c r="F61" s="15"/>
      <c r="G61" s="15"/>
      <c r="H61" s="158"/>
      <c r="I61" s="159"/>
      <c r="J61" s="160"/>
      <c r="K61" s="137"/>
      <c r="L61" s="395"/>
      <c r="M61" s="15"/>
      <c r="N61" s="117">
        <f>SUM(H61:L61)</f>
        <v>0</v>
      </c>
      <c r="R61" s="364"/>
    </row>
    <row r="62" spans="1:18" ht="21.75" customHeight="1" x14ac:dyDescent="0.3">
      <c r="A62" s="17"/>
      <c r="B62" s="17"/>
      <c r="C62" s="17" t="s">
        <v>35</v>
      </c>
      <c r="D62" s="17" t="s">
        <v>18</v>
      </c>
      <c r="E62" s="33"/>
      <c r="F62" s="33"/>
      <c r="G62" s="33"/>
      <c r="H62" s="139"/>
      <c r="I62" s="139"/>
      <c r="J62" s="139"/>
      <c r="K62" s="139"/>
      <c r="L62" s="139"/>
      <c r="M62" s="33"/>
    </row>
    <row r="63" spans="1:18" ht="23.25" customHeight="1" x14ac:dyDescent="0.3">
      <c r="A63" s="14"/>
      <c r="B63" s="17"/>
      <c r="C63" s="14" t="s">
        <v>36</v>
      </c>
      <c r="D63" s="14" t="s">
        <v>18</v>
      </c>
      <c r="E63" s="15"/>
      <c r="F63" s="15"/>
      <c r="G63" s="15"/>
      <c r="H63" s="159"/>
      <c r="I63" s="159"/>
      <c r="J63" s="159"/>
      <c r="K63" s="159"/>
      <c r="L63" s="159"/>
      <c r="M63" s="15"/>
    </row>
    <row r="64" spans="1:18" ht="23.25" customHeight="1" x14ac:dyDescent="0.3">
      <c r="A64" s="17"/>
      <c r="B64" s="17"/>
      <c r="C64" s="17" t="s">
        <v>37</v>
      </c>
      <c r="D64" s="17" t="s">
        <v>18</v>
      </c>
      <c r="E64" s="33"/>
      <c r="F64" s="33"/>
      <c r="G64" s="33"/>
      <c r="H64" s="139"/>
      <c r="I64" s="139"/>
      <c r="J64" s="139"/>
      <c r="K64" s="139"/>
      <c r="L64" s="139"/>
      <c r="M64" s="33"/>
    </row>
    <row r="65" spans="1:13" ht="21" customHeight="1" x14ac:dyDescent="0.3">
      <c r="A65" s="14"/>
      <c r="B65" s="14"/>
      <c r="C65" s="14" t="s">
        <v>38</v>
      </c>
      <c r="D65" s="14" t="s">
        <v>18</v>
      </c>
      <c r="E65" s="15"/>
      <c r="F65" s="15"/>
      <c r="G65" s="15"/>
      <c r="H65" s="159"/>
      <c r="I65" s="159"/>
      <c r="J65" s="159"/>
      <c r="K65" s="159"/>
      <c r="L65" s="159"/>
      <c r="M65" s="15"/>
    </row>
    <row r="66" spans="1:13" ht="21" customHeight="1" x14ac:dyDescent="0.3">
      <c r="A66" s="594" t="s">
        <v>137</v>
      </c>
      <c r="B66" s="618"/>
      <c r="C66" s="618"/>
      <c r="D66" s="618"/>
      <c r="E66" s="618"/>
      <c r="F66" s="618"/>
      <c r="G66" s="618"/>
      <c r="H66" s="618"/>
      <c r="I66" s="618"/>
      <c r="J66" s="618"/>
      <c r="K66" s="618"/>
      <c r="L66" s="618"/>
      <c r="M66" s="619"/>
    </row>
    <row r="67" spans="1:13" ht="39.75" customHeight="1" x14ac:dyDescent="0.3">
      <c r="A67" s="61">
        <v>1</v>
      </c>
      <c r="B67" s="161" t="s">
        <v>117</v>
      </c>
      <c r="C67" s="136" t="s">
        <v>118</v>
      </c>
      <c r="D67" s="61" t="s">
        <v>107</v>
      </c>
      <c r="E67" s="145"/>
      <c r="F67" s="227">
        <f>F31</f>
        <v>6</v>
      </c>
      <c r="G67" s="145"/>
      <c r="H67" s="146"/>
      <c r="I67" s="33"/>
      <c r="J67" s="15"/>
      <c r="K67" s="15"/>
      <c r="L67" s="15"/>
      <c r="M67" s="15"/>
    </row>
    <row r="68" spans="1:13" ht="19.5" customHeight="1" x14ac:dyDescent="0.3">
      <c r="A68" s="45">
        <f>A67+0.1</f>
        <v>1.1000000000000001</v>
      </c>
      <c r="B68" s="14"/>
      <c r="C68" s="361" t="s">
        <v>71</v>
      </c>
      <c r="D68" s="361" t="s">
        <v>18</v>
      </c>
      <c r="E68" s="361">
        <v>2.97</v>
      </c>
      <c r="F68" s="361">
        <f>E68*F67</f>
        <v>17.82</v>
      </c>
      <c r="G68" s="33"/>
      <c r="H68" s="33"/>
      <c r="I68" s="21"/>
      <c r="J68" s="153"/>
      <c r="K68" s="33"/>
      <c r="L68" s="33"/>
      <c r="M68" s="153"/>
    </row>
    <row r="69" spans="1:13" ht="21.75" customHeight="1" x14ac:dyDescent="0.3">
      <c r="A69" s="177">
        <f t="shared" ref="A69" si="5">A68+0.1</f>
        <v>1.2000000000000002</v>
      </c>
      <c r="B69" s="14"/>
      <c r="C69" s="304" t="s">
        <v>103</v>
      </c>
      <c r="D69" s="304" t="s">
        <v>18</v>
      </c>
      <c r="E69" s="304">
        <v>1.05</v>
      </c>
      <c r="F69" s="304">
        <f>E69*F68</f>
        <v>18.711000000000002</v>
      </c>
      <c r="G69" s="33"/>
      <c r="H69" s="33"/>
      <c r="I69" s="33"/>
      <c r="J69" s="33"/>
      <c r="K69" s="304"/>
      <c r="L69" s="304"/>
      <c r="M69" s="304"/>
    </row>
    <row r="70" spans="1:13" ht="44.25" customHeight="1" x14ac:dyDescent="0.3">
      <c r="A70" s="177">
        <f>A69+0.1</f>
        <v>1.3000000000000003</v>
      </c>
      <c r="B70" s="17" t="s">
        <v>119</v>
      </c>
      <c r="C70" s="357" t="s">
        <v>376</v>
      </c>
      <c r="D70" s="17" t="s">
        <v>107</v>
      </c>
      <c r="E70" s="131" t="s">
        <v>120</v>
      </c>
      <c r="F70" s="390">
        <f>F67</f>
        <v>6</v>
      </c>
      <c r="G70" s="33"/>
      <c r="H70" s="33"/>
      <c r="I70" s="33"/>
      <c r="J70" s="33"/>
      <c r="K70" s="156"/>
      <c r="L70" s="156"/>
      <c r="M70" s="33"/>
    </row>
    <row r="71" spans="1:13" ht="24" customHeight="1" x14ac:dyDescent="0.3">
      <c r="A71" s="213">
        <f>A70+0.1</f>
        <v>1.4000000000000004</v>
      </c>
      <c r="B71" s="17"/>
      <c r="C71" s="17" t="s">
        <v>66</v>
      </c>
      <c r="D71" s="17" t="s">
        <v>18</v>
      </c>
      <c r="E71" s="33">
        <v>2.11</v>
      </c>
      <c r="F71" s="382">
        <f>E71*F67</f>
        <v>12.66</v>
      </c>
      <c r="G71" s="33"/>
      <c r="H71" s="33"/>
      <c r="I71" s="33"/>
      <c r="J71" s="33"/>
      <c r="K71" s="33"/>
      <c r="L71" s="33"/>
      <c r="M71" s="33"/>
    </row>
    <row r="72" spans="1:13" ht="24" customHeight="1" x14ac:dyDescent="0.3">
      <c r="A72" s="30">
        <v>2</v>
      </c>
      <c r="B72" s="101" t="s">
        <v>20</v>
      </c>
      <c r="C72" s="71" t="s">
        <v>155</v>
      </c>
      <c r="D72" s="30" t="s">
        <v>107</v>
      </c>
      <c r="E72" s="72"/>
      <c r="F72" s="72">
        <f>F67</f>
        <v>6</v>
      </c>
      <c r="G72" s="72"/>
      <c r="H72" s="74"/>
      <c r="I72" s="32"/>
      <c r="J72" s="16"/>
      <c r="K72" s="16"/>
      <c r="L72" s="16"/>
      <c r="M72" s="16"/>
    </row>
    <row r="73" spans="1:13" ht="24" customHeight="1" x14ac:dyDescent="0.3">
      <c r="A73" s="45">
        <f>A72+0.1</f>
        <v>2.1</v>
      </c>
      <c r="B73" s="24"/>
      <c r="C73" s="18" t="s">
        <v>71</v>
      </c>
      <c r="D73" s="102" t="s">
        <v>18</v>
      </c>
      <c r="E73" s="103">
        <v>1</v>
      </c>
      <c r="F73" s="389">
        <f>E73*F72</f>
        <v>6</v>
      </c>
      <c r="G73" s="32"/>
      <c r="H73" s="32"/>
      <c r="I73" s="19"/>
      <c r="J73" s="77"/>
      <c r="K73" s="32"/>
      <c r="L73" s="32"/>
      <c r="M73" s="77"/>
    </row>
    <row r="74" spans="1:13" ht="24" customHeight="1" x14ac:dyDescent="0.3">
      <c r="A74" s="45">
        <f>A73+0.1</f>
        <v>2.2000000000000002</v>
      </c>
      <c r="B74" s="27" t="s">
        <v>20</v>
      </c>
      <c r="C74" s="27" t="s">
        <v>175</v>
      </c>
      <c r="D74" s="27" t="s">
        <v>18</v>
      </c>
      <c r="E74" s="59">
        <v>1</v>
      </c>
      <c r="F74" s="390">
        <f>E74*F72</f>
        <v>6</v>
      </c>
      <c r="G74" s="32"/>
      <c r="H74" s="32"/>
      <c r="I74" s="32"/>
      <c r="J74" s="32"/>
      <c r="K74" s="93"/>
      <c r="L74" s="93"/>
      <c r="M74" s="32"/>
    </row>
    <row r="75" spans="1:13" ht="38.25" customHeight="1" x14ac:dyDescent="0.3">
      <c r="A75" s="30">
        <v>3</v>
      </c>
      <c r="B75" s="101" t="s">
        <v>121</v>
      </c>
      <c r="C75" s="71" t="s">
        <v>122</v>
      </c>
      <c r="D75" s="30" t="s">
        <v>123</v>
      </c>
      <c r="E75" s="72"/>
      <c r="F75" s="403">
        <f>F79+F80+F78</f>
        <v>89</v>
      </c>
      <c r="G75" s="74"/>
      <c r="H75" s="32"/>
      <c r="I75" s="16"/>
      <c r="J75" s="16"/>
      <c r="K75" s="16"/>
      <c r="L75" s="16"/>
      <c r="M75" s="16"/>
    </row>
    <row r="76" spans="1:13" ht="23.25" customHeight="1" x14ac:dyDescent="0.3">
      <c r="A76" s="45">
        <f t="shared" ref="A76:A92" si="6">A75+0.1</f>
        <v>3.1</v>
      </c>
      <c r="B76" s="104"/>
      <c r="C76" s="18" t="s">
        <v>71</v>
      </c>
      <c r="D76" s="18" t="s">
        <v>18</v>
      </c>
      <c r="E76" s="20">
        <v>7.0000000000000007E-2</v>
      </c>
      <c r="F76" s="386">
        <f>E76*F75</f>
        <v>6.23</v>
      </c>
      <c r="G76" s="18"/>
      <c r="H76" s="42"/>
      <c r="I76" s="19"/>
      <c r="J76" s="19"/>
      <c r="K76" s="18"/>
      <c r="L76" s="18"/>
      <c r="M76" s="77"/>
    </row>
    <row r="77" spans="1:13" ht="24" customHeight="1" x14ac:dyDescent="0.3">
      <c r="A77" s="45">
        <f t="shared" si="6"/>
        <v>3.2</v>
      </c>
      <c r="B77" s="588"/>
      <c r="C77" s="22" t="s">
        <v>103</v>
      </c>
      <c r="D77" s="22" t="s">
        <v>50</v>
      </c>
      <c r="E77" s="106">
        <v>4.8399999999999999E-2</v>
      </c>
      <c r="F77" s="387">
        <f>E77*F75</f>
        <v>4.3075999999999999</v>
      </c>
      <c r="G77" s="22"/>
      <c r="H77" s="107"/>
      <c r="I77" s="107"/>
      <c r="J77" s="22"/>
      <c r="K77" s="23"/>
      <c r="L77" s="23"/>
      <c r="M77" s="23"/>
    </row>
    <row r="78" spans="1:13" s="352" customFormat="1" ht="24" customHeight="1" x14ac:dyDescent="0.3">
      <c r="A78" s="300">
        <f t="shared" si="6"/>
        <v>3.3000000000000003</v>
      </c>
      <c r="B78" s="589" t="s">
        <v>257</v>
      </c>
      <c r="C78" s="296" t="s">
        <v>258</v>
      </c>
      <c r="D78" s="296" t="s">
        <v>123</v>
      </c>
      <c r="E78" s="305" t="s">
        <v>83</v>
      </c>
      <c r="F78" s="382">
        <v>10</v>
      </c>
      <c r="G78" s="297"/>
      <c r="H78" s="297"/>
      <c r="I78" s="182"/>
      <c r="J78" s="296"/>
      <c r="K78" s="296"/>
      <c r="L78" s="296"/>
      <c r="M78" s="297"/>
    </row>
    <row r="79" spans="1:13" ht="29.25" customHeight="1" x14ac:dyDescent="0.3">
      <c r="A79" s="45">
        <f>A77+0.1</f>
        <v>3.3000000000000003</v>
      </c>
      <c r="B79" s="197" t="s">
        <v>276</v>
      </c>
      <c r="C79" s="27" t="s">
        <v>125</v>
      </c>
      <c r="D79" s="27" t="s">
        <v>123</v>
      </c>
      <c r="E79" s="58" t="s">
        <v>83</v>
      </c>
      <c r="F79" s="382">
        <v>53</v>
      </c>
      <c r="G79" s="32"/>
      <c r="H79" s="32"/>
      <c r="I79" s="51"/>
      <c r="J79" s="27"/>
      <c r="K79" s="27"/>
      <c r="L79" s="27"/>
      <c r="M79" s="32"/>
    </row>
    <row r="80" spans="1:13" ht="32.25" customHeight="1" x14ac:dyDescent="0.3">
      <c r="A80" s="45">
        <f t="shared" si="6"/>
        <v>3.4000000000000004</v>
      </c>
      <c r="B80" s="197" t="s">
        <v>124</v>
      </c>
      <c r="C80" s="27" t="s">
        <v>126</v>
      </c>
      <c r="D80" s="27" t="s">
        <v>123</v>
      </c>
      <c r="E80" s="58" t="s">
        <v>83</v>
      </c>
      <c r="F80" s="382">
        <v>26</v>
      </c>
      <c r="G80" s="32"/>
      <c r="H80" s="226"/>
      <c r="I80" s="51"/>
      <c r="J80" s="27"/>
      <c r="K80" s="27"/>
      <c r="L80" s="27"/>
      <c r="M80" s="32"/>
    </row>
    <row r="81" spans="1:18" ht="24" customHeight="1" x14ac:dyDescent="0.3">
      <c r="A81" s="45">
        <f>A80+0.1</f>
        <v>3.5000000000000004</v>
      </c>
      <c r="B81" s="27" t="s">
        <v>20</v>
      </c>
      <c r="C81" s="27" t="s">
        <v>127</v>
      </c>
      <c r="D81" s="27" t="s">
        <v>123</v>
      </c>
      <c r="E81" s="58" t="s">
        <v>83</v>
      </c>
      <c r="F81" s="382">
        <f>N8</f>
        <v>113.608</v>
      </c>
      <c r="G81" s="32"/>
      <c r="H81" s="226"/>
      <c r="I81" s="51"/>
      <c r="J81" s="27"/>
      <c r="K81" s="27"/>
      <c r="L81" s="27"/>
      <c r="M81" s="32"/>
    </row>
    <row r="82" spans="1:18" ht="24" customHeight="1" x14ac:dyDescent="0.3">
      <c r="A82" s="45">
        <f t="shared" si="6"/>
        <v>3.6000000000000005</v>
      </c>
      <c r="B82" s="27" t="s">
        <v>20</v>
      </c>
      <c r="C82" s="27" t="s">
        <v>128</v>
      </c>
      <c r="D82" s="27" t="s">
        <v>123</v>
      </c>
      <c r="E82" s="58" t="s">
        <v>83</v>
      </c>
      <c r="F82" s="382">
        <f>F79</f>
        <v>53</v>
      </c>
      <c r="G82" s="27"/>
      <c r="H82" s="226"/>
      <c r="I82" s="51"/>
      <c r="J82" s="27"/>
      <c r="K82" s="27"/>
      <c r="L82" s="27"/>
      <c r="M82" s="32"/>
    </row>
    <row r="83" spans="1:18" ht="24" customHeight="1" x14ac:dyDescent="0.3">
      <c r="A83" s="45">
        <f t="shared" si="6"/>
        <v>3.7000000000000006</v>
      </c>
      <c r="B83" s="27"/>
      <c r="C83" s="27" t="s">
        <v>66</v>
      </c>
      <c r="D83" s="27" t="s">
        <v>18</v>
      </c>
      <c r="E83" s="108">
        <v>3.5000000000000001E-3</v>
      </c>
      <c r="F83" s="382">
        <f>E83*F75</f>
        <v>0.3115</v>
      </c>
      <c r="G83" s="32"/>
      <c r="H83" s="226"/>
      <c r="I83" s="51"/>
      <c r="J83" s="27"/>
      <c r="K83" s="27"/>
      <c r="L83" s="27"/>
      <c r="M83" s="32"/>
    </row>
    <row r="84" spans="1:18" ht="38.25" customHeight="1" x14ac:dyDescent="0.3">
      <c r="A84" s="30">
        <v>4</v>
      </c>
      <c r="B84" s="71" t="s">
        <v>129</v>
      </c>
      <c r="C84" s="71" t="s">
        <v>130</v>
      </c>
      <c r="D84" s="30" t="s">
        <v>131</v>
      </c>
      <c r="E84" s="72"/>
      <c r="F84" s="403">
        <v>1</v>
      </c>
      <c r="G84" s="74"/>
      <c r="H84" s="32"/>
      <c r="I84" s="16"/>
      <c r="J84" s="16"/>
      <c r="K84" s="16"/>
      <c r="L84" s="16"/>
      <c r="M84" s="16"/>
    </row>
    <row r="85" spans="1:18" ht="15" x14ac:dyDescent="0.3">
      <c r="A85" s="45">
        <f t="shared" si="6"/>
        <v>4.0999999999999996</v>
      </c>
      <c r="B85" s="104"/>
      <c r="C85" s="18" t="s">
        <v>71</v>
      </c>
      <c r="D85" s="18" t="s">
        <v>17</v>
      </c>
      <c r="E85" s="19">
        <v>25</v>
      </c>
      <c r="F85" s="386">
        <f>E85*F84</f>
        <v>25</v>
      </c>
      <c r="G85" s="18"/>
      <c r="H85" s="42"/>
      <c r="I85" s="19"/>
      <c r="J85" s="19"/>
      <c r="K85" s="18"/>
      <c r="L85" s="18"/>
      <c r="M85" s="19"/>
    </row>
    <row r="86" spans="1:18" ht="18" customHeight="1" x14ac:dyDescent="0.3">
      <c r="A86" s="177">
        <f t="shared" si="6"/>
        <v>4.1999999999999993</v>
      </c>
      <c r="B86" s="105"/>
      <c r="C86" s="22" t="s">
        <v>103</v>
      </c>
      <c r="D86" s="22" t="s">
        <v>50</v>
      </c>
      <c r="E86" s="23">
        <v>0.7</v>
      </c>
      <c r="F86" s="221">
        <f>E86*F84</f>
        <v>0.7</v>
      </c>
      <c r="G86" s="22"/>
      <c r="H86" s="107"/>
      <c r="I86" s="107"/>
      <c r="J86" s="22"/>
      <c r="K86" s="23"/>
      <c r="L86" s="23"/>
      <c r="M86" s="23"/>
    </row>
    <row r="87" spans="1:18" ht="24.75" customHeight="1" x14ac:dyDescent="0.3">
      <c r="A87" s="177">
        <f t="shared" si="6"/>
        <v>4.2999999999999989</v>
      </c>
      <c r="B87" s="27" t="s">
        <v>20</v>
      </c>
      <c r="C87" s="27" t="s">
        <v>132</v>
      </c>
      <c r="D87" s="27" t="s">
        <v>26</v>
      </c>
      <c r="E87" s="57" t="s">
        <v>83</v>
      </c>
      <c r="F87" s="210">
        <v>1</v>
      </c>
      <c r="G87" s="32"/>
      <c r="H87" s="33"/>
      <c r="I87" s="51"/>
      <c r="J87" s="27"/>
      <c r="K87" s="27"/>
      <c r="L87" s="27"/>
      <c r="M87" s="32"/>
    </row>
    <row r="88" spans="1:18" ht="27" customHeight="1" x14ac:dyDescent="0.3">
      <c r="A88" s="177">
        <f t="shared" si="6"/>
        <v>4.3999999999999986</v>
      </c>
      <c r="B88" s="27" t="s">
        <v>20</v>
      </c>
      <c r="C88" s="27" t="s">
        <v>174</v>
      </c>
      <c r="D88" s="27" t="s">
        <v>26</v>
      </c>
      <c r="E88" s="57" t="s">
        <v>83</v>
      </c>
      <c r="F88" s="210">
        <v>1</v>
      </c>
      <c r="G88" s="27"/>
      <c r="H88" s="227"/>
      <c r="I88" s="51"/>
      <c r="J88" s="27"/>
      <c r="K88" s="27"/>
      <c r="L88" s="27"/>
      <c r="M88" s="32"/>
    </row>
    <row r="89" spans="1:18" ht="15" x14ac:dyDescent="0.3">
      <c r="A89" s="177">
        <f t="shared" si="6"/>
        <v>4.4999999999999982</v>
      </c>
      <c r="B89" s="27" t="s">
        <v>20</v>
      </c>
      <c r="C89" s="27" t="s">
        <v>173</v>
      </c>
      <c r="D89" s="27" t="s">
        <v>26</v>
      </c>
      <c r="E89" s="57" t="s">
        <v>83</v>
      </c>
      <c r="F89" s="210">
        <v>1</v>
      </c>
      <c r="G89" s="27"/>
      <c r="H89" s="227"/>
      <c r="I89" s="51"/>
      <c r="J89" s="27"/>
      <c r="K89" s="27"/>
      <c r="L89" s="27"/>
      <c r="M89" s="32"/>
    </row>
    <row r="90" spans="1:18" s="172" customFormat="1" ht="26.25" customHeight="1" x14ac:dyDescent="0.3">
      <c r="A90" s="177">
        <f t="shared" si="6"/>
        <v>4.5999999999999979</v>
      </c>
      <c r="B90" s="174" t="s">
        <v>20</v>
      </c>
      <c r="C90" s="174" t="s">
        <v>133</v>
      </c>
      <c r="D90" s="174" t="s">
        <v>26</v>
      </c>
      <c r="E90" s="178" t="s">
        <v>83</v>
      </c>
      <c r="F90" s="210">
        <v>1</v>
      </c>
      <c r="G90" s="173"/>
      <c r="H90" s="227"/>
      <c r="I90" s="182"/>
      <c r="J90" s="174"/>
      <c r="K90" s="174"/>
      <c r="L90" s="174"/>
      <c r="M90" s="173"/>
    </row>
    <row r="91" spans="1:18" ht="28.5" customHeight="1" x14ac:dyDescent="0.3">
      <c r="A91" s="177">
        <f t="shared" si="6"/>
        <v>4.6999999999999975</v>
      </c>
      <c r="B91" s="27" t="s">
        <v>277</v>
      </c>
      <c r="C91" s="27" t="s">
        <v>134</v>
      </c>
      <c r="D91" s="27" t="s">
        <v>26</v>
      </c>
      <c r="E91" s="58" t="s">
        <v>83</v>
      </c>
      <c r="F91" s="210">
        <v>1</v>
      </c>
      <c r="G91" s="32"/>
      <c r="H91" s="227"/>
      <c r="I91" s="51"/>
      <c r="J91" s="27"/>
      <c r="K91" s="27"/>
      <c r="L91" s="27"/>
      <c r="M91" s="32"/>
    </row>
    <row r="92" spans="1:18" ht="28.5" customHeight="1" x14ac:dyDescent="0.3">
      <c r="A92" s="177">
        <f t="shared" si="6"/>
        <v>4.7999999999999972</v>
      </c>
      <c r="B92" s="27"/>
      <c r="C92" s="17" t="s">
        <v>62</v>
      </c>
      <c r="D92" s="17" t="s">
        <v>18</v>
      </c>
      <c r="E92" s="58">
        <v>10.1</v>
      </c>
      <c r="F92" s="210">
        <f>F84*E92</f>
        <v>10.1</v>
      </c>
      <c r="G92" s="33"/>
      <c r="H92" s="227"/>
      <c r="I92" s="130"/>
      <c r="J92" s="17"/>
      <c r="K92" s="17"/>
      <c r="L92" s="17"/>
      <c r="M92" s="33"/>
    </row>
    <row r="93" spans="1:18" ht="19.5" customHeight="1" x14ac:dyDescent="0.3">
      <c r="A93" s="84"/>
      <c r="B93" s="79"/>
      <c r="C93" s="24" t="s">
        <v>36</v>
      </c>
      <c r="D93" s="24" t="s">
        <v>18</v>
      </c>
      <c r="E93" s="16"/>
      <c r="F93" s="219"/>
      <c r="G93" s="15"/>
      <c r="H93" s="85"/>
      <c r="I93" s="35"/>
      <c r="J93" s="86"/>
      <c r="K93" s="26"/>
      <c r="L93" s="349"/>
      <c r="M93" s="16"/>
      <c r="N93" s="117">
        <f>SUM(H93:L93)</f>
        <v>0</v>
      </c>
      <c r="R93" s="364"/>
    </row>
    <row r="94" spans="1:18" ht="30" x14ac:dyDescent="0.3">
      <c r="A94" s="27"/>
      <c r="B94" s="27"/>
      <c r="C94" s="27" t="s">
        <v>379</v>
      </c>
      <c r="D94" s="27" t="s">
        <v>18</v>
      </c>
      <c r="E94" s="32"/>
      <c r="F94" s="220"/>
      <c r="G94" s="33"/>
      <c r="H94" s="34"/>
      <c r="I94" s="34"/>
      <c r="J94" s="34"/>
      <c r="K94" s="34"/>
      <c r="L94" s="34"/>
      <c r="M94" s="32"/>
    </row>
    <row r="95" spans="1:18" x14ac:dyDescent="0.3">
      <c r="A95" s="24"/>
      <c r="B95" s="24"/>
      <c r="C95" s="24" t="s">
        <v>36</v>
      </c>
      <c r="D95" s="24" t="s">
        <v>18</v>
      </c>
      <c r="E95" s="16"/>
      <c r="F95" s="15"/>
      <c r="G95" s="15"/>
      <c r="H95" s="35"/>
      <c r="I95" s="35"/>
      <c r="J95" s="35"/>
      <c r="K95" s="35"/>
      <c r="L95" s="35"/>
      <c r="M95" s="16"/>
    </row>
    <row r="96" spans="1:18" ht="15" x14ac:dyDescent="0.3">
      <c r="A96" s="27"/>
      <c r="B96" s="27"/>
      <c r="C96" s="27" t="s">
        <v>380</v>
      </c>
      <c r="D96" s="27" t="s">
        <v>18</v>
      </c>
      <c r="E96" s="32"/>
      <c r="F96" s="33"/>
      <c r="G96" s="33"/>
      <c r="H96" s="34"/>
      <c r="I96" s="34"/>
      <c r="J96" s="34"/>
      <c r="K96" s="34"/>
      <c r="L96" s="34"/>
      <c r="M96" s="32"/>
    </row>
    <row r="97" spans="1:13" x14ac:dyDescent="0.3">
      <c r="A97" s="36"/>
      <c r="B97" s="36"/>
      <c r="C97" s="36" t="s">
        <v>55</v>
      </c>
      <c r="D97" s="36" t="s">
        <v>18</v>
      </c>
      <c r="E97" s="37"/>
      <c r="F97" s="37"/>
      <c r="G97" s="37"/>
      <c r="H97" s="38"/>
      <c r="I97" s="38"/>
      <c r="J97" s="38"/>
      <c r="K97" s="38"/>
      <c r="L97" s="38"/>
      <c r="M97" s="37"/>
    </row>
    <row r="98" spans="1:13" ht="25.5" customHeight="1" x14ac:dyDescent="0.3">
      <c r="A98" s="36"/>
      <c r="B98" s="36"/>
      <c r="C98" s="36" t="s">
        <v>135</v>
      </c>
      <c r="D98" s="36" t="s">
        <v>18</v>
      </c>
      <c r="E98" s="37"/>
      <c r="F98" s="37"/>
      <c r="G98" s="37"/>
      <c r="H98" s="38"/>
      <c r="I98" s="38"/>
      <c r="J98" s="38"/>
      <c r="K98" s="38"/>
      <c r="L98" s="38"/>
      <c r="M98" s="37"/>
    </row>
    <row r="100" spans="1:13" ht="16.2" x14ac:dyDescent="0.4">
      <c r="C100" s="169"/>
      <c r="D100" s="111"/>
    </row>
    <row r="101" spans="1:13" ht="16.2" x14ac:dyDescent="0.4">
      <c r="C101" s="111"/>
      <c r="D101" s="111"/>
    </row>
    <row r="102" spans="1:13" ht="16.2" x14ac:dyDescent="0.4">
      <c r="C102" s="111"/>
      <c r="D102" s="111"/>
    </row>
  </sheetData>
  <mergeCells count="14">
    <mergeCell ref="A66:M66"/>
    <mergeCell ref="A6:M6"/>
    <mergeCell ref="A7:M7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A2:D2"/>
  </mergeCells>
  <printOptions horizontalCentered="1"/>
  <pageMargins left="0" right="0" top="0.55118110236220474" bottom="0.55118110236220474" header="0.31496062992125984" footer="0.31496062992125984"/>
  <pageSetup paperSize="9" scale="9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საერთო</vt:lpstr>
      <vt:lpstr>დემონტაჟი</vt:lpstr>
      <vt:lpstr>გამწვანება</vt:lpstr>
      <vt:lpstr>კეთილმოწყობა</vt:lpstr>
      <vt:lpstr>მცირე არქ.</vt:lpstr>
      <vt:lpstr>ელექტროობა</vt:lpstr>
      <vt:lpstr>გამწვანება!Print_Area</vt:lpstr>
      <vt:lpstr>დემონტაჟი!Print_Area</vt:lpstr>
      <vt:lpstr>ელექტროობა!Print_Area</vt:lpstr>
      <vt:lpstr>კეთილმოწყობა!Print_Area</vt:lpstr>
      <vt:lpstr>'მცირე არქ.'!Print_Area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2020-12-30T13:24:13Z</dcterms:modified>
</cp:coreProperties>
</file>