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8480" windowHeight="12360" activeTab="0"/>
  </bookViews>
  <sheets>
    <sheet name="Smeta" sheetId="1" r:id="rId1"/>
  </sheets>
  <definedNames>
    <definedName name="_xlnm._FilterDatabase" localSheetId="0" hidden="1">'Smeta'!$A$7:$M$260</definedName>
    <definedName name="_xlnm.Print_Area" localSheetId="0">'Smeta'!$A$1:$M$260</definedName>
    <definedName name="_xlnm.Print_Titles" localSheetId="0">'Smeta'!$7:$7</definedName>
  </definedNames>
  <calcPr fullCalcOnLoad="1"/>
</workbook>
</file>

<file path=xl/sharedStrings.xml><?xml version="1.0" encoding="utf-8"?>
<sst xmlns="http://schemas.openxmlformats.org/spreadsheetml/2006/main" count="566" uniqueCount="128">
  <si>
    <t>#</t>
  </si>
  <si>
    <t>sul</t>
  </si>
  <si>
    <t xml:space="preserve"> lokaluri xarjTaRricxva #1</t>
  </si>
  <si>
    <t>Sifri</t>
  </si>
  <si>
    <t>samuSaoebis CamonaTvali</t>
  </si>
  <si>
    <t>raodenoba</t>
  </si>
  <si>
    <t>masala</t>
  </si>
  <si>
    <t>xelfasi</t>
  </si>
  <si>
    <t>manqana-meqan.</t>
  </si>
  <si>
    <t>jami</t>
  </si>
  <si>
    <t>erT. fasi</t>
  </si>
  <si>
    <t>lari</t>
  </si>
  <si>
    <t>zednadebi xarjebi</t>
  </si>
  <si>
    <t>saxarjTaRricxvo mogeba</t>
  </si>
  <si>
    <t xml:space="preserve">sul </t>
  </si>
  <si>
    <t xml:space="preserve">Tavi 3. sagzao samosi   </t>
  </si>
  <si>
    <t>sul Tavi 1-is mixedviT</t>
  </si>
  <si>
    <t>sul Tavi 3-is mixedviT</t>
  </si>
  <si>
    <t>%</t>
  </si>
  <si>
    <t>t</t>
  </si>
  <si>
    <t xml:space="preserve">Tavi 1. teritoriis aTviseba da mosamzadebeli samuSaoebi </t>
  </si>
  <si>
    <t>Tavi 2. miwis vakisi</t>
  </si>
  <si>
    <t>sul Tavi 2-is mixedviT</t>
  </si>
  <si>
    <t>dRg 18%</t>
  </si>
  <si>
    <t>planireba greideriT</t>
  </si>
  <si>
    <t>gauTvaliswinebeli xarjebi</t>
  </si>
  <si>
    <t>kr. sapr. sag. samuS. t-1</t>
  </si>
  <si>
    <t>trasis aRdgena da damagreba</t>
  </si>
  <si>
    <t>km</t>
  </si>
  <si>
    <t>sul Tavi 4-is mixedviT</t>
  </si>
  <si>
    <t>27-14-2</t>
  </si>
  <si>
    <t>27-22-1</t>
  </si>
  <si>
    <t>minaplastikuri armatura d-6 mm</t>
  </si>
  <si>
    <t>gadasabmeli mavTuli d-1.6-2.mm</t>
  </si>
  <si>
    <t>sul xarjTaRricxviT</t>
  </si>
  <si>
    <t>1-164-3    1-166-3 miy.</t>
  </si>
  <si>
    <t>igive xeliT, meqanizmebisTvis miudgomel adgilebSi</t>
  </si>
  <si>
    <t xml:space="preserve">tipi I </t>
  </si>
  <si>
    <t>Tavi 4. xelovnuri nagebobebi</t>
  </si>
  <si>
    <t xml:space="preserve">1-164-3   </t>
  </si>
  <si>
    <t>Tavi 5. gzis kuTvnileba da keTilmowyoba</t>
  </si>
  <si>
    <t>ezoSi Sesasvlelebi</t>
  </si>
  <si>
    <t>gruntis damuSaveba xeliT datvirTva a.TviTmclelebze da gatana nayarSi.</t>
  </si>
  <si>
    <t>1-18-6</t>
  </si>
  <si>
    <t>sul Tavi 5-is mixedviT</t>
  </si>
  <si>
    <t>gruntovani kiuvetebis amowmenda xeliT gverdze gadayriT.</t>
  </si>
  <si>
    <t>27-63-1</t>
  </si>
  <si>
    <t>Txevadi bitumis emulsiis mosxma (0.6l/m2)</t>
  </si>
  <si>
    <t>27-53-4    27-54-4</t>
  </si>
  <si>
    <t xml:space="preserve">safaris qveda fenis mowyoba msxvil-marcvlovani forovani RorRovani a/betonis cxeli nareviT sisqiT 5 sm marka II </t>
  </si>
  <si>
    <t>Txevadi bitumis emulsiis mosxma (0.3l/m2)</t>
  </si>
  <si>
    <t>27-53-2    27-54-2</t>
  </si>
  <si>
    <t>gruntis damuSaveba buldozeriT, datvirTva 0.25m3 eqskavatoriT a/TviTmclelebze da gatana nayarSi</t>
  </si>
  <si>
    <t>1-24-3      1-18-16</t>
  </si>
  <si>
    <t>borjomis municipalitetis sof. mzeTamzeSi saavtomobilo gzis reabilitacia</t>
  </si>
  <si>
    <t>1-13-6</t>
  </si>
  <si>
    <t>qvabulis damuSaveba xeliT gverdze gadayriT</t>
  </si>
  <si>
    <t>23-1-3 miy.</t>
  </si>
  <si>
    <t>6-24-1</t>
  </si>
  <si>
    <t>minaplastikuri armatura d-8 mm</t>
  </si>
  <si>
    <t xml:space="preserve">1-166-3  miy.   </t>
  </si>
  <si>
    <t>qvabulis amovseba gruntiT xeliT</t>
  </si>
  <si>
    <t>monoliTuri rk/betonis samkuTxa Rari</t>
  </si>
  <si>
    <t>mierTebebi</t>
  </si>
  <si>
    <t>e.w. ,,kalos” moednis moasfalteba</t>
  </si>
  <si>
    <t>Sromis danaxarji</t>
  </si>
  <si>
    <t>manqanebi</t>
  </si>
  <si>
    <t>kac.sT.</t>
  </si>
  <si>
    <t>buldozeri 59k.vt.</t>
  </si>
  <si>
    <t>man.sT.</t>
  </si>
  <si>
    <t>ganzomileba</t>
  </si>
  <si>
    <t>eqskavatori pnevmoTvlian svlaze CamCis moculobiT 0,25kub.m.</t>
  </si>
  <si>
    <t>satkepni sagzao TviTmavali pnevmoTvlian svlaze 16 toniani</t>
  </si>
  <si>
    <t>mosarwyavi manqana 6000l.</t>
  </si>
  <si>
    <t>kub.m.</t>
  </si>
  <si>
    <t>wyali</t>
  </si>
  <si>
    <t>qviSa-xreSovani narevi fr 0-70mm</t>
  </si>
  <si>
    <t>buldozeri 79k.vt.</t>
  </si>
  <si>
    <t>avtogreideri saSualo tipis 99k.vt.</t>
  </si>
  <si>
    <t>satkepni sagzao TviTmavali gluvi 8 toniani</t>
  </si>
  <si>
    <t>satkepni sagzao TviTmavali gluvi 13 toniani</t>
  </si>
  <si>
    <t>RorRisa da xreSis gamnawilebeli</t>
  </si>
  <si>
    <t>fraqciuli RorRi (0-40) mm</t>
  </si>
  <si>
    <t>asfaltbetonis safaris damgebi</t>
  </si>
  <si>
    <t>sxva manqanebi</t>
  </si>
  <si>
    <t>asfaltbetoni</t>
  </si>
  <si>
    <t>sxva masalebi</t>
  </si>
  <si>
    <t>tona</t>
  </si>
  <si>
    <t>qviSa xreSovani narevi</t>
  </si>
  <si>
    <t>amwe muxluxo svlaze 16 toniani</t>
  </si>
  <si>
    <t>vibratori</t>
  </si>
  <si>
    <t>saxva manqanebi</t>
  </si>
  <si>
    <t>eleqtrodi</t>
  </si>
  <si>
    <t>ficari Camoganuli 19-22mm III xaris</t>
  </si>
  <si>
    <t>ficari Camoganuli 25mm III xaris</t>
  </si>
  <si>
    <t>ficari Camoganuli 44mm III xaris</t>
  </si>
  <si>
    <t>betoni</t>
  </si>
  <si>
    <t>betoni b-10</t>
  </si>
  <si>
    <t>xis fari 25mm</t>
  </si>
  <si>
    <t>kv.m.</t>
  </si>
  <si>
    <t>grZ.m.</t>
  </si>
  <si>
    <t>*</t>
  </si>
  <si>
    <t>1-67-3</t>
  </si>
  <si>
    <t>avtogreideri saSualo tipis 79k.vt.</t>
  </si>
  <si>
    <t>1-24-3      1-18-6</t>
  </si>
  <si>
    <t>avtogudronatori 3500l</t>
  </si>
  <si>
    <t>bitumis emulsia</t>
  </si>
  <si>
    <t>1-24-3      1-24-11      1-18-6</t>
  </si>
  <si>
    <t>satkepni sagzao TviTmavali gluvi 13 t</t>
  </si>
  <si>
    <t>satkepni sagzao TviTmavali gluvi 8 t</t>
  </si>
  <si>
    <t>misayreli gverdulebis mowyoba qviSa xreSovani nareviT, (fraqciiT 0-70 mm-mde)  k-1,22 saS. sisqiT 17sm SemdgomSi misi satkepniT Semkvriveba.</t>
  </si>
  <si>
    <t>qviSa xreSovani sagebi baliSis mowyoba Raris qveS sisqiT 10sm. K=1.22</t>
  </si>
  <si>
    <t>monoliTuri rk/betonis Raris mowyoba B-22.5; F-100</t>
  </si>
  <si>
    <t>Semasworebeli fenis mowyoba qviSa xreSovani nareviT (fraqciiT 0-70 mm-mde) k-1,22 SemdgomSi misi satkepniT Semkvriveba.</t>
  </si>
  <si>
    <t xml:space="preserve">safaris   qveda   fenis mowyoba   msxvil - marcvlovani forovani  RorRovani a/betonis  cxeli  nareviT sisqiT   5  sm  marka  II </t>
  </si>
  <si>
    <r>
      <t>gaTixianebuli da teqnogenuri xreSovani savali nawilis zeda fenis, gverdulebze arsebuli  gruntisa da samSeneblo nagvis moxsna buldozeriT, Segroveba 30 m. datvirTva eqskavatoriT (V-0.25 m</t>
    </r>
    <r>
      <rPr>
        <b/>
        <vertAlign val="superscript"/>
        <sz val="10"/>
        <color indexed="8"/>
        <rFont val="AcadNusx"/>
        <family val="0"/>
      </rPr>
      <t xml:space="preserve">3) </t>
    </r>
    <r>
      <rPr>
        <b/>
        <sz val="10"/>
        <color indexed="8"/>
        <rFont val="AcadNusx"/>
        <family val="0"/>
      </rPr>
      <t xml:space="preserve">a.TviTmclelebze da gatana nayarSi </t>
    </r>
  </si>
  <si>
    <r>
      <t>m</t>
    </r>
    <r>
      <rPr>
        <b/>
        <vertAlign val="superscript"/>
        <sz val="10"/>
        <rFont val="AcadNusx"/>
        <family val="0"/>
      </rPr>
      <t>3</t>
    </r>
  </si>
  <si>
    <r>
      <t>gruntovani kiuvetebis amowmenda eqskavatoriT (V-0.25 m</t>
    </r>
    <r>
      <rPr>
        <b/>
        <vertAlign val="superscript"/>
        <sz val="10"/>
        <color indexed="8"/>
        <rFont val="AcadNusx"/>
        <family val="0"/>
      </rPr>
      <t xml:space="preserve">3) </t>
    </r>
    <r>
      <rPr>
        <b/>
        <sz val="10"/>
        <color indexed="8"/>
        <rFont val="AcadNusx"/>
        <family val="0"/>
      </rPr>
      <t>a.TviTmclelebze da gatana nayarSi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</si>
  <si>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</si>
  <si>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 xml:space="preserve">grZivi da ganivi mikroprofilis gasworeba da savali nawilis calkeuli Cavardnili adgilebis da ormoebis Sevseba qviSa xreSovani nareviT (fraqciiT 0-70 mm-mde) </t>
    </r>
    <r>
      <rPr>
        <b/>
        <sz val="10"/>
        <color indexed="8"/>
        <rFont val="AcadNusx"/>
        <family val="0"/>
      </rPr>
      <t>k-1,22 SemdgomSi misi satkepniT Semkvriveba. (zidva 5km-dan)</t>
    </r>
  </si>
  <si>
    <r>
      <t>safuZvlis mowyoba fraqciuli RorRiT (0-40) mm.KsisqiT-10 sm. (</t>
    </r>
    <r>
      <rPr>
        <b/>
        <sz val="10"/>
        <color indexed="8"/>
        <rFont val="AcadNusx"/>
        <family val="0"/>
      </rPr>
      <t>ГОСТ 25607-83) k-1,26 SemdgomSi misi satkepniT Semkvriveba. (zidva 8km-dan)</t>
    </r>
  </si>
  <si>
    <r>
      <t>safaris zeda fenis mowyoba wvrilmarcvlovani mkvrivi RorRovani a/betonis cxeli nareviT tipi “</t>
    </r>
    <r>
      <rPr>
        <b/>
        <sz val="10"/>
        <color indexed="8"/>
        <rFont val="AcadNusx"/>
        <family val="0"/>
      </rPr>
      <t>Б” marka II sisqiT 4 sm</t>
    </r>
  </si>
  <si>
    <r>
      <t>qvabulis damuSaveba eqskavatoriT V-0.25 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 xml:space="preserve"> gverdze gadayriT</t>
    </r>
  </si>
  <si>
    <r>
      <t>zedmeti gruntis datvirTva eqskvatoriT V-0.25 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 xml:space="preserve"> a/TviTmclelebze da gatana nayarSi</t>
    </r>
  </si>
  <si>
    <r>
      <t>safuZvlis mowyoba fraqciuli RorRiT (0-40) mm.KsisqiT-7 sm. (</t>
    </r>
    <r>
      <rPr>
        <b/>
        <sz val="10"/>
        <color indexed="8"/>
        <rFont val="AcadNusx"/>
        <family val="0"/>
      </rPr>
      <t>ГОСТ 25607-83) k-1,26 SemdgomSi misi satkepniT Semkvriveba. (zidva 8km-dan)</t>
    </r>
  </si>
  <si>
    <r>
      <t>safaris mowyoba wvrilmarcvlovani mkvrivi RorRovani a/betonis cxeli nareviT tipi “</t>
    </r>
    <r>
      <rPr>
        <b/>
        <sz val="10"/>
        <color indexed="8"/>
        <rFont val="AcadNusx"/>
        <family val="0"/>
      </rPr>
      <t>Б” marka II sisqiT 4 sm</t>
    </r>
  </si>
  <si>
    <t xml:space="preserve">პრეტენდენტი </t>
  </si>
  <si>
    <t>ხელმოწერა და ბეჭედი</t>
  </si>
</sst>
</file>

<file path=xl/styles.xml><?xml version="1.0" encoding="utf-8"?>
<styleSheet xmlns="http://schemas.openxmlformats.org/spreadsheetml/2006/main">
  <numFmts count="5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ლ.&quot;;\-#,##0\ &quot;ლ.&quot;"/>
    <numFmt numFmtId="173" formatCode="#,##0\ &quot;ლ.&quot;;[Red]\-#,##0\ &quot;ლ.&quot;"/>
    <numFmt numFmtId="174" formatCode="#,##0.00\ &quot;ლ.&quot;;\-#,##0.00\ &quot;ლ.&quot;"/>
    <numFmt numFmtId="175" formatCode="#,##0.00\ &quot;ლ.&quot;;[Red]\-#,##0.00\ &quot;ლ.&quot;"/>
    <numFmt numFmtId="176" formatCode="_-* #,##0\ &quot;ლ.&quot;_-;\-* #,##0\ &quot;ლ.&quot;_-;_-* &quot;-&quot;\ &quot;ლ.&quot;_-;_-@_-"/>
    <numFmt numFmtId="177" formatCode="_-* #,##0\ _ლ_._-;\-* #,##0\ _ლ_._-;_-* &quot;-&quot;\ _ლ_._-;_-@_-"/>
    <numFmt numFmtId="178" formatCode="_-* #,##0.00\ &quot;ლ.&quot;_-;\-* #,##0.00\ &quot;ლ.&quot;_-;_-* &quot;-&quot;??\ &quot;ლ.&quot;_-;_-@_-"/>
    <numFmt numFmtId="179" formatCode="_-* #,##0.00\ _ლ_._-;\-* #,##0.00\ _ლ_._-;_-* &quot;-&quot;??\ _ლ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#.00;[Red]\-#,###.00;\-\ ;\ \-\ "/>
    <numFmt numFmtId="201" formatCode="#,###.000;[Red]\-#,###.000;\-\ ;\ \-\ "/>
    <numFmt numFmtId="202" formatCode="#,###.0;[Red]\-#,###.0;\-\ ;\ \-\ "/>
    <numFmt numFmtId="203" formatCode="#,###;[Red]\-#,###;\-\ ;\ \-\ "/>
    <numFmt numFmtId="204" formatCode="0.000"/>
    <numFmt numFmtId="205" formatCode="0.0000"/>
    <numFmt numFmtId="206" formatCode="0.0000000"/>
    <numFmt numFmtId="207" formatCode="0.000000"/>
    <numFmt numFmtId="208" formatCode="0.00000"/>
    <numFmt numFmtId="209" formatCode="0.0"/>
    <numFmt numFmtId="210" formatCode="[$-409]dddd\,\ mmmm\ dd\,\ yyyy"/>
    <numFmt numFmtId="211" formatCode="#,###.0000;[Red]\-#,###.0000;\-\ ;\ \-\ "/>
    <numFmt numFmtId="212" formatCode="[$-437]yyyy\ &quot;წლის&quot;\ dd\ mm\,\ dddd"/>
    <numFmt numFmtId="213" formatCode="0.0%"/>
  </numFmts>
  <fonts count="50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AcadNusx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sz val="11"/>
      <name val="AcadNusx"/>
      <family val="0"/>
    </font>
    <font>
      <b/>
      <sz val="12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8"/>
      <name val="Tahoma"/>
      <family val="2"/>
    </font>
    <font>
      <sz val="11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0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57" applyFont="1" applyAlignment="1">
      <alignment horizontal="left"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0" fontId="5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horizontal="left" vertical="center"/>
      <protection/>
    </xf>
    <xf numFmtId="49" fontId="5" fillId="0" borderId="0" xfId="57" applyNumberFormat="1" applyFont="1" applyFill="1" applyBorder="1" applyAlignment="1">
      <alignment horizontal="left" vertical="center" wrapText="1"/>
      <protection/>
    </xf>
    <xf numFmtId="0" fontId="5" fillId="0" borderId="0" xfId="57" applyFont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left" vertical="center"/>
      <protection/>
    </xf>
    <xf numFmtId="49" fontId="5" fillId="0" borderId="11" xfId="57" applyNumberFormat="1" applyFont="1" applyFill="1" applyBorder="1" applyAlignment="1">
      <alignment horizontal="left" vertical="center" wrapText="1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4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Alignment="1">
      <alignment horizontal="center" vertical="center"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49" fontId="4" fillId="0" borderId="13" xfId="57" applyNumberFormat="1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5" fillId="0" borderId="13" xfId="57" applyFont="1" applyFill="1" applyBorder="1" applyAlignment="1">
      <alignment horizontal="left" vertical="center" wrapText="1"/>
      <protection/>
    </xf>
    <xf numFmtId="49" fontId="5" fillId="0" borderId="13" xfId="57" applyNumberFormat="1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00" fontId="6" fillId="0" borderId="13" xfId="57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04" fontId="5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204" fontId="4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49" fontId="5" fillId="0" borderId="18" xfId="57" applyNumberFormat="1" applyFont="1" applyFill="1" applyBorder="1" applyAlignment="1">
      <alignment horizontal="left" vertical="center" wrapText="1"/>
      <protection/>
    </xf>
    <xf numFmtId="0" fontId="4" fillId="0" borderId="18" xfId="57" applyFont="1" applyFill="1" applyBorder="1" applyAlignment="1">
      <alignment horizontal="left" vertical="center" wrapText="1"/>
      <protection/>
    </xf>
    <xf numFmtId="200" fontId="6" fillId="0" borderId="18" xfId="57" applyNumberFormat="1" applyFont="1" applyFill="1" applyBorder="1" applyAlignment="1">
      <alignment horizontal="center" vertical="center" wrapText="1"/>
      <protection/>
    </xf>
    <xf numFmtId="0" fontId="5" fillId="32" borderId="19" xfId="57" applyFont="1" applyFill="1" applyBorder="1" applyAlignment="1">
      <alignment horizontal="left" vertical="center" wrapText="1"/>
      <protection/>
    </xf>
    <xf numFmtId="49" fontId="5" fillId="32" borderId="11" xfId="57" applyNumberFormat="1" applyFont="1" applyFill="1" applyBorder="1" applyAlignment="1">
      <alignment horizontal="left" vertical="center" wrapText="1"/>
      <protection/>
    </xf>
    <xf numFmtId="0" fontId="4" fillId="32" borderId="11" xfId="57" applyFont="1" applyFill="1" applyBorder="1" applyAlignment="1">
      <alignment horizontal="left" vertical="center" wrapText="1"/>
      <protection/>
    </xf>
    <xf numFmtId="0" fontId="4" fillId="32" borderId="11" xfId="57" applyFont="1" applyFill="1" applyBorder="1" applyAlignment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2" fontId="4" fillId="32" borderId="2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8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2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5" fillId="0" borderId="17" xfId="57" applyFont="1" applyFill="1" applyBorder="1" applyAlignment="1">
      <alignment horizontal="center" vertical="center" wrapText="1"/>
      <protection/>
    </xf>
    <xf numFmtId="49" fontId="5" fillId="33" borderId="18" xfId="0" applyNumberFormat="1" applyFont="1" applyFill="1" applyBorder="1" applyAlignment="1">
      <alignment horizontal="left" vertical="center" wrapText="1"/>
    </xf>
    <xf numFmtId="0" fontId="4" fillId="33" borderId="18" xfId="57" applyFont="1" applyFill="1" applyBorder="1" applyAlignment="1">
      <alignment horizontal="left" vertical="center" wrapText="1"/>
      <protection/>
    </xf>
    <xf numFmtId="0" fontId="4" fillId="33" borderId="18" xfId="0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49" fontId="4" fillId="33" borderId="11" xfId="57" applyNumberFormat="1" applyFont="1" applyFill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5" fillId="0" borderId="25" xfId="57" applyFont="1" applyFill="1" applyBorder="1" applyAlignment="1">
      <alignment horizontal="left" vertical="center" wrapText="1"/>
      <protection/>
    </xf>
    <xf numFmtId="200" fontId="6" fillId="0" borderId="26" xfId="57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left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6" xfId="57" applyFont="1" applyFill="1" applyBorder="1" applyAlignment="1">
      <alignment horizontal="center" vertical="center" wrapText="1"/>
      <protection/>
    </xf>
    <xf numFmtId="0" fontId="5" fillId="0" borderId="21" xfId="57" applyFont="1" applyFill="1" applyBorder="1" applyAlignment="1">
      <alignment horizontal="left" vertical="center" wrapText="1"/>
      <protection/>
    </xf>
    <xf numFmtId="0" fontId="5" fillId="0" borderId="22" xfId="57" applyFont="1" applyFill="1" applyBorder="1" applyAlignment="1">
      <alignment horizontal="center" vertical="center" wrapText="1"/>
      <protection/>
    </xf>
    <xf numFmtId="2" fontId="4" fillId="0" borderId="26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49" fontId="4" fillId="0" borderId="16" xfId="57" applyNumberFormat="1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57" applyFont="1" applyFill="1" applyBorder="1" applyAlignment="1">
      <alignment horizontal="center" vertical="center" wrapText="1"/>
      <protection/>
    </xf>
    <xf numFmtId="1" fontId="4" fillId="33" borderId="26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5" fillId="0" borderId="0" xfId="57" applyNumberFormat="1" applyFont="1" applyFill="1" applyBorder="1" applyAlignment="1">
      <alignment horizontal="center" vertical="center"/>
      <protection/>
    </xf>
    <xf numFmtId="9" fontId="5" fillId="0" borderId="13" xfId="0" applyNumberFormat="1" applyFont="1" applyFill="1" applyBorder="1" applyAlignment="1">
      <alignment horizontal="center" vertical="center" wrapText="1"/>
    </xf>
    <xf numFmtId="9" fontId="4" fillId="0" borderId="13" xfId="57" applyNumberFormat="1" applyFont="1" applyFill="1" applyBorder="1" applyAlignment="1">
      <alignment horizontal="center" vertical="center" wrapText="1"/>
      <protection/>
    </xf>
    <xf numFmtId="49" fontId="4" fillId="0" borderId="0" xfId="59" applyNumberFormat="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30" xfId="57" applyFont="1" applyFill="1" applyBorder="1" applyAlignment="1">
      <alignment horizontal="center" vertical="center" wrapText="1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49" fontId="11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4" fillId="0" borderId="32" xfId="57" applyFont="1" applyFill="1" applyBorder="1" applyAlignment="1">
      <alignment horizontal="left" vertical="center" wrapText="1"/>
      <protection/>
    </xf>
    <xf numFmtId="0" fontId="5" fillId="0" borderId="33" xfId="57" applyFont="1" applyFill="1" applyBorder="1" applyAlignment="1">
      <alignment horizontal="left" vertical="center"/>
      <protection/>
    </xf>
    <xf numFmtId="49" fontId="4" fillId="0" borderId="14" xfId="57" applyNumberFormat="1" applyFont="1" applyFill="1" applyBorder="1" applyAlignment="1">
      <alignment horizontal="left" vertical="center" wrapText="1"/>
      <protection/>
    </xf>
    <xf numFmtId="49" fontId="5" fillId="0" borderId="15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/>
      <protection/>
    </xf>
    <xf numFmtId="0" fontId="4" fillId="0" borderId="34" xfId="57" applyFont="1" applyFill="1" applyBorder="1" applyAlignment="1">
      <alignment horizontal="center" vertical="center" wrapText="1"/>
      <protection/>
    </xf>
    <xf numFmtId="0" fontId="4" fillId="0" borderId="35" xfId="57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9" fillId="0" borderId="37" xfId="0" applyFont="1" applyBorder="1" applyAlignment="1">
      <alignment horizontal="center"/>
    </xf>
    <xf numFmtId="9" fontId="5" fillId="34" borderId="13" xfId="0" applyNumberFormat="1" applyFont="1" applyFill="1" applyBorder="1" applyAlignment="1">
      <alignment horizontal="center" vertical="center" wrapText="1"/>
    </xf>
    <xf numFmtId="9" fontId="30" fillId="34" borderId="13" xfId="0" applyNumberFormat="1" applyFont="1" applyFill="1" applyBorder="1" applyAlignment="1">
      <alignment horizontal="center" vertical="center" wrapText="1"/>
    </xf>
    <xf numFmtId="9" fontId="10" fillId="0" borderId="13" xfId="57" applyNumberFormat="1" applyFont="1" applyFill="1" applyBorder="1" applyAlignment="1">
      <alignment horizontal="center" vertical="center" wrapText="1"/>
      <protection/>
    </xf>
    <xf numFmtId="9" fontId="30" fillId="34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tabSelected="1" zoomScaleSheetLayoutView="90" zoomScalePageLayoutView="0" workbookViewId="0" topLeftCell="A239">
      <selection activeCell="Q244" sqref="Q244"/>
    </sheetView>
  </sheetViews>
  <sheetFormatPr defaultColWidth="9.140625" defaultRowHeight="15"/>
  <cols>
    <col min="1" max="1" width="4.140625" style="2" bestFit="1" customWidth="1"/>
    <col min="2" max="2" width="7.7109375" style="5" customWidth="1"/>
    <col min="3" max="3" width="42.28125" style="3" customWidth="1"/>
    <col min="4" max="4" width="8.00390625" style="29" customWidth="1"/>
    <col min="5" max="5" width="7.421875" style="29" bestFit="1" customWidth="1"/>
    <col min="6" max="6" width="9.140625" style="15" customWidth="1"/>
    <col min="7" max="7" width="8.57421875" style="15" customWidth="1"/>
    <col min="8" max="8" width="9.421875" style="15" bestFit="1" customWidth="1"/>
    <col min="9" max="9" width="8.421875" style="15" customWidth="1"/>
    <col min="10" max="10" width="9.140625" style="15" customWidth="1"/>
    <col min="11" max="11" width="8.8515625" style="15" customWidth="1"/>
    <col min="12" max="12" width="10.8515625" style="15" customWidth="1"/>
    <col min="13" max="13" width="9.57421875" style="15" bestFit="1" customWidth="1"/>
    <col min="14" max="16384" width="9.140625" style="1" customWidth="1"/>
  </cols>
  <sheetData>
    <row r="1" spans="12:13" ht="13.5">
      <c r="L1" s="114"/>
      <c r="M1" s="114"/>
    </row>
    <row r="2" spans="1:13" ht="25.5" customHeight="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7" customHeight="1" thickBot="1">
      <c r="A3" s="116" t="s">
        <v>54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ht="14.25" hidden="1" thickBot="1">
      <c r="J4" s="30"/>
    </row>
    <row r="5" spans="1:14" ht="15.75" customHeight="1">
      <c r="A5" s="118" t="s">
        <v>0</v>
      </c>
      <c r="B5" s="120" t="s">
        <v>3</v>
      </c>
      <c r="C5" s="122" t="s">
        <v>4</v>
      </c>
      <c r="D5" s="124" t="s">
        <v>70</v>
      </c>
      <c r="E5" s="31"/>
      <c r="F5" s="124" t="s">
        <v>5</v>
      </c>
      <c r="G5" s="126" t="s">
        <v>6</v>
      </c>
      <c r="H5" s="127"/>
      <c r="I5" s="126" t="s">
        <v>7</v>
      </c>
      <c r="J5" s="127"/>
      <c r="K5" s="126" t="s">
        <v>8</v>
      </c>
      <c r="L5" s="127"/>
      <c r="M5" s="112" t="s">
        <v>9</v>
      </c>
      <c r="N5" s="6"/>
    </row>
    <row r="6" spans="1:13" ht="30" customHeight="1" thickBot="1">
      <c r="A6" s="119"/>
      <c r="B6" s="121"/>
      <c r="C6" s="123"/>
      <c r="D6" s="125"/>
      <c r="E6" s="32"/>
      <c r="F6" s="125"/>
      <c r="G6" s="33" t="s">
        <v>10</v>
      </c>
      <c r="H6" s="34" t="s">
        <v>9</v>
      </c>
      <c r="I6" s="33" t="s">
        <v>10</v>
      </c>
      <c r="J6" s="34" t="s">
        <v>9</v>
      </c>
      <c r="K6" s="33" t="s">
        <v>10</v>
      </c>
      <c r="L6" s="34" t="s">
        <v>9</v>
      </c>
      <c r="M6" s="113"/>
    </row>
    <row r="7" spans="1:13" ht="15.75" customHeight="1" thickBot="1">
      <c r="A7" s="7">
        <v>1</v>
      </c>
      <c r="B7" s="8">
        <v>2</v>
      </c>
      <c r="C7" s="9">
        <v>3</v>
      </c>
      <c r="D7" s="35">
        <v>4</v>
      </c>
      <c r="E7" s="35"/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77">
        <v>12</v>
      </c>
    </row>
    <row r="8" spans="1:13" ht="33" customHeight="1">
      <c r="A8" s="78" t="s">
        <v>101</v>
      </c>
      <c r="B8" s="17"/>
      <c r="C8" s="16" t="s">
        <v>20</v>
      </c>
      <c r="D8" s="36"/>
      <c r="E8" s="36"/>
      <c r="F8" s="36"/>
      <c r="G8" s="36"/>
      <c r="H8" s="36"/>
      <c r="I8" s="36"/>
      <c r="J8" s="36"/>
      <c r="K8" s="36"/>
      <c r="L8" s="36"/>
      <c r="M8" s="79"/>
    </row>
    <row r="9" spans="1:13" s="10" customFormat="1" ht="52.5" customHeight="1" thickBot="1">
      <c r="A9" s="80">
        <v>1</v>
      </c>
      <c r="B9" s="47" t="s">
        <v>26</v>
      </c>
      <c r="C9" s="47" t="s">
        <v>27</v>
      </c>
      <c r="D9" s="48" t="s">
        <v>28</v>
      </c>
      <c r="E9" s="48"/>
      <c r="F9" s="49">
        <v>0.82</v>
      </c>
      <c r="G9" s="50"/>
      <c r="H9" s="50"/>
      <c r="I9" s="50"/>
      <c r="J9" s="50">
        <f>F9*I9</f>
        <v>0</v>
      </c>
      <c r="K9" s="50"/>
      <c r="L9" s="50">
        <f>F9*K9</f>
        <v>0</v>
      </c>
      <c r="M9" s="81">
        <f>H9+J9+L9</f>
        <v>0</v>
      </c>
    </row>
    <row r="10" spans="1:13" ht="21" customHeight="1" thickBot="1">
      <c r="A10" s="54" t="s">
        <v>101</v>
      </c>
      <c r="B10" s="55"/>
      <c r="C10" s="56" t="s">
        <v>16</v>
      </c>
      <c r="D10" s="57" t="s">
        <v>11</v>
      </c>
      <c r="E10" s="57"/>
      <c r="F10" s="57"/>
      <c r="G10" s="57"/>
      <c r="H10" s="58"/>
      <c r="I10" s="58"/>
      <c r="J10" s="58">
        <f>SUM(J9)</f>
        <v>0</v>
      </c>
      <c r="K10" s="58"/>
      <c r="L10" s="58">
        <f>SUM(L9)</f>
        <v>0</v>
      </c>
      <c r="M10" s="59">
        <f>H10+J10+L10</f>
        <v>0</v>
      </c>
    </row>
    <row r="11" spans="1:13" ht="22.5" customHeight="1">
      <c r="A11" s="82" t="s">
        <v>101</v>
      </c>
      <c r="B11" s="51"/>
      <c r="C11" s="52" t="s">
        <v>21</v>
      </c>
      <c r="D11" s="53"/>
      <c r="E11" s="53"/>
      <c r="F11" s="53"/>
      <c r="G11" s="53"/>
      <c r="H11" s="53"/>
      <c r="I11" s="53"/>
      <c r="J11" s="53"/>
      <c r="K11" s="53"/>
      <c r="L11" s="53"/>
      <c r="M11" s="83"/>
    </row>
    <row r="12" spans="1:13" s="10" customFormat="1" ht="102.75" customHeight="1">
      <c r="A12" s="84">
        <v>1</v>
      </c>
      <c r="B12" s="19" t="s">
        <v>107</v>
      </c>
      <c r="C12" s="18" t="s">
        <v>115</v>
      </c>
      <c r="D12" s="40" t="s">
        <v>116</v>
      </c>
      <c r="E12" s="40"/>
      <c r="F12" s="38">
        <v>198</v>
      </c>
      <c r="G12" s="38"/>
      <c r="H12" s="38"/>
      <c r="I12" s="38"/>
      <c r="J12" s="38">
        <f>J13</f>
        <v>0</v>
      </c>
      <c r="K12" s="38"/>
      <c r="L12" s="38">
        <f>L14+L15+L16</f>
        <v>0</v>
      </c>
      <c r="M12" s="85">
        <f>J12+L12</f>
        <v>0</v>
      </c>
    </row>
    <row r="13" spans="1:13" ht="16.5" customHeight="1">
      <c r="A13" s="86"/>
      <c r="B13" s="23"/>
      <c r="C13" s="22" t="s">
        <v>65</v>
      </c>
      <c r="D13" s="41" t="s">
        <v>67</v>
      </c>
      <c r="E13" s="41">
        <f>13.6/1000+10.3*2/1000+145.4/1000</f>
        <v>0.1796</v>
      </c>
      <c r="F13" s="42">
        <f>E13*F12</f>
        <v>35.5608</v>
      </c>
      <c r="G13" s="42"/>
      <c r="H13" s="42"/>
      <c r="I13" s="42"/>
      <c r="J13" s="42">
        <f>I13*F13</f>
        <v>0</v>
      </c>
      <c r="K13" s="42"/>
      <c r="L13" s="42"/>
      <c r="M13" s="87">
        <f>L13+J13+H13</f>
        <v>0</v>
      </c>
    </row>
    <row r="14" spans="1:13" ht="27" customHeight="1">
      <c r="A14" s="86"/>
      <c r="B14" s="23"/>
      <c r="C14" s="20" t="s">
        <v>71</v>
      </c>
      <c r="D14" s="43" t="s">
        <v>69</v>
      </c>
      <c r="E14" s="41">
        <f>86.2/1000</f>
        <v>0.0862</v>
      </c>
      <c r="F14" s="42">
        <f>E14*F12</f>
        <v>17.0676</v>
      </c>
      <c r="G14" s="42"/>
      <c r="H14" s="42"/>
      <c r="I14" s="42"/>
      <c r="J14" s="42"/>
      <c r="K14" s="42"/>
      <c r="L14" s="42">
        <f>K14*F14</f>
        <v>0</v>
      </c>
      <c r="M14" s="87">
        <f>L14+J14+H14</f>
        <v>0</v>
      </c>
    </row>
    <row r="15" spans="1:13" ht="13.5" customHeight="1">
      <c r="A15" s="86"/>
      <c r="B15" s="23"/>
      <c r="C15" s="20" t="s">
        <v>68</v>
      </c>
      <c r="D15" s="43" t="s">
        <v>69</v>
      </c>
      <c r="E15" s="41">
        <f>13.6/1000+10.3*2/1000+21.6/1000</f>
        <v>0.0558</v>
      </c>
      <c r="F15" s="42">
        <f>E15*F12</f>
        <v>11.0484</v>
      </c>
      <c r="G15" s="42"/>
      <c r="H15" s="42"/>
      <c r="I15" s="42"/>
      <c r="J15" s="42"/>
      <c r="K15" s="42"/>
      <c r="L15" s="42">
        <f>K15*F15</f>
        <v>0</v>
      </c>
      <c r="M15" s="87">
        <f>L15+J15+H15</f>
        <v>0</v>
      </c>
    </row>
    <row r="16" spans="1:13" ht="16.5" customHeight="1">
      <c r="A16" s="86"/>
      <c r="B16" s="23"/>
      <c r="C16" s="22" t="s">
        <v>66</v>
      </c>
      <c r="D16" s="41" t="s">
        <v>11</v>
      </c>
      <c r="E16" s="41">
        <f>71.94/1000+54.49*2/1000+468.54/1000</f>
        <v>0.64946</v>
      </c>
      <c r="F16" s="42">
        <f>E16*F12</f>
        <v>128.59308000000001</v>
      </c>
      <c r="G16" s="42"/>
      <c r="H16" s="42"/>
      <c r="I16" s="42"/>
      <c r="J16" s="42"/>
      <c r="K16" s="42"/>
      <c r="L16" s="42">
        <f>K16*F16</f>
        <v>0</v>
      </c>
      <c r="M16" s="87">
        <f>L16+J16+H16</f>
        <v>0</v>
      </c>
    </row>
    <row r="17" spans="1:13" s="10" customFormat="1" ht="39.75" customHeight="1">
      <c r="A17" s="84">
        <v>2</v>
      </c>
      <c r="B17" s="19" t="s">
        <v>35</v>
      </c>
      <c r="C17" s="18" t="s">
        <v>36</v>
      </c>
      <c r="D17" s="40" t="s">
        <v>116</v>
      </c>
      <c r="E17" s="40"/>
      <c r="F17" s="38">
        <v>12</v>
      </c>
      <c r="G17" s="38"/>
      <c r="H17" s="38"/>
      <c r="I17" s="38"/>
      <c r="J17" s="38">
        <f>J18</f>
        <v>0</v>
      </c>
      <c r="K17" s="38"/>
      <c r="L17" s="38"/>
      <c r="M17" s="85">
        <f>J17</f>
        <v>0</v>
      </c>
    </row>
    <row r="18" spans="1:13" ht="19.5" customHeight="1">
      <c r="A18" s="86"/>
      <c r="B18" s="23"/>
      <c r="C18" s="22" t="s">
        <v>65</v>
      </c>
      <c r="D18" s="41" t="s">
        <v>67</v>
      </c>
      <c r="E18" s="41">
        <f>248/100+121/100</f>
        <v>3.69</v>
      </c>
      <c r="F18" s="42">
        <f>E18*F17</f>
        <v>44.28</v>
      </c>
      <c r="G18" s="42"/>
      <c r="H18" s="42"/>
      <c r="I18" s="42"/>
      <c r="J18" s="42">
        <f>I18*F18</f>
        <v>0</v>
      </c>
      <c r="K18" s="42"/>
      <c r="L18" s="42"/>
      <c r="M18" s="87">
        <f>L18+J18+H18</f>
        <v>0</v>
      </c>
    </row>
    <row r="19" spans="1:13" s="10" customFormat="1" ht="49.5" customHeight="1">
      <c r="A19" s="84">
        <v>3</v>
      </c>
      <c r="B19" s="19" t="s">
        <v>43</v>
      </c>
      <c r="C19" s="18" t="s">
        <v>117</v>
      </c>
      <c r="D19" s="40" t="s">
        <v>116</v>
      </c>
      <c r="E19" s="40"/>
      <c r="F19" s="38">
        <v>47</v>
      </c>
      <c r="G19" s="38"/>
      <c r="H19" s="38"/>
      <c r="I19" s="38"/>
      <c r="J19" s="38">
        <f>J20</f>
        <v>0</v>
      </c>
      <c r="K19" s="38"/>
      <c r="L19" s="38">
        <f>L21+L22+L23</f>
        <v>0</v>
      </c>
      <c r="M19" s="85">
        <f>J19+L19</f>
        <v>0</v>
      </c>
    </row>
    <row r="20" spans="1:13" ht="13.5" customHeight="1">
      <c r="A20" s="86"/>
      <c r="B20" s="23"/>
      <c r="C20" s="22" t="s">
        <v>65</v>
      </c>
      <c r="D20" s="41" t="s">
        <v>67</v>
      </c>
      <c r="E20" s="41">
        <f>145.4/1000</f>
        <v>0.1454</v>
      </c>
      <c r="F20" s="42">
        <f>E20*F19</f>
        <v>6.8338</v>
      </c>
      <c r="G20" s="42"/>
      <c r="H20" s="42"/>
      <c r="I20" s="42"/>
      <c r="J20" s="42">
        <f>I20*F20</f>
        <v>0</v>
      </c>
      <c r="K20" s="42"/>
      <c r="L20" s="42"/>
      <c r="M20" s="87">
        <f>L20+J20+H20</f>
        <v>0</v>
      </c>
    </row>
    <row r="21" spans="1:13" ht="27" customHeight="1">
      <c r="A21" s="86"/>
      <c r="B21" s="23"/>
      <c r="C21" s="20" t="s">
        <v>71</v>
      </c>
      <c r="D21" s="43" t="s">
        <v>69</v>
      </c>
      <c r="E21" s="41">
        <f>86.2/1000</f>
        <v>0.0862</v>
      </c>
      <c r="F21" s="42">
        <f>E21*F19</f>
        <v>4.0514</v>
      </c>
      <c r="G21" s="42"/>
      <c r="H21" s="42"/>
      <c r="I21" s="42"/>
      <c r="J21" s="42"/>
      <c r="K21" s="42"/>
      <c r="L21" s="42">
        <f>K21*F21</f>
        <v>0</v>
      </c>
      <c r="M21" s="87">
        <f>L21+J21+H21</f>
        <v>0</v>
      </c>
    </row>
    <row r="22" spans="1:13" ht="13.5" customHeight="1">
      <c r="A22" s="86"/>
      <c r="B22" s="23"/>
      <c r="C22" s="20" t="s">
        <v>68</v>
      </c>
      <c r="D22" s="43" t="s">
        <v>69</v>
      </c>
      <c r="E22" s="41">
        <f>21.6/1000</f>
        <v>0.0216</v>
      </c>
      <c r="F22" s="42">
        <f>E22*F19</f>
        <v>1.0152</v>
      </c>
      <c r="G22" s="42"/>
      <c r="H22" s="42"/>
      <c r="I22" s="42"/>
      <c r="J22" s="42"/>
      <c r="K22" s="42"/>
      <c r="L22" s="42">
        <f>K22*F22</f>
        <v>0</v>
      </c>
      <c r="M22" s="87">
        <f>L22+J22+H22</f>
        <v>0</v>
      </c>
    </row>
    <row r="23" spans="1:13" ht="13.5" customHeight="1">
      <c r="A23" s="86"/>
      <c r="B23" s="23"/>
      <c r="C23" s="22" t="s">
        <v>66</v>
      </c>
      <c r="D23" s="41" t="s">
        <v>11</v>
      </c>
      <c r="E23" s="41">
        <f>468.54/1000</f>
        <v>0.46854</v>
      </c>
      <c r="F23" s="42">
        <f>E23*F19</f>
        <v>22.02138</v>
      </c>
      <c r="G23" s="42"/>
      <c r="H23" s="42"/>
      <c r="I23" s="42"/>
      <c r="J23" s="42"/>
      <c r="K23" s="42"/>
      <c r="L23" s="42">
        <f>K23*F23</f>
        <v>0</v>
      </c>
      <c r="M23" s="87">
        <f>L23+J23+H23</f>
        <v>0</v>
      </c>
    </row>
    <row r="24" spans="1:13" s="10" customFormat="1" ht="33" customHeight="1">
      <c r="A24" s="84">
        <v>4</v>
      </c>
      <c r="B24" s="19" t="s">
        <v>39</v>
      </c>
      <c r="C24" s="18" t="s">
        <v>45</v>
      </c>
      <c r="D24" s="40" t="s">
        <v>116</v>
      </c>
      <c r="E24" s="40"/>
      <c r="F24" s="38">
        <v>5</v>
      </c>
      <c r="G24" s="38"/>
      <c r="H24" s="38"/>
      <c r="I24" s="38"/>
      <c r="J24" s="38">
        <f>J25</f>
        <v>0</v>
      </c>
      <c r="K24" s="38"/>
      <c r="L24" s="38"/>
      <c r="M24" s="85">
        <f>J24</f>
        <v>0</v>
      </c>
    </row>
    <row r="25" spans="1:13" ht="21" customHeight="1">
      <c r="A25" s="86"/>
      <c r="B25" s="23"/>
      <c r="C25" s="22" t="s">
        <v>65</v>
      </c>
      <c r="D25" s="41" t="s">
        <v>67</v>
      </c>
      <c r="E25" s="41">
        <f>248/100</f>
        <v>2.48</v>
      </c>
      <c r="F25" s="42">
        <f>E25*F24</f>
        <v>12.4</v>
      </c>
      <c r="G25" s="42"/>
      <c r="H25" s="42"/>
      <c r="I25" s="42"/>
      <c r="J25" s="42">
        <f>I25*F25</f>
        <v>0</v>
      </c>
      <c r="K25" s="42"/>
      <c r="L25" s="42"/>
      <c r="M25" s="87">
        <f>L25+J25+H25</f>
        <v>0</v>
      </c>
    </row>
    <row r="26" spans="1:13" s="10" customFormat="1" ht="21" customHeight="1">
      <c r="A26" s="84">
        <v>5</v>
      </c>
      <c r="B26" s="24" t="s">
        <v>102</v>
      </c>
      <c r="C26" s="18" t="s">
        <v>24</v>
      </c>
      <c r="D26" s="37" t="s">
        <v>118</v>
      </c>
      <c r="E26" s="37"/>
      <c r="F26" s="38">
        <v>5600</v>
      </c>
      <c r="G26" s="38"/>
      <c r="H26" s="38"/>
      <c r="I26" s="38"/>
      <c r="J26" s="38">
        <f>J27</f>
        <v>0</v>
      </c>
      <c r="K26" s="38"/>
      <c r="L26" s="38">
        <f>L28</f>
        <v>0</v>
      </c>
      <c r="M26" s="85">
        <f>L26+J26</f>
        <v>0</v>
      </c>
    </row>
    <row r="27" spans="1:13" ht="17.25" customHeight="1">
      <c r="A27" s="86"/>
      <c r="B27" s="23"/>
      <c r="C27" s="22" t="s">
        <v>65</v>
      </c>
      <c r="D27" s="43" t="s">
        <v>69</v>
      </c>
      <c r="E27" s="41">
        <f>7.4/1000</f>
        <v>0.0074</v>
      </c>
      <c r="F27" s="42">
        <f>E27*F26</f>
        <v>41.440000000000005</v>
      </c>
      <c r="G27" s="42"/>
      <c r="H27" s="42"/>
      <c r="I27" s="42"/>
      <c r="J27" s="42">
        <f>I27*F27</f>
        <v>0</v>
      </c>
      <c r="K27" s="42"/>
      <c r="L27" s="42"/>
      <c r="M27" s="87">
        <f>L27+J27+H27</f>
        <v>0</v>
      </c>
    </row>
    <row r="28" spans="1:13" ht="17.25" customHeight="1" thickBot="1">
      <c r="A28" s="88"/>
      <c r="B28" s="61"/>
      <c r="C28" s="60" t="s">
        <v>103</v>
      </c>
      <c r="D28" s="62" t="s">
        <v>67</v>
      </c>
      <c r="E28" s="62">
        <f>26.8/1000</f>
        <v>0.0268</v>
      </c>
      <c r="F28" s="63">
        <f>E28*F26</f>
        <v>150.08</v>
      </c>
      <c r="G28" s="63"/>
      <c r="H28" s="63"/>
      <c r="I28" s="63"/>
      <c r="J28" s="63"/>
      <c r="K28" s="63"/>
      <c r="L28" s="63">
        <f>K28*F28</f>
        <v>0</v>
      </c>
      <c r="M28" s="89">
        <f>L28+J28+H28</f>
        <v>0</v>
      </c>
    </row>
    <row r="29" spans="1:13" ht="24.75" customHeight="1" thickBot="1">
      <c r="A29" s="54" t="s">
        <v>101</v>
      </c>
      <c r="B29" s="55"/>
      <c r="C29" s="56" t="s">
        <v>22</v>
      </c>
      <c r="D29" s="57" t="s">
        <v>11</v>
      </c>
      <c r="E29" s="57"/>
      <c r="F29" s="57"/>
      <c r="G29" s="57"/>
      <c r="H29" s="58">
        <f>SUM(H12:H28)</f>
        <v>0</v>
      </c>
      <c r="I29" s="58"/>
      <c r="J29" s="58">
        <f>J12+J17+J19+J24+J26</f>
        <v>0</v>
      </c>
      <c r="K29" s="58"/>
      <c r="L29" s="58">
        <f>L12+L17+L19+L24+L26</f>
        <v>0</v>
      </c>
      <c r="M29" s="59">
        <f>M12+M17+M19+M24+M26</f>
        <v>0</v>
      </c>
    </row>
    <row r="30" spans="1:13" ht="18" customHeight="1">
      <c r="A30" s="82" t="s">
        <v>101</v>
      </c>
      <c r="B30" s="51"/>
      <c r="C30" s="52" t="s">
        <v>15</v>
      </c>
      <c r="D30" s="64"/>
      <c r="E30" s="64"/>
      <c r="F30" s="64"/>
      <c r="G30" s="53"/>
      <c r="H30" s="53"/>
      <c r="I30" s="64"/>
      <c r="J30" s="64"/>
      <c r="K30" s="53"/>
      <c r="L30" s="53"/>
      <c r="M30" s="90"/>
    </row>
    <row r="31" spans="1:13" ht="20.25" customHeight="1">
      <c r="A31" s="91" t="s">
        <v>101</v>
      </c>
      <c r="B31" s="21"/>
      <c r="C31" s="16" t="s">
        <v>37</v>
      </c>
      <c r="D31" s="43"/>
      <c r="E31" s="43"/>
      <c r="F31" s="43"/>
      <c r="G31" s="39"/>
      <c r="H31" s="39"/>
      <c r="I31" s="43"/>
      <c r="J31" s="43"/>
      <c r="K31" s="39"/>
      <c r="L31" s="39"/>
      <c r="M31" s="92"/>
    </row>
    <row r="32" spans="1:13" s="10" customFormat="1" ht="98.25" customHeight="1">
      <c r="A32" s="128">
        <v>1</v>
      </c>
      <c r="B32" s="25" t="s">
        <v>30</v>
      </c>
      <c r="C32" s="18" t="s">
        <v>119</v>
      </c>
      <c r="D32" s="40" t="s">
        <v>116</v>
      </c>
      <c r="E32" s="40"/>
      <c r="F32" s="38">
        <v>290</v>
      </c>
      <c r="G32" s="38"/>
      <c r="H32" s="38">
        <f>H37+H38</f>
        <v>0</v>
      </c>
      <c r="I32" s="38"/>
      <c r="J32" s="38">
        <f>J33</f>
        <v>0</v>
      </c>
      <c r="K32" s="38"/>
      <c r="L32" s="38">
        <f>L34+L35+L36+L39</f>
        <v>0</v>
      </c>
      <c r="M32" s="85">
        <f>H32+J32+L32</f>
        <v>0</v>
      </c>
    </row>
    <row r="33" spans="1:13" ht="13.5" customHeight="1">
      <c r="A33" s="129"/>
      <c r="B33" s="23"/>
      <c r="C33" s="22" t="s">
        <v>65</v>
      </c>
      <c r="D33" s="41" t="s">
        <v>67</v>
      </c>
      <c r="E33" s="41">
        <f>18.5/100</f>
        <v>0.185</v>
      </c>
      <c r="F33" s="42">
        <f>E33*F32</f>
        <v>53.65</v>
      </c>
      <c r="G33" s="42"/>
      <c r="H33" s="42"/>
      <c r="I33" s="42"/>
      <c r="J33" s="42">
        <f>I33*F33</f>
        <v>0</v>
      </c>
      <c r="K33" s="42"/>
      <c r="L33" s="42"/>
      <c r="M33" s="87">
        <f aca="true" t="shared" si="0" ref="M33:M39">L33+J33+H33</f>
        <v>0</v>
      </c>
    </row>
    <row r="34" spans="1:13" ht="13.5" customHeight="1">
      <c r="A34" s="129"/>
      <c r="B34" s="23"/>
      <c r="C34" s="20" t="s">
        <v>78</v>
      </c>
      <c r="D34" s="43" t="s">
        <v>69</v>
      </c>
      <c r="E34" s="41">
        <f>1.55/100</f>
        <v>0.0155</v>
      </c>
      <c r="F34" s="42">
        <f>E34*F32</f>
        <v>4.495</v>
      </c>
      <c r="G34" s="42"/>
      <c r="H34" s="42"/>
      <c r="I34" s="42"/>
      <c r="J34" s="42"/>
      <c r="K34" s="42"/>
      <c r="L34" s="42">
        <f>K34*F34</f>
        <v>0</v>
      </c>
      <c r="M34" s="87">
        <f t="shared" si="0"/>
        <v>0</v>
      </c>
    </row>
    <row r="35" spans="1:13" ht="27" customHeight="1">
      <c r="A35" s="129"/>
      <c r="B35" s="23"/>
      <c r="C35" s="20" t="s">
        <v>72</v>
      </c>
      <c r="D35" s="43" t="s">
        <v>69</v>
      </c>
      <c r="E35" s="41">
        <f>1.64/100</f>
        <v>0.016399999999999998</v>
      </c>
      <c r="F35" s="42">
        <f>E35*F32</f>
        <v>4.755999999999999</v>
      </c>
      <c r="G35" s="42"/>
      <c r="H35" s="42"/>
      <c r="I35" s="42"/>
      <c r="J35" s="42"/>
      <c r="K35" s="42"/>
      <c r="L35" s="42">
        <f>K35*F35</f>
        <v>0</v>
      </c>
      <c r="M35" s="87">
        <f t="shared" si="0"/>
        <v>0</v>
      </c>
    </row>
    <row r="36" spans="1:13" ht="13.5" customHeight="1">
      <c r="A36" s="129"/>
      <c r="B36" s="23"/>
      <c r="C36" s="20" t="s">
        <v>73</v>
      </c>
      <c r="D36" s="43" t="s">
        <v>69</v>
      </c>
      <c r="E36" s="41">
        <f>0.91/100</f>
        <v>0.0091</v>
      </c>
      <c r="F36" s="42">
        <f>E36*F32</f>
        <v>2.6390000000000002</v>
      </c>
      <c r="G36" s="42"/>
      <c r="H36" s="42"/>
      <c r="I36" s="42"/>
      <c r="J36" s="42"/>
      <c r="K36" s="42"/>
      <c r="L36" s="42">
        <f>K36*F36</f>
        <v>0</v>
      </c>
      <c r="M36" s="87">
        <f t="shared" si="0"/>
        <v>0</v>
      </c>
    </row>
    <row r="37" spans="1:13" ht="13.5" customHeight="1">
      <c r="A37" s="129"/>
      <c r="B37" s="26"/>
      <c r="C37" s="22" t="s">
        <v>76</v>
      </c>
      <c r="D37" s="41" t="s">
        <v>74</v>
      </c>
      <c r="E37" s="41">
        <v>1</v>
      </c>
      <c r="F37" s="42">
        <f>E37*F32</f>
        <v>290</v>
      </c>
      <c r="G37" s="42"/>
      <c r="H37" s="42">
        <f>G37*F37</f>
        <v>0</v>
      </c>
      <c r="I37" s="42"/>
      <c r="J37" s="42"/>
      <c r="K37" s="42"/>
      <c r="L37" s="42"/>
      <c r="M37" s="87">
        <f t="shared" si="0"/>
        <v>0</v>
      </c>
    </row>
    <row r="38" spans="1:13" ht="13.5" customHeight="1">
      <c r="A38" s="129"/>
      <c r="B38" s="26"/>
      <c r="C38" s="22" t="s">
        <v>75</v>
      </c>
      <c r="D38" s="41" t="s">
        <v>74</v>
      </c>
      <c r="E38" s="41">
        <f>7/100</f>
        <v>0.07</v>
      </c>
      <c r="F38" s="42">
        <f>E38*F32</f>
        <v>20.3</v>
      </c>
      <c r="G38" s="42"/>
      <c r="H38" s="42">
        <f>G38*F38</f>
        <v>0</v>
      </c>
      <c r="I38" s="42"/>
      <c r="J38" s="42"/>
      <c r="K38" s="42"/>
      <c r="L38" s="42"/>
      <c r="M38" s="87">
        <f t="shared" si="0"/>
        <v>0</v>
      </c>
    </row>
    <row r="39" spans="1:13" ht="13.5" customHeight="1">
      <c r="A39" s="130"/>
      <c r="B39" s="23"/>
      <c r="C39" s="22" t="s">
        <v>66</v>
      </c>
      <c r="D39" s="41" t="s">
        <v>11</v>
      </c>
      <c r="E39" s="41">
        <f>31.42/100</f>
        <v>0.31420000000000003</v>
      </c>
      <c r="F39" s="42">
        <f>E39*F32</f>
        <v>91.11800000000001</v>
      </c>
      <c r="G39" s="42"/>
      <c r="H39" s="42"/>
      <c r="I39" s="42"/>
      <c r="J39" s="42"/>
      <c r="K39" s="42"/>
      <c r="L39" s="42">
        <f>K39*F39</f>
        <v>0</v>
      </c>
      <c r="M39" s="87">
        <f t="shared" si="0"/>
        <v>0</v>
      </c>
    </row>
    <row r="40" spans="1:13" s="10" customFormat="1" ht="67.5">
      <c r="A40" s="84">
        <v>2</v>
      </c>
      <c r="B40" s="25" t="s">
        <v>31</v>
      </c>
      <c r="C40" s="18" t="s">
        <v>120</v>
      </c>
      <c r="D40" s="37" t="s">
        <v>118</v>
      </c>
      <c r="E40" s="37"/>
      <c r="F40" s="38">
        <v>4424</v>
      </c>
      <c r="G40" s="38"/>
      <c r="H40" s="38">
        <f>H48+H49</f>
        <v>0</v>
      </c>
      <c r="I40" s="38"/>
      <c r="J40" s="38">
        <f>J41</f>
        <v>0</v>
      </c>
      <c r="K40" s="38"/>
      <c r="L40" s="38">
        <f>L42+L43+L44+L45+L46+L47</f>
        <v>0</v>
      </c>
      <c r="M40" s="85">
        <f>H40+J40+L40</f>
        <v>0</v>
      </c>
    </row>
    <row r="41" spans="1:13" ht="17.25" customHeight="1">
      <c r="A41" s="86"/>
      <c r="B41" s="23"/>
      <c r="C41" s="22" t="s">
        <v>65</v>
      </c>
      <c r="D41" s="41" t="s">
        <v>67</v>
      </c>
      <c r="E41" s="41">
        <f>73.38/1000</f>
        <v>0.07338</v>
      </c>
      <c r="F41" s="42">
        <f>E41*F40</f>
        <v>324.63312</v>
      </c>
      <c r="G41" s="42"/>
      <c r="H41" s="42"/>
      <c r="I41" s="42"/>
      <c r="J41" s="42">
        <f>I41*F41</f>
        <v>0</v>
      </c>
      <c r="K41" s="42"/>
      <c r="L41" s="42"/>
      <c r="M41" s="87">
        <f aca="true" t="shared" si="1" ref="M41:M49">L41+J41+H41</f>
        <v>0</v>
      </c>
    </row>
    <row r="42" spans="1:13" ht="17.25" customHeight="1">
      <c r="A42" s="86"/>
      <c r="B42" s="23"/>
      <c r="C42" s="20" t="s">
        <v>77</v>
      </c>
      <c r="D42" s="43" t="s">
        <v>69</v>
      </c>
      <c r="E42" s="41">
        <f>2.35/1000</f>
        <v>0.00235</v>
      </c>
      <c r="F42" s="42">
        <f>E42*F40</f>
        <v>10.3964</v>
      </c>
      <c r="G42" s="42"/>
      <c r="H42" s="42"/>
      <c r="I42" s="42"/>
      <c r="J42" s="42"/>
      <c r="K42" s="42"/>
      <c r="L42" s="42">
        <f aca="true" t="shared" si="2" ref="L42:L47">K42*F42</f>
        <v>0</v>
      </c>
      <c r="M42" s="87">
        <f t="shared" si="1"/>
        <v>0</v>
      </c>
    </row>
    <row r="43" spans="1:13" ht="17.25" customHeight="1">
      <c r="A43" s="86"/>
      <c r="B43" s="23"/>
      <c r="C43" s="20" t="s">
        <v>78</v>
      </c>
      <c r="D43" s="43" t="s">
        <v>69</v>
      </c>
      <c r="E43" s="41">
        <f>0.36/1000</f>
        <v>0.00035999999999999997</v>
      </c>
      <c r="F43" s="42">
        <f>E43*F40</f>
        <v>1.5926399999999998</v>
      </c>
      <c r="G43" s="42"/>
      <c r="H43" s="42"/>
      <c r="I43" s="42"/>
      <c r="J43" s="42"/>
      <c r="K43" s="42"/>
      <c r="L43" s="42">
        <f t="shared" si="2"/>
        <v>0</v>
      </c>
      <c r="M43" s="87">
        <f t="shared" si="1"/>
        <v>0</v>
      </c>
    </row>
    <row r="44" spans="1:13" ht="17.25" customHeight="1">
      <c r="A44" s="86"/>
      <c r="B44" s="23"/>
      <c r="C44" s="20" t="s">
        <v>109</v>
      </c>
      <c r="D44" s="43" t="s">
        <v>69</v>
      </c>
      <c r="E44" s="41">
        <f>10.6/1000</f>
        <v>0.0106</v>
      </c>
      <c r="F44" s="42">
        <f>E44*F40</f>
        <v>46.8944</v>
      </c>
      <c r="G44" s="42"/>
      <c r="H44" s="42"/>
      <c r="I44" s="42"/>
      <c r="J44" s="42"/>
      <c r="K44" s="42"/>
      <c r="L44" s="42">
        <f t="shared" si="2"/>
        <v>0</v>
      </c>
      <c r="M44" s="87">
        <f t="shared" si="1"/>
        <v>0</v>
      </c>
    </row>
    <row r="45" spans="1:13" ht="17.25" customHeight="1">
      <c r="A45" s="86"/>
      <c r="B45" s="23"/>
      <c r="C45" s="20" t="s">
        <v>108</v>
      </c>
      <c r="D45" s="43" t="s">
        <v>69</v>
      </c>
      <c r="E45" s="41">
        <f>10.6/1000</f>
        <v>0.0106</v>
      </c>
      <c r="F45" s="42">
        <f>E45*F40</f>
        <v>46.8944</v>
      </c>
      <c r="G45" s="42"/>
      <c r="H45" s="42"/>
      <c r="I45" s="42"/>
      <c r="J45" s="42"/>
      <c r="K45" s="42"/>
      <c r="L45" s="42">
        <f t="shared" si="2"/>
        <v>0</v>
      </c>
      <c r="M45" s="87">
        <f t="shared" si="1"/>
        <v>0</v>
      </c>
    </row>
    <row r="46" spans="1:13" ht="17.25" customHeight="1">
      <c r="A46" s="86"/>
      <c r="B46" s="23"/>
      <c r="C46" s="20" t="s">
        <v>73</v>
      </c>
      <c r="D46" s="43" t="s">
        <v>69</v>
      </c>
      <c r="E46" s="41">
        <f>0.91/100</f>
        <v>0.0091</v>
      </c>
      <c r="F46" s="42">
        <f>E46*F40</f>
        <v>40.2584</v>
      </c>
      <c r="G46" s="42"/>
      <c r="H46" s="42"/>
      <c r="I46" s="42"/>
      <c r="J46" s="42"/>
      <c r="K46" s="42"/>
      <c r="L46" s="42">
        <f t="shared" si="2"/>
        <v>0</v>
      </c>
      <c r="M46" s="87">
        <f t="shared" si="1"/>
        <v>0</v>
      </c>
    </row>
    <row r="47" spans="1:13" ht="17.25" customHeight="1">
      <c r="A47" s="86"/>
      <c r="B47" s="26"/>
      <c r="C47" s="22" t="s">
        <v>81</v>
      </c>
      <c r="D47" s="43" t="s">
        <v>69</v>
      </c>
      <c r="E47" s="44">
        <f>0.57/1000</f>
        <v>0.00057</v>
      </c>
      <c r="F47" s="42">
        <f>E47*F40</f>
        <v>2.52168</v>
      </c>
      <c r="G47" s="42"/>
      <c r="H47" s="42"/>
      <c r="I47" s="42"/>
      <c r="J47" s="42"/>
      <c r="K47" s="42"/>
      <c r="L47" s="42">
        <f t="shared" si="2"/>
        <v>0</v>
      </c>
      <c r="M47" s="87">
        <f t="shared" si="1"/>
        <v>0</v>
      </c>
    </row>
    <row r="48" spans="1:13" ht="17.25" customHeight="1">
      <c r="A48" s="86"/>
      <c r="B48" s="26"/>
      <c r="C48" s="22" t="s">
        <v>82</v>
      </c>
      <c r="D48" s="44" t="s">
        <v>74</v>
      </c>
      <c r="E48" s="44">
        <f>15/1000+189/1000</f>
        <v>0.20400000000000001</v>
      </c>
      <c r="F48" s="42">
        <f>E48*F40</f>
        <v>902.4960000000001</v>
      </c>
      <c r="G48" s="42"/>
      <c r="H48" s="42">
        <f>G48*F48</f>
        <v>0</v>
      </c>
      <c r="I48" s="42"/>
      <c r="J48" s="42"/>
      <c r="K48" s="42"/>
      <c r="L48" s="42"/>
      <c r="M48" s="87">
        <f t="shared" si="1"/>
        <v>0</v>
      </c>
    </row>
    <row r="49" spans="1:13" ht="17.25" customHeight="1">
      <c r="A49" s="86"/>
      <c r="B49" s="26"/>
      <c r="C49" s="22" t="s">
        <v>75</v>
      </c>
      <c r="D49" s="41" t="s">
        <v>74</v>
      </c>
      <c r="E49" s="41">
        <f>30/1000</f>
        <v>0.03</v>
      </c>
      <c r="F49" s="42">
        <f>E49*F42</f>
        <v>0.311892</v>
      </c>
      <c r="G49" s="42"/>
      <c r="H49" s="42">
        <f>G49*F49</f>
        <v>0</v>
      </c>
      <c r="I49" s="42"/>
      <c r="J49" s="42"/>
      <c r="K49" s="42"/>
      <c r="L49" s="42"/>
      <c r="M49" s="87">
        <f t="shared" si="1"/>
        <v>0</v>
      </c>
    </row>
    <row r="50" spans="1:13" s="10" customFormat="1" ht="31.5" customHeight="1">
      <c r="A50" s="78">
        <v>3</v>
      </c>
      <c r="B50" s="25" t="s">
        <v>46</v>
      </c>
      <c r="C50" s="18" t="s">
        <v>47</v>
      </c>
      <c r="D50" s="40" t="s">
        <v>19</v>
      </c>
      <c r="E50" s="40"/>
      <c r="F50" s="45">
        <v>2.46</v>
      </c>
      <c r="G50" s="38"/>
      <c r="H50" s="38">
        <f>H52</f>
        <v>0</v>
      </c>
      <c r="I50" s="42"/>
      <c r="J50" s="42"/>
      <c r="K50" s="38"/>
      <c r="L50" s="38">
        <f>L51</f>
        <v>0</v>
      </c>
      <c r="M50" s="85">
        <f>H50+J50+L50</f>
        <v>0</v>
      </c>
    </row>
    <row r="51" spans="1:13" ht="16.5" customHeight="1">
      <c r="A51" s="91"/>
      <c r="B51" s="26"/>
      <c r="C51" s="22" t="s">
        <v>105</v>
      </c>
      <c r="D51" s="41" t="s">
        <v>69</v>
      </c>
      <c r="E51" s="41">
        <v>0.3</v>
      </c>
      <c r="F51" s="42">
        <f>E51*F50</f>
        <v>0.738</v>
      </c>
      <c r="G51" s="42"/>
      <c r="H51" s="42"/>
      <c r="I51" s="42"/>
      <c r="J51" s="42"/>
      <c r="K51" s="42"/>
      <c r="L51" s="42">
        <f>K51*F51</f>
        <v>0</v>
      </c>
      <c r="M51" s="87">
        <f>L51+J51+H51</f>
        <v>0</v>
      </c>
    </row>
    <row r="52" spans="1:13" ht="16.5" customHeight="1">
      <c r="A52" s="91"/>
      <c r="B52" s="26"/>
      <c r="C52" s="22" t="s">
        <v>106</v>
      </c>
      <c r="D52" s="41" t="s">
        <v>87</v>
      </c>
      <c r="E52" s="41">
        <v>1.03</v>
      </c>
      <c r="F52" s="42">
        <f>E52*F50</f>
        <v>2.5338</v>
      </c>
      <c r="G52" s="42"/>
      <c r="H52" s="42">
        <f>G52*F52</f>
        <v>0</v>
      </c>
      <c r="I52" s="42"/>
      <c r="J52" s="42"/>
      <c r="K52" s="42"/>
      <c r="L52" s="42"/>
      <c r="M52" s="87">
        <f>L52+J52+H52</f>
        <v>0</v>
      </c>
    </row>
    <row r="53" spans="1:13" s="10" customFormat="1" ht="60" customHeight="1">
      <c r="A53" s="84">
        <v>4</v>
      </c>
      <c r="B53" s="25" t="s">
        <v>48</v>
      </c>
      <c r="C53" s="18" t="s">
        <v>114</v>
      </c>
      <c r="D53" s="40" t="s">
        <v>118</v>
      </c>
      <c r="E53" s="40"/>
      <c r="F53" s="38">
        <v>4100</v>
      </c>
      <c r="G53" s="38"/>
      <c r="H53" s="38">
        <f>H59+H60</f>
        <v>0</v>
      </c>
      <c r="I53" s="38"/>
      <c r="J53" s="38">
        <f>J54</f>
        <v>0</v>
      </c>
      <c r="K53" s="38"/>
      <c r="L53" s="38">
        <f>L55+L56+L57+L58</f>
        <v>0</v>
      </c>
      <c r="M53" s="85">
        <f>H53+J53+L53</f>
        <v>0</v>
      </c>
    </row>
    <row r="54" spans="1:13" ht="18.75" customHeight="1">
      <c r="A54" s="86"/>
      <c r="B54" s="23"/>
      <c r="C54" s="22" t="s">
        <v>65</v>
      </c>
      <c r="D54" s="41" t="s">
        <v>67</v>
      </c>
      <c r="E54" s="41">
        <f>51.26/1000+0.09*2/1000</f>
        <v>0.05144</v>
      </c>
      <c r="F54" s="42">
        <f>E54*F53</f>
        <v>210.904</v>
      </c>
      <c r="G54" s="42"/>
      <c r="H54" s="42"/>
      <c r="I54" s="42"/>
      <c r="J54" s="42">
        <f>I54*F54</f>
        <v>0</v>
      </c>
      <c r="K54" s="42"/>
      <c r="L54" s="42"/>
      <c r="M54" s="87">
        <f aca="true" t="shared" si="3" ref="M54:M60">L54+J54+H54</f>
        <v>0</v>
      </c>
    </row>
    <row r="55" spans="1:13" ht="18.75" customHeight="1">
      <c r="A55" s="86"/>
      <c r="B55" s="23"/>
      <c r="C55" s="20" t="s">
        <v>109</v>
      </c>
      <c r="D55" s="43" t="s">
        <v>69</v>
      </c>
      <c r="E55" s="41">
        <f>3.47/1000</f>
        <v>0.00347</v>
      </c>
      <c r="F55" s="42">
        <f>E55*F53</f>
        <v>14.227</v>
      </c>
      <c r="G55" s="42"/>
      <c r="H55" s="42"/>
      <c r="I55" s="42"/>
      <c r="J55" s="42"/>
      <c r="K55" s="42"/>
      <c r="L55" s="42">
        <f>K55*F55</f>
        <v>0</v>
      </c>
      <c r="M55" s="87">
        <f t="shared" si="3"/>
        <v>0</v>
      </c>
    </row>
    <row r="56" spans="1:13" ht="18.75" customHeight="1">
      <c r="A56" s="86"/>
      <c r="B56" s="23"/>
      <c r="C56" s="20" t="s">
        <v>108</v>
      </c>
      <c r="D56" s="43" t="s">
        <v>69</v>
      </c>
      <c r="E56" s="41">
        <f>10.1/1000</f>
        <v>0.0101</v>
      </c>
      <c r="F56" s="42">
        <f>E56*F53</f>
        <v>41.41</v>
      </c>
      <c r="G56" s="42"/>
      <c r="H56" s="42"/>
      <c r="I56" s="42"/>
      <c r="J56" s="42"/>
      <c r="K56" s="42"/>
      <c r="L56" s="42">
        <f>K56*F56</f>
        <v>0</v>
      </c>
      <c r="M56" s="87">
        <f t="shared" si="3"/>
        <v>0</v>
      </c>
    </row>
    <row r="57" spans="1:13" s="10" customFormat="1" ht="18.75" customHeight="1">
      <c r="A57" s="84"/>
      <c r="B57" s="25"/>
      <c r="C57" s="22" t="s">
        <v>83</v>
      </c>
      <c r="D57" s="43" t="s">
        <v>69</v>
      </c>
      <c r="E57" s="41">
        <f>2.8/1000</f>
        <v>0.0028</v>
      </c>
      <c r="F57" s="42">
        <f>E57*F53</f>
        <v>11.48</v>
      </c>
      <c r="G57" s="38"/>
      <c r="H57" s="42"/>
      <c r="I57" s="42"/>
      <c r="J57" s="42"/>
      <c r="K57" s="42"/>
      <c r="L57" s="42">
        <f>K57*F57</f>
        <v>0</v>
      </c>
      <c r="M57" s="87">
        <f t="shared" si="3"/>
        <v>0</v>
      </c>
    </row>
    <row r="58" spans="1:13" s="10" customFormat="1" ht="18.75" customHeight="1">
      <c r="A58" s="84"/>
      <c r="B58" s="25"/>
      <c r="C58" s="22" t="s">
        <v>84</v>
      </c>
      <c r="D58" s="43" t="s">
        <v>11</v>
      </c>
      <c r="E58" s="41">
        <f>3.92/1000</f>
        <v>0.00392</v>
      </c>
      <c r="F58" s="42">
        <f>E58*F53</f>
        <v>16.072</v>
      </c>
      <c r="G58" s="38"/>
      <c r="H58" s="42"/>
      <c r="I58" s="42"/>
      <c r="J58" s="42"/>
      <c r="K58" s="42"/>
      <c r="L58" s="42">
        <f>K58*F58</f>
        <v>0</v>
      </c>
      <c r="M58" s="87">
        <f t="shared" si="3"/>
        <v>0</v>
      </c>
    </row>
    <row r="59" spans="1:13" s="10" customFormat="1" ht="18.75" customHeight="1">
      <c r="A59" s="84"/>
      <c r="B59" s="25"/>
      <c r="C59" s="22" t="s">
        <v>85</v>
      </c>
      <c r="D59" s="43" t="s">
        <v>87</v>
      </c>
      <c r="E59" s="41">
        <f>102/1000+12.7*2/1000</f>
        <v>0.12739999999999999</v>
      </c>
      <c r="F59" s="42">
        <f>E59*F53</f>
        <v>522.3399999999999</v>
      </c>
      <c r="G59" s="42"/>
      <c r="H59" s="42">
        <f>G59*F59</f>
        <v>0</v>
      </c>
      <c r="I59" s="42"/>
      <c r="J59" s="42"/>
      <c r="K59" s="42"/>
      <c r="L59" s="42"/>
      <c r="M59" s="87">
        <f t="shared" si="3"/>
        <v>0</v>
      </c>
    </row>
    <row r="60" spans="1:13" s="10" customFormat="1" ht="18.75" customHeight="1">
      <c r="A60" s="84"/>
      <c r="B60" s="25"/>
      <c r="C60" s="22" t="s">
        <v>86</v>
      </c>
      <c r="D60" s="43" t="s">
        <v>11</v>
      </c>
      <c r="E60" s="41">
        <f>25.17/1000+0.04*2/1000</f>
        <v>0.02525</v>
      </c>
      <c r="F60" s="42">
        <f>E60*F53</f>
        <v>103.525</v>
      </c>
      <c r="G60" s="42"/>
      <c r="H60" s="42">
        <f>G60*F60</f>
        <v>0</v>
      </c>
      <c r="I60" s="42"/>
      <c r="J60" s="42"/>
      <c r="K60" s="42"/>
      <c r="L60" s="42"/>
      <c r="M60" s="87">
        <f t="shared" si="3"/>
        <v>0</v>
      </c>
    </row>
    <row r="61" spans="1:13" s="10" customFormat="1" ht="27" customHeight="1">
      <c r="A61" s="78">
        <v>5</v>
      </c>
      <c r="B61" s="25" t="s">
        <v>46</v>
      </c>
      <c r="C61" s="18" t="s">
        <v>50</v>
      </c>
      <c r="D61" s="40" t="s">
        <v>19</v>
      </c>
      <c r="E61" s="40"/>
      <c r="F61" s="45">
        <v>1.23</v>
      </c>
      <c r="G61" s="38"/>
      <c r="H61" s="38">
        <f>H63</f>
        <v>0</v>
      </c>
      <c r="I61" s="38"/>
      <c r="J61" s="38"/>
      <c r="K61" s="38"/>
      <c r="L61" s="38">
        <f>L62</f>
        <v>0</v>
      </c>
      <c r="M61" s="85">
        <f>L61+H61</f>
        <v>0</v>
      </c>
    </row>
    <row r="62" spans="1:13" ht="18.75" customHeight="1">
      <c r="A62" s="91"/>
      <c r="B62" s="26"/>
      <c r="C62" s="22" t="s">
        <v>105</v>
      </c>
      <c r="D62" s="41" t="s">
        <v>69</v>
      </c>
      <c r="E62" s="41">
        <v>0.3</v>
      </c>
      <c r="F62" s="42">
        <f>E62*F61</f>
        <v>0.369</v>
      </c>
      <c r="G62" s="42"/>
      <c r="H62" s="42"/>
      <c r="I62" s="42"/>
      <c r="J62" s="42"/>
      <c r="K62" s="42"/>
      <c r="L62" s="42">
        <f>K62*F62</f>
        <v>0</v>
      </c>
      <c r="M62" s="87">
        <f>L62+J62+H62</f>
        <v>0</v>
      </c>
    </row>
    <row r="63" spans="1:13" ht="18.75" customHeight="1">
      <c r="A63" s="91"/>
      <c r="B63" s="26"/>
      <c r="C63" s="22" t="s">
        <v>106</v>
      </c>
      <c r="D63" s="41" t="s">
        <v>87</v>
      </c>
      <c r="E63" s="41">
        <v>1.03</v>
      </c>
      <c r="F63" s="42">
        <f>E63*F61</f>
        <v>1.2669</v>
      </c>
      <c r="G63" s="42"/>
      <c r="H63" s="42">
        <f>G63*F63</f>
        <v>0</v>
      </c>
      <c r="I63" s="42"/>
      <c r="J63" s="42"/>
      <c r="K63" s="42"/>
      <c r="L63" s="42"/>
      <c r="M63" s="87">
        <f>L63+J63+H63</f>
        <v>0</v>
      </c>
    </row>
    <row r="64" spans="1:13" s="10" customFormat="1" ht="57.75" customHeight="1">
      <c r="A64" s="84">
        <v>6</v>
      </c>
      <c r="B64" s="25" t="s">
        <v>51</v>
      </c>
      <c r="C64" s="18" t="s">
        <v>121</v>
      </c>
      <c r="D64" s="40" t="s">
        <v>118</v>
      </c>
      <c r="E64" s="40"/>
      <c r="F64" s="38">
        <v>4100</v>
      </c>
      <c r="G64" s="38"/>
      <c r="H64" s="38">
        <f>H70+H71</f>
        <v>0</v>
      </c>
      <c r="I64" s="38"/>
      <c r="J64" s="38">
        <f>J65</f>
        <v>0</v>
      </c>
      <c r="K64" s="38"/>
      <c r="L64" s="38">
        <f>L66+L67+L68+L69</f>
        <v>0</v>
      </c>
      <c r="M64" s="85">
        <f>H64+J64+L64</f>
        <v>0</v>
      </c>
    </row>
    <row r="65" spans="1:13" ht="18.75" customHeight="1">
      <c r="A65" s="86"/>
      <c r="B65" s="23"/>
      <c r="C65" s="22" t="s">
        <v>65</v>
      </c>
      <c r="D65" s="41" t="s">
        <v>67</v>
      </c>
      <c r="E65" s="41">
        <f>51.26/1000</f>
        <v>0.05126</v>
      </c>
      <c r="F65" s="42">
        <f>E65*F64</f>
        <v>210.166</v>
      </c>
      <c r="G65" s="42"/>
      <c r="H65" s="42"/>
      <c r="I65" s="42"/>
      <c r="J65" s="42">
        <f>I65*F65</f>
        <v>0</v>
      </c>
      <c r="K65" s="42"/>
      <c r="L65" s="42"/>
      <c r="M65" s="87">
        <f>L65+J65+H65</f>
        <v>0</v>
      </c>
    </row>
    <row r="66" spans="1:13" ht="18.75" customHeight="1">
      <c r="A66" s="86"/>
      <c r="B66" s="23"/>
      <c r="C66" s="20" t="s">
        <v>109</v>
      </c>
      <c r="D66" s="43" t="s">
        <v>69</v>
      </c>
      <c r="E66" s="41">
        <f>3.47/1000</f>
        <v>0.00347</v>
      </c>
      <c r="F66" s="42">
        <f>E66*F64</f>
        <v>14.227</v>
      </c>
      <c r="G66" s="42"/>
      <c r="H66" s="42"/>
      <c r="I66" s="42"/>
      <c r="J66" s="42"/>
      <c r="K66" s="42"/>
      <c r="L66" s="42">
        <f>K66*F66</f>
        <v>0</v>
      </c>
      <c r="M66" s="87">
        <f aca="true" t="shared" si="4" ref="M66:M71">L66+J66+H66</f>
        <v>0</v>
      </c>
    </row>
    <row r="67" spans="1:13" ht="18.75" customHeight="1">
      <c r="A67" s="86"/>
      <c r="B67" s="23"/>
      <c r="C67" s="20" t="s">
        <v>108</v>
      </c>
      <c r="D67" s="43" t="s">
        <v>69</v>
      </c>
      <c r="E67" s="41">
        <f>10.1/1000</f>
        <v>0.0101</v>
      </c>
      <c r="F67" s="42">
        <f>E67*F64</f>
        <v>41.41</v>
      </c>
      <c r="G67" s="42"/>
      <c r="H67" s="42"/>
      <c r="I67" s="42"/>
      <c r="J67" s="42"/>
      <c r="K67" s="42"/>
      <c r="L67" s="42">
        <f>K67*F67</f>
        <v>0</v>
      </c>
      <c r="M67" s="87">
        <f t="shared" si="4"/>
        <v>0</v>
      </c>
    </row>
    <row r="68" spans="1:13" s="10" customFormat="1" ht="18.75" customHeight="1">
      <c r="A68" s="84"/>
      <c r="B68" s="25"/>
      <c r="C68" s="22" t="s">
        <v>83</v>
      </c>
      <c r="D68" s="43" t="s">
        <v>69</v>
      </c>
      <c r="E68" s="41">
        <f>2.8/1000</f>
        <v>0.0028</v>
      </c>
      <c r="F68" s="42">
        <f>E68*F64</f>
        <v>11.48</v>
      </c>
      <c r="G68" s="38"/>
      <c r="H68" s="42"/>
      <c r="I68" s="42"/>
      <c r="J68" s="42"/>
      <c r="K68" s="42"/>
      <c r="L68" s="42">
        <f>K68*F68</f>
        <v>0</v>
      </c>
      <c r="M68" s="87">
        <f t="shared" si="4"/>
        <v>0</v>
      </c>
    </row>
    <row r="69" spans="1:13" s="10" customFormat="1" ht="18.75" customHeight="1">
      <c r="A69" s="84"/>
      <c r="B69" s="25"/>
      <c r="C69" s="22" t="s">
        <v>84</v>
      </c>
      <c r="D69" s="43" t="s">
        <v>11</v>
      </c>
      <c r="E69" s="41">
        <f>3.92/1000</f>
        <v>0.00392</v>
      </c>
      <c r="F69" s="42">
        <f>E69*F64</f>
        <v>16.072</v>
      </c>
      <c r="G69" s="42"/>
      <c r="H69" s="42"/>
      <c r="I69" s="42"/>
      <c r="J69" s="42"/>
      <c r="K69" s="42"/>
      <c r="L69" s="42">
        <f>K69*F69</f>
        <v>0</v>
      </c>
      <c r="M69" s="87">
        <f t="shared" si="4"/>
        <v>0</v>
      </c>
    </row>
    <row r="70" spans="1:13" s="10" customFormat="1" ht="18.75" customHeight="1">
      <c r="A70" s="84"/>
      <c r="B70" s="25"/>
      <c r="C70" s="22" t="s">
        <v>85</v>
      </c>
      <c r="D70" s="43" t="s">
        <v>87</v>
      </c>
      <c r="E70" s="41">
        <f>102/1000+12.8*0/1000</f>
        <v>0.102</v>
      </c>
      <c r="F70" s="42">
        <f>E70*F64</f>
        <v>418.2</v>
      </c>
      <c r="G70" s="42"/>
      <c r="H70" s="42">
        <f>G70*F70</f>
        <v>0</v>
      </c>
      <c r="I70" s="42"/>
      <c r="J70" s="42"/>
      <c r="K70" s="42"/>
      <c r="L70" s="42"/>
      <c r="M70" s="87">
        <f t="shared" si="4"/>
        <v>0</v>
      </c>
    </row>
    <row r="71" spans="1:13" s="10" customFormat="1" ht="18.75" customHeight="1">
      <c r="A71" s="84"/>
      <c r="B71" s="25"/>
      <c r="C71" s="22" t="s">
        <v>86</v>
      </c>
      <c r="D71" s="43" t="s">
        <v>11</v>
      </c>
      <c r="E71" s="41">
        <f>25.17/1000+0.04*0/1000</f>
        <v>0.02517</v>
      </c>
      <c r="F71" s="42">
        <f>E71*F64</f>
        <v>103.197</v>
      </c>
      <c r="G71" s="42"/>
      <c r="H71" s="42">
        <f>G71*F71</f>
        <v>0</v>
      </c>
      <c r="I71" s="42"/>
      <c r="J71" s="42"/>
      <c r="K71" s="42"/>
      <c r="L71" s="42"/>
      <c r="M71" s="87">
        <f t="shared" si="4"/>
        <v>0</v>
      </c>
    </row>
    <row r="72" spans="1:13" s="10" customFormat="1" ht="39.75" customHeight="1">
      <c r="A72" s="84">
        <v>7</v>
      </c>
      <c r="B72" s="25" t="s">
        <v>30</v>
      </c>
      <c r="C72" s="27" t="s">
        <v>110</v>
      </c>
      <c r="D72" s="40" t="s">
        <v>116</v>
      </c>
      <c r="E72" s="40"/>
      <c r="F72" s="38">
        <v>339</v>
      </c>
      <c r="G72" s="38"/>
      <c r="H72" s="38">
        <f>H77+H78</f>
        <v>0</v>
      </c>
      <c r="I72" s="38"/>
      <c r="J72" s="38">
        <f>J73</f>
        <v>0</v>
      </c>
      <c r="K72" s="38"/>
      <c r="L72" s="38">
        <f>L74+L75+L76+L79</f>
        <v>0</v>
      </c>
      <c r="M72" s="85">
        <f>H72+J72+L72</f>
        <v>0</v>
      </c>
    </row>
    <row r="73" spans="1:13" ht="16.5" customHeight="1">
      <c r="A73" s="86"/>
      <c r="B73" s="23"/>
      <c r="C73" s="22" t="s">
        <v>65</v>
      </c>
      <c r="D73" s="41" t="s">
        <v>67</v>
      </c>
      <c r="E73" s="41">
        <f>18.5/100</f>
        <v>0.185</v>
      </c>
      <c r="F73" s="42">
        <f>E73*F72</f>
        <v>62.714999999999996</v>
      </c>
      <c r="G73" s="42"/>
      <c r="H73" s="42"/>
      <c r="I73" s="42"/>
      <c r="J73" s="42">
        <f>I73*F73</f>
        <v>0</v>
      </c>
      <c r="K73" s="42"/>
      <c r="L73" s="42"/>
      <c r="M73" s="87">
        <f aca="true" t="shared" si="5" ref="M73:M79">L73+J73+H73</f>
        <v>0</v>
      </c>
    </row>
    <row r="74" spans="1:13" ht="16.5" customHeight="1">
      <c r="A74" s="86"/>
      <c r="B74" s="23"/>
      <c r="C74" s="20" t="s">
        <v>78</v>
      </c>
      <c r="D74" s="43" t="s">
        <v>69</v>
      </c>
      <c r="E74" s="41">
        <f>1.55/100</f>
        <v>0.0155</v>
      </c>
      <c r="F74" s="42">
        <f>E74*F72</f>
        <v>5.2545</v>
      </c>
      <c r="G74" s="42"/>
      <c r="H74" s="42"/>
      <c r="I74" s="42"/>
      <c r="J74" s="42"/>
      <c r="K74" s="42"/>
      <c r="L74" s="42">
        <f>K74*F74</f>
        <v>0</v>
      </c>
      <c r="M74" s="87">
        <f t="shared" si="5"/>
        <v>0</v>
      </c>
    </row>
    <row r="75" spans="1:13" ht="16.5" customHeight="1">
      <c r="A75" s="86"/>
      <c r="B75" s="23"/>
      <c r="C75" s="20" t="s">
        <v>72</v>
      </c>
      <c r="D75" s="43" t="s">
        <v>69</v>
      </c>
      <c r="E75" s="41">
        <f>1.64/100</f>
        <v>0.016399999999999998</v>
      </c>
      <c r="F75" s="42">
        <f>E75*F72</f>
        <v>5.5596</v>
      </c>
      <c r="G75" s="42"/>
      <c r="H75" s="42"/>
      <c r="I75" s="42"/>
      <c r="J75" s="42"/>
      <c r="K75" s="42"/>
      <c r="L75" s="42">
        <f>K75*F75</f>
        <v>0</v>
      </c>
      <c r="M75" s="87">
        <f t="shared" si="5"/>
        <v>0</v>
      </c>
    </row>
    <row r="76" spans="1:13" ht="16.5" customHeight="1">
      <c r="A76" s="86"/>
      <c r="B76" s="23"/>
      <c r="C76" s="20" t="s">
        <v>73</v>
      </c>
      <c r="D76" s="43" t="s">
        <v>69</v>
      </c>
      <c r="E76" s="41">
        <f>0.91/100</f>
        <v>0.0091</v>
      </c>
      <c r="F76" s="42">
        <f>E76*F72</f>
        <v>3.0849</v>
      </c>
      <c r="G76" s="42"/>
      <c r="H76" s="42"/>
      <c r="I76" s="42"/>
      <c r="J76" s="42"/>
      <c r="K76" s="42"/>
      <c r="L76" s="42">
        <f>K76*F76</f>
        <v>0</v>
      </c>
      <c r="M76" s="87">
        <f t="shared" si="5"/>
        <v>0</v>
      </c>
    </row>
    <row r="77" spans="1:13" ht="16.5" customHeight="1">
      <c r="A77" s="86"/>
      <c r="B77" s="26"/>
      <c r="C77" s="22" t="s">
        <v>76</v>
      </c>
      <c r="D77" s="41" t="s">
        <v>74</v>
      </c>
      <c r="E77" s="41">
        <v>1</v>
      </c>
      <c r="F77" s="42">
        <f>E77*F72</f>
        <v>339</v>
      </c>
      <c r="G77" s="42"/>
      <c r="H77" s="42">
        <f>G77*F77</f>
        <v>0</v>
      </c>
      <c r="I77" s="42"/>
      <c r="J77" s="42"/>
      <c r="K77" s="42"/>
      <c r="L77" s="42"/>
      <c r="M77" s="87">
        <f t="shared" si="5"/>
        <v>0</v>
      </c>
    </row>
    <row r="78" spans="1:13" ht="16.5" customHeight="1">
      <c r="A78" s="86"/>
      <c r="B78" s="26"/>
      <c r="C78" s="22" t="s">
        <v>75</v>
      </c>
      <c r="D78" s="41" t="s">
        <v>74</v>
      </c>
      <c r="E78" s="41">
        <f>7/100</f>
        <v>0.07</v>
      </c>
      <c r="F78" s="42">
        <f>E78*F72</f>
        <v>23.730000000000004</v>
      </c>
      <c r="G78" s="42"/>
      <c r="H78" s="42">
        <f>G78*F78</f>
        <v>0</v>
      </c>
      <c r="I78" s="42"/>
      <c r="J78" s="42"/>
      <c r="K78" s="42"/>
      <c r="L78" s="42"/>
      <c r="M78" s="87">
        <f t="shared" si="5"/>
        <v>0</v>
      </c>
    </row>
    <row r="79" spans="1:13" ht="16.5" customHeight="1" thickBot="1">
      <c r="A79" s="88"/>
      <c r="B79" s="61"/>
      <c r="C79" s="60" t="s">
        <v>66</v>
      </c>
      <c r="D79" s="62" t="s">
        <v>11</v>
      </c>
      <c r="E79" s="62">
        <f>31.42/100</f>
        <v>0.31420000000000003</v>
      </c>
      <c r="F79" s="63">
        <f>E79*F72</f>
        <v>106.51380000000002</v>
      </c>
      <c r="G79" s="63"/>
      <c r="H79" s="63"/>
      <c r="I79" s="63"/>
      <c r="J79" s="63"/>
      <c r="K79" s="63"/>
      <c r="L79" s="63">
        <f>K79*F79</f>
        <v>0</v>
      </c>
      <c r="M79" s="89">
        <f t="shared" si="5"/>
        <v>0</v>
      </c>
    </row>
    <row r="80" spans="1:13" ht="21.75" customHeight="1" thickBot="1">
      <c r="A80" s="54" t="s">
        <v>101</v>
      </c>
      <c r="B80" s="55"/>
      <c r="C80" s="56" t="s">
        <v>17</v>
      </c>
      <c r="D80" s="57" t="s">
        <v>11</v>
      </c>
      <c r="E80" s="57"/>
      <c r="F80" s="57"/>
      <c r="G80" s="57"/>
      <c r="H80" s="58">
        <f>H32+H40+H50+H53+H61+H64+H72</f>
        <v>0</v>
      </c>
      <c r="I80" s="58"/>
      <c r="J80" s="58">
        <f>J32+J40+J50+J53+J61+J64+J72</f>
        <v>0</v>
      </c>
      <c r="K80" s="58"/>
      <c r="L80" s="58">
        <f>L32+L40+L50+L53+L61+L64+L72</f>
        <v>0</v>
      </c>
      <c r="M80" s="59">
        <f>M32+M40+M50+M53+M61+M64+M72</f>
        <v>0</v>
      </c>
    </row>
    <row r="81" spans="1:13" ht="15.75" customHeight="1">
      <c r="A81" s="82" t="s">
        <v>101</v>
      </c>
      <c r="B81" s="51"/>
      <c r="C81" s="52" t="s">
        <v>38</v>
      </c>
      <c r="D81" s="65"/>
      <c r="E81" s="65"/>
      <c r="F81" s="65"/>
      <c r="G81" s="65"/>
      <c r="H81" s="66"/>
      <c r="I81" s="66"/>
      <c r="J81" s="66"/>
      <c r="K81" s="66"/>
      <c r="L81" s="66"/>
      <c r="M81" s="93"/>
    </row>
    <row r="82" spans="1:13" ht="27">
      <c r="A82" s="91" t="s">
        <v>101</v>
      </c>
      <c r="B82" s="21"/>
      <c r="C82" s="16" t="s">
        <v>62</v>
      </c>
      <c r="D82" s="36"/>
      <c r="E82" s="36"/>
      <c r="F82" s="36"/>
      <c r="G82" s="36"/>
      <c r="H82" s="38"/>
      <c r="I82" s="38"/>
      <c r="J82" s="38"/>
      <c r="K82" s="38"/>
      <c r="L82" s="38"/>
      <c r="M82" s="85"/>
    </row>
    <row r="83" spans="1:13" s="10" customFormat="1" ht="29.25" customHeight="1">
      <c r="A83" s="84">
        <v>1</v>
      </c>
      <c r="B83" s="19" t="s">
        <v>55</v>
      </c>
      <c r="C83" s="27" t="s">
        <v>122</v>
      </c>
      <c r="D83" s="40" t="s">
        <v>116</v>
      </c>
      <c r="E83" s="40"/>
      <c r="F83" s="38">
        <v>58</v>
      </c>
      <c r="G83" s="38"/>
      <c r="H83" s="38"/>
      <c r="I83" s="38"/>
      <c r="J83" s="38">
        <f>J84</f>
        <v>0</v>
      </c>
      <c r="K83" s="38"/>
      <c r="L83" s="38">
        <f>L85+L86</f>
        <v>0</v>
      </c>
      <c r="M83" s="85">
        <f>J83+L83</f>
        <v>0</v>
      </c>
    </row>
    <row r="84" spans="1:13" ht="19.5" customHeight="1">
      <c r="A84" s="86"/>
      <c r="B84" s="23"/>
      <c r="C84" s="22" t="s">
        <v>65</v>
      </c>
      <c r="D84" s="41" t="s">
        <v>67</v>
      </c>
      <c r="E84" s="41">
        <f>83.8/1000</f>
        <v>0.0838</v>
      </c>
      <c r="F84" s="42">
        <f>E84*F83</f>
        <v>4.8604</v>
      </c>
      <c r="G84" s="42"/>
      <c r="H84" s="42"/>
      <c r="I84" s="42"/>
      <c r="J84" s="42">
        <f>I84*F84</f>
        <v>0</v>
      </c>
      <c r="K84" s="42"/>
      <c r="L84" s="42"/>
      <c r="M84" s="87">
        <f>L84+J84+H84</f>
        <v>0</v>
      </c>
    </row>
    <row r="85" spans="1:13" ht="27" customHeight="1">
      <c r="A85" s="86"/>
      <c r="B85" s="23"/>
      <c r="C85" s="20" t="s">
        <v>71</v>
      </c>
      <c r="D85" s="43" t="s">
        <v>69</v>
      </c>
      <c r="E85" s="41">
        <f>68.8/1000</f>
        <v>0.0688</v>
      </c>
      <c r="F85" s="42">
        <f>E85*F83</f>
        <v>3.9904</v>
      </c>
      <c r="G85" s="42"/>
      <c r="H85" s="42"/>
      <c r="I85" s="42"/>
      <c r="J85" s="42"/>
      <c r="K85" s="42"/>
      <c r="L85" s="42">
        <f>K85*F85</f>
        <v>0</v>
      </c>
      <c r="M85" s="87">
        <f>L85+J85+H85</f>
        <v>0</v>
      </c>
    </row>
    <row r="86" spans="1:13" ht="17.25" customHeight="1">
      <c r="A86" s="86"/>
      <c r="B86" s="23"/>
      <c r="C86" s="22" t="s">
        <v>66</v>
      </c>
      <c r="D86" s="41" t="s">
        <v>11</v>
      </c>
      <c r="E86" s="41">
        <f>282.77/1000</f>
        <v>0.28276999999999997</v>
      </c>
      <c r="F86" s="42">
        <f>E86*F83</f>
        <v>16.40066</v>
      </c>
      <c r="G86" s="42"/>
      <c r="H86" s="42"/>
      <c r="I86" s="42"/>
      <c r="J86" s="42"/>
      <c r="K86" s="42"/>
      <c r="L86" s="42">
        <f>K86*F86</f>
        <v>0</v>
      </c>
      <c r="M86" s="87">
        <f>L86+J86+H86</f>
        <v>0</v>
      </c>
    </row>
    <row r="87" spans="1:13" s="10" customFormat="1" ht="27" customHeight="1">
      <c r="A87" s="84">
        <v>2</v>
      </c>
      <c r="B87" s="19" t="s">
        <v>39</v>
      </c>
      <c r="C87" s="27" t="s">
        <v>56</v>
      </c>
      <c r="D87" s="40" t="s">
        <v>116</v>
      </c>
      <c r="E87" s="40"/>
      <c r="F87" s="38">
        <v>5</v>
      </c>
      <c r="G87" s="38"/>
      <c r="H87" s="38"/>
      <c r="I87" s="38"/>
      <c r="J87" s="38">
        <f>J88</f>
        <v>0</v>
      </c>
      <c r="K87" s="38"/>
      <c r="L87" s="38"/>
      <c r="M87" s="85">
        <f>J87</f>
        <v>0</v>
      </c>
    </row>
    <row r="88" spans="1:13" ht="21.75" customHeight="1">
      <c r="A88" s="86"/>
      <c r="B88" s="23"/>
      <c r="C88" s="22" t="s">
        <v>65</v>
      </c>
      <c r="D88" s="41" t="s">
        <v>67</v>
      </c>
      <c r="E88" s="41">
        <f>248/100</f>
        <v>2.48</v>
      </c>
      <c r="F88" s="42">
        <f>E88*F87</f>
        <v>12.4</v>
      </c>
      <c r="G88" s="42"/>
      <c r="H88" s="42"/>
      <c r="I88" s="42"/>
      <c r="J88" s="42">
        <f>I88*F88</f>
        <v>0</v>
      </c>
      <c r="K88" s="42"/>
      <c r="L88" s="42"/>
      <c r="M88" s="87">
        <f>L88+J88+H88</f>
        <v>0</v>
      </c>
    </row>
    <row r="89" spans="1:13" s="10" customFormat="1" ht="40.5">
      <c r="A89" s="84">
        <v>3</v>
      </c>
      <c r="B89" s="25" t="s">
        <v>57</v>
      </c>
      <c r="C89" s="27" t="s">
        <v>111</v>
      </c>
      <c r="D89" s="40" t="s">
        <v>116</v>
      </c>
      <c r="E89" s="40"/>
      <c r="F89" s="38">
        <v>41</v>
      </c>
      <c r="G89" s="38"/>
      <c r="H89" s="38"/>
      <c r="I89" s="38"/>
      <c r="J89" s="38">
        <f>J90</f>
        <v>0</v>
      </c>
      <c r="K89" s="38"/>
      <c r="L89" s="38">
        <f>L91+L92</f>
        <v>0</v>
      </c>
      <c r="M89" s="85">
        <f>L89+J89</f>
        <v>0</v>
      </c>
    </row>
    <row r="90" spans="1:13" ht="18" customHeight="1">
      <c r="A90" s="86"/>
      <c r="B90" s="23"/>
      <c r="C90" s="22" t="s">
        <v>65</v>
      </c>
      <c r="D90" s="41" t="s">
        <v>67</v>
      </c>
      <c r="E90" s="41">
        <f>12.99/10</f>
        <v>1.299</v>
      </c>
      <c r="F90" s="42">
        <f>E90*F89</f>
        <v>53.259</v>
      </c>
      <c r="G90" s="42"/>
      <c r="H90" s="42"/>
      <c r="I90" s="42"/>
      <c r="J90" s="42">
        <f>I90*F90</f>
        <v>0</v>
      </c>
      <c r="K90" s="42"/>
      <c r="L90" s="42"/>
      <c r="M90" s="87">
        <f>L90+J90+H90</f>
        <v>0</v>
      </c>
    </row>
    <row r="91" spans="1:13" ht="18" customHeight="1">
      <c r="A91" s="86"/>
      <c r="B91" s="23"/>
      <c r="C91" s="20" t="s">
        <v>88</v>
      </c>
      <c r="D91" s="43" t="s">
        <v>69</v>
      </c>
      <c r="E91" s="41">
        <f>12.5/10</f>
        <v>1.25</v>
      </c>
      <c r="F91" s="42">
        <f>E91*F89</f>
        <v>51.25</v>
      </c>
      <c r="G91" s="42"/>
      <c r="H91" s="42"/>
      <c r="I91" s="42"/>
      <c r="J91" s="42"/>
      <c r="K91" s="42"/>
      <c r="L91" s="42">
        <f>K91*F91</f>
        <v>0</v>
      </c>
      <c r="M91" s="87">
        <f>L91+J91+H91</f>
        <v>0</v>
      </c>
    </row>
    <row r="92" spans="1:13" ht="18" customHeight="1">
      <c r="A92" s="86"/>
      <c r="B92" s="23"/>
      <c r="C92" s="22" t="s">
        <v>66</v>
      </c>
      <c r="D92" s="41" t="s">
        <v>11</v>
      </c>
      <c r="E92" s="41">
        <f>8.46/10</f>
        <v>0.8460000000000001</v>
      </c>
      <c r="F92" s="42">
        <f>E92*F89</f>
        <v>34.68600000000001</v>
      </c>
      <c r="G92" s="42"/>
      <c r="H92" s="42"/>
      <c r="I92" s="42"/>
      <c r="J92" s="42"/>
      <c r="K92" s="42"/>
      <c r="L92" s="42">
        <f>K92*F92</f>
        <v>0</v>
      </c>
      <c r="M92" s="87">
        <f>L92+J92+H92</f>
        <v>0</v>
      </c>
    </row>
    <row r="93" spans="1:13" s="10" customFormat="1" ht="31.5" customHeight="1">
      <c r="A93" s="84">
        <v>4</v>
      </c>
      <c r="B93" s="25" t="s">
        <v>58</v>
      </c>
      <c r="C93" s="27" t="s">
        <v>112</v>
      </c>
      <c r="D93" s="40" t="s">
        <v>116</v>
      </c>
      <c r="E93" s="40"/>
      <c r="F93" s="38">
        <v>60</v>
      </c>
      <c r="G93" s="38"/>
      <c r="H93" s="38">
        <f>H98+H99+H100+H101+H102+H103+H104+H105+H106+H107+H108</f>
        <v>0</v>
      </c>
      <c r="I93" s="38"/>
      <c r="J93" s="38">
        <f>J94</f>
        <v>0</v>
      </c>
      <c r="K93" s="38"/>
      <c r="L93" s="38">
        <f>L95+L96+L97</f>
        <v>0</v>
      </c>
      <c r="M93" s="85">
        <f>H93+J93+L93</f>
        <v>0</v>
      </c>
    </row>
    <row r="94" spans="1:13" ht="18" customHeight="1">
      <c r="A94" s="86"/>
      <c r="B94" s="23"/>
      <c r="C94" s="22" t="s">
        <v>65</v>
      </c>
      <c r="D94" s="41" t="s">
        <v>67</v>
      </c>
      <c r="E94" s="41">
        <f>447.5/100</f>
        <v>4.475</v>
      </c>
      <c r="F94" s="42">
        <f>E94*F93</f>
        <v>268.5</v>
      </c>
      <c r="G94" s="42"/>
      <c r="H94" s="42"/>
      <c r="I94" s="42"/>
      <c r="J94" s="42">
        <f>I94*F94</f>
        <v>0</v>
      </c>
      <c r="K94" s="42"/>
      <c r="L94" s="42"/>
      <c r="M94" s="87">
        <f>L94+J94+H94</f>
        <v>0</v>
      </c>
    </row>
    <row r="95" spans="1:13" ht="18" customHeight="1">
      <c r="A95" s="86"/>
      <c r="B95" s="23"/>
      <c r="C95" s="20" t="s">
        <v>89</v>
      </c>
      <c r="D95" s="43" t="s">
        <v>69</v>
      </c>
      <c r="E95" s="41">
        <f>38/100</f>
        <v>0.38</v>
      </c>
      <c r="F95" s="42">
        <f>E95*F93</f>
        <v>22.8</v>
      </c>
      <c r="G95" s="42"/>
      <c r="H95" s="42"/>
      <c r="I95" s="42"/>
      <c r="J95" s="42"/>
      <c r="K95" s="42"/>
      <c r="L95" s="42">
        <f>K95*F95</f>
        <v>0</v>
      </c>
      <c r="M95" s="87">
        <f aca="true" t="shared" si="6" ref="M95:M104">L95+J95+H95</f>
        <v>0</v>
      </c>
    </row>
    <row r="96" spans="1:13" ht="18" customHeight="1">
      <c r="A96" s="86"/>
      <c r="B96" s="23"/>
      <c r="C96" s="22" t="s">
        <v>90</v>
      </c>
      <c r="D96" s="43" t="s">
        <v>69</v>
      </c>
      <c r="E96" s="41">
        <f>40/100</f>
        <v>0.4</v>
      </c>
      <c r="F96" s="42">
        <f>E96*F93</f>
        <v>24</v>
      </c>
      <c r="G96" s="42"/>
      <c r="H96" s="42"/>
      <c r="I96" s="42"/>
      <c r="J96" s="42"/>
      <c r="K96" s="42"/>
      <c r="L96" s="42">
        <f>K96*F96</f>
        <v>0</v>
      </c>
      <c r="M96" s="87">
        <f t="shared" si="6"/>
        <v>0</v>
      </c>
    </row>
    <row r="97" spans="1:13" ht="18" customHeight="1">
      <c r="A97" s="86"/>
      <c r="B97" s="23"/>
      <c r="C97" s="22" t="s">
        <v>91</v>
      </c>
      <c r="D97" s="43" t="s">
        <v>11</v>
      </c>
      <c r="E97" s="41">
        <f>86.46/100</f>
        <v>0.8645999999999999</v>
      </c>
      <c r="F97" s="42">
        <f>E97*F93</f>
        <v>51.876</v>
      </c>
      <c r="G97" s="42"/>
      <c r="H97" s="42"/>
      <c r="I97" s="42"/>
      <c r="J97" s="42"/>
      <c r="K97" s="42"/>
      <c r="L97" s="42">
        <f>K97*F97</f>
        <v>0</v>
      </c>
      <c r="M97" s="87">
        <f t="shared" si="6"/>
        <v>0</v>
      </c>
    </row>
    <row r="98" spans="1:13" ht="18" customHeight="1">
      <c r="A98" s="86"/>
      <c r="B98" s="23"/>
      <c r="C98" s="22" t="s">
        <v>92</v>
      </c>
      <c r="D98" s="43" t="s">
        <v>87</v>
      </c>
      <c r="E98" s="41">
        <f>0.17/100</f>
        <v>0.0017000000000000001</v>
      </c>
      <c r="F98" s="42">
        <f>E98*F93</f>
        <v>0.10200000000000001</v>
      </c>
      <c r="G98" s="42"/>
      <c r="H98" s="42">
        <f aca="true" t="shared" si="7" ref="H98:H104">G98*F98</f>
        <v>0</v>
      </c>
      <c r="I98" s="42"/>
      <c r="J98" s="42"/>
      <c r="K98" s="42"/>
      <c r="L98" s="42"/>
      <c r="M98" s="87">
        <f t="shared" si="6"/>
        <v>0</v>
      </c>
    </row>
    <row r="99" spans="1:13" ht="18" customHeight="1">
      <c r="A99" s="86"/>
      <c r="B99" s="23"/>
      <c r="C99" s="22" t="s">
        <v>93</v>
      </c>
      <c r="D99" s="43" t="s">
        <v>74</v>
      </c>
      <c r="E99" s="41">
        <f>0.23/100</f>
        <v>0.0023</v>
      </c>
      <c r="F99" s="42">
        <f>E99*F93</f>
        <v>0.138</v>
      </c>
      <c r="G99" s="42"/>
      <c r="H99" s="42">
        <f t="shared" si="7"/>
        <v>0</v>
      </c>
      <c r="I99" s="42"/>
      <c r="J99" s="42"/>
      <c r="K99" s="42"/>
      <c r="L99" s="42"/>
      <c r="M99" s="87">
        <f t="shared" si="6"/>
        <v>0</v>
      </c>
    </row>
    <row r="100" spans="1:13" ht="18" customHeight="1">
      <c r="A100" s="86"/>
      <c r="B100" s="23"/>
      <c r="C100" s="22" t="s">
        <v>94</v>
      </c>
      <c r="D100" s="43" t="s">
        <v>74</v>
      </c>
      <c r="E100" s="41">
        <f>0.07/100</f>
        <v>0.0007000000000000001</v>
      </c>
      <c r="F100" s="42">
        <f>E100*F93</f>
        <v>0.04200000000000001</v>
      </c>
      <c r="G100" s="42"/>
      <c r="H100" s="42">
        <f t="shared" si="7"/>
        <v>0</v>
      </c>
      <c r="I100" s="42"/>
      <c r="J100" s="42"/>
      <c r="K100" s="42"/>
      <c r="L100" s="42"/>
      <c r="M100" s="87">
        <f t="shared" si="6"/>
        <v>0</v>
      </c>
    </row>
    <row r="101" spans="1:13" ht="18" customHeight="1">
      <c r="A101" s="86"/>
      <c r="B101" s="23"/>
      <c r="C101" s="22" t="s">
        <v>95</v>
      </c>
      <c r="D101" s="43" t="s">
        <v>74</v>
      </c>
      <c r="E101" s="41">
        <f>0.15/100</f>
        <v>0.0015</v>
      </c>
      <c r="F101" s="42">
        <f>E101*F93</f>
        <v>0.09</v>
      </c>
      <c r="G101" s="42"/>
      <c r="H101" s="42">
        <f t="shared" si="7"/>
        <v>0</v>
      </c>
      <c r="I101" s="42"/>
      <c r="J101" s="42"/>
      <c r="K101" s="42"/>
      <c r="L101" s="42"/>
      <c r="M101" s="87">
        <f t="shared" si="6"/>
        <v>0</v>
      </c>
    </row>
    <row r="102" spans="1:13" ht="18" customHeight="1">
      <c r="A102" s="86"/>
      <c r="B102" s="23"/>
      <c r="C102" s="22" t="s">
        <v>96</v>
      </c>
      <c r="D102" s="43" t="s">
        <v>74</v>
      </c>
      <c r="E102" s="41">
        <f>101.5/100</f>
        <v>1.015</v>
      </c>
      <c r="F102" s="42">
        <f>E102*F93</f>
        <v>60.89999999999999</v>
      </c>
      <c r="G102" s="42"/>
      <c r="H102" s="42">
        <f t="shared" si="7"/>
        <v>0</v>
      </c>
      <c r="I102" s="42"/>
      <c r="J102" s="42"/>
      <c r="K102" s="42"/>
      <c r="L102" s="42"/>
      <c r="M102" s="87">
        <f t="shared" si="6"/>
        <v>0</v>
      </c>
    </row>
    <row r="103" spans="1:13" ht="18" customHeight="1">
      <c r="A103" s="86"/>
      <c r="B103" s="23"/>
      <c r="C103" s="22" t="s">
        <v>97</v>
      </c>
      <c r="D103" s="43" t="s">
        <v>74</v>
      </c>
      <c r="E103" s="41">
        <f>0.58/100</f>
        <v>0.0058</v>
      </c>
      <c r="F103" s="42">
        <f>E103*F93</f>
        <v>0.348</v>
      </c>
      <c r="G103" s="42"/>
      <c r="H103" s="42">
        <f t="shared" si="7"/>
        <v>0</v>
      </c>
      <c r="I103" s="42"/>
      <c r="J103" s="42"/>
      <c r="K103" s="42"/>
      <c r="L103" s="42"/>
      <c r="M103" s="87">
        <f t="shared" si="6"/>
        <v>0</v>
      </c>
    </row>
    <row r="104" spans="1:13" ht="18" customHeight="1">
      <c r="A104" s="86"/>
      <c r="B104" s="23"/>
      <c r="C104" s="22" t="s">
        <v>98</v>
      </c>
      <c r="D104" s="43" t="s">
        <v>99</v>
      </c>
      <c r="E104" s="41">
        <f>11.3/100</f>
        <v>0.113</v>
      </c>
      <c r="F104" s="42">
        <f>E104*F93</f>
        <v>6.78</v>
      </c>
      <c r="G104" s="42"/>
      <c r="H104" s="42">
        <f t="shared" si="7"/>
        <v>0</v>
      </c>
      <c r="I104" s="42"/>
      <c r="J104" s="42"/>
      <c r="K104" s="42"/>
      <c r="L104" s="42"/>
      <c r="M104" s="87">
        <f t="shared" si="6"/>
        <v>0</v>
      </c>
    </row>
    <row r="105" spans="1:13" ht="18" customHeight="1">
      <c r="A105" s="91"/>
      <c r="B105" s="21"/>
      <c r="C105" s="28" t="s">
        <v>32</v>
      </c>
      <c r="D105" s="41" t="s">
        <v>100</v>
      </c>
      <c r="E105" s="41">
        <f>12.99/100</f>
        <v>0.12990000000000002</v>
      </c>
      <c r="F105" s="42">
        <v>2252</v>
      </c>
      <c r="G105" s="42"/>
      <c r="H105" s="42">
        <f>F105*G105</f>
        <v>0</v>
      </c>
      <c r="I105" s="42"/>
      <c r="J105" s="42"/>
      <c r="K105" s="42"/>
      <c r="L105" s="42"/>
      <c r="M105" s="87">
        <f>L105+J105+H105</f>
        <v>0</v>
      </c>
    </row>
    <row r="106" spans="1:13" ht="18" customHeight="1">
      <c r="A106" s="91"/>
      <c r="B106" s="21"/>
      <c r="C106" s="28" t="s">
        <v>59</v>
      </c>
      <c r="D106" s="41" t="s">
        <v>100</v>
      </c>
      <c r="E106" s="41">
        <f>12.99/100</f>
        <v>0.12990000000000002</v>
      </c>
      <c r="F106" s="42">
        <v>1689</v>
      </c>
      <c r="G106" s="42"/>
      <c r="H106" s="42">
        <f>F106*G106</f>
        <v>0</v>
      </c>
      <c r="I106" s="42"/>
      <c r="J106" s="42"/>
      <c r="K106" s="42"/>
      <c r="L106" s="42"/>
      <c r="M106" s="87">
        <f>L106+J106+H106</f>
        <v>0</v>
      </c>
    </row>
    <row r="107" spans="1:13" ht="18" customHeight="1">
      <c r="A107" s="91"/>
      <c r="B107" s="21"/>
      <c r="C107" s="28" t="s">
        <v>33</v>
      </c>
      <c r="D107" s="41" t="s">
        <v>87</v>
      </c>
      <c r="E107" s="41">
        <f>12.99/100</f>
        <v>0.12990000000000002</v>
      </c>
      <c r="F107" s="46">
        <v>0.015</v>
      </c>
      <c r="G107" s="42"/>
      <c r="H107" s="42">
        <f>F107*G107</f>
        <v>0</v>
      </c>
      <c r="I107" s="42"/>
      <c r="J107" s="42"/>
      <c r="K107" s="42"/>
      <c r="L107" s="42"/>
      <c r="M107" s="87">
        <f>L107+J107+H107</f>
        <v>0</v>
      </c>
    </row>
    <row r="108" spans="1:13" ht="18" customHeight="1">
      <c r="A108" s="91"/>
      <c r="B108" s="21"/>
      <c r="C108" s="28" t="s">
        <v>86</v>
      </c>
      <c r="D108" s="41" t="s">
        <v>11</v>
      </c>
      <c r="E108" s="41">
        <f>55.8/100</f>
        <v>0.5579999999999999</v>
      </c>
      <c r="F108" s="42">
        <f>E108*F93</f>
        <v>33.48</v>
      </c>
      <c r="G108" s="42"/>
      <c r="H108" s="42">
        <f>F108*G108</f>
        <v>0</v>
      </c>
      <c r="I108" s="42"/>
      <c r="J108" s="42"/>
      <c r="K108" s="42"/>
      <c r="L108" s="42"/>
      <c r="M108" s="87">
        <f>L108+J108+H108</f>
        <v>0</v>
      </c>
    </row>
    <row r="109" spans="1:13" s="10" customFormat="1" ht="30" customHeight="1">
      <c r="A109" s="84">
        <v>5</v>
      </c>
      <c r="B109" s="19" t="s">
        <v>60</v>
      </c>
      <c r="C109" s="27" t="s">
        <v>61</v>
      </c>
      <c r="D109" s="40" t="s">
        <v>116</v>
      </c>
      <c r="E109" s="40"/>
      <c r="F109" s="38">
        <v>15</v>
      </c>
      <c r="G109" s="38"/>
      <c r="H109" s="38"/>
      <c r="I109" s="38"/>
      <c r="J109" s="38">
        <f>J110</f>
        <v>0</v>
      </c>
      <c r="K109" s="38"/>
      <c r="L109" s="38"/>
      <c r="M109" s="85">
        <f>J109</f>
        <v>0</v>
      </c>
    </row>
    <row r="110" spans="1:13" ht="20.25" customHeight="1">
      <c r="A110" s="86"/>
      <c r="B110" s="23"/>
      <c r="C110" s="22" t="s">
        <v>65</v>
      </c>
      <c r="D110" s="41" t="s">
        <v>67</v>
      </c>
      <c r="E110" s="41">
        <f>121/100</f>
        <v>1.21</v>
      </c>
      <c r="F110" s="42">
        <f>E110*F109</f>
        <v>18.15</v>
      </c>
      <c r="G110" s="42"/>
      <c r="H110" s="42"/>
      <c r="I110" s="42"/>
      <c r="J110" s="42">
        <f>I110*F110</f>
        <v>0</v>
      </c>
      <c r="K110" s="42"/>
      <c r="L110" s="42"/>
      <c r="M110" s="87">
        <f>L110+J110+H110</f>
        <v>0</v>
      </c>
    </row>
    <row r="111" spans="1:13" s="10" customFormat="1" ht="53.25" customHeight="1">
      <c r="A111" s="84">
        <v>6</v>
      </c>
      <c r="B111" s="19" t="s">
        <v>43</v>
      </c>
      <c r="C111" s="27" t="s">
        <v>123</v>
      </c>
      <c r="D111" s="40" t="s">
        <v>116</v>
      </c>
      <c r="E111" s="40"/>
      <c r="F111" s="38">
        <v>48</v>
      </c>
      <c r="G111" s="38"/>
      <c r="H111" s="38"/>
      <c r="I111" s="38"/>
      <c r="J111" s="38">
        <f>J112</f>
        <v>0</v>
      </c>
      <c r="K111" s="38"/>
      <c r="L111" s="38">
        <f>L113+L114+L115</f>
        <v>0</v>
      </c>
      <c r="M111" s="85">
        <f>J111+L111</f>
        <v>0</v>
      </c>
    </row>
    <row r="112" spans="1:13" ht="13.5" customHeight="1">
      <c r="A112" s="86"/>
      <c r="B112" s="23"/>
      <c r="C112" s="22" t="s">
        <v>65</v>
      </c>
      <c r="D112" s="41" t="s">
        <v>67</v>
      </c>
      <c r="E112" s="41">
        <f>145.4/1000</f>
        <v>0.1454</v>
      </c>
      <c r="F112" s="42">
        <f>E112*F111</f>
        <v>6.9792000000000005</v>
      </c>
      <c r="G112" s="42"/>
      <c r="H112" s="42"/>
      <c r="I112" s="42"/>
      <c r="J112" s="42">
        <f>I112*F112</f>
        <v>0</v>
      </c>
      <c r="K112" s="42"/>
      <c r="L112" s="42"/>
      <c r="M112" s="87">
        <f>L112+J112+H112</f>
        <v>0</v>
      </c>
    </row>
    <row r="113" spans="1:13" ht="27" customHeight="1">
      <c r="A113" s="86"/>
      <c r="B113" s="23"/>
      <c r="C113" s="20" t="s">
        <v>71</v>
      </c>
      <c r="D113" s="43" t="s">
        <v>69</v>
      </c>
      <c r="E113" s="41">
        <f>86.2/1000</f>
        <v>0.0862</v>
      </c>
      <c r="F113" s="42">
        <f>E113*F111</f>
        <v>4.1376</v>
      </c>
      <c r="G113" s="42"/>
      <c r="H113" s="42"/>
      <c r="I113" s="42"/>
      <c r="J113" s="42"/>
      <c r="K113" s="42"/>
      <c r="L113" s="42">
        <f>K113*F113</f>
        <v>0</v>
      </c>
      <c r="M113" s="87">
        <f>L113+J113+H113</f>
        <v>0</v>
      </c>
    </row>
    <row r="114" spans="1:13" ht="13.5" customHeight="1">
      <c r="A114" s="86"/>
      <c r="B114" s="23"/>
      <c r="C114" s="20" t="s">
        <v>68</v>
      </c>
      <c r="D114" s="43" t="s">
        <v>69</v>
      </c>
      <c r="E114" s="41">
        <f>21.6/1000</f>
        <v>0.0216</v>
      </c>
      <c r="F114" s="42">
        <f>E114*F111</f>
        <v>1.0368</v>
      </c>
      <c r="G114" s="42"/>
      <c r="H114" s="42"/>
      <c r="I114" s="42"/>
      <c r="J114" s="42"/>
      <c r="K114" s="42"/>
      <c r="L114" s="42">
        <f>K114*F114</f>
        <v>0</v>
      </c>
      <c r="M114" s="87">
        <f>L114+J114+H114</f>
        <v>0</v>
      </c>
    </row>
    <row r="115" spans="1:13" ht="13.5" customHeight="1" thickBot="1">
      <c r="A115" s="88"/>
      <c r="B115" s="61"/>
      <c r="C115" s="60" t="s">
        <v>66</v>
      </c>
      <c r="D115" s="62" t="s">
        <v>11</v>
      </c>
      <c r="E115" s="62">
        <f>468.54/1000</f>
        <v>0.46854</v>
      </c>
      <c r="F115" s="63">
        <f>E115*F111</f>
        <v>22.48992</v>
      </c>
      <c r="G115" s="63"/>
      <c r="H115" s="63"/>
      <c r="I115" s="63"/>
      <c r="J115" s="63"/>
      <c r="K115" s="63"/>
      <c r="L115" s="63">
        <f>K115*F115</f>
        <v>0</v>
      </c>
      <c r="M115" s="89">
        <f>L115+J115+H115</f>
        <v>0</v>
      </c>
    </row>
    <row r="116" spans="1:13" ht="30" customHeight="1" thickBot="1">
      <c r="A116" s="54" t="s">
        <v>101</v>
      </c>
      <c r="B116" s="55"/>
      <c r="C116" s="56" t="s">
        <v>29</v>
      </c>
      <c r="D116" s="57" t="s">
        <v>11</v>
      </c>
      <c r="E116" s="57"/>
      <c r="F116" s="57"/>
      <c r="G116" s="57"/>
      <c r="H116" s="59">
        <f>H111+H109+H93+H89+H87+H83</f>
        <v>0</v>
      </c>
      <c r="I116" s="59"/>
      <c r="J116" s="59">
        <f>J111+J109+J93+J89+J87+J83</f>
        <v>0</v>
      </c>
      <c r="K116" s="59"/>
      <c r="L116" s="59">
        <f>L111+L109+L93+L89+L87+L83</f>
        <v>0</v>
      </c>
      <c r="M116" s="59">
        <f>M111+M109+M93+M89+M87+M83</f>
        <v>0</v>
      </c>
    </row>
    <row r="117" spans="1:13" ht="30" customHeight="1">
      <c r="A117" s="82" t="s">
        <v>101</v>
      </c>
      <c r="B117" s="51"/>
      <c r="C117" s="52" t="s">
        <v>40</v>
      </c>
      <c r="D117" s="65"/>
      <c r="E117" s="65"/>
      <c r="F117" s="65"/>
      <c r="G117" s="65"/>
      <c r="H117" s="66"/>
      <c r="I117" s="66"/>
      <c r="J117" s="66"/>
      <c r="K117" s="66"/>
      <c r="L117" s="66"/>
      <c r="M117" s="93"/>
    </row>
    <row r="118" spans="1:13" ht="18.75" customHeight="1">
      <c r="A118" s="86" t="s">
        <v>101</v>
      </c>
      <c r="B118" s="26"/>
      <c r="C118" s="16" t="s">
        <v>63</v>
      </c>
      <c r="D118" s="41"/>
      <c r="E118" s="41"/>
      <c r="F118" s="42"/>
      <c r="G118" s="42"/>
      <c r="H118" s="42"/>
      <c r="I118" s="42"/>
      <c r="J118" s="42"/>
      <c r="K118" s="42"/>
      <c r="L118" s="42"/>
      <c r="M118" s="87"/>
    </row>
    <row r="119" spans="1:13" s="10" customFormat="1" ht="44.25" customHeight="1">
      <c r="A119" s="84">
        <v>1</v>
      </c>
      <c r="B119" s="19" t="s">
        <v>104</v>
      </c>
      <c r="C119" s="27" t="s">
        <v>52</v>
      </c>
      <c r="D119" s="40" t="s">
        <v>116</v>
      </c>
      <c r="E119" s="40"/>
      <c r="F119" s="38">
        <v>5.5</v>
      </c>
      <c r="G119" s="38"/>
      <c r="H119" s="38"/>
      <c r="I119" s="38"/>
      <c r="J119" s="38">
        <f>J120</f>
        <v>0</v>
      </c>
      <c r="K119" s="38"/>
      <c r="L119" s="38">
        <f>L121+L122+L123</f>
        <v>0</v>
      </c>
      <c r="M119" s="85">
        <f>J119+L119</f>
        <v>0</v>
      </c>
    </row>
    <row r="120" spans="1:13" ht="16.5" customHeight="1">
      <c r="A120" s="86"/>
      <c r="B120" s="23"/>
      <c r="C120" s="22" t="s">
        <v>65</v>
      </c>
      <c r="D120" s="41" t="s">
        <v>67</v>
      </c>
      <c r="E120" s="41">
        <f>13.6/1000+145.4/1000</f>
        <v>0.159</v>
      </c>
      <c r="F120" s="42">
        <f>E120*F119</f>
        <v>0.8745</v>
      </c>
      <c r="G120" s="42"/>
      <c r="H120" s="42"/>
      <c r="I120" s="42"/>
      <c r="J120" s="42">
        <f>I120*F120</f>
        <v>0</v>
      </c>
      <c r="K120" s="42"/>
      <c r="L120" s="42"/>
      <c r="M120" s="87">
        <f>L120+J120+H120</f>
        <v>0</v>
      </c>
    </row>
    <row r="121" spans="1:13" ht="27">
      <c r="A121" s="86"/>
      <c r="B121" s="23"/>
      <c r="C121" s="20" t="s">
        <v>71</v>
      </c>
      <c r="D121" s="43" t="s">
        <v>69</v>
      </c>
      <c r="E121" s="41">
        <f>86.2/1000</f>
        <v>0.0862</v>
      </c>
      <c r="F121" s="42">
        <f>E121*F119</f>
        <v>0.47409999999999997</v>
      </c>
      <c r="G121" s="42"/>
      <c r="H121" s="42"/>
      <c r="I121" s="42"/>
      <c r="J121" s="42"/>
      <c r="K121" s="42"/>
      <c r="L121" s="42">
        <f>K121*F121</f>
        <v>0</v>
      </c>
      <c r="M121" s="87">
        <f>L121+J121+H121</f>
        <v>0</v>
      </c>
    </row>
    <row r="122" spans="1:13" ht="16.5" customHeight="1">
      <c r="A122" s="86"/>
      <c r="B122" s="23"/>
      <c r="C122" s="20" t="s">
        <v>68</v>
      </c>
      <c r="D122" s="43" t="s">
        <v>69</v>
      </c>
      <c r="E122" s="41">
        <f>13.6/1000+21.6/1000</f>
        <v>0.0352</v>
      </c>
      <c r="F122" s="42">
        <f>E122*F119</f>
        <v>0.19360000000000002</v>
      </c>
      <c r="G122" s="42"/>
      <c r="H122" s="42"/>
      <c r="I122" s="42"/>
      <c r="J122" s="42"/>
      <c r="K122" s="42"/>
      <c r="L122" s="42">
        <f>K122*F122</f>
        <v>0</v>
      </c>
      <c r="M122" s="87">
        <f>L122+J122+H122</f>
        <v>0</v>
      </c>
    </row>
    <row r="123" spans="1:13" ht="16.5" customHeight="1">
      <c r="A123" s="86"/>
      <c r="B123" s="23"/>
      <c r="C123" s="22" t="s">
        <v>66</v>
      </c>
      <c r="D123" s="41" t="s">
        <v>11</v>
      </c>
      <c r="E123" s="41">
        <f>71.94/1000+468.64/1000</f>
        <v>0.5405800000000001</v>
      </c>
      <c r="F123" s="42">
        <f>E123*F119</f>
        <v>2.97319</v>
      </c>
      <c r="G123" s="42"/>
      <c r="H123" s="42"/>
      <c r="I123" s="42"/>
      <c r="J123" s="42"/>
      <c r="K123" s="42"/>
      <c r="L123" s="42">
        <f>K123*F123</f>
        <v>0</v>
      </c>
      <c r="M123" s="87">
        <f>L123+J123+H123</f>
        <v>0</v>
      </c>
    </row>
    <row r="124" spans="1:13" s="10" customFormat="1" ht="58.5" customHeight="1">
      <c r="A124" s="84">
        <v>2</v>
      </c>
      <c r="B124" s="25" t="s">
        <v>30</v>
      </c>
      <c r="C124" s="27" t="s">
        <v>113</v>
      </c>
      <c r="D124" s="40" t="s">
        <v>116</v>
      </c>
      <c r="E124" s="40"/>
      <c r="F124" s="38">
        <v>4.5</v>
      </c>
      <c r="G124" s="38"/>
      <c r="H124" s="38">
        <f>H129+H130</f>
        <v>0</v>
      </c>
      <c r="I124" s="38"/>
      <c r="J124" s="38">
        <f>J125</f>
        <v>0</v>
      </c>
      <c r="K124" s="38"/>
      <c r="L124" s="38">
        <f>L126+L127+L128+L131</f>
        <v>0</v>
      </c>
      <c r="M124" s="85">
        <f>H124+J124+L124</f>
        <v>0</v>
      </c>
    </row>
    <row r="125" spans="1:13" s="4" customFormat="1" ht="23.25" customHeight="1">
      <c r="A125" s="86"/>
      <c r="B125" s="23"/>
      <c r="C125" s="22" t="s">
        <v>65</v>
      </c>
      <c r="D125" s="41" t="s">
        <v>67</v>
      </c>
      <c r="E125" s="41">
        <f>18.5/100</f>
        <v>0.185</v>
      </c>
      <c r="F125" s="42">
        <f>E125*F124</f>
        <v>0.8325</v>
      </c>
      <c r="G125" s="42"/>
      <c r="H125" s="42"/>
      <c r="I125" s="42"/>
      <c r="J125" s="42">
        <f>I125*F125</f>
        <v>0</v>
      </c>
      <c r="K125" s="42"/>
      <c r="L125" s="42"/>
      <c r="M125" s="87">
        <f>L125+J125+H125</f>
        <v>0</v>
      </c>
    </row>
    <row r="126" spans="1:13" ht="23.25" customHeight="1">
      <c r="A126" s="86"/>
      <c r="B126" s="23"/>
      <c r="C126" s="20" t="s">
        <v>78</v>
      </c>
      <c r="D126" s="43" t="s">
        <v>69</v>
      </c>
      <c r="E126" s="41">
        <f>1.55/100</f>
        <v>0.0155</v>
      </c>
      <c r="F126" s="42">
        <f>E126*F123</f>
        <v>0.046084445</v>
      </c>
      <c r="G126" s="42"/>
      <c r="H126" s="42"/>
      <c r="I126" s="42"/>
      <c r="J126" s="42"/>
      <c r="K126" s="42"/>
      <c r="L126" s="42">
        <f>K126*F126</f>
        <v>0</v>
      </c>
      <c r="M126" s="87">
        <f aca="true" t="shared" si="8" ref="M126:M131">L126+J126+H126</f>
        <v>0</v>
      </c>
    </row>
    <row r="127" spans="1:13" ht="23.25" customHeight="1">
      <c r="A127" s="86"/>
      <c r="B127" s="23"/>
      <c r="C127" s="20" t="s">
        <v>72</v>
      </c>
      <c r="D127" s="43" t="s">
        <v>69</v>
      </c>
      <c r="E127" s="41">
        <f>1.64/100</f>
        <v>0.016399999999999998</v>
      </c>
      <c r="F127" s="42">
        <f>E127*F123</f>
        <v>0.048760316</v>
      </c>
      <c r="G127" s="42"/>
      <c r="H127" s="42"/>
      <c r="I127" s="42"/>
      <c r="J127" s="42"/>
      <c r="K127" s="42"/>
      <c r="L127" s="42">
        <f>K127*F127</f>
        <v>0</v>
      </c>
      <c r="M127" s="87">
        <f t="shared" si="8"/>
        <v>0</v>
      </c>
    </row>
    <row r="128" spans="1:13" ht="23.25" customHeight="1">
      <c r="A128" s="86"/>
      <c r="B128" s="23"/>
      <c r="C128" s="20" t="s">
        <v>73</v>
      </c>
      <c r="D128" s="43" t="s">
        <v>69</v>
      </c>
      <c r="E128" s="41">
        <f>0.91/100</f>
        <v>0.0091</v>
      </c>
      <c r="F128" s="42">
        <f>E128*F123</f>
        <v>0.027056029000000002</v>
      </c>
      <c r="G128" s="42"/>
      <c r="H128" s="42"/>
      <c r="I128" s="42"/>
      <c r="J128" s="42"/>
      <c r="K128" s="42"/>
      <c r="L128" s="42">
        <f>K128*F128</f>
        <v>0</v>
      </c>
      <c r="M128" s="87">
        <f t="shared" si="8"/>
        <v>0</v>
      </c>
    </row>
    <row r="129" spans="1:13" ht="23.25" customHeight="1">
      <c r="A129" s="86"/>
      <c r="B129" s="26"/>
      <c r="C129" s="22" t="s">
        <v>76</v>
      </c>
      <c r="D129" s="41" t="s">
        <v>74</v>
      </c>
      <c r="E129" s="41">
        <v>1</v>
      </c>
      <c r="F129" s="42">
        <f>E129*F123</f>
        <v>2.97319</v>
      </c>
      <c r="G129" s="42"/>
      <c r="H129" s="42">
        <f>G129*F129</f>
        <v>0</v>
      </c>
      <c r="I129" s="42"/>
      <c r="J129" s="42"/>
      <c r="K129" s="42"/>
      <c r="L129" s="42"/>
      <c r="M129" s="87">
        <f t="shared" si="8"/>
        <v>0</v>
      </c>
    </row>
    <row r="130" spans="1:13" ht="23.25" customHeight="1">
      <c r="A130" s="86"/>
      <c r="B130" s="26"/>
      <c r="C130" s="22" t="s">
        <v>75</v>
      </c>
      <c r="D130" s="41" t="s">
        <v>74</v>
      </c>
      <c r="E130" s="41">
        <f>7/100</f>
        <v>0.07</v>
      </c>
      <c r="F130" s="42">
        <f>E130*F123</f>
        <v>0.20812330000000004</v>
      </c>
      <c r="G130" s="42"/>
      <c r="H130" s="42">
        <f>G130*F130</f>
        <v>0</v>
      </c>
      <c r="I130" s="42"/>
      <c r="J130" s="42"/>
      <c r="K130" s="42"/>
      <c r="L130" s="42"/>
      <c r="M130" s="87">
        <f t="shared" si="8"/>
        <v>0</v>
      </c>
    </row>
    <row r="131" spans="1:13" ht="23.25" customHeight="1">
      <c r="A131" s="86"/>
      <c r="B131" s="23"/>
      <c r="C131" s="22" t="s">
        <v>66</v>
      </c>
      <c r="D131" s="41" t="s">
        <v>11</v>
      </c>
      <c r="E131" s="41">
        <f>31.42/100</f>
        <v>0.31420000000000003</v>
      </c>
      <c r="F131" s="42">
        <f>E131*F123</f>
        <v>0.9341762980000001</v>
      </c>
      <c r="G131" s="42"/>
      <c r="H131" s="42"/>
      <c r="I131" s="42"/>
      <c r="J131" s="42"/>
      <c r="K131" s="42"/>
      <c r="L131" s="42">
        <f>K131*F131</f>
        <v>0</v>
      </c>
      <c r="M131" s="87">
        <f t="shared" si="8"/>
        <v>0</v>
      </c>
    </row>
    <row r="132" spans="1:13" s="10" customFormat="1" ht="63" customHeight="1">
      <c r="A132" s="84">
        <v>3</v>
      </c>
      <c r="B132" s="25" t="s">
        <v>31</v>
      </c>
      <c r="C132" s="18" t="s">
        <v>120</v>
      </c>
      <c r="D132" s="37" t="s">
        <v>118</v>
      </c>
      <c r="E132" s="37"/>
      <c r="F132" s="38">
        <v>64</v>
      </c>
      <c r="G132" s="38"/>
      <c r="H132" s="38">
        <f>H140+H141</f>
        <v>0</v>
      </c>
      <c r="I132" s="38"/>
      <c r="J132" s="38">
        <f>J133</f>
        <v>0</v>
      </c>
      <c r="K132" s="38"/>
      <c r="L132" s="38">
        <f>L134+L135+L136+L137+L138+L139</f>
        <v>0</v>
      </c>
      <c r="M132" s="85">
        <f>H132+J132+L132</f>
        <v>0</v>
      </c>
    </row>
    <row r="133" spans="1:13" ht="13.5">
      <c r="A133" s="86"/>
      <c r="B133" s="23"/>
      <c r="C133" s="22" t="s">
        <v>65</v>
      </c>
      <c r="D133" s="41" t="s">
        <v>67</v>
      </c>
      <c r="E133" s="41">
        <f>73.38/1000</f>
        <v>0.07338</v>
      </c>
      <c r="F133" s="42">
        <f>E133*F132</f>
        <v>4.69632</v>
      </c>
      <c r="G133" s="42"/>
      <c r="H133" s="42"/>
      <c r="I133" s="42"/>
      <c r="J133" s="42">
        <f>I133*F133</f>
        <v>0</v>
      </c>
      <c r="K133" s="42"/>
      <c r="L133" s="42"/>
      <c r="M133" s="87">
        <f aca="true" t="shared" si="9" ref="M133:M141">L133+J133+H133</f>
        <v>0</v>
      </c>
    </row>
    <row r="134" spans="1:13" ht="13.5">
      <c r="A134" s="86"/>
      <c r="B134" s="23"/>
      <c r="C134" s="20" t="s">
        <v>77</v>
      </c>
      <c r="D134" s="43" t="s">
        <v>69</v>
      </c>
      <c r="E134" s="41">
        <f>2.35/1000</f>
        <v>0.00235</v>
      </c>
      <c r="F134" s="42">
        <f>E134*F132</f>
        <v>0.1504</v>
      </c>
      <c r="G134" s="42"/>
      <c r="H134" s="42"/>
      <c r="I134" s="42"/>
      <c r="J134" s="42"/>
      <c r="K134" s="42"/>
      <c r="L134" s="42">
        <f aca="true" t="shared" si="10" ref="L134:L139">K134*F134</f>
        <v>0</v>
      </c>
      <c r="M134" s="87">
        <f t="shared" si="9"/>
        <v>0</v>
      </c>
    </row>
    <row r="135" spans="1:13" ht="13.5">
      <c r="A135" s="86"/>
      <c r="B135" s="23"/>
      <c r="C135" s="20" t="s">
        <v>78</v>
      </c>
      <c r="D135" s="43" t="s">
        <v>69</v>
      </c>
      <c r="E135" s="41">
        <f>0.36/1000</f>
        <v>0.00035999999999999997</v>
      </c>
      <c r="F135" s="42">
        <f>E135*F132</f>
        <v>0.023039999999999998</v>
      </c>
      <c r="G135" s="42"/>
      <c r="H135" s="42"/>
      <c r="I135" s="42"/>
      <c r="J135" s="42"/>
      <c r="K135" s="42"/>
      <c r="L135" s="42">
        <f t="shared" si="10"/>
        <v>0</v>
      </c>
      <c r="M135" s="87">
        <f t="shared" si="9"/>
        <v>0</v>
      </c>
    </row>
    <row r="136" spans="1:13" ht="27">
      <c r="A136" s="86"/>
      <c r="B136" s="23"/>
      <c r="C136" s="20" t="s">
        <v>79</v>
      </c>
      <c r="D136" s="43" t="s">
        <v>69</v>
      </c>
      <c r="E136" s="41">
        <f>10.6/1000</f>
        <v>0.0106</v>
      </c>
      <c r="F136" s="42">
        <f>E136*F132</f>
        <v>0.6784</v>
      </c>
      <c r="G136" s="42"/>
      <c r="H136" s="42"/>
      <c r="I136" s="42"/>
      <c r="J136" s="42"/>
      <c r="K136" s="42"/>
      <c r="L136" s="42">
        <f t="shared" si="10"/>
        <v>0</v>
      </c>
      <c r="M136" s="87">
        <f t="shared" si="9"/>
        <v>0</v>
      </c>
    </row>
    <row r="137" spans="1:13" ht="27">
      <c r="A137" s="86"/>
      <c r="B137" s="23"/>
      <c r="C137" s="20" t="s">
        <v>80</v>
      </c>
      <c r="D137" s="43" t="s">
        <v>69</v>
      </c>
      <c r="E137" s="41">
        <f>10.6/1000</f>
        <v>0.0106</v>
      </c>
      <c r="F137" s="42">
        <f>E137*F132</f>
        <v>0.6784</v>
      </c>
      <c r="G137" s="42"/>
      <c r="H137" s="42"/>
      <c r="I137" s="42"/>
      <c r="J137" s="42"/>
      <c r="K137" s="42"/>
      <c r="L137" s="42">
        <f t="shared" si="10"/>
        <v>0</v>
      </c>
      <c r="M137" s="87">
        <f t="shared" si="9"/>
        <v>0</v>
      </c>
    </row>
    <row r="138" spans="1:13" ht="13.5">
      <c r="A138" s="86"/>
      <c r="B138" s="23"/>
      <c r="C138" s="20" t="s">
        <v>73</v>
      </c>
      <c r="D138" s="43" t="s">
        <v>69</v>
      </c>
      <c r="E138" s="41">
        <f>0.91/100</f>
        <v>0.0091</v>
      </c>
      <c r="F138" s="42">
        <f>E138*F132</f>
        <v>0.5824</v>
      </c>
      <c r="G138" s="42"/>
      <c r="H138" s="42"/>
      <c r="I138" s="42"/>
      <c r="J138" s="42"/>
      <c r="K138" s="42"/>
      <c r="L138" s="42">
        <f t="shared" si="10"/>
        <v>0</v>
      </c>
      <c r="M138" s="87">
        <f t="shared" si="9"/>
        <v>0</v>
      </c>
    </row>
    <row r="139" spans="1:13" ht="13.5">
      <c r="A139" s="86"/>
      <c r="B139" s="26"/>
      <c r="C139" s="22" t="s">
        <v>81</v>
      </c>
      <c r="D139" s="43" t="s">
        <v>69</v>
      </c>
      <c r="E139" s="44">
        <f>0.57/1000</f>
        <v>0.00057</v>
      </c>
      <c r="F139" s="42">
        <f>E139*F132</f>
        <v>0.03648</v>
      </c>
      <c r="G139" s="42"/>
      <c r="H139" s="42"/>
      <c r="I139" s="42"/>
      <c r="J139" s="42"/>
      <c r="K139" s="42"/>
      <c r="L139" s="42">
        <f t="shared" si="10"/>
        <v>0</v>
      </c>
      <c r="M139" s="87">
        <f t="shared" si="9"/>
        <v>0</v>
      </c>
    </row>
    <row r="140" spans="1:13" ht="13.5">
      <c r="A140" s="86"/>
      <c r="B140" s="26"/>
      <c r="C140" s="22" t="s">
        <v>82</v>
      </c>
      <c r="D140" s="44" t="s">
        <v>74</v>
      </c>
      <c r="E140" s="44">
        <f>15/1000+189/1000</f>
        <v>0.20400000000000001</v>
      </c>
      <c r="F140" s="42">
        <f>E140*F132</f>
        <v>13.056000000000001</v>
      </c>
      <c r="G140" s="42"/>
      <c r="H140" s="42">
        <f>G140*F140</f>
        <v>0</v>
      </c>
      <c r="I140" s="42"/>
      <c r="J140" s="42"/>
      <c r="K140" s="42"/>
      <c r="L140" s="42"/>
      <c r="M140" s="87">
        <f t="shared" si="9"/>
        <v>0</v>
      </c>
    </row>
    <row r="141" spans="1:13" ht="13.5">
      <c r="A141" s="86"/>
      <c r="B141" s="26"/>
      <c r="C141" s="22" t="s">
        <v>75</v>
      </c>
      <c r="D141" s="41" t="s">
        <v>74</v>
      </c>
      <c r="E141" s="41">
        <f>30/1000</f>
        <v>0.03</v>
      </c>
      <c r="F141" s="42">
        <f>E141*F134</f>
        <v>0.004512</v>
      </c>
      <c r="G141" s="42"/>
      <c r="H141" s="42">
        <f>G141*F141</f>
        <v>0</v>
      </c>
      <c r="I141" s="42"/>
      <c r="J141" s="42"/>
      <c r="K141" s="42"/>
      <c r="L141" s="42"/>
      <c r="M141" s="87">
        <f t="shared" si="9"/>
        <v>0</v>
      </c>
    </row>
    <row r="142" spans="1:13" s="10" customFormat="1" ht="30" customHeight="1">
      <c r="A142" s="84">
        <v>4</v>
      </c>
      <c r="B142" s="25" t="s">
        <v>46</v>
      </c>
      <c r="C142" s="18" t="s">
        <v>47</v>
      </c>
      <c r="D142" s="40" t="s">
        <v>19</v>
      </c>
      <c r="E142" s="40"/>
      <c r="F142" s="45">
        <v>0.04</v>
      </c>
      <c r="G142" s="38"/>
      <c r="H142" s="38">
        <f>H144</f>
        <v>0</v>
      </c>
      <c r="I142" s="42"/>
      <c r="J142" s="42"/>
      <c r="K142" s="38"/>
      <c r="L142" s="38">
        <f>L143</f>
        <v>0</v>
      </c>
      <c r="M142" s="85">
        <f>L142+H142</f>
        <v>0</v>
      </c>
    </row>
    <row r="143" spans="1:13" ht="20.25" customHeight="1">
      <c r="A143" s="91"/>
      <c r="B143" s="26"/>
      <c r="C143" s="22" t="s">
        <v>105</v>
      </c>
      <c r="D143" s="41" t="s">
        <v>69</v>
      </c>
      <c r="E143" s="41">
        <v>0.3</v>
      </c>
      <c r="F143" s="42">
        <f>E143*F142</f>
        <v>0.012</v>
      </c>
      <c r="G143" s="42"/>
      <c r="H143" s="42"/>
      <c r="I143" s="42"/>
      <c r="J143" s="42"/>
      <c r="K143" s="42"/>
      <c r="L143" s="42">
        <f>K143*F143</f>
        <v>0</v>
      </c>
      <c r="M143" s="87">
        <f>L143+J143+H143</f>
        <v>0</v>
      </c>
    </row>
    <row r="144" spans="1:13" ht="20.25" customHeight="1">
      <c r="A144" s="91"/>
      <c r="B144" s="26"/>
      <c r="C144" s="22" t="s">
        <v>106</v>
      </c>
      <c r="D144" s="41" t="s">
        <v>87</v>
      </c>
      <c r="E144" s="41">
        <v>1.03</v>
      </c>
      <c r="F144" s="42">
        <f>E144*F142</f>
        <v>0.0412</v>
      </c>
      <c r="G144" s="42"/>
      <c r="H144" s="42">
        <f>G144*F144</f>
        <v>0</v>
      </c>
      <c r="I144" s="42"/>
      <c r="J144" s="42"/>
      <c r="K144" s="42"/>
      <c r="L144" s="42"/>
      <c r="M144" s="87">
        <f>L144+J144+H144</f>
        <v>0</v>
      </c>
    </row>
    <row r="145" spans="1:13" s="10" customFormat="1" ht="54">
      <c r="A145" s="84">
        <v>5</v>
      </c>
      <c r="B145" s="25" t="s">
        <v>48</v>
      </c>
      <c r="C145" s="18" t="s">
        <v>49</v>
      </c>
      <c r="D145" s="40" t="s">
        <v>118</v>
      </c>
      <c r="E145" s="40"/>
      <c r="F145" s="38">
        <v>64</v>
      </c>
      <c r="G145" s="38"/>
      <c r="H145" s="38">
        <f>H151+H152</f>
        <v>0</v>
      </c>
      <c r="I145" s="38"/>
      <c r="J145" s="38">
        <f>J146</f>
        <v>0</v>
      </c>
      <c r="K145" s="38"/>
      <c r="L145" s="38">
        <f>L147+L148+L149+L150</f>
        <v>0</v>
      </c>
      <c r="M145" s="85">
        <f>H145+J145+L145</f>
        <v>0</v>
      </c>
    </row>
    <row r="146" spans="1:13" ht="18" customHeight="1">
      <c r="A146" s="86"/>
      <c r="B146" s="23"/>
      <c r="C146" s="22" t="s">
        <v>65</v>
      </c>
      <c r="D146" s="41" t="s">
        <v>67</v>
      </c>
      <c r="E146" s="41">
        <f>51.26/1000</f>
        <v>0.05126</v>
      </c>
      <c r="F146" s="42">
        <f>E146*F145</f>
        <v>3.28064</v>
      </c>
      <c r="G146" s="42"/>
      <c r="H146" s="42"/>
      <c r="I146" s="42"/>
      <c r="J146" s="42">
        <f>I146*F146</f>
        <v>0</v>
      </c>
      <c r="K146" s="42"/>
      <c r="L146" s="42"/>
      <c r="M146" s="87">
        <f>L146+J146+H146</f>
        <v>0</v>
      </c>
    </row>
    <row r="147" spans="1:13" ht="27" customHeight="1">
      <c r="A147" s="86"/>
      <c r="B147" s="23"/>
      <c r="C147" s="20" t="s">
        <v>79</v>
      </c>
      <c r="D147" s="43" t="s">
        <v>69</v>
      </c>
      <c r="E147" s="41">
        <f>3.47/1000</f>
        <v>0.00347</v>
      </c>
      <c r="F147" s="42">
        <f>E147*F145</f>
        <v>0.22208</v>
      </c>
      <c r="G147" s="42"/>
      <c r="H147" s="42"/>
      <c r="I147" s="42"/>
      <c r="J147" s="42"/>
      <c r="K147" s="42"/>
      <c r="L147" s="42">
        <f>K147*F147</f>
        <v>0</v>
      </c>
      <c r="M147" s="87">
        <f aca="true" t="shared" si="11" ref="M147:M152">L147+J147+H147</f>
        <v>0</v>
      </c>
    </row>
    <row r="148" spans="1:13" ht="31.5" customHeight="1">
      <c r="A148" s="86"/>
      <c r="B148" s="23"/>
      <c r="C148" s="20" t="s">
        <v>80</v>
      </c>
      <c r="D148" s="43" t="s">
        <v>69</v>
      </c>
      <c r="E148" s="41">
        <f>10.1/1000</f>
        <v>0.0101</v>
      </c>
      <c r="F148" s="42">
        <f>E148*F145</f>
        <v>0.6464</v>
      </c>
      <c r="G148" s="42"/>
      <c r="H148" s="42"/>
      <c r="I148" s="42"/>
      <c r="J148" s="42"/>
      <c r="K148" s="42"/>
      <c r="L148" s="42">
        <f>K148*F148</f>
        <v>0</v>
      </c>
      <c r="M148" s="87">
        <f t="shared" si="11"/>
        <v>0</v>
      </c>
    </row>
    <row r="149" spans="1:13" s="10" customFormat="1" ht="18" customHeight="1">
      <c r="A149" s="84"/>
      <c r="B149" s="25"/>
      <c r="C149" s="22" t="s">
        <v>83</v>
      </c>
      <c r="D149" s="43" t="s">
        <v>69</v>
      </c>
      <c r="E149" s="41">
        <f>2.8/1000</f>
        <v>0.0028</v>
      </c>
      <c r="F149" s="42">
        <f>E149*F145</f>
        <v>0.1792</v>
      </c>
      <c r="G149" s="38"/>
      <c r="H149" s="42"/>
      <c r="I149" s="42"/>
      <c r="J149" s="42"/>
      <c r="K149" s="42"/>
      <c r="L149" s="42">
        <f>K149*F149</f>
        <v>0</v>
      </c>
      <c r="M149" s="87">
        <f t="shared" si="11"/>
        <v>0</v>
      </c>
    </row>
    <row r="150" spans="1:13" s="10" customFormat="1" ht="18" customHeight="1">
      <c r="A150" s="84"/>
      <c r="B150" s="25"/>
      <c r="C150" s="22" t="s">
        <v>84</v>
      </c>
      <c r="D150" s="43" t="s">
        <v>11</v>
      </c>
      <c r="E150" s="41">
        <f>3.92/1000</f>
        <v>0.00392</v>
      </c>
      <c r="F150" s="42">
        <f>E150*F145</f>
        <v>0.25088</v>
      </c>
      <c r="G150" s="38"/>
      <c r="H150" s="42"/>
      <c r="I150" s="42"/>
      <c r="J150" s="42"/>
      <c r="K150" s="42"/>
      <c r="L150" s="42">
        <f>K150*F150</f>
        <v>0</v>
      </c>
      <c r="M150" s="87">
        <f t="shared" si="11"/>
        <v>0</v>
      </c>
    </row>
    <row r="151" spans="1:13" s="10" customFormat="1" ht="18" customHeight="1">
      <c r="A151" s="84"/>
      <c r="B151" s="25"/>
      <c r="C151" s="22" t="s">
        <v>85</v>
      </c>
      <c r="D151" s="43" t="s">
        <v>87</v>
      </c>
      <c r="E151" s="41">
        <f>102/1000+12.7*2/1000</f>
        <v>0.12739999999999999</v>
      </c>
      <c r="F151" s="42">
        <f>E151*F145</f>
        <v>8.153599999999999</v>
      </c>
      <c r="G151" s="42"/>
      <c r="H151" s="42">
        <f>G151*F151</f>
        <v>0</v>
      </c>
      <c r="I151" s="42"/>
      <c r="J151" s="42"/>
      <c r="K151" s="42"/>
      <c r="L151" s="42"/>
      <c r="M151" s="87">
        <f t="shared" si="11"/>
        <v>0</v>
      </c>
    </row>
    <row r="152" spans="1:13" s="10" customFormat="1" ht="18" customHeight="1">
      <c r="A152" s="84"/>
      <c r="B152" s="25"/>
      <c r="C152" s="22" t="s">
        <v>86</v>
      </c>
      <c r="D152" s="43" t="s">
        <v>11</v>
      </c>
      <c r="E152" s="41">
        <f>25.17/1000+0.04*2/1000</f>
        <v>0.02525</v>
      </c>
      <c r="F152" s="42">
        <f>E152*F145</f>
        <v>1.616</v>
      </c>
      <c r="G152" s="42"/>
      <c r="H152" s="42">
        <f>G152*F152</f>
        <v>0</v>
      </c>
      <c r="I152" s="42"/>
      <c r="J152" s="42"/>
      <c r="K152" s="42"/>
      <c r="L152" s="42"/>
      <c r="M152" s="87">
        <f t="shared" si="11"/>
        <v>0</v>
      </c>
    </row>
    <row r="153" spans="1:13" s="10" customFormat="1" ht="30" customHeight="1">
      <c r="A153" s="84">
        <v>6</v>
      </c>
      <c r="B153" s="25" t="s">
        <v>46</v>
      </c>
      <c r="C153" s="18" t="s">
        <v>50</v>
      </c>
      <c r="D153" s="40" t="s">
        <v>19</v>
      </c>
      <c r="E153" s="40"/>
      <c r="F153" s="45">
        <v>0.02</v>
      </c>
      <c r="G153" s="38"/>
      <c r="H153" s="38">
        <f>H155</f>
        <v>0</v>
      </c>
      <c r="I153" s="42"/>
      <c r="J153" s="42"/>
      <c r="K153" s="38"/>
      <c r="L153" s="38">
        <f>L154</f>
        <v>0</v>
      </c>
      <c r="M153" s="85">
        <f>L153+H153</f>
        <v>0</v>
      </c>
    </row>
    <row r="154" spans="1:13" ht="19.5" customHeight="1">
      <c r="A154" s="91"/>
      <c r="B154" s="26"/>
      <c r="C154" s="22" t="s">
        <v>105</v>
      </c>
      <c r="D154" s="41" t="s">
        <v>69</v>
      </c>
      <c r="E154" s="41">
        <v>0.3</v>
      </c>
      <c r="F154" s="42">
        <f>E154*F153</f>
        <v>0.006</v>
      </c>
      <c r="G154" s="42"/>
      <c r="H154" s="42"/>
      <c r="I154" s="42"/>
      <c r="J154" s="42"/>
      <c r="K154" s="42"/>
      <c r="L154" s="42">
        <f>K154*F154</f>
        <v>0</v>
      </c>
      <c r="M154" s="87">
        <f>L154+J154+H154</f>
        <v>0</v>
      </c>
    </row>
    <row r="155" spans="1:13" ht="19.5" customHeight="1">
      <c r="A155" s="91"/>
      <c r="B155" s="26"/>
      <c r="C155" s="22" t="s">
        <v>106</v>
      </c>
      <c r="D155" s="41" t="s">
        <v>87</v>
      </c>
      <c r="E155" s="41">
        <v>1.03</v>
      </c>
      <c r="F155" s="42">
        <f>E155*F153</f>
        <v>0.0206</v>
      </c>
      <c r="G155" s="42"/>
      <c r="H155" s="42">
        <f>G155*F155</f>
        <v>0</v>
      </c>
      <c r="I155" s="42"/>
      <c r="J155" s="42"/>
      <c r="K155" s="42"/>
      <c r="L155" s="42"/>
      <c r="M155" s="87">
        <f>L155+J155+H155</f>
        <v>0</v>
      </c>
    </row>
    <row r="156" spans="1:13" s="10" customFormat="1" ht="39" customHeight="1">
      <c r="A156" s="84">
        <v>7</v>
      </c>
      <c r="B156" s="25" t="s">
        <v>51</v>
      </c>
      <c r="C156" s="18" t="s">
        <v>121</v>
      </c>
      <c r="D156" s="40" t="s">
        <v>118</v>
      </c>
      <c r="E156" s="40"/>
      <c r="F156" s="38">
        <v>64</v>
      </c>
      <c r="G156" s="38"/>
      <c r="H156" s="38">
        <f>H162+H163</f>
        <v>0</v>
      </c>
      <c r="I156" s="38"/>
      <c r="J156" s="38">
        <f>J157</f>
        <v>0</v>
      </c>
      <c r="K156" s="38"/>
      <c r="L156" s="38">
        <f>L158+L159+L160+L161</f>
        <v>0</v>
      </c>
      <c r="M156" s="85">
        <f>H156+J156+L156</f>
        <v>0</v>
      </c>
    </row>
    <row r="157" spans="1:13" ht="19.5" customHeight="1">
      <c r="A157" s="86"/>
      <c r="B157" s="23"/>
      <c r="C157" s="22" t="s">
        <v>65</v>
      </c>
      <c r="D157" s="41" t="s">
        <v>67</v>
      </c>
      <c r="E157" s="41">
        <f>51.26/1000</f>
        <v>0.05126</v>
      </c>
      <c r="F157" s="42">
        <f>E157*F156</f>
        <v>3.28064</v>
      </c>
      <c r="G157" s="42"/>
      <c r="H157" s="42"/>
      <c r="I157" s="42"/>
      <c r="J157" s="42">
        <f>I157*F157</f>
        <v>0</v>
      </c>
      <c r="K157" s="42"/>
      <c r="L157" s="42"/>
      <c r="M157" s="87">
        <f>L157+J157+H157</f>
        <v>0</v>
      </c>
    </row>
    <row r="158" spans="1:13" ht="27" customHeight="1">
      <c r="A158" s="86"/>
      <c r="B158" s="23"/>
      <c r="C158" s="20" t="s">
        <v>79</v>
      </c>
      <c r="D158" s="43" t="s">
        <v>69</v>
      </c>
      <c r="E158" s="41">
        <f>3.47/1000</f>
        <v>0.00347</v>
      </c>
      <c r="F158" s="42">
        <f>E158*F156</f>
        <v>0.22208</v>
      </c>
      <c r="G158" s="42"/>
      <c r="H158" s="42"/>
      <c r="I158" s="42"/>
      <c r="J158" s="42"/>
      <c r="K158" s="42"/>
      <c r="L158" s="42">
        <f>K158*F158</f>
        <v>0</v>
      </c>
      <c r="M158" s="87">
        <f aca="true" t="shared" si="12" ref="M158:M163">L158+J158+H158</f>
        <v>0</v>
      </c>
    </row>
    <row r="159" spans="1:13" ht="30" customHeight="1">
      <c r="A159" s="86"/>
      <c r="B159" s="23"/>
      <c r="C159" s="20" t="s">
        <v>80</v>
      </c>
      <c r="D159" s="43" t="s">
        <v>69</v>
      </c>
      <c r="E159" s="41">
        <f>10.1/1000</f>
        <v>0.0101</v>
      </c>
      <c r="F159" s="42">
        <f>E159*F156</f>
        <v>0.6464</v>
      </c>
      <c r="G159" s="42"/>
      <c r="H159" s="42"/>
      <c r="I159" s="42"/>
      <c r="J159" s="42"/>
      <c r="K159" s="42"/>
      <c r="L159" s="42">
        <f>K159*F159</f>
        <v>0</v>
      </c>
      <c r="M159" s="87">
        <f t="shared" si="12"/>
        <v>0</v>
      </c>
    </row>
    <row r="160" spans="1:13" s="10" customFormat="1" ht="16.5" customHeight="1">
      <c r="A160" s="84"/>
      <c r="B160" s="25"/>
      <c r="C160" s="22" t="s">
        <v>83</v>
      </c>
      <c r="D160" s="43" t="s">
        <v>69</v>
      </c>
      <c r="E160" s="41">
        <f>2.8/1000</f>
        <v>0.0028</v>
      </c>
      <c r="F160" s="42">
        <f>E160*F156</f>
        <v>0.1792</v>
      </c>
      <c r="G160" s="38"/>
      <c r="H160" s="42"/>
      <c r="I160" s="42"/>
      <c r="J160" s="42"/>
      <c r="K160" s="42"/>
      <c r="L160" s="42">
        <f>K160*F160</f>
        <v>0</v>
      </c>
      <c r="M160" s="87">
        <f t="shared" si="12"/>
        <v>0</v>
      </c>
    </row>
    <row r="161" spans="1:13" s="10" customFormat="1" ht="16.5" customHeight="1">
      <c r="A161" s="84"/>
      <c r="B161" s="25"/>
      <c r="C161" s="22" t="s">
        <v>84</v>
      </c>
      <c r="D161" s="43" t="s">
        <v>11</v>
      </c>
      <c r="E161" s="41">
        <f>3.92/1000</f>
        <v>0.00392</v>
      </c>
      <c r="F161" s="42">
        <f>E161*F156</f>
        <v>0.25088</v>
      </c>
      <c r="G161" s="38"/>
      <c r="H161" s="42"/>
      <c r="I161" s="42"/>
      <c r="J161" s="42"/>
      <c r="K161" s="42"/>
      <c r="L161" s="42">
        <f>K161*F161</f>
        <v>0</v>
      </c>
      <c r="M161" s="87">
        <f t="shared" si="12"/>
        <v>0</v>
      </c>
    </row>
    <row r="162" spans="1:13" s="10" customFormat="1" ht="16.5" customHeight="1">
      <c r="A162" s="84"/>
      <c r="B162" s="25"/>
      <c r="C162" s="22" t="s">
        <v>85</v>
      </c>
      <c r="D162" s="43" t="s">
        <v>87</v>
      </c>
      <c r="E162" s="41">
        <f>102/1000+12.7*2/1000</f>
        <v>0.12739999999999999</v>
      </c>
      <c r="F162" s="42">
        <f>E162*F156</f>
        <v>8.153599999999999</v>
      </c>
      <c r="G162" s="42"/>
      <c r="H162" s="42">
        <f>G162*F162</f>
        <v>0</v>
      </c>
      <c r="I162" s="42"/>
      <c r="J162" s="42"/>
      <c r="K162" s="42"/>
      <c r="L162" s="42"/>
      <c r="M162" s="87">
        <f t="shared" si="12"/>
        <v>0</v>
      </c>
    </row>
    <row r="163" spans="1:13" s="10" customFormat="1" ht="16.5" customHeight="1">
      <c r="A163" s="84"/>
      <c r="B163" s="25"/>
      <c r="C163" s="22" t="s">
        <v>86</v>
      </c>
      <c r="D163" s="43" t="s">
        <v>11</v>
      </c>
      <c r="E163" s="41">
        <f>25.17/1000+0.04*2/1000</f>
        <v>0.02525</v>
      </c>
      <c r="F163" s="42">
        <f>E163*F156</f>
        <v>1.616</v>
      </c>
      <c r="G163" s="42"/>
      <c r="H163" s="42">
        <f>G163*F163</f>
        <v>0</v>
      </c>
      <c r="I163" s="42"/>
      <c r="J163" s="42"/>
      <c r="K163" s="42"/>
      <c r="L163" s="42"/>
      <c r="M163" s="87">
        <f t="shared" si="12"/>
        <v>0</v>
      </c>
    </row>
    <row r="164" spans="1:13" ht="21.75" customHeight="1">
      <c r="A164" s="86" t="s">
        <v>101</v>
      </c>
      <c r="B164" s="23"/>
      <c r="C164" s="27" t="s">
        <v>41</v>
      </c>
      <c r="D164" s="41"/>
      <c r="E164" s="41"/>
      <c r="F164" s="42"/>
      <c r="G164" s="42"/>
      <c r="H164" s="42"/>
      <c r="I164" s="42"/>
      <c r="J164" s="42"/>
      <c r="K164" s="42"/>
      <c r="L164" s="42"/>
      <c r="M164" s="87"/>
    </row>
    <row r="165" spans="1:13" s="10" customFormat="1" ht="41.25" customHeight="1">
      <c r="A165" s="84">
        <v>1</v>
      </c>
      <c r="B165" s="19" t="s">
        <v>35</v>
      </c>
      <c r="C165" s="18" t="s">
        <v>42</v>
      </c>
      <c r="D165" s="40" t="s">
        <v>116</v>
      </c>
      <c r="E165" s="40"/>
      <c r="F165" s="38">
        <v>11</v>
      </c>
      <c r="G165" s="38"/>
      <c r="H165" s="38"/>
      <c r="I165" s="38"/>
      <c r="J165" s="38">
        <f>J166</f>
        <v>0</v>
      </c>
      <c r="K165" s="38"/>
      <c r="L165" s="38"/>
      <c r="M165" s="85">
        <f>J165</f>
        <v>0</v>
      </c>
    </row>
    <row r="166" spans="1:13" ht="18" customHeight="1">
      <c r="A166" s="86"/>
      <c r="B166" s="23"/>
      <c r="C166" s="22" t="s">
        <v>65</v>
      </c>
      <c r="D166" s="41" t="s">
        <v>67</v>
      </c>
      <c r="E166" s="41">
        <f>248/100+121/100</f>
        <v>3.69</v>
      </c>
      <c r="F166" s="42">
        <f>E166*F165</f>
        <v>40.589999999999996</v>
      </c>
      <c r="G166" s="42"/>
      <c r="H166" s="42"/>
      <c r="I166" s="42"/>
      <c r="J166" s="42">
        <f>I166*F166</f>
        <v>0</v>
      </c>
      <c r="K166" s="42"/>
      <c r="L166" s="42"/>
      <c r="M166" s="87">
        <f>L166+J166+H166</f>
        <v>0</v>
      </c>
    </row>
    <row r="167" spans="1:13" s="10" customFormat="1" ht="61.5" customHeight="1">
      <c r="A167" s="84">
        <v>2</v>
      </c>
      <c r="B167" s="25" t="s">
        <v>30</v>
      </c>
      <c r="C167" s="27" t="s">
        <v>113</v>
      </c>
      <c r="D167" s="40" t="s">
        <v>116</v>
      </c>
      <c r="E167" s="40"/>
      <c r="F167" s="38">
        <v>12</v>
      </c>
      <c r="G167" s="38"/>
      <c r="H167" s="38">
        <f>H172+H173</f>
        <v>0</v>
      </c>
      <c r="I167" s="38"/>
      <c r="J167" s="38">
        <f>J168</f>
        <v>0</v>
      </c>
      <c r="K167" s="38"/>
      <c r="L167" s="38">
        <f>L169+L170+L171+L174</f>
        <v>0</v>
      </c>
      <c r="M167" s="85">
        <f>H167+J167+L167</f>
        <v>0</v>
      </c>
    </row>
    <row r="168" spans="1:13" ht="13.5" customHeight="1">
      <c r="A168" s="86"/>
      <c r="B168" s="23"/>
      <c r="C168" s="22" t="s">
        <v>65</v>
      </c>
      <c r="D168" s="41" t="s">
        <v>67</v>
      </c>
      <c r="E168" s="41">
        <f>18.5/100</f>
        <v>0.185</v>
      </c>
      <c r="F168" s="42">
        <f>E168*F167</f>
        <v>2.2199999999999998</v>
      </c>
      <c r="G168" s="42"/>
      <c r="H168" s="42"/>
      <c r="I168" s="42"/>
      <c r="J168" s="42">
        <f>I168*F168</f>
        <v>0</v>
      </c>
      <c r="K168" s="42"/>
      <c r="L168" s="42"/>
      <c r="M168" s="87">
        <f aca="true" t="shared" si="13" ref="M168:M174">L168+J168+H168</f>
        <v>0</v>
      </c>
    </row>
    <row r="169" spans="1:13" ht="13.5" customHeight="1">
      <c r="A169" s="86"/>
      <c r="B169" s="23"/>
      <c r="C169" s="20" t="s">
        <v>78</v>
      </c>
      <c r="D169" s="43" t="s">
        <v>69</v>
      </c>
      <c r="E169" s="41">
        <f>1.55/100</f>
        <v>0.0155</v>
      </c>
      <c r="F169" s="42">
        <f>E169*F167</f>
        <v>0.186</v>
      </c>
      <c r="G169" s="42"/>
      <c r="H169" s="42"/>
      <c r="I169" s="42"/>
      <c r="J169" s="42"/>
      <c r="K169" s="42"/>
      <c r="L169" s="42">
        <f>K169*F169</f>
        <v>0</v>
      </c>
      <c r="M169" s="87">
        <f t="shared" si="13"/>
        <v>0</v>
      </c>
    </row>
    <row r="170" spans="1:13" ht="27" customHeight="1">
      <c r="A170" s="86"/>
      <c r="B170" s="23"/>
      <c r="C170" s="20" t="s">
        <v>72</v>
      </c>
      <c r="D170" s="43" t="s">
        <v>69</v>
      </c>
      <c r="E170" s="41">
        <f>1.64/100</f>
        <v>0.016399999999999998</v>
      </c>
      <c r="F170" s="42">
        <f>E170*F167</f>
        <v>0.19679999999999997</v>
      </c>
      <c r="G170" s="42"/>
      <c r="H170" s="42"/>
      <c r="I170" s="42"/>
      <c r="J170" s="42"/>
      <c r="K170" s="42"/>
      <c r="L170" s="42">
        <f>K170*F170</f>
        <v>0</v>
      </c>
      <c r="M170" s="87">
        <f t="shared" si="13"/>
        <v>0</v>
      </c>
    </row>
    <row r="171" spans="1:13" ht="13.5" customHeight="1">
      <c r="A171" s="86"/>
      <c r="B171" s="23"/>
      <c r="C171" s="20" t="s">
        <v>73</v>
      </c>
      <c r="D171" s="43" t="s">
        <v>69</v>
      </c>
      <c r="E171" s="41">
        <f>0.91/100</f>
        <v>0.0091</v>
      </c>
      <c r="F171" s="42">
        <f>E171*F167</f>
        <v>0.1092</v>
      </c>
      <c r="G171" s="42"/>
      <c r="H171" s="42"/>
      <c r="I171" s="42"/>
      <c r="J171" s="42"/>
      <c r="K171" s="42"/>
      <c r="L171" s="42">
        <f>K171*F171</f>
        <v>0</v>
      </c>
      <c r="M171" s="87">
        <f t="shared" si="13"/>
        <v>0</v>
      </c>
    </row>
    <row r="172" spans="1:13" ht="13.5" customHeight="1">
      <c r="A172" s="86"/>
      <c r="B172" s="26"/>
      <c r="C172" s="22" t="s">
        <v>76</v>
      </c>
      <c r="D172" s="41" t="s">
        <v>74</v>
      </c>
      <c r="E172" s="41">
        <v>1</v>
      </c>
      <c r="F172" s="42">
        <f>E172*F167</f>
        <v>12</v>
      </c>
      <c r="G172" s="42"/>
      <c r="H172" s="42">
        <f>G172*F172</f>
        <v>0</v>
      </c>
      <c r="I172" s="42"/>
      <c r="J172" s="42"/>
      <c r="K172" s="42"/>
      <c r="L172" s="42"/>
      <c r="M172" s="87">
        <f t="shared" si="13"/>
        <v>0</v>
      </c>
    </row>
    <row r="173" spans="1:13" ht="13.5" customHeight="1">
      <c r="A173" s="86"/>
      <c r="B173" s="26"/>
      <c r="C173" s="22" t="s">
        <v>75</v>
      </c>
      <c r="D173" s="41" t="s">
        <v>74</v>
      </c>
      <c r="E173" s="41">
        <f>7/100</f>
        <v>0.07</v>
      </c>
      <c r="F173" s="42">
        <f>E173*F167</f>
        <v>0.8400000000000001</v>
      </c>
      <c r="G173" s="42"/>
      <c r="H173" s="42">
        <f>G173*F173</f>
        <v>0</v>
      </c>
      <c r="I173" s="42"/>
      <c r="J173" s="42"/>
      <c r="K173" s="42"/>
      <c r="L173" s="42"/>
      <c r="M173" s="87">
        <f t="shared" si="13"/>
        <v>0</v>
      </c>
    </row>
    <row r="174" spans="1:13" ht="13.5" customHeight="1">
      <c r="A174" s="86"/>
      <c r="B174" s="23"/>
      <c r="C174" s="22" t="s">
        <v>66</v>
      </c>
      <c r="D174" s="41" t="s">
        <v>11</v>
      </c>
      <c r="E174" s="41">
        <f>31.42/100</f>
        <v>0.31420000000000003</v>
      </c>
      <c r="F174" s="42">
        <f>E174*F167</f>
        <v>3.7704000000000004</v>
      </c>
      <c r="G174" s="42"/>
      <c r="H174" s="42"/>
      <c r="I174" s="42"/>
      <c r="J174" s="42"/>
      <c r="K174" s="42"/>
      <c r="L174" s="42">
        <f>K174*F174</f>
        <v>0</v>
      </c>
      <c r="M174" s="87">
        <f t="shared" si="13"/>
        <v>0</v>
      </c>
    </row>
    <row r="175" spans="1:13" s="10" customFormat="1" ht="60" customHeight="1">
      <c r="A175" s="84">
        <v>3</v>
      </c>
      <c r="B175" s="25" t="s">
        <v>31</v>
      </c>
      <c r="C175" s="18" t="s">
        <v>124</v>
      </c>
      <c r="D175" s="37" t="s">
        <v>118</v>
      </c>
      <c r="E175" s="37"/>
      <c r="F175" s="38">
        <v>180</v>
      </c>
      <c r="G175" s="38"/>
      <c r="H175" s="38">
        <f>H183+H184</f>
        <v>0</v>
      </c>
      <c r="I175" s="38"/>
      <c r="J175" s="38">
        <f>J176</f>
        <v>0</v>
      </c>
      <c r="K175" s="38"/>
      <c r="L175" s="38">
        <f>L177+L178+L179+L180+L181+L182</f>
        <v>0</v>
      </c>
      <c r="M175" s="85">
        <f>H175+J175+L175</f>
        <v>0</v>
      </c>
    </row>
    <row r="176" spans="1:13" ht="18.75" customHeight="1">
      <c r="A176" s="86"/>
      <c r="B176" s="23"/>
      <c r="C176" s="22" t="s">
        <v>65</v>
      </c>
      <c r="D176" s="41" t="s">
        <v>67</v>
      </c>
      <c r="E176" s="41">
        <f>73.38/1000</f>
        <v>0.07338</v>
      </c>
      <c r="F176" s="42">
        <f>E176*F175</f>
        <v>13.208400000000001</v>
      </c>
      <c r="G176" s="42"/>
      <c r="H176" s="42"/>
      <c r="I176" s="42"/>
      <c r="J176" s="42">
        <f>I176*F176</f>
        <v>0</v>
      </c>
      <c r="K176" s="42"/>
      <c r="L176" s="42"/>
      <c r="M176" s="87">
        <f aca="true" t="shared" si="14" ref="M176:M184">L176+J176+H176</f>
        <v>0</v>
      </c>
    </row>
    <row r="177" spans="1:13" ht="18.75" customHeight="1">
      <c r="A177" s="86"/>
      <c r="B177" s="23"/>
      <c r="C177" s="20" t="s">
        <v>77</v>
      </c>
      <c r="D177" s="43" t="s">
        <v>69</v>
      </c>
      <c r="E177" s="41">
        <f>2.35/1000</f>
        <v>0.00235</v>
      </c>
      <c r="F177" s="42">
        <f>E177*F175</f>
        <v>0.42300000000000004</v>
      </c>
      <c r="G177" s="42"/>
      <c r="H177" s="42"/>
      <c r="I177" s="42"/>
      <c r="J177" s="42"/>
      <c r="K177" s="42"/>
      <c r="L177" s="42">
        <f aca="true" t="shared" si="15" ref="L177:L182">K177*F177</f>
        <v>0</v>
      </c>
      <c r="M177" s="87">
        <f t="shared" si="14"/>
        <v>0</v>
      </c>
    </row>
    <row r="178" spans="1:13" ht="18.75" customHeight="1">
      <c r="A178" s="86"/>
      <c r="B178" s="23"/>
      <c r="C178" s="20" t="s">
        <v>78</v>
      </c>
      <c r="D178" s="43" t="s">
        <v>69</v>
      </c>
      <c r="E178" s="41">
        <f>0.36/1000</f>
        <v>0.00035999999999999997</v>
      </c>
      <c r="F178" s="42">
        <f>E178*F175</f>
        <v>0.0648</v>
      </c>
      <c r="G178" s="42"/>
      <c r="H178" s="42"/>
      <c r="I178" s="42"/>
      <c r="J178" s="42"/>
      <c r="K178" s="42"/>
      <c r="L178" s="42">
        <f t="shared" si="15"/>
        <v>0</v>
      </c>
      <c r="M178" s="87">
        <f t="shared" si="14"/>
        <v>0</v>
      </c>
    </row>
    <row r="179" spans="1:13" ht="27" customHeight="1">
      <c r="A179" s="86"/>
      <c r="B179" s="23"/>
      <c r="C179" s="20" t="s">
        <v>79</v>
      </c>
      <c r="D179" s="43" t="s">
        <v>69</v>
      </c>
      <c r="E179" s="41">
        <f>10.6/1000</f>
        <v>0.0106</v>
      </c>
      <c r="F179" s="42">
        <f>E179*F175</f>
        <v>1.908</v>
      </c>
      <c r="G179" s="42"/>
      <c r="H179" s="42"/>
      <c r="I179" s="42"/>
      <c r="J179" s="42"/>
      <c r="K179" s="42"/>
      <c r="L179" s="42">
        <f t="shared" si="15"/>
        <v>0</v>
      </c>
      <c r="M179" s="87">
        <f t="shared" si="14"/>
        <v>0</v>
      </c>
    </row>
    <row r="180" spans="1:13" ht="27" customHeight="1">
      <c r="A180" s="86"/>
      <c r="B180" s="23"/>
      <c r="C180" s="20" t="s">
        <v>80</v>
      </c>
      <c r="D180" s="43" t="s">
        <v>69</v>
      </c>
      <c r="E180" s="41">
        <f>10.6/1000</f>
        <v>0.0106</v>
      </c>
      <c r="F180" s="42">
        <f>E180*F175</f>
        <v>1.908</v>
      </c>
      <c r="G180" s="42"/>
      <c r="H180" s="42"/>
      <c r="I180" s="42"/>
      <c r="J180" s="42"/>
      <c r="K180" s="42"/>
      <c r="L180" s="42">
        <f t="shared" si="15"/>
        <v>0</v>
      </c>
      <c r="M180" s="87">
        <f t="shared" si="14"/>
        <v>0</v>
      </c>
    </row>
    <row r="181" spans="1:13" ht="18.75" customHeight="1">
      <c r="A181" s="86"/>
      <c r="B181" s="23"/>
      <c r="C181" s="20" t="s">
        <v>73</v>
      </c>
      <c r="D181" s="43" t="s">
        <v>69</v>
      </c>
      <c r="E181" s="41">
        <f>0.91/100</f>
        <v>0.0091</v>
      </c>
      <c r="F181" s="42">
        <f>E181*F175</f>
        <v>1.6380000000000001</v>
      </c>
      <c r="G181" s="42"/>
      <c r="H181" s="42"/>
      <c r="I181" s="42"/>
      <c r="J181" s="42"/>
      <c r="K181" s="42"/>
      <c r="L181" s="42">
        <f t="shared" si="15"/>
        <v>0</v>
      </c>
      <c r="M181" s="87">
        <f t="shared" si="14"/>
        <v>0</v>
      </c>
    </row>
    <row r="182" spans="1:13" ht="17.25" customHeight="1">
      <c r="A182" s="86"/>
      <c r="B182" s="26"/>
      <c r="C182" s="22" t="s">
        <v>81</v>
      </c>
      <c r="D182" s="43" t="s">
        <v>69</v>
      </c>
      <c r="E182" s="44">
        <f>0.57/1000</f>
        <v>0.00057</v>
      </c>
      <c r="F182" s="42">
        <f>E182*F175</f>
        <v>0.1026</v>
      </c>
      <c r="G182" s="42"/>
      <c r="H182" s="42"/>
      <c r="I182" s="42"/>
      <c r="J182" s="42"/>
      <c r="K182" s="42"/>
      <c r="L182" s="42">
        <f t="shared" si="15"/>
        <v>0</v>
      </c>
      <c r="M182" s="87">
        <f t="shared" si="14"/>
        <v>0</v>
      </c>
    </row>
    <row r="183" spans="1:13" ht="15" customHeight="1">
      <c r="A183" s="86"/>
      <c r="B183" s="26"/>
      <c r="C183" s="22" t="s">
        <v>82</v>
      </c>
      <c r="D183" s="44" t="s">
        <v>74</v>
      </c>
      <c r="E183" s="44">
        <f>15/1000+189/1000</f>
        <v>0.20400000000000001</v>
      </c>
      <c r="F183" s="42">
        <f>E183*F175</f>
        <v>36.720000000000006</v>
      </c>
      <c r="G183" s="42"/>
      <c r="H183" s="42">
        <f>G183*F183</f>
        <v>0</v>
      </c>
      <c r="I183" s="42"/>
      <c r="J183" s="42"/>
      <c r="K183" s="42"/>
      <c r="L183" s="42"/>
      <c r="M183" s="87">
        <f t="shared" si="14"/>
        <v>0</v>
      </c>
    </row>
    <row r="184" spans="1:13" ht="16.5" customHeight="1">
      <c r="A184" s="86"/>
      <c r="B184" s="26"/>
      <c r="C184" s="22" t="s">
        <v>75</v>
      </c>
      <c r="D184" s="41" t="s">
        <v>74</v>
      </c>
      <c r="E184" s="41">
        <f>30/1000</f>
        <v>0.03</v>
      </c>
      <c r="F184" s="42">
        <f>E184*F177</f>
        <v>0.012690000000000002</v>
      </c>
      <c r="G184" s="42"/>
      <c r="H184" s="42">
        <f>G184*F184</f>
        <v>0</v>
      </c>
      <c r="I184" s="42"/>
      <c r="J184" s="42"/>
      <c r="K184" s="42"/>
      <c r="L184" s="42"/>
      <c r="M184" s="87">
        <f t="shared" si="14"/>
        <v>0</v>
      </c>
    </row>
    <row r="185" spans="1:13" s="10" customFormat="1" ht="30.75" customHeight="1">
      <c r="A185" s="78">
        <v>4</v>
      </c>
      <c r="B185" s="25" t="s">
        <v>46</v>
      </c>
      <c r="C185" s="18" t="s">
        <v>47</v>
      </c>
      <c r="D185" s="40" t="s">
        <v>19</v>
      </c>
      <c r="E185" s="40"/>
      <c r="F185" s="45">
        <v>0.11</v>
      </c>
      <c r="G185" s="38"/>
      <c r="H185" s="38">
        <f>H187</f>
        <v>0</v>
      </c>
      <c r="I185" s="42"/>
      <c r="J185" s="42"/>
      <c r="K185" s="38"/>
      <c r="L185" s="38">
        <f>L186</f>
        <v>0</v>
      </c>
      <c r="M185" s="85">
        <f>L185+H185</f>
        <v>0</v>
      </c>
    </row>
    <row r="186" spans="1:13" ht="18.75" customHeight="1">
      <c r="A186" s="91"/>
      <c r="B186" s="26"/>
      <c r="C186" s="22" t="s">
        <v>105</v>
      </c>
      <c r="D186" s="41" t="s">
        <v>69</v>
      </c>
      <c r="E186" s="41">
        <v>0.3</v>
      </c>
      <c r="F186" s="42">
        <f>E186*F185</f>
        <v>0.033</v>
      </c>
      <c r="G186" s="42"/>
      <c r="H186" s="42"/>
      <c r="I186" s="42"/>
      <c r="J186" s="42"/>
      <c r="K186" s="42"/>
      <c r="L186" s="42">
        <f>K186*F186</f>
        <v>0</v>
      </c>
      <c r="M186" s="87">
        <f>L186+J186+H186</f>
        <v>0</v>
      </c>
    </row>
    <row r="187" spans="1:13" ht="18.75" customHeight="1">
      <c r="A187" s="91"/>
      <c r="B187" s="26"/>
      <c r="C187" s="22" t="s">
        <v>106</v>
      </c>
      <c r="D187" s="41" t="s">
        <v>87</v>
      </c>
      <c r="E187" s="41">
        <v>1.03</v>
      </c>
      <c r="F187" s="42">
        <f>E187*F185</f>
        <v>0.1133</v>
      </c>
      <c r="G187" s="42"/>
      <c r="H187" s="42">
        <f>G187*F187</f>
        <v>0</v>
      </c>
      <c r="I187" s="42"/>
      <c r="J187" s="42"/>
      <c r="K187" s="42"/>
      <c r="L187" s="42"/>
      <c r="M187" s="87">
        <f>L187+J187+H187</f>
        <v>0</v>
      </c>
    </row>
    <row r="188" spans="1:13" s="10" customFormat="1" ht="46.5" customHeight="1">
      <c r="A188" s="84">
        <v>5</v>
      </c>
      <c r="B188" s="25" t="s">
        <v>51</v>
      </c>
      <c r="C188" s="18" t="s">
        <v>125</v>
      </c>
      <c r="D188" s="40" t="s">
        <v>118</v>
      </c>
      <c r="E188" s="40"/>
      <c r="F188" s="38">
        <v>180</v>
      </c>
      <c r="G188" s="38"/>
      <c r="H188" s="38">
        <f>H194+H195</f>
        <v>0</v>
      </c>
      <c r="I188" s="38"/>
      <c r="J188" s="38">
        <f>J189</f>
        <v>0</v>
      </c>
      <c r="K188" s="38"/>
      <c r="L188" s="38">
        <f>L190+L191+L192+L193</f>
        <v>0</v>
      </c>
      <c r="M188" s="85">
        <f>H188+J188+L188</f>
        <v>0</v>
      </c>
    </row>
    <row r="189" spans="1:13" ht="18.75" customHeight="1">
      <c r="A189" s="86"/>
      <c r="B189" s="23"/>
      <c r="C189" s="22" t="s">
        <v>65</v>
      </c>
      <c r="D189" s="41" t="s">
        <v>67</v>
      </c>
      <c r="E189" s="41">
        <f>51.26/1000</f>
        <v>0.05126</v>
      </c>
      <c r="F189" s="42">
        <f>E189*F188</f>
        <v>9.2268</v>
      </c>
      <c r="G189" s="42"/>
      <c r="H189" s="42"/>
      <c r="I189" s="42"/>
      <c r="J189" s="42">
        <f>I189*F189</f>
        <v>0</v>
      </c>
      <c r="K189" s="42"/>
      <c r="L189" s="42"/>
      <c r="M189" s="87">
        <f>L189+J189+H189</f>
        <v>0</v>
      </c>
    </row>
    <row r="190" spans="1:13" ht="27" customHeight="1">
      <c r="A190" s="86"/>
      <c r="B190" s="23"/>
      <c r="C190" s="20" t="s">
        <v>79</v>
      </c>
      <c r="D190" s="43" t="s">
        <v>69</v>
      </c>
      <c r="E190" s="41">
        <f>3.47/1000</f>
        <v>0.00347</v>
      </c>
      <c r="F190" s="42">
        <f>E190*F188</f>
        <v>0.6246</v>
      </c>
      <c r="G190" s="42"/>
      <c r="H190" s="42"/>
      <c r="I190" s="42"/>
      <c r="J190" s="42"/>
      <c r="K190" s="42"/>
      <c r="L190" s="42">
        <f>K190*F190</f>
        <v>0</v>
      </c>
      <c r="M190" s="87">
        <f aca="true" t="shared" si="16" ref="M190:M195">L190+J190+H190</f>
        <v>0</v>
      </c>
    </row>
    <row r="191" spans="1:13" ht="27" customHeight="1">
      <c r="A191" s="86"/>
      <c r="B191" s="23"/>
      <c r="C191" s="20" t="s">
        <v>80</v>
      </c>
      <c r="D191" s="43" t="s">
        <v>69</v>
      </c>
      <c r="E191" s="41">
        <f>10.1/1000</f>
        <v>0.0101</v>
      </c>
      <c r="F191" s="42">
        <f>E191*F188</f>
        <v>1.8179999999999998</v>
      </c>
      <c r="G191" s="42"/>
      <c r="H191" s="42"/>
      <c r="I191" s="42"/>
      <c r="J191" s="42"/>
      <c r="K191" s="42"/>
      <c r="L191" s="42">
        <f>K191*F191</f>
        <v>0</v>
      </c>
      <c r="M191" s="87">
        <f t="shared" si="16"/>
        <v>0</v>
      </c>
    </row>
    <row r="192" spans="1:13" s="10" customFormat="1" ht="13.5" customHeight="1">
      <c r="A192" s="84"/>
      <c r="B192" s="25"/>
      <c r="C192" s="22" t="s">
        <v>83</v>
      </c>
      <c r="D192" s="43" t="s">
        <v>69</v>
      </c>
      <c r="E192" s="41">
        <f>2.8/1000</f>
        <v>0.0028</v>
      </c>
      <c r="F192" s="42">
        <f>E192*F188</f>
        <v>0.504</v>
      </c>
      <c r="G192" s="38"/>
      <c r="H192" s="42"/>
      <c r="I192" s="42"/>
      <c r="J192" s="42"/>
      <c r="K192" s="42"/>
      <c r="L192" s="42">
        <f>K192*F192</f>
        <v>0</v>
      </c>
      <c r="M192" s="87">
        <f t="shared" si="16"/>
        <v>0</v>
      </c>
    </row>
    <row r="193" spans="1:13" s="10" customFormat="1" ht="13.5" customHeight="1">
      <c r="A193" s="84"/>
      <c r="B193" s="25"/>
      <c r="C193" s="22" t="s">
        <v>84</v>
      </c>
      <c r="D193" s="43" t="s">
        <v>11</v>
      </c>
      <c r="E193" s="41">
        <f>3.92/1000</f>
        <v>0.00392</v>
      </c>
      <c r="F193" s="42">
        <f>E193*F188</f>
        <v>0.7056</v>
      </c>
      <c r="G193" s="38"/>
      <c r="H193" s="42"/>
      <c r="I193" s="42"/>
      <c r="J193" s="42"/>
      <c r="K193" s="42"/>
      <c r="L193" s="42">
        <f>K193*F193</f>
        <v>0</v>
      </c>
      <c r="M193" s="87">
        <f t="shared" si="16"/>
        <v>0</v>
      </c>
    </row>
    <row r="194" spans="1:13" s="10" customFormat="1" ht="13.5" customHeight="1">
      <c r="A194" s="84"/>
      <c r="B194" s="25"/>
      <c r="C194" s="22" t="s">
        <v>85</v>
      </c>
      <c r="D194" s="43" t="s">
        <v>87</v>
      </c>
      <c r="E194" s="41">
        <f>102/1000+12.8*0/1000</f>
        <v>0.102</v>
      </c>
      <c r="F194" s="42">
        <f>E194*F188</f>
        <v>18.36</v>
      </c>
      <c r="G194" s="42"/>
      <c r="H194" s="42">
        <f>G194*F194</f>
        <v>0</v>
      </c>
      <c r="I194" s="42"/>
      <c r="J194" s="42"/>
      <c r="K194" s="42"/>
      <c r="L194" s="42"/>
      <c r="M194" s="87">
        <f t="shared" si="16"/>
        <v>0</v>
      </c>
    </row>
    <row r="195" spans="1:13" s="10" customFormat="1" ht="13.5" customHeight="1">
      <c r="A195" s="84"/>
      <c r="B195" s="25"/>
      <c r="C195" s="22" t="s">
        <v>86</v>
      </c>
      <c r="D195" s="43" t="s">
        <v>11</v>
      </c>
      <c r="E195" s="41">
        <f>25.17/1000+0.04*0/1000</f>
        <v>0.02517</v>
      </c>
      <c r="F195" s="42">
        <f>E195*F188</f>
        <v>4.530600000000001</v>
      </c>
      <c r="G195" s="42"/>
      <c r="H195" s="42">
        <f>G195*F195</f>
        <v>0</v>
      </c>
      <c r="I195" s="42"/>
      <c r="J195" s="42"/>
      <c r="K195" s="42"/>
      <c r="L195" s="42"/>
      <c r="M195" s="87">
        <f t="shared" si="16"/>
        <v>0</v>
      </c>
    </row>
    <row r="196" spans="1:13" ht="24" customHeight="1">
      <c r="A196" s="91" t="s">
        <v>101</v>
      </c>
      <c r="B196" s="21"/>
      <c r="C196" s="27" t="s">
        <v>64</v>
      </c>
      <c r="D196" s="41"/>
      <c r="E196" s="41"/>
      <c r="F196" s="42"/>
      <c r="G196" s="42"/>
      <c r="H196" s="42"/>
      <c r="I196" s="42"/>
      <c r="J196" s="42"/>
      <c r="K196" s="42"/>
      <c r="L196" s="42"/>
      <c r="M196" s="85"/>
    </row>
    <row r="197" spans="1:13" s="10" customFormat="1" ht="47.25" customHeight="1">
      <c r="A197" s="84">
        <v>1</v>
      </c>
      <c r="B197" s="19" t="s">
        <v>53</v>
      </c>
      <c r="C197" s="27" t="s">
        <v>52</v>
      </c>
      <c r="D197" s="40" t="s">
        <v>116</v>
      </c>
      <c r="E197" s="40"/>
      <c r="F197" s="38">
        <v>24</v>
      </c>
      <c r="G197" s="38"/>
      <c r="H197" s="38"/>
      <c r="I197" s="38"/>
      <c r="J197" s="38">
        <f>J198</f>
        <v>0</v>
      </c>
      <c r="K197" s="38"/>
      <c r="L197" s="38">
        <f>L199+L200+L201</f>
        <v>0</v>
      </c>
      <c r="M197" s="85">
        <f>L197+J197</f>
        <v>0</v>
      </c>
    </row>
    <row r="198" spans="1:13" ht="19.5" customHeight="1">
      <c r="A198" s="86"/>
      <c r="B198" s="23"/>
      <c r="C198" s="22" t="s">
        <v>65</v>
      </c>
      <c r="D198" s="41" t="s">
        <v>67</v>
      </c>
      <c r="E198" s="41">
        <f>13.6/1000+145.4/1000</f>
        <v>0.159</v>
      </c>
      <c r="F198" s="42">
        <f>E198*F197</f>
        <v>3.816</v>
      </c>
      <c r="G198" s="42"/>
      <c r="H198" s="42"/>
      <c r="I198" s="42"/>
      <c r="J198" s="42">
        <f>I198*F198</f>
        <v>0</v>
      </c>
      <c r="K198" s="42"/>
      <c r="L198" s="42"/>
      <c r="M198" s="87">
        <f>L198+J198+H198</f>
        <v>0</v>
      </c>
    </row>
    <row r="199" spans="1:13" ht="27" customHeight="1">
      <c r="A199" s="86"/>
      <c r="B199" s="23"/>
      <c r="C199" s="20" t="s">
        <v>71</v>
      </c>
      <c r="D199" s="43" t="s">
        <v>69</v>
      </c>
      <c r="E199" s="41">
        <f>86.2/1000</f>
        <v>0.0862</v>
      </c>
      <c r="F199" s="42">
        <f>E199*F197</f>
        <v>2.0688</v>
      </c>
      <c r="G199" s="42"/>
      <c r="H199" s="42"/>
      <c r="I199" s="42"/>
      <c r="J199" s="42"/>
      <c r="K199" s="42"/>
      <c r="L199" s="42">
        <f>K199*F199</f>
        <v>0</v>
      </c>
      <c r="M199" s="87">
        <f>L199+J199+H199</f>
        <v>0</v>
      </c>
    </row>
    <row r="200" spans="1:13" ht="23.25" customHeight="1">
      <c r="A200" s="86"/>
      <c r="B200" s="23"/>
      <c r="C200" s="20" t="s">
        <v>68</v>
      </c>
      <c r="D200" s="43" t="s">
        <v>69</v>
      </c>
      <c r="E200" s="41">
        <f>13.6/1000+21.6/1000</f>
        <v>0.0352</v>
      </c>
      <c r="F200" s="42">
        <f>E200*F197</f>
        <v>0.8448</v>
      </c>
      <c r="G200" s="42"/>
      <c r="H200" s="42"/>
      <c r="I200" s="42"/>
      <c r="J200" s="42"/>
      <c r="K200" s="42"/>
      <c r="L200" s="42">
        <f>K200*F200</f>
        <v>0</v>
      </c>
      <c r="M200" s="87">
        <f>L200+J200+H200</f>
        <v>0</v>
      </c>
    </row>
    <row r="201" spans="1:13" ht="18.75" customHeight="1">
      <c r="A201" s="86"/>
      <c r="B201" s="23"/>
      <c r="C201" s="22" t="s">
        <v>66</v>
      </c>
      <c r="D201" s="41" t="s">
        <v>11</v>
      </c>
      <c r="E201" s="41">
        <f>71.94/1000+468.64/1000</f>
        <v>0.5405800000000001</v>
      </c>
      <c r="F201" s="42">
        <f>E201*F197</f>
        <v>12.973920000000001</v>
      </c>
      <c r="G201" s="42"/>
      <c r="H201" s="42"/>
      <c r="I201" s="42"/>
      <c r="J201" s="42"/>
      <c r="K201" s="42"/>
      <c r="L201" s="42">
        <f>K201*F201</f>
        <v>0</v>
      </c>
      <c r="M201" s="87">
        <f>L201+J201+H201</f>
        <v>0</v>
      </c>
    </row>
    <row r="202" spans="1:13" s="10" customFormat="1" ht="20.25" customHeight="1">
      <c r="A202" s="84">
        <v>2</v>
      </c>
      <c r="B202" s="24" t="s">
        <v>102</v>
      </c>
      <c r="C202" s="18" t="s">
        <v>24</v>
      </c>
      <c r="D202" s="37" t="s">
        <v>118</v>
      </c>
      <c r="E202" s="37"/>
      <c r="F202" s="38">
        <v>1200</v>
      </c>
      <c r="G202" s="38"/>
      <c r="H202" s="38"/>
      <c r="I202" s="38"/>
      <c r="J202" s="38">
        <f>J203</f>
        <v>0</v>
      </c>
      <c r="K202" s="38"/>
      <c r="L202" s="38">
        <f>L204</f>
        <v>0</v>
      </c>
      <c r="M202" s="85">
        <f>L202+J202</f>
        <v>0</v>
      </c>
    </row>
    <row r="203" spans="1:13" ht="21.75" customHeight="1">
      <c r="A203" s="86"/>
      <c r="B203" s="23"/>
      <c r="C203" s="22" t="s">
        <v>65</v>
      </c>
      <c r="D203" s="43" t="s">
        <v>69</v>
      </c>
      <c r="E203" s="41">
        <f>7.4/1000</f>
        <v>0.0074</v>
      </c>
      <c r="F203" s="42">
        <f>E203*F202</f>
        <v>8.88</v>
      </c>
      <c r="G203" s="42"/>
      <c r="H203" s="42"/>
      <c r="I203" s="42"/>
      <c r="J203" s="42">
        <f>I203*F203</f>
        <v>0</v>
      </c>
      <c r="K203" s="42"/>
      <c r="L203" s="42"/>
      <c r="M203" s="87">
        <f>L203+J203+H203</f>
        <v>0</v>
      </c>
    </row>
    <row r="204" spans="1:13" ht="20.25" customHeight="1">
      <c r="A204" s="86"/>
      <c r="B204" s="23"/>
      <c r="C204" s="22" t="s">
        <v>103</v>
      </c>
      <c r="D204" s="41" t="s">
        <v>67</v>
      </c>
      <c r="E204" s="41">
        <f>26.8/1000</f>
        <v>0.0268</v>
      </c>
      <c r="F204" s="42">
        <f>E204*F202</f>
        <v>32.160000000000004</v>
      </c>
      <c r="G204" s="42"/>
      <c r="H204" s="42"/>
      <c r="I204" s="42"/>
      <c r="J204" s="42"/>
      <c r="K204" s="42"/>
      <c r="L204" s="42">
        <f>K204*F204</f>
        <v>0</v>
      </c>
      <c r="M204" s="87">
        <f>L204+J204+H204</f>
        <v>0</v>
      </c>
    </row>
    <row r="205" spans="1:13" s="10" customFormat="1" ht="59.25" customHeight="1">
      <c r="A205" s="84">
        <v>3</v>
      </c>
      <c r="B205" s="25" t="s">
        <v>30</v>
      </c>
      <c r="C205" s="27" t="s">
        <v>113</v>
      </c>
      <c r="D205" s="40" t="s">
        <v>116</v>
      </c>
      <c r="E205" s="40"/>
      <c r="F205" s="38">
        <v>77</v>
      </c>
      <c r="G205" s="38"/>
      <c r="H205" s="38">
        <f>H210+H211</f>
        <v>0</v>
      </c>
      <c r="I205" s="38"/>
      <c r="J205" s="38">
        <f>J206</f>
        <v>0</v>
      </c>
      <c r="K205" s="38"/>
      <c r="L205" s="38">
        <f>L207+L208+L209+L212</f>
        <v>0</v>
      </c>
      <c r="M205" s="85">
        <f>H205+J205+L205</f>
        <v>0</v>
      </c>
    </row>
    <row r="206" spans="1:13" ht="13.5" customHeight="1">
      <c r="A206" s="86"/>
      <c r="B206" s="23"/>
      <c r="C206" s="22" t="s">
        <v>65</v>
      </c>
      <c r="D206" s="41" t="s">
        <v>67</v>
      </c>
      <c r="E206" s="41">
        <f>18.5/100</f>
        <v>0.185</v>
      </c>
      <c r="F206" s="42">
        <f>E206*F205</f>
        <v>14.245</v>
      </c>
      <c r="G206" s="42"/>
      <c r="H206" s="42"/>
      <c r="I206" s="42"/>
      <c r="J206" s="42">
        <f>I206*F206</f>
        <v>0</v>
      </c>
      <c r="K206" s="42"/>
      <c r="L206" s="42"/>
      <c r="M206" s="87">
        <f aca="true" t="shared" si="17" ref="M206:M212">L206+J206+H206</f>
        <v>0</v>
      </c>
    </row>
    <row r="207" spans="1:13" ht="13.5" customHeight="1">
      <c r="A207" s="86"/>
      <c r="B207" s="23"/>
      <c r="C207" s="20" t="s">
        <v>78</v>
      </c>
      <c r="D207" s="43" t="s">
        <v>69</v>
      </c>
      <c r="E207" s="41">
        <f>1.55/100</f>
        <v>0.0155</v>
      </c>
      <c r="F207" s="42">
        <f>E207*F205</f>
        <v>1.1935</v>
      </c>
      <c r="G207" s="42"/>
      <c r="H207" s="42"/>
      <c r="I207" s="42"/>
      <c r="J207" s="42"/>
      <c r="K207" s="42"/>
      <c r="L207" s="42">
        <f>K207*F207</f>
        <v>0</v>
      </c>
      <c r="M207" s="87">
        <f t="shared" si="17"/>
        <v>0</v>
      </c>
    </row>
    <row r="208" spans="1:13" ht="27" customHeight="1">
      <c r="A208" s="86"/>
      <c r="B208" s="23"/>
      <c r="C208" s="20" t="s">
        <v>72</v>
      </c>
      <c r="D208" s="43" t="s">
        <v>69</v>
      </c>
      <c r="E208" s="41">
        <f>1.64/100</f>
        <v>0.016399999999999998</v>
      </c>
      <c r="F208" s="42">
        <f>E208*F205</f>
        <v>1.2628</v>
      </c>
      <c r="G208" s="42"/>
      <c r="H208" s="42"/>
      <c r="I208" s="42"/>
      <c r="J208" s="42"/>
      <c r="K208" s="42"/>
      <c r="L208" s="42">
        <f>K208*F208</f>
        <v>0</v>
      </c>
      <c r="M208" s="87">
        <f t="shared" si="17"/>
        <v>0</v>
      </c>
    </row>
    <row r="209" spans="1:13" ht="13.5" customHeight="1">
      <c r="A209" s="86"/>
      <c r="B209" s="23"/>
      <c r="C209" s="20" t="s">
        <v>73</v>
      </c>
      <c r="D209" s="43" t="s">
        <v>69</v>
      </c>
      <c r="E209" s="41">
        <f>0.91/100</f>
        <v>0.0091</v>
      </c>
      <c r="F209" s="42">
        <f>E209*F205</f>
        <v>0.7007</v>
      </c>
      <c r="G209" s="42"/>
      <c r="H209" s="42"/>
      <c r="I209" s="42"/>
      <c r="J209" s="42"/>
      <c r="K209" s="42"/>
      <c r="L209" s="42">
        <f>K209*F209</f>
        <v>0</v>
      </c>
      <c r="M209" s="87">
        <f t="shared" si="17"/>
        <v>0</v>
      </c>
    </row>
    <row r="210" spans="1:13" ht="13.5" customHeight="1">
      <c r="A210" s="86"/>
      <c r="B210" s="26"/>
      <c r="C210" s="22" t="s">
        <v>76</v>
      </c>
      <c r="D210" s="41" t="s">
        <v>74</v>
      </c>
      <c r="E210" s="41">
        <v>1</v>
      </c>
      <c r="F210" s="42">
        <f>E210*F205</f>
        <v>77</v>
      </c>
      <c r="G210" s="42"/>
      <c r="H210" s="42">
        <f>G210*F210</f>
        <v>0</v>
      </c>
      <c r="I210" s="42"/>
      <c r="J210" s="42"/>
      <c r="K210" s="42"/>
      <c r="L210" s="42"/>
      <c r="M210" s="87">
        <f t="shared" si="17"/>
        <v>0</v>
      </c>
    </row>
    <row r="211" spans="1:13" ht="13.5" customHeight="1">
      <c r="A211" s="86"/>
      <c r="B211" s="26"/>
      <c r="C211" s="22" t="s">
        <v>75</v>
      </c>
      <c r="D211" s="41" t="s">
        <v>74</v>
      </c>
      <c r="E211" s="41">
        <f>7/100</f>
        <v>0.07</v>
      </c>
      <c r="F211" s="42">
        <f>E211*F205</f>
        <v>5.390000000000001</v>
      </c>
      <c r="G211" s="42"/>
      <c r="H211" s="42">
        <f>G211*F211</f>
        <v>0</v>
      </c>
      <c r="I211" s="42"/>
      <c r="J211" s="42"/>
      <c r="K211" s="42"/>
      <c r="L211" s="42"/>
      <c r="M211" s="87">
        <f t="shared" si="17"/>
        <v>0</v>
      </c>
    </row>
    <row r="212" spans="1:13" ht="13.5" customHeight="1">
      <c r="A212" s="86"/>
      <c r="B212" s="23"/>
      <c r="C212" s="22" t="s">
        <v>66</v>
      </c>
      <c r="D212" s="41" t="s">
        <v>11</v>
      </c>
      <c r="E212" s="41">
        <f>31.42/100</f>
        <v>0.31420000000000003</v>
      </c>
      <c r="F212" s="42">
        <f>E212*F205</f>
        <v>24.193400000000004</v>
      </c>
      <c r="G212" s="42"/>
      <c r="H212" s="42"/>
      <c r="I212" s="42"/>
      <c r="J212" s="42"/>
      <c r="K212" s="42"/>
      <c r="L212" s="42">
        <f>K212*F212</f>
        <v>0</v>
      </c>
      <c r="M212" s="87">
        <f t="shared" si="17"/>
        <v>0</v>
      </c>
    </row>
    <row r="213" spans="1:13" s="10" customFormat="1" ht="58.5" customHeight="1">
      <c r="A213" s="84">
        <v>4</v>
      </c>
      <c r="B213" s="25" t="s">
        <v>31</v>
      </c>
      <c r="C213" s="18" t="s">
        <v>120</v>
      </c>
      <c r="D213" s="37" t="s">
        <v>118</v>
      </c>
      <c r="E213" s="37"/>
      <c r="F213" s="38">
        <v>1200</v>
      </c>
      <c r="G213" s="38"/>
      <c r="H213" s="38">
        <f>H221+H222</f>
        <v>0</v>
      </c>
      <c r="I213" s="38"/>
      <c r="J213" s="38">
        <f>J214</f>
        <v>0</v>
      </c>
      <c r="K213" s="38"/>
      <c r="L213" s="38">
        <f>L215+L216+L217+L218+L219+L220</f>
        <v>0</v>
      </c>
      <c r="M213" s="85">
        <f>H213+J213+L213</f>
        <v>0</v>
      </c>
    </row>
    <row r="214" spans="1:13" ht="13.5" customHeight="1">
      <c r="A214" s="86"/>
      <c r="B214" s="23"/>
      <c r="C214" s="22" t="s">
        <v>65</v>
      </c>
      <c r="D214" s="41" t="s">
        <v>67</v>
      </c>
      <c r="E214" s="41">
        <f>73.38/1000</f>
        <v>0.07338</v>
      </c>
      <c r="F214" s="42">
        <f>E214*F213</f>
        <v>88.056</v>
      </c>
      <c r="G214" s="42"/>
      <c r="H214" s="42"/>
      <c r="I214" s="42"/>
      <c r="J214" s="42">
        <f>I214*F214</f>
        <v>0</v>
      </c>
      <c r="K214" s="42"/>
      <c r="L214" s="42"/>
      <c r="M214" s="87">
        <f aca="true" t="shared" si="18" ref="M214:M222">L214+J214+H214</f>
        <v>0</v>
      </c>
    </row>
    <row r="215" spans="1:13" ht="15" customHeight="1">
      <c r="A215" s="86"/>
      <c r="B215" s="23"/>
      <c r="C215" s="20" t="s">
        <v>77</v>
      </c>
      <c r="D215" s="43" t="s">
        <v>69</v>
      </c>
      <c r="E215" s="41">
        <f>2.35/1000</f>
        <v>0.00235</v>
      </c>
      <c r="F215" s="42">
        <f>E215*F213</f>
        <v>2.8200000000000003</v>
      </c>
      <c r="G215" s="42"/>
      <c r="H215" s="42"/>
      <c r="I215" s="42"/>
      <c r="J215" s="42"/>
      <c r="K215" s="42"/>
      <c r="L215" s="42">
        <f aca="true" t="shared" si="19" ref="L215:L220">K215*F215</f>
        <v>0</v>
      </c>
      <c r="M215" s="87">
        <f t="shared" si="18"/>
        <v>0</v>
      </c>
    </row>
    <row r="216" spans="1:13" ht="17.25" customHeight="1">
      <c r="A216" s="86"/>
      <c r="B216" s="23"/>
      <c r="C216" s="20" t="s">
        <v>78</v>
      </c>
      <c r="D216" s="43" t="s">
        <v>69</v>
      </c>
      <c r="E216" s="41">
        <f>0.36/1000</f>
        <v>0.00035999999999999997</v>
      </c>
      <c r="F216" s="42">
        <f>E216*F213</f>
        <v>0.43199999999999994</v>
      </c>
      <c r="G216" s="42"/>
      <c r="H216" s="42"/>
      <c r="I216" s="42"/>
      <c r="J216" s="42"/>
      <c r="K216" s="42"/>
      <c r="L216" s="42">
        <f t="shared" si="19"/>
        <v>0</v>
      </c>
      <c r="M216" s="87">
        <f t="shared" si="18"/>
        <v>0</v>
      </c>
    </row>
    <row r="217" spans="1:13" ht="27" customHeight="1">
      <c r="A217" s="86"/>
      <c r="B217" s="23"/>
      <c r="C217" s="20" t="s">
        <v>79</v>
      </c>
      <c r="D217" s="43" t="s">
        <v>69</v>
      </c>
      <c r="E217" s="41">
        <f>10.6/1000</f>
        <v>0.0106</v>
      </c>
      <c r="F217" s="42">
        <f>E217*F213</f>
        <v>12.72</v>
      </c>
      <c r="G217" s="42"/>
      <c r="H217" s="42"/>
      <c r="I217" s="42"/>
      <c r="J217" s="42"/>
      <c r="K217" s="42"/>
      <c r="L217" s="42">
        <f t="shared" si="19"/>
        <v>0</v>
      </c>
      <c r="M217" s="87">
        <f t="shared" si="18"/>
        <v>0</v>
      </c>
    </row>
    <row r="218" spans="1:13" ht="29.25" customHeight="1">
      <c r="A218" s="86"/>
      <c r="B218" s="23"/>
      <c r="C218" s="20" t="s">
        <v>80</v>
      </c>
      <c r="D218" s="43" t="s">
        <v>69</v>
      </c>
      <c r="E218" s="41">
        <f>10.6/1000</f>
        <v>0.0106</v>
      </c>
      <c r="F218" s="42">
        <f>E218*F213</f>
        <v>12.72</v>
      </c>
      <c r="G218" s="42"/>
      <c r="H218" s="42"/>
      <c r="I218" s="42"/>
      <c r="J218" s="42"/>
      <c r="K218" s="42"/>
      <c r="L218" s="42">
        <f t="shared" si="19"/>
        <v>0</v>
      </c>
      <c r="M218" s="87">
        <f t="shared" si="18"/>
        <v>0</v>
      </c>
    </row>
    <row r="219" spans="1:13" ht="17.25" customHeight="1">
      <c r="A219" s="86"/>
      <c r="B219" s="23"/>
      <c r="C219" s="20" t="s">
        <v>73</v>
      </c>
      <c r="D219" s="43" t="s">
        <v>69</v>
      </c>
      <c r="E219" s="41">
        <f>0.91/100</f>
        <v>0.0091</v>
      </c>
      <c r="F219" s="42">
        <f>E219*F213</f>
        <v>10.92</v>
      </c>
      <c r="G219" s="42"/>
      <c r="H219" s="42"/>
      <c r="I219" s="42"/>
      <c r="J219" s="42"/>
      <c r="K219" s="42"/>
      <c r="L219" s="42">
        <f t="shared" si="19"/>
        <v>0</v>
      </c>
      <c r="M219" s="87">
        <f t="shared" si="18"/>
        <v>0</v>
      </c>
    </row>
    <row r="220" spans="1:13" ht="17.25" customHeight="1">
      <c r="A220" s="86"/>
      <c r="B220" s="26"/>
      <c r="C220" s="22" t="s">
        <v>81</v>
      </c>
      <c r="D220" s="43" t="s">
        <v>69</v>
      </c>
      <c r="E220" s="44">
        <f>0.57/1000</f>
        <v>0.00057</v>
      </c>
      <c r="F220" s="42">
        <f>E220*F213</f>
        <v>0.6839999999999999</v>
      </c>
      <c r="G220" s="42"/>
      <c r="H220" s="42"/>
      <c r="I220" s="42"/>
      <c r="J220" s="42"/>
      <c r="K220" s="42"/>
      <c r="L220" s="42">
        <f t="shared" si="19"/>
        <v>0</v>
      </c>
      <c r="M220" s="87">
        <f t="shared" si="18"/>
        <v>0</v>
      </c>
    </row>
    <row r="221" spans="1:13" ht="17.25" customHeight="1">
      <c r="A221" s="86"/>
      <c r="B221" s="26"/>
      <c r="C221" s="22" t="s">
        <v>82</v>
      </c>
      <c r="D221" s="44" t="s">
        <v>74</v>
      </c>
      <c r="E221" s="44">
        <f>15/1000+189/1000</f>
        <v>0.20400000000000001</v>
      </c>
      <c r="F221" s="42">
        <f>E221*F213</f>
        <v>244.8</v>
      </c>
      <c r="G221" s="42"/>
      <c r="H221" s="42">
        <f>G221*F221</f>
        <v>0</v>
      </c>
      <c r="I221" s="42"/>
      <c r="J221" s="42"/>
      <c r="K221" s="42"/>
      <c r="L221" s="42"/>
      <c r="M221" s="87">
        <f t="shared" si="18"/>
        <v>0</v>
      </c>
    </row>
    <row r="222" spans="1:13" ht="17.25" customHeight="1">
      <c r="A222" s="86"/>
      <c r="B222" s="26"/>
      <c r="C222" s="22" t="s">
        <v>75</v>
      </c>
      <c r="D222" s="41" t="s">
        <v>74</v>
      </c>
      <c r="E222" s="41">
        <f>30/1000</f>
        <v>0.03</v>
      </c>
      <c r="F222" s="42">
        <f>E222*F215</f>
        <v>0.08460000000000001</v>
      </c>
      <c r="G222" s="42"/>
      <c r="H222" s="42">
        <f>G222*F222</f>
        <v>0</v>
      </c>
      <c r="I222" s="42"/>
      <c r="J222" s="42"/>
      <c r="K222" s="42"/>
      <c r="L222" s="42"/>
      <c r="M222" s="87">
        <f t="shared" si="18"/>
        <v>0</v>
      </c>
    </row>
    <row r="223" spans="1:13" s="10" customFormat="1" ht="29.25" customHeight="1">
      <c r="A223" s="84">
        <v>5</v>
      </c>
      <c r="B223" s="25" t="s">
        <v>46</v>
      </c>
      <c r="C223" s="18" t="s">
        <v>47</v>
      </c>
      <c r="D223" s="40" t="s">
        <v>19</v>
      </c>
      <c r="E223" s="40"/>
      <c r="F223" s="45">
        <v>0.72</v>
      </c>
      <c r="G223" s="38"/>
      <c r="H223" s="38">
        <f>H225</f>
        <v>0</v>
      </c>
      <c r="I223" s="42"/>
      <c r="J223" s="42"/>
      <c r="K223" s="38"/>
      <c r="L223" s="38">
        <f>L224</f>
        <v>0</v>
      </c>
      <c r="M223" s="85">
        <f>L223+H223</f>
        <v>0</v>
      </c>
    </row>
    <row r="224" spans="1:13" ht="21" customHeight="1">
      <c r="A224" s="91"/>
      <c r="B224" s="26"/>
      <c r="C224" s="22" t="s">
        <v>105</v>
      </c>
      <c r="D224" s="41" t="s">
        <v>69</v>
      </c>
      <c r="E224" s="41">
        <v>0.3</v>
      </c>
      <c r="F224" s="42">
        <f>E224*F223</f>
        <v>0.216</v>
      </c>
      <c r="G224" s="42"/>
      <c r="H224" s="42"/>
      <c r="I224" s="42"/>
      <c r="J224" s="42"/>
      <c r="K224" s="42"/>
      <c r="L224" s="42">
        <f>K224*F224</f>
        <v>0</v>
      </c>
      <c r="M224" s="87">
        <f>L224+J224+H224</f>
        <v>0</v>
      </c>
    </row>
    <row r="225" spans="1:13" ht="21" customHeight="1">
      <c r="A225" s="91"/>
      <c r="B225" s="26"/>
      <c r="C225" s="22" t="s">
        <v>106</v>
      </c>
      <c r="D225" s="41" t="s">
        <v>87</v>
      </c>
      <c r="E225" s="41">
        <v>1.03</v>
      </c>
      <c r="F225" s="42">
        <f>E225*F223</f>
        <v>0.7416</v>
      </c>
      <c r="G225" s="42"/>
      <c r="H225" s="42">
        <f>G225*F225</f>
        <v>0</v>
      </c>
      <c r="I225" s="42"/>
      <c r="J225" s="42"/>
      <c r="K225" s="42"/>
      <c r="L225" s="42"/>
      <c r="M225" s="87">
        <f>L225+J225+H225</f>
        <v>0</v>
      </c>
    </row>
    <row r="226" spans="1:13" s="10" customFormat="1" ht="57.75" customHeight="1">
      <c r="A226" s="84">
        <v>6</v>
      </c>
      <c r="B226" s="25" t="s">
        <v>48</v>
      </c>
      <c r="C226" s="18" t="s">
        <v>49</v>
      </c>
      <c r="D226" s="40" t="s">
        <v>118</v>
      </c>
      <c r="E226" s="40"/>
      <c r="F226" s="38">
        <v>1200</v>
      </c>
      <c r="G226" s="38"/>
      <c r="H226" s="38">
        <f>H232+H233</f>
        <v>0</v>
      </c>
      <c r="I226" s="38"/>
      <c r="J226" s="38">
        <f>J227</f>
        <v>0</v>
      </c>
      <c r="K226" s="38"/>
      <c r="L226" s="38">
        <f>L228+L229+L230+L231</f>
        <v>0</v>
      </c>
      <c r="M226" s="85">
        <f>L226+J226+H226</f>
        <v>0</v>
      </c>
    </row>
    <row r="227" spans="1:13" ht="17.25" customHeight="1">
      <c r="A227" s="86"/>
      <c r="B227" s="23"/>
      <c r="C227" s="22" t="s">
        <v>65</v>
      </c>
      <c r="D227" s="41" t="s">
        <v>67</v>
      </c>
      <c r="E227" s="41">
        <f>51.26/1000</f>
        <v>0.05126</v>
      </c>
      <c r="F227" s="42">
        <f>E227*F226</f>
        <v>61.512</v>
      </c>
      <c r="G227" s="42"/>
      <c r="H227" s="42"/>
      <c r="I227" s="42"/>
      <c r="J227" s="42">
        <f>I227*F227</f>
        <v>0</v>
      </c>
      <c r="K227" s="42"/>
      <c r="L227" s="42"/>
      <c r="M227" s="87">
        <f>L227+J227+H227</f>
        <v>0</v>
      </c>
    </row>
    <row r="228" spans="1:13" ht="27" customHeight="1">
      <c r="A228" s="86"/>
      <c r="B228" s="23"/>
      <c r="C228" s="20" t="s">
        <v>79</v>
      </c>
      <c r="D228" s="43" t="s">
        <v>69</v>
      </c>
      <c r="E228" s="41">
        <f>3.47/1000</f>
        <v>0.00347</v>
      </c>
      <c r="F228" s="42">
        <f>E228*F226</f>
        <v>4.164</v>
      </c>
      <c r="G228" s="42"/>
      <c r="H228" s="42"/>
      <c r="I228" s="42"/>
      <c r="J228" s="42"/>
      <c r="K228" s="42"/>
      <c r="L228" s="42">
        <f>K228*F228</f>
        <v>0</v>
      </c>
      <c r="M228" s="87">
        <f aca="true" t="shared" si="20" ref="M228:M233">L228+J228+H228</f>
        <v>0</v>
      </c>
    </row>
    <row r="229" spans="1:13" ht="27" customHeight="1">
      <c r="A229" s="86"/>
      <c r="B229" s="23"/>
      <c r="C229" s="20" t="s">
        <v>80</v>
      </c>
      <c r="D229" s="43" t="s">
        <v>69</v>
      </c>
      <c r="E229" s="41">
        <f>10.1/1000</f>
        <v>0.0101</v>
      </c>
      <c r="F229" s="42">
        <f>E229*F226</f>
        <v>12.12</v>
      </c>
      <c r="G229" s="42"/>
      <c r="H229" s="42"/>
      <c r="I229" s="42"/>
      <c r="J229" s="42"/>
      <c r="K229" s="42"/>
      <c r="L229" s="42">
        <f>K229*F229</f>
        <v>0</v>
      </c>
      <c r="M229" s="87">
        <f t="shared" si="20"/>
        <v>0</v>
      </c>
    </row>
    <row r="230" spans="1:13" s="10" customFormat="1" ht="19.5" customHeight="1">
      <c r="A230" s="84"/>
      <c r="B230" s="25"/>
      <c r="C230" s="22" t="s">
        <v>83</v>
      </c>
      <c r="D230" s="43" t="s">
        <v>69</v>
      </c>
      <c r="E230" s="41">
        <f>2.8/1000</f>
        <v>0.0028</v>
      </c>
      <c r="F230" s="42">
        <f>E230*F226</f>
        <v>3.36</v>
      </c>
      <c r="G230" s="38"/>
      <c r="H230" s="42"/>
      <c r="I230" s="42"/>
      <c r="J230" s="42"/>
      <c r="K230" s="42"/>
      <c r="L230" s="42">
        <f>K230*F230</f>
        <v>0</v>
      </c>
      <c r="M230" s="87">
        <f t="shared" si="20"/>
        <v>0</v>
      </c>
    </row>
    <row r="231" spans="1:13" s="10" customFormat="1" ht="19.5" customHeight="1">
      <c r="A231" s="84"/>
      <c r="B231" s="25"/>
      <c r="C231" s="22" t="s">
        <v>84</v>
      </c>
      <c r="D231" s="43" t="s">
        <v>11</v>
      </c>
      <c r="E231" s="41">
        <f>3.92/1000</f>
        <v>0.00392</v>
      </c>
      <c r="F231" s="42">
        <f>E231*F226</f>
        <v>4.704</v>
      </c>
      <c r="G231" s="42"/>
      <c r="H231" s="42"/>
      <c r="I231" s="42"/>
      <c r="J231" s="42"/>
      <c r="K231" s="42"/>
      <c r="L231" s="42">
        <f>K231*F231</f>
        <v>0</v>
      </c>
      <c r="M231" s="87">
        <f t="shared" si="20"/>
        <v>0</v>
      </c>
    </row>
    <row r="232" spans="1:13" s="10" customFormat="1" ht="19.5" customHeight="1">
      <c r="A232" s="84"/>
      <c r="B232" s="25"/>
      <c r="C232" s="22" t="s">
        <v>85</v>
      </c>
      <c r="D232" s="43" t="s">
        <v>87</v>
      </c>
      <c r="E232" s="41">
        <f>102/1000+12.7*2/1000</f>
        <v>0.12739999999999999</v>
      </c>
      <c r="F232" s="42">
        <f>E232*F226</f>
        <v>152.88</v>
      </c>
      <c r="G232" s="42"/>
      <c r="H232" s="42">
        <f>G232*F232</f>
        <v>0</v>
      </c>
      <c r="I232" s="42"/>
      <c r="J232" s="42"/>
      <c r="K232" s="42"/>
      <c r="L232" s="42"/>
      <c r="M232" s="87">
        <f t="shared" si="20"/>
        <v>0</v>
      </c>
    </row>
    <row r="233" spans="1:13" s="10" customFormat="1" ht="19.5" customHeight="1">
      <c r="A233" s="84"/>
      <c r="B233" s="25"/>
      <c r="C233" s="22" t="s">
        <v>86</v>
      </c>
      <c r="D233" s="43" t="s">
        <v>11</v>
      </c>
      <c r="E233" s="41">
        <f>25.17/1000+0.04*2/1000</f>
        <v>0.02525</v>
      </c>
      <c r="F233" s="42">
        <f>E233*F226</f>
        <v>30.3</v>
      </c>
      <c r="G233" s="42"/>
      <c r="H233" s="42">
        <f>G233*F233</f>
        <v>0</v>
      </c>
      <c r="I233" s="42"/>
      <c r="J233" s="42"/>
      <c r="K233" s="42"/>
      <c r="L233" s="42"/>
      <c r="M233" s="87">
        <f t="shared" si="20"/>
        <v>0</v>
      </c>
    </row>
    <row r="234" spans="1:13" s="10" customFormat="1" ht="30.75" customHeight="1">
      <c r="A234" s="84">
        <v>7</v>
      </c>
      <c r="B234" s="25" t="s">
        <v>46</v>
      </c>
      <c r="C234" s="18" t="s">
        <v>50</v>
      </c>
      <c r="D234" s="40" t="s">
        <v>19</v>
      </c>
      <c r="E234" s="40"/>
      <c r="F234" s="45">
        <v>0.36</v>
      </c>
      <c r="G234" s="38"/>
      <c r="H234" s="38">
        <f>H236</f>
        <v>0</v>
      </c>
      <c r="I234" s="42"/>
      <c r="J234" s="42"/>
      <c r="K234" s="38"/>
      <c r="L234" s="38">
        <f>L235</f>
        <v>0</v>
      </c>
      <c r="M234" s="85">
        <f>L234+H234</f>
        <v>0</v>
      </c>
    </row>
    <row r="235" spans="1:13" ht="18.75" customHeight="1">
      <c r="A235" s="91"/>
      <c r="B235" s="26"/>
      <c r="C235" s="22" t="s">
        <v>105</v>
      </c>
      <c r="D235" s="41" t="s">
        <v>69</v>
      </c>
      <c r="E235" s="41">
        <v>0.3</v>
      </c>
      <c r="F235" s="42">
        <f>E235*F234</f>
        <v>0.108</v>
      </c>
      <c r="G235" s="42"/>
      <c r="H235" s="42"/>
      <c r="I235" s="42"/>
      <c r="J235" s="42"/>
      <c r="K235" s="42"/>
      <c r="L235" s="42">
        <f>K235*F235</f>
        <v>0</v>
      </c>
      <c r="M235" s="87">
        <f>L235+J235+H235</f>
        <v>0</v>
      </c>
    </row>
    <row r="236" spans="1:13" ht="21.75" customHeight="1">
      <c r="A236" s="91"/>
      <c r="B236" s="26"/>
      <c r="C236" s="22" t="s">
        <v>106</v>
      </c>
      <c r="D236" s="41" t="s">
        <v>87</v>
      </c>
      <c r="E236" s="41">
        <v>1.03</v>
      </c>
      <c r="F236" s="42">
        <f>E236*F234</f>
        <v>0.3708</v>
      </c>
      <c r="G236" s="42"/>
      <c r="H236" s="42">
        <f>G236*F236</f>
        <v>0</v>
      </c>
      <c r="I236" s="42"/>
      <c r="J236" s="42"/>
      <c r="K236" s="42"/>
      <c r="L236" s="42"/>
      <c r="M236" s="87">
        <f>L236+J236+H236</f>
        <v>0</v>
      </c>
    </row>
    <row r="237" spans="1:13" s="10" customFormat="1" ht="60.75" customHeight="1">
      <c r="A237" s="84">
        <v>8</v>
      </c>
      <c r="B237" s="25" t="s">
        <v>51</v>
      </c>
      <c r="C237" s="18" t="s">
        <v>121</v>
      </c>
      <c r="D237" s="40" t="s">
        <v>118</v>
      </c>
      <c r="E237" s="40"/>
      <c r="F237" s="38">
        <v>1200</v>
      </c>
      <c r="G237" s="38"/>
      <c r="H237" s="38">
        <f>H243+H244</f>
        <v>0</v>
      </c>
      <c r="I237" s="38"/>
      <c r="J237" s="38">
        <f>J238</f>
        <v>0</v>
      </c>
      <c r="K237" s="38"/>
      <c r="L237" s="38">
        <f>L239+L240+L241+L242</f>
        <v>0</v>
      </c>
      <c r="M237" s="85">
        <f>L237+J237+H237</f>
        <v>0</v>
      </c>
    </row>
    <row r="238" spans="1:13" ht="18" customHeight="1">
      <c r="A238" s="86"/>
      <c r="B238" s="23"/>
      <c r="C238" s="22" t="s">
        <v>65</v>
      </c>
      <c r="D238" s="41" t="s">
        <v>67</v>
      </c>
      <c r="E238" s="41">
        <f>51.26/1000</f>
        <v>0.05126</v>
      </c>
      <c r="F238" s="42">
        <f>E238*F237</f>
        <v>61.512</v>
      </c>
      <c r="G238" s="42"/>
      <c r="H238" s="42"/>
      <c r="I238" s="42"/>
      <c r="J238" s="42">
        <f>I238*F238</f>
        <v>0</v>
      </c>
      <c r="K238" s="42"/>
      <c r="L238" s="42"/>
      <c r="M238" s="87">
        <f>L238+J238+H238</f>
        <v>0</v>
      </c>
    </row>
    <row r="239" spans="1:13" ht="27.75" customHeight="1">
      <c r="A239" s="86"/>
      <c r="B239" s="23"/>
      <c r="C239" s="20" t="s">
        <v>79</v>
      </c>
      <c r="D239" s="43" t="s">
        <v>69</v>
      </c>
      <c r="E239" s="41">
        <f>3.47/1000</f>
        <v>0.00347</v>
      </c>
      <c r="F239" s="42">
        <f>E239*F237</f>
        <v>4.164</v>
      </c>
      <c r="G239" s="42"/>
      <c r="H239" s="42"/>
      <c r="I239" s="42"/>
      <c r="J239" s="42"/>
      <c r="K239" s="42"/>
      <c r="L239" s="42">
        <f>K239*F239</f>
        <v>0</v>
      </c>
      <c r="M239" s="87">
        <f aca="true" t="shared" si="21" ref="M239:M244">L239+J239+H239</f>
        <v>0</v>
      </c>
    </row>
    <row r="240" spans="1:13" ht="27.75" customHeight="1">
      <c r="A240" s="86"/>
      <c r="B240" s="23"/>
      <c r="C240" s="20" t="s">
        <v>80</v>
      </c>
      <c r="D240" s="43" t="s">
        <v>69</v>
      </c>
      <c r="E240" s="41">
        <f>10.1/1000</f>
        <v>0.0101</v>
      </c>
      <c r="F240" s="42">
        <f>E240*F237</f>
        <v>12.12</v>
      </c>
      <c r="G240" s="42"/>
      <c r="H240" s="42"/>
      <c r="I240" s="42"/>
      <c r="J240" s="42"/>
      <c r="K240" s="42"/>
      <c r="L240" s="42">
        <f>K240*F240</f>
        <v>0</v>
      </c>
      <c r="M240" s="87">
        <f t="shared" si="21"/>
        <v>0</v>
      </c>
    </row>
    <row r="241" spans="1:13" s="10" customFormat="1" ht="16.5" customHeight="1">
      <c r="A241" s="84"/>
      <c r="B241" s="25"/>
      <c r="C241" s="22" t="s">
        <v>83</v>
      </c>
      <c r="D241" s="43" t="s">
        <v>69</v>
      </c>
      <c r="E241" s="41">
        <f>2.8/1000</f>
        <v>0.0028</v>
      </c>
      <c r="F241" s="42">
        <f>E241*F237</f>
        <v>3.36</v>
      </c>
      <c r="G241" s="38"/>
      <c r="H241" s="42"/>
      <c r="I241" s="42"/>
      <c r="J241" s="42"/>
      <c r="K241" s="42"/>
      <c r="L241" s="42">
        <f>K241*F241</f>
        <v>0</v>
      </c>
      <c r="M241" s="87">
        <f t="shared" si="21"/>
        <v>0</v>
      </c>
    </row>
    <row r="242" spans="1:13" s="10" customFormat="1" ht="18.75" customHeight="1">
      <c r="A242" s="84"/>
      <c r="B242" s="25"/>
      <c r="C242" s="22" t="s">
        <v>84</v>
      </c>
      <c r="D242" s="43" t="s">
        <v>11</v>
      </c>
      <c r="E242" s="41">
        <f>3.92/1000</f>
        <v>0.00392</v>
      </c>
      <c r="F242" s="42">
        <f>E242*F237</f>
        <v>4.704</v>
      </c>
      <c r="G242" s="42"/>
      <c r="H242" s="42"/>
      <c r="I242" s="42"/>
      <c r="J242" s="42"/>
      <c r="K242" s="42"/>
      <c r="L242" s="42">
        <f>K242*F242</f>
        <v>0</v>
      </c>
      <c r="M242" s="87">
        <f t="shared" si="21"/>
        <v>0</v>
      </c>
    </row>
    <row r="243" spans="1:13" s="10" customFormat="1" ht="18.75" customHeight="1">
      <c r="A243" s="84"/>
      <c r="B243" s="25"/>
      <c r="C243" s="22" t="s">
        <v>85</v>
      </c>
      <c r="D243" s="43" t="s">
        <v>87</v>
      </c>
      <c r="E243" s="41">
        <f>102/1000+12.8*0/1000</f>
        <v>0.102</v>
      </c>
      <c r="F243" s="42">
        <f>E243*F237</f>
        <v>122.39999999999999</v>
      </c>
      <c r="G243" s="42"/>
      <c r="H243" s="42">
        <f>G243*F243</f>
        <v>0</v>
      </c>
      <c r="I243" s="42"/>
      <c r="J243" s="42"/>
      <c r="K243" s="42"/>
      <c r="L243" s="42"/>
      <c r="M243" s="87">
        <f t="shared" si="21"/>
        <v>0</v>
      </c>
    </row>
    <row r="244" spans="1:13" s="10" customFormat="1" ht="18.75" customHeight="1" thickBot="1">
      <c r="A244" s="80"/>
      <c r="B244" s="67"/>
      <c r="C244" s="60" t="s">
        <v>86</v>
      </c>
      <c r="D244" s="68" t="s">
        <v>11</v>
      </c>
      <c r="E244" s="62">
        <f>25.17/1000+0.04*0/1000</f>
        <v>0.02517</v>
      </c>
      <c r="F244" s="63">
        <f>E244*F237</f>
        <v>30.204</v>
      </c>
      <c r="G244" s="63"/>
      <c r="H244" s="63">
        <f>G244*F244</f>
        <v>0</v>
      </c>
      <c r="I244" s="63"/>
      <c r="J244" s="63"/>
      <c r="K244" s="63"/>
      <c r="L244" s="63"/>
      <c r="M244" s="89">
        <f t="shared" si="21"/>
        <v>0</v>
      </c>
    </row>
    <row r="245" spans="1:13" ht="21.75" customHeight="1" thickBot="1">
      <c r="A245" s="54" t="s">
        <v>101</v>
      </c>
      <c r="B245" s="55"/>
      <c r="C245" s="56" t="s">
        <v>44</v>
      </c>
      <c r="D245" s="57" t="s">
        <v>11</v>
      </c>
      <c r="E245" s="57"/>
      <c r="F245" s="57"/>
      <c r="G245" s="57"/>
      <c r="H245" s="59">
        <f>H237+H234+H226+H223+H213+H205+H202+H197+H188+H185+H175+H167+H165+H156+H153+H145+H142+H132+H124+H119</f>
        <v>0</v>
      </c>
      <c r="I245" s="59"/>
      <c r="J245" s="59">
        <f>J237+J234+J226+J223+J213+J205+J202+J197+J188+J185+J175+J167+J165+J156+J153+J145+J142+J132+J124+J119</f>
        <v>0</v>
      </c>
      <c r="K245" s="59"/>
      <c r="L245" s="59">
        <f>L237+L234+L226+L223+L213+L205+L202+L197+L188+L185+L175+L167+L165+L156+L153+L145+L142+L132+L124+L119</f>
        <v>0</v>
      </c>
      <c r="M245" s="59">
        <f>M237+M234+M226+M223+M213+M205+M202+M197+M188+M185+M175+M167+M165+M156+M153+M145+M142+M132+M124+M119</f>
        <v>0</v>
      </c>
    </row>
    <row r="246" spans="1:13" s="11" customFormat="1" ht="21" customHeight="1">
      <c r="A246" s="94" t="s">
        <v>101</v>
      </c>
      <c r="B246" s="69"/>
      <c r="C246" s="70" t="s">
        <v>14</v>
      </c>
      <c r="D246" s="71" t="s">
        <v>11</v>
      </c>
      <c r="E246" s="71"/>
      <c r="F246" s="71"/>
      <c r="G246" s="71"/>
      <c r="H246" s="72">
        <f>H10+H29+H80+H116+H245</f>
        <v>0</v>
      </c>
      <c r="I246" s="72"/>
      <c r="J246" s="72">
        <f>J10+J29+J80+J116+J245</f>
        <v>0</v>
      </c>
      <c r="K246" s="72"/>
      <c r="L246" s="72">
        <f>L10+L29+L80+L116+L245</f>
        <v>0</v>
      </c>
      <c r="M246" s="100">
        <f>L246+J246+H246</f>
        <v>0</v>
      </c>
    </row>
    <row r="247" spans="1:13" s="12" customFormat="1" ht="21" customHeight="1">
      <c r="A247" s="86" t="s">
        <v>101</v>
      </c>
      <c r="B247" s="17"/>
      <c r="C247" s="20" t="s">
        <v>12</v>
      </c>
      <c r="D247" s="41" t="s">
        <v>18</v>
      </c>
      <c r="E247" s="41"/>
      <c r="F247" s="132"/>
      <c r="G247" s="43"/>
      <c r="H247" s="43"/>
      <c r="I247" s="43"/>
      <c r="J247" s="43"/>
      <c r="K247" s="43"/>
      <c r="L247" s="43"/>
      <c r="M247" s="101">
        <f>M246*F247</f>
        <v>0</v>
      </c>
    </row>
    <row r="248" spans="1:13" s="12" customFormat="1" ht="21" customHeight="1">
      <c r="A248" s="86" t="s">
        <v>101</v>
      </c>
      <c r="B248" s="17"/>
      <c r="C248" s="16" t="s">
        <v>1</v>
      </c>
      <c r="D248" s="36" t="s">
        <v>11</v>
      </c>
      <c r="E248" s="36"/>
      <c r="F248" s="106"/>
      <c r="G248" s="36"/>
      <c r="H248" s="36"/>
      <c r="I248" s="36"/>
      <c r="J248" s="36"/>
      <c r="K248" s="36"/>
      <c r="L248" s="36"/>
      <c r="M248" s="102">
        <f>M246+M247</f>
        <v>0</v>
      </c>
    </row>
    <row r="249" spans="1:13" s="12" customFormat="1" ht="21" customHeight="1">
      <c r="A249" s="86" t="s">
        <v>101</v>
      </c>
      <c r="B249" s="17"/>
      <c r="C249" s="20" t="s">
        <v>13</v>
      </c>
      <c r="D249" s="41" t="s">
        <v>18</v>
      </c>
      <c r="E249" s="41"/>
      <c r="F249" s="132"/>
      <c r="G249" s="43"/>
      <c r="H249" s="43"/>
      <c r="I249" s="43"/>
      <c r="J249" s="43"/>
      <c r="K249" s="43"/>
      <c r="L249" s="43"/>
      <c r="M249" s="101">
        <f>M248*F249</f>
        <v>0</v>
      </c>
    </row>
    <row r="250" spans="1:13" s="12" customFormat="1" ht="21" customHeight="1">
      <c r="A250" s="86" t="s">
        <v>101</v>
      </c>
      <c r="B250" s="17"/>
      <c r="C250" s="18" t="s">
        <v>14</v>
      </c>
      <c r="D250" s="36" t="s">
        <v>11</v>
      </c>
      <c r="E250" s="36"/>
      <c r="F250" s="107"/>
      <c r="G250" s="36"/>
      <c r="H250" s="36"/>
      <c r="I250" s="36"/>
      <c r="J250" s="36"/>
      <c r="K250" s="36"/>
      <c r="L250" s="36"/>
      <c r="M250" s="102">
        <f>M248+M249</f>
        <v>0</v>
      </c>
    </row>
    <row r="251" spans="1:13" s="12" customFormat="1" ht="21" customHeight="1">
      <c r="A251" s="86" t="s">
        <v>101</v>
      </c>
      <c r="B251" s="17"/>
      <c r="C251" s="20" t="s">
        <v>25</v>
      </c>
      <c r="D251" s="41" t="s">
        <v>18</v>
      </c>
      <c r="E251" s="41"/>
      <c r="F251" s="133">
        <v>0.03</v>
      </c>
      <c r="G251" s="43"/>
      <c r="H251" s="43"/>
      <c r="I251" s="43"/>
      <c r="J251" s="43"/>
      <c r="K251" s="43"/>
      <c r="L251" s="43"/>
      <c r="M251" s="101">
        <f>M250*F251</f>
        <v>0</v>
      </c>
    </row>
    <row r="252" spans="1:13" s="12" customFormat="1" ht="21" customHeight="1">
      <c r="A252" s="86" t="s">
        <v>101</v>
      </c>
      <c r="B252" s="17"/>
      <c r="C252" s="18" t="s">
        <v>14</v>
      </c>
      <c r="D252" s="36" t="s">
        <v>11</v>
      </c>
      <c r="E252" s="36"/>
      <c r="F252" s="134"/>
      <c r="G252" s="36"/>
      <c r="H252" s="36"/>
      <c r="I252" s="36"/>
      <c r="J252" s="36"/>
      <c r="K252" s="36"/>
      <c r="L252" s="36"/>
      <c r="M252" s="102">
        <f>M250+M251</f>
        <v>0</v>
      </c>
    </row>
    <row r="253" spans="1:13" s="13" customFormat="1" ht="22.5" customHeight="1" thickBot="1">
      <c r="A253" s="95" t="s">
        <v>101</v>
      </c>
      <c r="B253" s="96"/>
      <c r="C253" s="97" t="s">
        <v>23</v>
      </c>
      <c r="D253" s="98" t="s">
        <v>18</v>
      </c>
      <c r="E253" s="98"/>
      <c r="F253" s="135">
        <v>0.18</v>
      </c>
      <c r="G253" s="99"/>
      <c r="H253" s="99"/>
      <c r="I253" s="99"/>
      <c r="J253" s="99"/>
      <c r="K253" s="99"/>
      <c r="L253" s="99"/>
      <c r="M253" s="103">
        <f>M252*F253</f>
        <v>0</v>
      </c>
    </row>
    <row r="254" spans="1:13" s="13" customFormat="1" ht="30" customHeight="1" thickBot="1">
      <c r="A254" s="73" t="s">
        <v>101</v>
      </c>
      <c r="B254" s="74"/>
      <c r="C254" s="75" t="s">
        <v>34</v>
      </c>
      <c r="D254" s="76" t="s">
        <v>11</v>
      </c>
      <c r="E254" s="76"/>
      <c r="F254" s="76"/>
      <c r="G254" s="76"/>
      <c r="H254" s="76"/>
      <c r="I254" s="76"/>
      <c r="J254" s="76"/>
      <c r="K254" s="76"/>
      <c r="L254" s="76"/>
      <c r="M254" s="104">
        <f>M252+M253</f>
        <v>0</v>
      </c>
    </row>
    <row r="255" spans="1:13" s="13" customFormat="1" ht="13.5" customHeight="1">
      <c r="A255" s="2"/>
      <c r="B255" s="5"/>
      <c r="C255" s="14"/>
      <c r="D255" s="29"/>
      <c r="E255" s="29"/>
      <c r="F255" s="29"/>
      <c r="G255" s="29"/>
      <c r="H255" s="29"/>
      <c r="I255" s="29"/>
      <c r="J255" s="29"/>
      <c r="K255" s="29"/>
      <c r="L255" s="29"/>
      <c r="M255" s="105"/>
    </row>
    <row r="256" spans="1:13" s="13" customFormat="1" ht="13.5" customHeight="1">
      <c r="A256" s="2"/>
      <c r="B256" s="5"/>
      <c r="C256" s="14"/>
      <c r="D256" s="29"/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3:8" ht="20.25" customHeight="1">
      <c r="C257" s="108" t="s">
        <v>126</v>
      </c>
      <c r="E257" s="109"/>
      <c r="F257" s="109"/>
      <c r="G257" s="109"/>
      <c r="H257" s="109"/>
    </row>
    <row r="258" spans="3:12" s="110" customFormat="1" ht="15.75">
      <c r="C258" s="111"/>
      <c r="D258" s="111"/>
      <c r="E258" s="131" t="s">
        <v>127</v>
      </c>
      <c r="F258" s="131"/>
      <c r="G258" s="131"/>
      <c r="H258" s="131"/>
      <c r="I258" s="111"/>
      <c r="J258" s="111"/>
      <c r="K258" s="111"/>
      <c r="L258" s="111"/>
    </row>
    <row r="259" spans="1:13" s="13" customFormat="1" ht="13.5" customHeight="1">
      <c r="A259" s="2"/>
      <c r="B259" s="5"/>
      <c r="C259" s="14"/>
      <c r="D259" s="29"/>
      <c r="E259" s="29"/>
      <c r="F259" s="29"/>
      <c r="G259" s="29"/>
      <c r="H259" s="29"/>
      <c r="I259" s="29"/>
      <c r="J259" s="29"/>
      <c r="K259" s="29"/>
      <c r="L259" s="29"/>
      <c r="M259" s="29"/>
    </row>
    <row r="260" spans="1:13" s="13" customFormat="1" ht="13.5" customHeight="1">
      <c r="A260" s="2"/>
      <c r="B260" s="5"/>
      <c r="C260" s="14"/>
      <c r="D260" s="29"/>
      <c r="E260" s="29"/>
      <c r="F260" s="29"/>
      <c r="G260" s="29"/>
      <c r="H260" s="29"/>
      <c r="I260" s="29"/>
      <c r="J260" s="29"/>
      <c r="K260" s="29"/>
      <c r="L260" s="29"/>
      <c r="M260" s="29"/>
    </row>
  </sheetData>
  <sheetProtection/>
  <autoFilter ref="A7:M260"/>
  <mergeCells count="14">
    <mergeCell ref="A32:A39"/>
    <mergeCell ref="E258:H258"/>
    <mergeCell ref="I5:J5"/>
    <mergeCell ref="K5:L5"/>
    <mergeCell ref="M5:M6"/>
    <mergeCell ref="L1:M1"/>
    <mergeCell ref="A2:M2"/>
    <mergeCell ref="A3:M3"/>
    <mergeCell ref="A5:A6"/>
    <mergeCell ref="B5:B6"/>
    <mergeCell ref="C5:C6"/>
    <mergeCell ref="D5:D6"/>
    <mergeCell ref="F5:F6"/>
    <mergeCell ref="G5:H5"/>
  </mergeCells>
  <printOptions/>
  <pageMargins left="0" right="0" top="0" bottom="0" header="0" footer="0"/>
  <pageSetup fitToHeight="2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Maia Makharashvili</cp:lastModifiedBy>
  <cp:lastPrinted>2017-01-09T13:55:53Z</cp:lastPrinted>
  <dcterms:created xsi:type="dcterms:W3CDTF">2011-10-05T13:08:43Z</dcterms:created>
  <dcterms:modified xsi:type="dcterms:W3CDTF">2017-01-31T12:48:55Z</dcterms:modified>
  <cp:category/>
  <cp:version/>
  <cp:contentType/>
  <cp:contentStatus/>
</cp:coreProperties>
</file>