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4070" windowHeight="12240" tabRatio="916" activeTab="0"/>
  </bookViews>
  <sheets>
    <sheet name="ნაკრები" sheetId="1" r:id="rId1"/>
    <sheet name="ობ.ხ.№1" sheetId="2" r:id="rId2"/>
    <sheet name="ლ.რ. №1-1" sheetId="3" r:id="rId3"/>
    <sheet name="ლ.რ № 1-2" sheetId="4" r:id="rId4"/>
    <sheet name="ლხ #1-3" sheetId="5" r:id="rId5"/>
    <sheet name="ლხ.#1-4" sheetId="6" r:id="rId6"/>
    <sheet name="ლ.რ №1-5" sheetId="7" r:id="rId7"/>
    <sheet name="ლრ. #1-6" sheetId="8" r:id="rId8"/>
    <sheet name="ლრ.ხ.#1-7" sheetId="9" r:id="rId9"/>
    <sheet name="ლრ.ხ.#1-8" sheetId="10" r:id="rId10"/>
    <sheet name="ობ.ხ. #2" sheetId="11" r:id="rId11"/>
    <sheet name="ლრ.ხ#2-1" sheetId="12" r:id="rId12"/>
    <sheet name="ლრ.ხ #2-2" sheetId="13" r:id="rId13"/>
    <sheet name="ლრ.ხ#2-3" sheetId="14" r:id="rId14"/>
    <sheet name="ლხ.3" sheetId="15" r:id="rId15"/>
    <sheet name="ლხ-4" sheetId="16" r:id="rId16"/>
    <sheet name="ლხ-5" sheetId="17" r:id="rId17"/>
    <sheet name="ლხ–6" sheetId="18" r:id="rId18"/>
    <sheet name="ლხ.#7" sheetId="19" r:id="rId19"/>
    <sheet name="ლხ.#8" sheetId="20" r:id="rId20"/>
  </sheets>
  <definedNames>
    <definedName name="_xlnm._FilterDatabase" localSheetId="3" hidden="1">'ლ.რ № 1-2'!$A$7:$L$157</definedName>
    <definedName name="_xlnm._FilterDatabase" localSheetId="6" hidden="1">'ლ.რ №1-5'!$A$7:$O$177</definedName>
    <definedName name="_xlnm._FilterDatabase" localSheetId="2" hidden="1">'ლ.რ. №1-1'!$A$7:$H$761</definedName>
    <definedName name="_xlnm._FilterDatabase" localSheetId="7" hidden="1">'ლრ. #1-6'!$A$7:$U$7</definedName>
    <definedName name="_xlnm._FilterDatabase" localSheetId="12" hidden="1">'ლრ.ხ #2-2'!$A$6:$K$192</definedName>
    <definedName name="_xlnm._FilterDatabase" localSheetId="11" hidden="1">'ლრ.ხ#2-1'!$A$7:$AQ$183</definedName>
    <definedName name="_xlnm._FilterDatabase" localSheetId="13" hidden="1">'ლრ.ხ#2-3'!$A$7:$L$90</definedName>
    <definedName name="_xlnm._FilterDatabase" localSheetId="8" hidden="1">'ლრ.ხ.#1-7'!$A$7:$K$7</definedName>
    <definedName name="_xlnm._FilterDatabase" localSheetId="4" hidden="1">'ლხ #1-3'!$A$7:$L$124</definedName>
    <definedName name="_xlnm._FilterDatabase" localSheetId="18" hidden="1">'ლხ.#7'!$A$6:$T$157</definedName>
    <definedName name="_xlnm._FilterDatabase" localSheetId="19" hidden="1">'ლხ.#8'!$A$6:$I$104</definedName>
    <definedName name="_xlnm._FilterDatabase" localSheetId="14" hidden="1">'ლხ.3'!$A$6:$N$60</definedName>
    <definedName name="_xlnm._FilterDatabase" localSheetId="15" hidden="1">'ლხ-4'!$A$6:$N$37</definedName>
    <definedName name="_xlnm._FilterDatabase" localSheetId="16" hidden="1">'ლხ-5'!$A$6:$N$48</definedName>
    <definedName name="_xlnm._FilterDatabase" localSheetId="17" hidden="1">'ლხ–6'!$A$6:$H$86</definedName>
    <definedName name="_xlnm.Print_Area" localSheetId="3">'ლ.რ № 1-2'!$A$1:$H$161</definedName>
    <definedName name="_xlnm.Print_Area" localSheetId="6">'ლ.რ №1-5'!$A$1:$H$180</definedName>
    <definedName name="_xlnm.Print_Area" localSheetId="2">'ლ.რ. №1-1'!$A$1:$H$764</definedName>
    <definedName name="_xlnm.Print_Area" localSheetId="7">'ლრ. #1-6'!$A$1:$H$54</definedName>
    <definedName name="_xlnm.Print_Area" localSheetId="12">'ლრ.ხ #2-2'!$A$1:$H$192</definedName>
    <definedName name="_xlnm.Print_Area" localSheetId="8">'ლრ.ხ.#1-7'!$A$1:$H$63</definedName>
    <definedName name="_xlnm.Print_Area" localSheetId="4">'ლხ #1-3'!$A$1:$H$128</definedName>
    <definedName name="_xlnm.Print_Area" localSheetId="5">'ლხ.#1-4'!$A$1:$H$24</definedName>
    <definedName name="_xlnm.Print_Area" localSheetId="18">'ლხ.#7'!$A$1:$H$166</definedName>
    <definedName name="_xlnm.Print_Area" localSheetId="19">'ლხ.#8'!$A$1:$H$111</definedName>
    <definedName name="_xlnm.Print_Area" localSheetId="15">'ლხ-4'!$A$1:$H$40</definedName>
    <definedName name="_xlnm.Print_Area" localSheetId="17">'ლხ–6'!$A$1:$H$88</definedName>
    <definedName name="_xlnm.Print_Area" localSheetId="0">'ნაკრები'!$A$1:$E$23</definedName>
    <definedName name="_xlnm.Print_Area" localSheetId="10">'ობ.ხ. #2'!$A$1:$D$18</definedName>
    <definedName name="_xlnm.Print_Area" localSheetId="1">'ობ.ხ.№1'!$A$1:$D$21</definedName>
    <definedName name="_xlnm.Print_Titles" localSheetId="3">'ლ.რ № 1-2'!$7:$7</definedName>
    <definedName name="_xlnm.Print_Titles" localSheetId="6">'ლ.რ №1-5'!$7:$7</definedName>
    <definedName name="_xlnm.Print_Titles" localSheetId="2">'ლ.რ. №1-1'!$7:$7</definedName>
  </definedNames>
  <calcPr fullCalcOnLoad="1"/>
</workbook>
</file>

<file path=xl/sharedStrings.xml><?xml version="1.0" encoding="utf-8"?>
<sst xmlns="http://schemas.openxmlformats.org/spreadsheetml/2006/main" count="7044" uniqueCount="1727">
  <si>
    <t>l/r xarjT. #4</t>
  </si>
  <si>
    <t>Rirebuleba (lari)</t>
  </si>
  <si>
    <t>sabazro</t>
  </si>
  <si>
    <t xml:space="preserve">zednadebi xarjebi </t>
  </si>
  <si>
    <t>srf</t>
  </si>
  <si>
    <t>kac.sT</t>
  </si>
  <si>
    <t>ganzomilebis erTeuli</t>
  </si>
  <si>
    <t>#</t>
  </si>
  <si>
    <t>safuZveli</t>
  </si>
  <si>
    <t>samuSaoTa dasaxeleba</t>
  </si>
  <si>
    <t>raodenoba</t>
  </si>
  <si>
    <t>ganz. erTeulze</t>
  </si>
  <si>
    <t>saproeqto monacemze</t>
  </si>
  <si>
    <t>1</t>
  </si>
  <si>
    <t>kubm</t>
  </si>
  <si>
    <t>cali</t>
  </si>
  <si>
    <t>lari</t>
  </si>
  <si>
    <t>j a m i</t>
  </si>
  <si>
    <t xml:space="preserve"> sxvadasxva masalebi</t>
  </si>
  <si>
    <t>samSeneblo samuSaoebi</t>
  </si>
  <si>
    <t>kub.m</t>
  </si>
  <si>
    <t>sul xarjTaRricxviT:</t>
  </si>
  <si>
    <t>grZ.m</t>
  </si>
  <si>
    <t>manq.sT</t>
  </si>
  <si>
    <t>sxvadasxva masalebi</t>
  </si>
  <si>
    <t>wert.</t>
  </si>
  <si>
    <t>mSeneblobis Rirebulebis nakrebi saxarjTaRricxvo angariSi</t>
  </si>
  <si>
    <t>obieqtis, samuSaoebis da xarjebis dasaxeleba</t>
  </si>
  <si>
    <t>saxarjTRricxvo Rirebuleba _ lari</t>
  </si>
  <si>
    <t xml:space="preserve">samSeneblo samontaJo samuSaoebi </t>
  </si>
  <si>
    <t>sxva xarjebi</t>
  </si>
  <si>
    <t>sul</t>
  </si>
  <si>
    <t xml:space="preserve">rezervi gauTvaliswinebel samuSaoebze (damkveTis gankargulebaSi) </t>
  </si>
  <si>
    <t xml:space="preserve"> j a m i: </t>
  </si>
  <si>
    <t>dRg _ 18%</t>
  </si>
  <si>
    <t xml:space="preserve">sul krebsiTi saxarjTaRricxvo Rirebuleba </t>
  </si>
  <si>
    <t>sn da w  IV-2-82 t-1 cx.1-80-3</t>
  </si>
  <si>
    <t>2</t>
  </si>
  <si>
    <t xml:space="preserve"> sxva masala</t>
  </si>
  <si>
    <t>saxarjTaRricxvo mogeba</t>
  </si>
  <si>
    <t>xarjTaRricxvis nomeri</t>
  </si>
  <si>
    <t>5</t>
  </si>
  <si>
    <t>tona</t>
  </si>
  <si>
    <t>kv.m</t>
  </si>
  <si>
    <t>6</t>
  </si>
  <si>
    <t>7</t>
  </si>
  <si>
    <t xml:space="preserve"> kv.m</t>
  </si>
  <si>
    <t>gr.m</t>
  </si>
  <si>
    <t>kvm</t>
  </si>
  <si>
    <t>17</t>
  </si>
  <si>
    <t>saqsovi mavTuli</t>
  </si>
  <si>
    <t>16</t>
  </si>
  <si>
    <t>22</t>
  </si>
  <si>
    <t>kg</t>
  </si>
  <si>
    <t>komp.</t>
  </si>
  <si>
    <t>15</t>
  </si>
  <si>
    <t>sn da w   IV-2-82 t-2 cx.8-15-1</t>
  </si>
  <si>
    <t xml:space="preserve"> duRabi wyobis</t>
  </si>
  <si>
    <t>duRabi mosapirkeTebeli</t>
  </si>
  <si>
    <t>sn da w  IV-2-82 t-2 cx.11-8-1(2)</t>
  </si>
  <si>
    <t>webo-cementi</t>
  </si>
  <si>
    <t>sn da w  IV-2-82 t-2  cx.15-15-3</t>
  </si>
  <si>
    <t xml:space="preserve"> kafeli</t>
  </si>
  <si>
    <t>3</t>
  </si>
  <si>
    <t>4</t>
  </si>
  <si>
    <t>lursmani</t>
  </si>
  <si>
    <t>9</t>
  </si>
  <si>
    <t>10</t>
  </si>
  <si>
    <t>13</t>
  </si>
  <si>
    <t>21</t>
  </si>
  <si>
    <t>24</t>
  </si>
  <si>
    <t>8</t>
  </si>
  <si>
    <t xml:space="preserve"> sxvadasxva masala</t>
  </si>
  <si>
    <t>sn da w  IV-2-82 t-1 cx.1-81-3</t>
  </si>
  <si>
    <t>14</t>
  </si>
  <si>
    <t>erTpolusa CamrTveli samontaJo kolofiT</t>
  </si>
  <si>
    <t>orpolusa CamrTveli samontaJo kolofiT</t>
  </si>
  <si>
    <t>sn da w  IV-2-82 t-3 cx.21-18-1</t>
  </si>
  <si>
    <t>sn da w  IV-2-82 t-3 cx.21-25-2</t>
  </si>
  <si>
    <t>zednadebi xarjebi SromiTi resursebidan</t>
  </si>
  <si>
    <t>kompl</t>
  </si>
  <si>
    <t>11</t>
  </si>
  <si>
    <t>18</t>
  </si>
  <si>
    <t>23</t>
  </si>
  <si>
    <t>sn da w  IV-2-82 t-2 cx.8-22-2</t>
  </si>
  <si>
    <t xml:space="preserve"> xaraCos xis detalebi</t>
  </si>
  <si>
    <t xml:space="preserve"> fenilis fari</t>
  </si>
  <si>
    <t xml:space="preserve">lokalur-resursuli uwyisis jami: 
</t>
  </si>
  <si>
    <t>12</t>
  </si>
  <si>
    <t>lokalur-resursuli uwyisis jami:</t>
  </si>
  <si>
    <t>zolovana 40х4</t>
  </si>
  <si>
    <t>saxarjTaRricxvo Rirebuleba</t>
  </si>
  <si>
    <t>saxarjTaRricxvo  nomeri</t>
  </si>
  <si>
    <t>samuSaos da xarjebis dasaxeleba</t>
  </si>
  <si>
    <t>j a m i:</t>
  </si>
  <si>
    <t>19</t>
  </si>
  <si>
    <t>20</t>
  </si>
  <si>
    <t>eleqtrodi</t>
  </si>
  <si>
    <t>sn da w  IV-2-82 t-2 cx.11-1-11</t>
  </si>
  <si>
    <t>l</t>
  </si>
  <si>
    <t>Rirebuleba -- lari</t>
  </si>
  <si>
    <t>sn da w  IV-2-82 t-4 cx.27-44-2</t>
  </si>
  <si>
    <t xml:space="preserve"> </t>
  </si>
  <si>
    <t>sxva masalebi</t>
  </si>
  <si>
    <t>jami</t>
  </si>
  <si>
    <t>kac/sT</t>
  </si>
  <si>
    <t>manqanebi</t>
  </si>
  <si>
    <t>kompl.</t>
  </si>
  <si>
    <t>samSeneblo da samontaJo samuSaoebi</t>
  </si>
  <si>
    <t>№</t>
  </si>
  <si>
    <t>samuSaos dasaxeleba</t>
  </si>
  <si>
    <t>ganzomilebis erTeulze</t>
  </si>
  <si>
    <t>saproeqto monacemebze</t>
  </si>
  <si>
    <t>SromiTi danaxarjebi</t>
  </si>
  <si>
    <t>lariı</t>
  </si>
  <si>
    <t>s.n.da w.    7-21-11 misad.</t>
  </si>
  <si>
    <t>Siga el.samontaJo samuSaoebi</t>
  </si>
  <si>
    <t>Sida el.samontaJo samuSaoebi</t>
  </si>
  <si>
    <t>zednadebi xarjebi (SromiTi resursebidan)</t>
  </si>
  <si>
    <t xml:space="preserve">gegmiuri dagroveba </t>
  </si>
  <si>
    <t>mTliani saxarjTaRricxvo Rirebuleba</t>
  </si>
  <si>
    <t xml:space="preserve"> gruntis gaTxra arxSi xeliT</t>
  </si>
  <si>
    <t>maT Soris: SromiTi resursi</t>
  </si>
  <si>
    <t>sn da w  IV-6-82 T-6 cx.8-149-1</t>
  </si>
  <si>
    <t>sn da w  IV-2-82 t-5 cx.34-103</t>
  </si>
  <si>
    <t>qviSa</t>
  </si>
  <si>
    <t>gruntis ukuCayra da zedmeti gruntis adgilze mosworeba</t>
  </si>
  <si>
    <t xml:space="preserve">j a m i </t>
  </si>
  <si>
    <t xml:space="preserve">SromiTi resursebi </t>
  </si>
  <si>
    <t xml:space="preserve">manqanebi </t>
  </si>
  <si>
    <t>komp</t>
  </si>
  <si>
    <t>jami:</t>
  </si>
  <si>
    <t>samuSaoebisa da danaxarjebis dasaxeleba</t>
  </si>
  <si>
    <t>ganzomilebis       erTeuli</t>
  </si>
  <si>
    <t>saxarjRaRricxvo Rirebuleba</t>
  </si>
  <si>
    <t>SromiTi resursebi</t>
  </si>
  <si>
    <t xml:space="preserve"> SromiTi danaxarji </t>
  </si>
  <si>
    <t xml:space="preserve"> manqanebi </t>
  </si>
  <si>
    <t>ficari wiwvovani δsisqiT 40 mm</t>
  </si>
  <si>
    <t>sn da w  IV-2-82 t-2 cx.15-52-3</t>
  </si>
  <si>
    <t>sn da w  IV-2-82 t-2 cx.11-1-6</t>
  </si>
  <si>
    <t>RorRi</t>
  </si>
  <si>
    <t>sn da w  IV-2-82 t-3 cx.16-12-1</t>
  </si>
  <si>
    <t>manq./sT</t>
  </si>
  <si>
    <t>lokalur-resursuli uwyisis jami</t>
  </si>
  <si>
    <t xml:space="preserve">lokalur-resursuli uwyisis jami </t>
  </si>
  <si>
    <t>lokalur-resursuli xarjTaRricxva #6</t>
  </si>
  <si>
    <t>sn da w  IV-2-82 t-3 cx.23-22-2</t>
  </si>
  <si>
    <t xml:space="preserve"> SromiTi danaxarji</t>
  </si>
  <si>
    <t>qviSa msxvilmarcvlovani pirapirebis Semavsebeli</t>
  </si>
  <si>
    <t>l/r xarjT. #6</t>
  </si>
  <si>
    <t>l/r xarjT. #7</t>
  </si>
  <si>
    <t>sn da w  IV-2-82 t-2 cx.6-12-4</t>
  </si>
  <si>
    <t xml:space="preserve"> manqanebi</t>
  </si>
  <si>
    <t xml:space="preserve">SromiTi danaxarjebi </t>
  </si>
  <si>
    <t>sn da w  IV-6-82 T-6 cx.8-524-10</t>
  </si>
  <si>
    <t>80*80 mm gamanawilebeli kolofebis montaJi</t>
  </si>
  <si>
    <t>gamanawilebeli kolofi 80*80 mm.</t>
  </si>
  <si>
    <t>damiwebis kontaqtiani Cafluli tipis faruli Stefseluri rozetis dayeneba</t>
  </si>
  <si>
    <t xml:space="preserve">damiwebis kontaqtiani Cafluli tipis faruli Stefseluri rozeti </t>
  </si>
  <si>
    <t>erT polusa Cafluli tipis CamrTvelis dayeneba</t>
  </si>
  <si>
    <t>d-18 mm damiwebis eleqtrodebis, simaRliT 3 m, Casoba gruntSi</t>
  </si>
  <si>
    <t xml:space="preserve"> damiwebis horizontaluri konturis mowyoba 40X4 zolovanaTi</t>
  </si>
  <si>
    <t>sn da w  IV-6-82 t.3 cx. 21-24-1</t>
  </si>
  <si>
    <t>sn da w  IV-2-82 t-3 cx.16-24-2 (damat. gam. .#2)</t>
  </si>
  <si>
    <t>sn da w  IV-2-82 t-3 cx.16-24-3 (damat. gam. .#2)</t>
  </si>
  <si>
    <t>sn da w  IV-2-82 t-3 cx.16-24-4 (damat. gam. .#2)</t>
  </si>
  <si>
    <t>sn da w  IV-2-82 t-3 cx.17-3-3</t>
  </si>
  <si>
    <t xml:space="preserve"> kanalizacia</t>
  </si>
  <si>
    <t>sn da w  IV-2-82 t-3 cx.16-6-1</t>
  </si>
  <si>
    <t>sn da w  IV-2-82 t-3 cx.16-6-2</t>
  </si>
  <si>
    <t>sn da w  IV-2-82 t-3 cx.17-1-3</t>
  </si>
  <si>
    <t xml:space="preserve">Bxelsabani (sifoni, gamSvebi) </t>
  </si>
  <si>
    <t>sn da w  IV-2-82 t-3 cx.17-4-1</t>
  </si>
  <si>
    <t>sn da w  IV-2-82 t-3 cx.16-24-5 (damat. gam. .#2)</t>
  </si>
  <si>
    <t>sn da w  IV-2-82 t-3 cx.16-24-6 (damat. gam. .#2)</t>
  </si>
  <si>
    <t>jami (Tavi I)</t>
  </si>
  <si>
    <t>jami (Tavi II)</t>
  </si>
  <si>
    <t>grZ.m.</t>
  </si>
  <si>
    <t>proeqt.</t>
  </si>
  <si>
    <t>Siga gaTbobis sistemis mowyoba</t>
  </si>
  <si>
    <t>ventili radiatoris (Sesvla)</t>
  </si>
  <si>
    <t>Sida gaTbobis sistemis mowyoba</t>
  </si>
  <si>
    <t>sn da w IV-6-82 T-6 cx.10-742-13</t>
  </si>
  <si>
    <t xml:space="preserve"> sxvadasxva masalebi </t>
  </si>
  <si>
    <t>sn da w IV-6-82 T-6 cx.10-743-2</t>
  </si>
  <si>
    <t>sn da w IV-6-82 T-6 cx.10-744-5</t>
  </si>
  <si>
    <t>sn da w IV-6-82 T-6 cx.10-744-6</t>
  </si>
  <si>
    <t>sn da w IV-6-82 T-6 cx.10-54-11</t>
  </si>
  <si>
    <t xml:space="preserve"> grZ.m</t>
  </si>
  <si>
    <t xml:space="preserve">                                                                                                                                                                                                                                                                                                                                                                                                                                                                                                                                                                                             </t>
  </si>
  <si>
    <t xml:space="preserve">                          </t>
  </si>
  <si>
    <t>saxanZro signalizaciis qselis mowyoba</t>
  </si>
  <si>
    <t>samisamarTo xelis Rilakiani deteqtori</t>
  </si>
  <si>
    <t>kv.m.</t>
  </si>
  <si>
    <t xml:space="preserve"> SromiTi danaxarji 0,188+2*0,0034=0,1948</t>
  </si>
  <si>
    <t xml:space="preserve"> manqanebi 0,0095+2*0,0023=0,0141</t>
  </si>
  <si>
    <t>kub.m.</t>
  </si>
  <si>
    <t>duRabis tumbo 1 kub.m/sT</t>
  </si>
  <si>
    <t>srg</t>
  </si>
  <si>
    <t>fari yalibis δsisq. 25 mm</t>
  </si>
  <si>
    <t xml:space="preserve">SromiTi danaxarji </t>
  </si>
  <si>
    <t xml:space="preserve">fari yalibis </t>
  </si>
  <si>
    <t xml:space="preserve">qv/cementis xsnari </t>
  </si>
  <si>
    <t>sn da w  IV-2-82 t-3 cx.16-17-1</t>
  </si>
  <si>
    <t xml:space="preserve"> samagri detalebi</t>
  </si>
  <si>
    <t xml:space="preserve">sxvadasxva manqanebi </t>
  </si>
  <si>
    <t>sn da w  IV-2-82 t-2 cx.6-9-1</t>
  </si>
  <si>
    <t>sn da w  IV-2-82 t-2 cx.15-156-3-s misadagebiT</t>
  </si>
  <si>
    <t xml:space="preserve">srf </t>
  </si>
  <si>
    <t>dekoratiuli cementi</t>
  </si>
  <si>
    <t xml:space="preserve">qviSa Cveulebrivi an  feradi                 </t>
  </si>
  <si>
    <t xml:space="preserve"> sxvadasxva masalebi (pigmenti da sxva)</t>
  </si>
  <si>
    <t>ficari wiwvovani jiSis (5,81+0,67)/100=0,0648</t>
  </si>
  <si>
    <t>sn da w  IV-2-82 t-2 cx.15-51-1</t>
  </si>
  <si>
    <t xml:space="preserve">saventilacio sistemis mowyoba </t>
  </si>
  <si>
    <t>saventilacio sistemis mowyoba</t>
  </si>
  <si>
    <t>xelsabanis  (sifoniTa da gamSvebiT) dayeneba</t>
  </si>
  <si>
    <t>kar-fanjrebis ferdoebis SebaTqaSeba qviSa-cementis xsnariT</t>
  </si>
  <si>
    <t>fiTxi</t>
  </si>
  <si>
    <t>l/r xarjT. #5</t>
  </si>
  <si>
    <t xml:space="preserve">saSualo tipis avtogreideri _ 108 cx.Z </t>
  </si>
  <si>
    <t>satkepni sagzao, pnevmosvlaze -18 t</t>
  </si>
  <si>
    <t xml:space="preserve">mosarwyavi manqana _ 6000 l </t>
  </si>
  <si>
    <t>wyali</t>
  </si>
  <si>
    <t xml:space="preserve"> SromiTi danaxarji  </t>
  </si>
  <si>
    <t xml:space="preserve">d-50 mm. plastmasis sakanalizacio milis gayvana fasonuri nawilebisa da samagrebis gamoyenebiT da maTi hidravlikuri gamocda </t>
  </si>
  <si>
    <t xml:space="preserve"> zednadebi xarjebi </t>
  </si>
  <si>
    <t>sn da w  IV-2-82 t-2 cx.13-15-8</t>
  </si>
  <si>
    <t xml:space="preserve">grunti </t>
  </si>
  <si>
    <t>gruntis gamxsneli</t>
  </si>
  <si>
    <t>sn da w  IV-2-82 t-2 cx.15-164-8</t>
  </si>
  <si>
    <t>alifa</t>
  </si>
  <si>
    <t>plastmasis kuTxovana</t>
  </si>
  <si>
    <t>sn da w  IV-2-82 t-2 cx.11-3-1</t>
  </si>
  <si>
    <t>silikoni</t>
  </si>
  <si>
    <t>tub</t>
  </si>
  <si>
    <t>naWedi</t>
  </si>
  <si>
    <t>sWvali</t>
  </si>
  <si>
    <t>8.14-53</t>
  </si>
  <si>
    <t>erTpolusa avtomaturi amomrTveli 25 a</t>
  </si>
  <si>
    <t>8.14-56</t>
  </si>
  <si>
    <t>orpolusa Cafluli tipis CamrTvelis dayeneba</t>
  </si>
  <si>
    <t>8.14-14</t>
  </si>
  <si>
    <t>8.14-15</t>
  </si>
  <si>
    <t>saxanZro signalizaciis marTvis paneli</t>
  </si>
  <si>
    <t>აკუმულატორი 12v/7 a/s rsa 15</t>
  </si>
  <si>
    <t>samisamarTo kvamlis deteqtoris  (universaluri samagri ZiriT) dayeneba</t>
  </si>
  <si>
    <t>obtikur-akustikuri mauwyebelis (sirena - sayviri db-100) dayeneba</t>
  </si>
  <si>
    <t xml:space="preserve">optikur-akustikuri mauwyebeli db-100 </t>
  </si>
  <si>
    <t>sn da w IV-6-82 T-6 cx.8-591-7</t>
  </si>
  <si>
    <t xml:space="preserve"> cali</t>
  </si>
  <si>
    <t xml:space="preserve">ftp-6X2X0,5 kabeli </t>
  </si>
  <si>
    <t xml:space="preserve">jami </t>
  </si>
  <si>
    <t>maT Soris SromiTi resursi</t>
  </si>
  <si>
    <t xml:space="preserve"> gare saTvalTvalo kamera</t>
  </si>
  <si>
    <t xml:space="preserve">materialuri resursi </t>
  </si>
  <si>
    <t>denis Senaxvis wyaros (ups) montaJi</t>
  </si>
  <si>
    <t>mudmivi mexsierebis (hdd-4tb) montaJi</t>
  </si>
  <si>
    <t>susti denebis qselis mowyoba</t>
  </si>
  <si>
    <t>susti denebis qselis</t>
  </si>
  <si>
    <t>sn da w  IV-2-82 Tavi 6 cx.8-591-7</t>
  </si>
  <si>
    <t>sn da w  IV-2-82 Tavi 6 cx.8-591-2</t>
  </si>
  <si>
    <t>sn da w  IV-2-82 Tavi 6 cx.8-591-10</t>
  </si>
  <si>
    <t>sn da w  IV-2-82 t-3 cx.21-25-5</t>
  </si>
  <si>
    <t>sn da w  IV-2-82 t-3 damat. 1  cx.21-28-1</t>
  </si>
  <si>
    <t>ek.m</t>
  </si>
  <si>
    <t>proeqtiT</t>
  </si>
  <si>
    <t xml:space="preserve">7-24 da 7-25 </t>
  </si>
  <si>
    <t xml:space="preserve">sn da w  IV-2-82 t-3 damateba 2 cx.18-16 </t>
  </si>
  <si>
    <t xml:space="preserve">d-100 mm. plastmasis sakanalizacio milis gayvana fasonuri nawilebisa da samagrebis gamoyenebiT, da maTi hidravlikuri gamocda </t>
  </si>
  <si>
    <t>plastmasis sakanalizacio mili d-50 mm fasonuri nawilebiT</t>
  </si>
  <si>
    <t xml:space="preserve">plastmasis sakanalizacio mili d-100 mm fasonuri nawilebiT </t>
  </si>
  <si>
    <t xml:space="preserve">SSm pirTa unitazi (Camrecxi avziT) </t>
  </si>
  <si>
    <t>lokalur-resursuli uwyisis jami: (Tavi I+Tavi II)</t>
  </si>
  <si>
    <t>plastmasis sferuli ventili d-25 mm</t>
  </si>
  <si>
    <r>
      <t xml:space="preserve">betoni </t>
    </r>
    <r>
      <rPr>
        <sz val="10"/>
        <rFont val="Academiuri Nuskhuri"/>
        <family val="0"/>
      </rPr>
      <t>B</t>
    </r>
    <r>
      <rPr>
        <sz val="10"/>
        <rFont val="LitNusx"/>
        <family val="0"/>
      </rPr>
      <t>-10kl.</t>
    </r>
  </si>
  <si>
    <t>lokalur-resursuli xarjTaRricxva #4</t>
  </si>
  <si>
    <t>cecxldamcavi xsnari</t>
  </si>
  <si>
    <t>antiseptikuri xsnari</t>
  </si>
  <si>
    <t>sn da w  IV-2-82 t-2 cx.11-1-5</t>
  </si>
  <si>
    <t>Siga santeqnikuri qselebis (civi wyali da kanalizacia) mowyoba</t>
  </si>
  <si>
    <t>l/r xarjT. #8</t>
  </si>
  <si>
    <t>Sida santeqnikuri qselebis (civi  wyali da kanalizacia) mowyoba</t>
  </si>
  <si>
    <t>27</t>
  </si>
  <si>
    <t>satransporto xarjebi</t>
  </si>
  <si>
    <t>sn da w  IV-2-82 t-3 cx.21-15-3</t>
  </si>
  <si>
    <t>8 arxiani Camweri mowyobis  montaJi</t>
  </si>
  <si>
    <t>gaTbobis qselis mowyoba d-20 mm pn25 plastmasis armirebuli miliT fasonuri nawilebis gamoyenebiT. sistemis hidravlikuri gamocda da misi garecxva qlorirebiT.</t>
  </si>
  <si>
    <t>gaTbobis qselis mowyoba d-40 mm pn25 plastmasis armirebuli miliT. sistemis hidravlikuri gamocda da misi garecxva qlorirebiT.</t>
  </si>
  <si>
    <t>საბაზრო</t>
  </si>
  <si>
    <t>ცალი</t>
  </si>
  <si>
    <t>lokalur-resursuli xarjTaRricxva #7</t>
  </si>
  <si>
    <t>saobieqto xarjTaRricxva #1</t>
  </si>
  <si>
    <t>l/r xarjT. #3</t>
  </si>
  <si>
    <t>l/r xarjTaRri-cxva #1/1</t>
  </si>
  <si>
    <t>l/r xarjTaRri-cxva #1/2</t>
  </si>
  <si>
    <t>l/r xarjTaRri-cxva #1/3</t>
  </si>
  <si>
    <t>l/r xarjTaRri-cxva #1/4</t>
  </si>
  <si>
    <t>l/r xarjTaRri-cxva #1/5</t>
  </si>
  <si>
    <t>l/r xarjTaRri-cxva #1/6</t>
  </si>
  <si>
    <t>l/r xarjTaRri-cxva #1/7</t>
  </si>
  <si>
    <t>sn da w  IV-6-82 T-6 cx.8-142-1</t>
  </si>
  <si>
    <t>grZ.m arxi</t>
  </si>
  <si>
    <t xml:space="preserve"> SromiTi danaxarji 2*0,05</t>
  </si>
  <si>
    <t>kabelis mimaniSnebeli lenti</t>
  </si>
  <si>
    <t>lokalur-resursuli xarjTaRricxva #1/2</t>
  </si>
  <si>
    <t>lokalur-resursuli xarjTaRricxva #1/3</t>
  </si>
  <si>
    <t>lokalur-resursuli xarjTaRricxva #1/4</t>
  </si>
  <si>
    <t>lokalur-resursuli xarjTaRricxva #1/5</t>
  </si>
  <si>
    <t>lokalur-resursuli xarjTaRricxva #1/6</t>
  </si>
  <si>
    <t>lokalur-resursuli xarjTaRricxva #1/7</t>
  </si>
  <si>
    <t>I. wyalmomarageba</t>
  </si>
  <si>
    <t>სრფ</t>
  </si>
  <si>
    <t xml:space="preserve"> შრომითი დანახარჯი </t>
  </si>
  <si>
    <t>კაც.სთ</t>
  </si>
  <si>
    <t>ლარი</t>
  </si>
  <si>
    <t>კუბმ</t>
  </si>
  <si>
    <t>gare ganaTebis mowyoba</t>
  </si>
  <si>
    <t xml:space="preserve">samSeneblo samuSaoebi </t>
  </si>
  <si>
    <t xml:space="preserve">avtoamwe saburRi mowyobilobiT </t>
  </si>
  <si>
    <t>betoni m-250  markis</t>
  </si>
  <si>
    <t>armatura glinula d-6 mm</t>
  </si>
  <si>
    <t>armatura d-8 a_III</t>
  </si>
  <si>
    <t xml:space="preserve"> damiwebis konturis mowyoba 50*50*4 kuTxovaniT</t>
  </si>
  <si>
    <t>kuTxovana 50*50*4</t>
  </si>
  <si>
    <t xml:space="preserve"> saRebavi antikoroziuli gamxsneliT</t>
  </si>
  <si>
    <t>sul: samSeneblo samuSaoebi</t>
  </si>
  <si>
    <t>II. eleqtro samontaJo samuSaoebi</t>
  </si>
  <si>
    <t>sn da w IV-6-82 T-6 cx.8-370-2</t>
  </si>
  <si>
    <t>sn da w  IV-2-82 t-3 cx.21-17-1</t>
  </si>
  <si>
    <t>eleqtro sadenebis ayvana ganaTebis boZebSi kveTiT 3х1,5 kv.mm</t>
  </si>
  <si>
    <t>eleqtro sadeni kveTiT 3х1,5 kv.mm</t>
  </si>
  <si>
    <t xml:space="preserve">j a m i: </t>
  </si>
  <si>
    <t xml:space="preserve"> sul: II eleqtro samontaJo samuSaoebi</t>
  </si>
  <si>
    <t xml:space="preserve">gare ganaTebis mowyoba </t>
  </si>
  <si>
    <t xml:space="preserve"> teritoriis keTilmowyoba-gamwvaneba </t>
  </si>
  <si>
    <t>წყალი</t>
  </si>
  <si>
    <t>კვმ</t>
  </si>
  <si>
    <t>კ/სთ</t>
  </si>
  <si>
    <t>მ/სთ</t>
  </si>
  <si>
    <t>მანქანები</t>
  </si>
  <si>
    <t xml:space="preserve">teritoriis keTilmowyoba da gamwvaneba </t>
  </si>
  <si>
    <t>lokalur-resursuli xarjTaRricxva #1/1</t>
  </si>
  <si>
    <t>Rrubelis safeni</t>
  </si>
  <si>
    <t>webo-cementi yinvagamZle</t>
  </si>
  <si>
    <t>webo pva</t>
  </si>
  <si>
    <t xml:space="preserve"> wyalmomaragebis qselis mowyoba d-20 mm pn 25 plastmasis miliT fasonuri nawilebis gamoyenebiT. sistemis hidravlikuri gamocda da misi garecxva qlorirebiT.</t>
  </si>
  <si>
    <t>wyalmomaragebis qselis mowyoba d-25 mm pn 25 plastmasis miliT fasonuri nawilebis gamoyenebiT. sistemis hidravlikuri gamocda da misi garecxva qlorirebiT.</t>
  </si>
  <si>
    <t xml:space="preserve"> srf</t>
  </si>
  <si>
    <t>sn da w  IV-2-82 t-2 cx.10-11</t>
  </si>
  <si>
    <t>ficari, Zelaki wiwvovani</t>
  </si>
  <si>
    <t>1.10-2</t>
  </si>
  <si>
    <t>sn da w  IV-2-82 t-2 cx.12-6-1 misadag.</t>
  </si>
  <si>
    <t>liTonis profilirebuli galvanizirebuli feradi furclebi sisqiT aranakleb 0,5 mm.</t>
  </si>
  <si>
    <t>brtyeli galvanizirebuli feradi furclebi sisqiT aranakleb 0,5 mm.</t>
  </si>
  <si>
    <t>sn da w  IV-2-82 t-2 cx.10-37-3</t>
  </si>
  <si>
    <t>sn da w  IV-2-82 t-2 cx.10-38-3</t>
  </si>
  <si>
    <t>grm</t>
  </si>
  <si>
    <t xml:space="preserve"> galvanizirebuli feradi Tunuqis wyalsawreti  mili da sarinebi</t>
  </si>
  <si>
    <t>1.10-24</t>
  </si>
  <si>
    <t>1.5-15 misad.</t>
  </si>
  <si>
    <t>kar-fanjrebi</t>
  </si>
  <si>
    <t>sn da w   IV-2-82 t-2 cx.9-5-4</t>
  </si>
  <si>
    <t>sn da w   IV-2-82 t-2 cx.9-5-1</t>
  </si>
  <si>
    <t>sn da w   IV-2-82 t-5 cx.34-56-2-s misadagebiT</t>
  </si>
  <si>
    <t>metaloplastmasis karebis Casma</t>
  </si>
  <si>
    <t>metaloplastmasis karebi</t>
  </si>
  <si>
    <t xml:space="preserve">bitulini sisqiT 2,7 mm </t>
  </si>
  <si>
    <t>gazi</t>
  </si>
  <si>
    <t xml:space="preserve"> bitumis grunti</t>
  </si>
  <si>
    <t>msxvilfraqciuli duRabi m-150 0,0204+2*0,0051=0,0306</t>
  </si>
  <si>
    <t>sn da w  IV-2-82 t-2 cx.11-27-4-s misadagebiT</t>
  </si>
  <si>
    <t>laminirebuli plinTusi</t>
  </si>
  <si>
    <t xml:space="preserve">sn da w  IV-2-82 t-2 cx.11-20-3 </t>
  </si>
  <si>
    <t xml:space="preserve">sn da w  IV-2-82 t-2 cx.11-36-3-s misadagebiT </t>
  </si>
  <si>
    <t xml:space="preserve">xaoiani meTlaxis fila </t>
  </si>
  <si>
    <t>webo</t>
  </si>
  <si>
    <t>sn da w  IV-2-82 t-2 cx.10-29-6</t>
  </si>
  <si>
    <t>sportuli moednis daxazva</t>
  </si>
  <si>
    <t>moedani</t>
  </si>
  <si>
    <t>sn da w  IV-2-82 t-2 cx.11-11-8</t>
  </si>
  <si>
    <t>iatakebi da Siga kibeebi</t>
  </si>
  <si>
    <t>sn da w  IV-2-82 t-2 damateba    cx.7-58-1</t>
  </si>
  <si>
    <t>4.2-16</t>
  </si>
  <si>
    <t xml:space="preserve">sn da w  IV-2-82 t-2 cx.15-164-8 </t>
  </si>
  <si>
    <t>liTonis karkasi (liTonis profilebi, sakidebi, gadasabmeli elementebi, sarWi da sxva)</t>
  </si>
  <si>
    <t>.10.4-6</t>
  </si>
  <si>
    <t>plastmasis Weris profili siganiT 28 sm</t>
  </si>
  <si>
    <t>.10.1-2</t>
  </si>
  <si>
    <t xml:space="preserve"> nestgamZle TabaSirmuyaos fila</t>
  </si>
  <si>
    <t>TviTwebadi wyalgaumtari lenta</t>
  </si>
  <si>
    <t>fuga-TabaSiri</t>
  </si>
  <si>
    <t>10.4-7</t>
  </si>
  <si>
    <t>.10.1-45</t>
  </si>
  <si>
    <t>Sekiduli Werebi da karnizebi</t>
  </si>
  <si>
    <t xml:space="preserve">sn da w  IV-2-82 t-3 cx.15-101-1 misadagebiT             </t>
  </si>
  <si>
    <t>penoplastis karnizi simaRliT 70 mm</t>
  </si>
  <si>
    <t xml:space="preserve">kafelis mopirkeTebis qveS Siga kedlebis gaumjobesebuli Selesva qv/cementis xsnariT </t>
  </si>
  <si>
    <t>sn da w  IV-2-82 t-2 cx.15-168-8</t>
  </si>
  <si>
    <t>sn da w  IV-2-82 t-2 cx.15-168-7</t>
  </si>
  <si>
    <t>sn da w  IV-2-82 t-2 cx.8-22-6</t>
  </si>
  <si>
    <t xml:space="preserve"> kvm vert.pr</t>
  </si>
  <si>
    <t xml:space="preserve"> xaraCos liTonis detalebi</t>
  </si>
  <si>
    <t>saburRi mowyobiloba</t>
  </si>
  <si>
    <t>almasis burRi</t>
  </si>
  <si>
    <t>sxva masalebi 0,0036-0,0005 (dasabrunebeli masalis Rirebuleba)</t>
  </si>
  <si>
    <t>sn da w  IV-2-82 t-2 cx.9-32-10</t>
  </si>
  <si>
    <t xml:space="preserve">sxva manqanebi </t>
  </si>
  <si>
    <t>proet.</t>
  </si>
  <si>
    <t>d-18 mm liTonis ankeri sigrZiT 25 sm</t>
  </si>
  <si>
    <t>liTonis profilebis gawmenda da dagruntva</t>
  </si>
  <si>
    <t xml:space="preserve"> liTonis profilebis SeRebva antikoroziuli saRebaviT 2 jer.</t>
  </si>
  <si>
    <t>sn da w  IV-2-82 t-2 cx.12-6-2 misadag.</t>
  </si>
  <si>
    <t>sn da w  IV-2-82 t-8 cx.46-21-1</t>
  </si>
  <si>
    <t>winafris saxuravis kedelSi CakeTebisaTvis Raris gamotexva</t>
  </si>
  <si>
    <t>sn da w  IV-2-82 t-2 cx.7-50-2</t>
  </si>
  <si>
    <t xml:space="preserve">winafris Tunuqis saxuravebis fasadis kedlebSi CakeTeba </t>
  </si>
  <si>
    <t>duRabi cementis</t>
  </si>
  <si>
    <t>ZenZi gafisuli</t>
  </si>
  <si>
    <t>silikaturi qafura - 0,75 ml</t>
  </si>
  <si>
    <t xml:space="preserve"> kvm hor..pr</t>
  </si>
  <si>
    <t>qviSa-RorRis narevi</t>
  </si>
  <si>
    <t>sn da w  IV-2-82 t-2 cx.6-16-5-s misadagebiT</t>
  </si>
  <si>
    <t>ficari wiwvovani jiSis δ(1,4+4,29+0,2)/100=0,0589</t>
  </si>
  <si>
    <t>1.10-14</t>
  </si>
  <si>
    <t>jami (sportuli inventari)</t>
  </si>
  <si>
    <t>skolis Senoba</t>
  </si>
  <si>
    <t>sul lokalur-resursuli uwyisis jami:</t>
  </si>
  <si>
    <t>sxvadasxva saxeobebis iatakebs Soris Sepirapirebis adgilebSi feradi liTonis dekoratiuli profilis mowyoba</t>
  </si>
  <si>
    <t>feradi liTonis dekoratiuli profili</t>
  </si>
  <si>
    <t xml:space="preserve">gare dafarvis wyaldispersiuli saRebavi </t>
  </si>
  <si>
    <t>სნ და წ  IV-2-82 ტ-4 ცხ.27-8-2</t>
  </si>
  <si>
    <t xml:space="preserve">შრომითი დანახარჯები                   </t>
  </si>
  <si>
    <t>ტრაქტორი მუხლუხა სვლაზე 108 ც.ძ</t>
  </si>
  <si>
    <t>სარწყავი მანქანა</t>
  </si>
  <si>
    <t>betonis fila sisqiT 6, sm orSriani transportirebiT</t>
  </si>
  <si>
    <t xml:space="preserve">მარტივი ტიპის ძელსკამების მოწყობა ლითონის ფეხებზე </t>
  </si>
  <si>
    <t xml:space="preserve"> sn da w  IV-2-82 t-1 cx. 1-80-7</t>
  </si>
  <si>
    <t>sn da w  IV-2-82 t-2 cx.6-11-2</t>
  </si>
  <si>
    <t xml:space="preserve"> yalibis fari</t>
  </si>
  <si>
    <t>13 - 200</t>
  </si>
  <si>
    <t>13 - 222</t>
  </si>
  <si>
    <t>13-218</t>
  </si>
  <si>
    <t>13-219</t>
  </si>
  <si>
    <t>.13-7</t>
  </si>
  <si>
    <t>13-190</t>
  </si>
  <si>
    <t>13-181</t>
  </si>
  <si>
    <t>erTpolusa avtomaturi amomrTveli 10 a</t>
  </si>
  <si>
    <t>sn da w  IV-2-82 Tavi 6 cx.10-744-4</t>
  </si>
  <si>
    <t xml:space="preserve">eletrozaris dayeneba </t>
  </si>
  <si>
    <t>eletrozari</t>
  </si>
  <si>
    <t>8.3-21</t>
  </si>
  <si>
    <t>perforirebuli liTonis 200*40 mm  kabel-arxis gayvana</t>
  </si>
  <si>
    <t>1.1-20</t>
  </si>
  <si>
    <t>13 - 300</t>
  </si>
  <si>
    <t>liTonis sayrdenebis gawmenda da dagruntva</t>
  </si>
  <si>
    <t>liTonis sayrdebebis SeRebva antikoroziuli saRebaviT 2 jer.</t>
  </si>
  <si>
    <t xml:space="preserve">internet rozetis dayeneba </t>
  </si>
  <si>
    <t>9-42</t>
  </si>
  <si>
    <t>internet rozeti kolofiT</t>
  </si>
  <si>
    <t>modemis montaJi</t>
  </si>
  <si>
    <t xml:space="preserve"> ftp-6X2X0,5 kabelis gayvana </t>
  </si>
  <si>
    <t xml:space="preserve"> DSiga saTvalTvalo kameris montaJi</t>
  </si>
  <si>
    <t>8.3-19</t>
  </si>
  <si>
    <t>cecxlsaqrobis montaJi</t>
  </si>
  <si>
    <t>gaTbobis qselis mowyoba  d-32 mm pn25  plastmasis armirebuli miliT fasonuri nawilebis gamoyenebiT. sistemis hidravlikuri gamocda da misi garecxva qlorirebiT.</t>
  </si>
  <si>
    <t>2.6-37</t>
  </si>
  <si>
    <t xml:space="preserve"> d-63 mm pn25 plastmasis armirebuli milis montaJi fasonuri nawilebis gamoyenebiT. sistemis hidravlikuri gamocda da misi garecxva qlorirebiT.</t>
  </si>
  <si>
    <t>2.6-56</t>
  </si>
  <si>
    <t xml:space="preserve">milsadenebze d-40 mm sferuli ventilis dayeneba </t>
  </si>
  <si>
    <t>sferuli ventili d-40 mm</t>
  </si>
  <si>
    <t>6-59</t>
  </si>
  <si>
    <t xml:space="preserve">armatura </t>
  </si>
  <si>
    <t xml:space="preserve"> 1*9 vt. simZlavris hermetuli Sesrulebis Weris led sanaTuris (dacvis klasi ip54)  da naTuris dayeneba </t>
  </si>
  <si>
    <t>1*9 vt. simZlavris hermetuli Sesrulebis led sanaTi naTuriT (dacvis klasi ip54)</t>
  </si>
  <si>
    <t>sn da w  IV-2-82 Tavi 6 cx.8-597-1</t>
  </si>
  <si>
    <t>2.6-21</t>
  </si>
  <si>
    <t>2.6-36</t>
  </si>
  <si>
    <t>2.6-22</t>
  </si>
  <si>
    <t>2.6-23</t>
  </si>
  <si>
    <t>plastmasis sferuli ventili d-32 mm</t>
  </si>
  <si>
    <t xml:space="preserve">milsadenebze d-20 mm plastmasis sferuli ventilis dayeneba </t>
  </si>
  <si>
    <t>plastmasis sferuli ventili d-20 mm</t>
  </si>
  <si>
    <t xml:space="preserve">milsadenebze d-25 mm plastmasis sferuli ventilis dayeneba </t>
  </si>
  <si>
    <t>2.6-25</t>
  </si>
  <si>
    <t>sn da w  IV-2-82 t-3 cx.17-4-4</t>
  </si>
  <si>
    <t>tn</t>
  </si>
  <si>
    <t>ficari wiwvovani, III xarisxis δ=40 mm</t>
  </si>
  <si>
    <t xml:space="preserve">.10.3-3 </t>
  </si>
  <si>
    <t xml:space="preserve">maRali cveTamedegobis laminirebuli iataki sisqiT aranakleb 12 mm-sa </t>
  </si>
  <si>
    <t xml:space="preserve">gare kibeebi, pandusi da winafrebi </t>
  </si>
  <si>
    <t>fasadis mopirkeTeba</t>
  </si>
  <si>
    <t>fasadis fiTxi</t>
  </si>
  <si>
    <t xml:space="preserve"> minapaketiT Seminuli metaloplastmasis fanjara</t>
  </si>
  <si>
    <t xml:space="preserve"> sportdarbazis blokSi horizontaluri inventaruli xaraCos dayeneba da daSla </t>
  </si>
  <si>
    <t>sn da w  IV-2-82 t-2 cx.6-11-1</t>
  </si>
  <si>
    <t>monoliTuri betonis saZirkvlisa da zeZirkvlis mowyoba В20 klasis betoniT</t>
  </si>
  <si>
    <t>betoni В20</t>
  </si>
  <si>
    <t>WanWiki</t>
  </si>
  <si>
    <t>sn da w  IV-2-82 t-2 cx.13-15-6</t>
  </si>
  <si>
    <t>sn da w IV-2-82 t-2 cx.15-156-4</t>
  </si>
  <si>
    <t>gamxsneli</t>
  </si>
  <si>
    <t>kg.</t>
  </si>
  <si>
    <t xml:space="preserve">  gare dadgmulobis saTval-Tvalo kameris montaJi 180 gradusiani xedviT</t>
  </si>
  <si>
    <t>iatakebis hidroizolaciis mowyoba erTi fena bituliniT, sisqiT 2,7 mm</t>
  </si>
  <si>
    <t xml:space="preserve">milsadenebze d-32 mm plastmasis sferuli ventilis dayeneba </t>
  </si>
  <si>
    <t>6-58</t>
  </si>
  <si>
    <t>SSm pirTaTvis xelsabanis (sifoniTa da gamSvebiT) dayeneba</t>
  </si>
  <si>
    <t>4.2-135</t>
  </si>
  <si>
    <t>sn da w  IV-2-82 t-3 cx.17-3-2-s misadagebiT</t>
  </si>
  <si>
    <t>SSm pirTaTvis xelCasavlebi aqsesuarebis dayeneba</t>
  </si>
  <si>
    <t>.6-29</t>
  </si>
  <si>
    <t xml:space="preserve">SSm pirTa xelCasavlebi aqsesuarebiM </t>
  </si>
  <si>
    <t>6-100</t>
  </si>
  <si>
    <t>ukusvlis ventili radiatoris</t>
  </si>
  <si>
    <t>radiatoris  ventilebis dayeneba</t>
  </si>
  <si>
    <t>radiatoris ukusvlis ventilebis dayeneba</t>
  </si>
  <si>
    <t>kanalizaciis gare sistemis mowyoba</t>
  </si>
  <si>
    <t>kanalizaciis gare qselis mowyoba</t>
  </si>
  <si>
    <t>lokalur-resursuli xarjTaRricxva #5</t>
  </si>
  <si>
    <t>haersataris samagri</t>
  </si>
  <si>
    <t>sn da w  IV-2-82 t-3 cx.20-7-1</t>
  </si>
  <si>
    <t>sn da w  IV-2-82 t-3 cx.18-6-1</t>
  </si>
  <si>
    <t>sn da w  IV-2-82 t-3 cx.18-8-1</t>
  </si>
  <si>
    <t xml:space="preserve"> d-25 mm pn25 plastmasis armirebuli milis montaJi fasonuri nawilebis gamoyenebiT. sistemis hidravlikuri gamocda da misi garecxva qlorirebiT.</t>
  </si>
  <si>
    <t xml:space="preserve"> d-32 mm pn25 plastmasis armirebuli milis montaJi fasonuri nawilebis gamoyenebiT. sistemis hidravlikuri gamocda da misi garecxva qlorirebiT.</t>
  </si>
  <si>
    <t>sn da w  IV-2-82 t-3 cx.16-12-2</t>
  </si>
  <si>
    <t xml:space="preserve">1/2" zambariani damcavi sarqvelis dayeneba </t>
  </si>
  <si>
    <t>1/2" zambariani damcavi sarqveli</t>
  </si>
  <si>
    <t xml:space="preserve">d-32 mm ukusarqvelis dayeneba </t>
  </si>
  <si>
    <t>ukusarqveli  Dd-32 mm</t>
  </si>
  <si>
    <t>sn da w  IV-2-82 t-3 cx.18-11-7</t>
  </si>
  <si>
    <t>1/2" avtomaturi haergamSvebis dayeneba</t>
  </si>
  <si>
    <t>1/2" avtomaturi haergamSvebi</t>
  </si>
  <si>
    <t>sn da w  IV-2-82 t-3 cx.19-3-2</t>
  </si>
  <si>
    <t>4.1-204</t>
  </si>
  <si>
    <t>4.1 - 206</t>
  </si>
  <si>
    <t>4.2-85</t>
  </si>
  <si>
    <t>Siga dafarvis wyalemulsiis saRebavi</t>
  </si>
  <si>
    <t>.10.1-44</t>
  </si>
  <si>
    <t xml:space="preserve"> sxva masalebi</t>
  </si>
  <si>
    <t>4.1-235</t>
  </si>
  <si>
    <t>materialuri danaxarji</t>
  </si>
  <si>
    <t>SromiTi danaxarji</t>
  </si>
  <si>
    <t xml:space="preserve"> mTavar gamanawilebel farSi 1*25a avtomaturi amomrTvelis dayeneba da momzadeba CarTvisaTvis </t>
  </si>
  <si>
    <t>12.1-69</t>
  </si>
  <si>
    <t>9-47</t>
  </si>
  <si>
    <t>9-46</t>
  </si>
  <si>
    <t>12.1-.10</t>
  </si>
  <si>
    <r>
      <t xml:space="preserve"> H</t>
    </r>
    <r>
      <rPr>
        <b/>
        <sz val="10"/>
        <rFont val="Sylfaen"/>
        <family val="1"/>
      </rPr>
      <t>H</t>
    </r>
    <r>
      <rPr>
        <b/>
        <sz val="10"/>
        <rFont val="LitNusx"/>
        <family val="0"/>
      </rPr>
      <t>2X</t>
    </r>
    <r>
      <rPr>
        <b/>
        <sz val="10"/>
        <rFont val="Sylfaen"/>
        <family val="1"/>
      </rPr>
      <t>H-</t>
    </r>
    <r>
      <rPr>
        <b/>
        <sz val="10"/>
        <rFont val="LitNusx"/>
        <family val="0"/>
      </rPr>
      <t>3*2,5 kv.mm ganikveTis spilenZis eleqtro sadenebis gayvana daxuruli el.gayvanilobisTvis</t>
    </r>
  </si>
  <si>
    <r>
      <t>H</t>
    </r>
    <r>
      <rPr>
        <sz val="10"/>
        <rFont val="Sylfaen"/>
        <family val="1"/>
      </rPr>
      <t>H</t>
    </r>
    <r>
      <rPr>
        <sz val="10"/>
        <rFont val="LitNusx"/>
        <family val="0"/>
      </rPr>
      <t>2X</t>
    </r>
    <r>
      <rPr>
        <sz val="10"/>
        <rFont val="Sylfaen"/>
        <family val="1"/>
      </rPr>
      <t>H</t>
    </r>
    <r>
      <rPr>
        <sz val="10"/>
        <rFont val="LitNusx"/>
        <family val="0"/>
      </rPr>
      <t>-3*2,5 kv.mm ganikveTis spilenZis eleqtro sadeni</t>
    </r>
  </si>
  <si>
    <t>sn da w  IV-2-82 t-1 cx.1-80-7</t>
  </si>
  <si>
    <t xml:space="preserve"> sakvamle milis saZirkvlisaTvis gruntis gaTxra xeliT</t>
  </si>
  <si>
    <t>s.n. da w.  IV-2-82 t-2 cx.6-2-1</t>
  </si>
  <si>
    <t>yalibis fari</t>
  </si>
  <si>
    <t>daxerxili masala</t>
  </si>
  <si>
    <t>sn da w  IV-2-82 t-2 cx.6-9-9</t>
  </si>
  <si>
    <t>saZirkvlSi sakvamle milis samontaJi liTonis bazis mowyoba woniT 20 kg-ze meti</t>
  </si>
  <si>
    <t>Casatanebeli detalebi (liTonis baza)</t>
  </si>
  <si>
    <t>sn da w  IV-2-82 t-2 cx.9-24-1</t>
  </si>
  <si>
    <t>sakvamle milis feradi galvanizirebuli Tunuqis qolga</t>
  </si>
  <si>
    <t>samontaJo elementebi</t>
  </si>
  <si>
    <t>sakvamle milis SeRebva antikoroziuli saRebaviT 2 jer.</t>
  </si>
  <si>
    <t>1.10-17</t>
  </si>
  <si>
    <t>satransporto xarjebi (xelfasgareSe xarjebidan)</t>
  </si>
  <si>
    <t>sn da w  IV-2-82 t-3 cx.26-4-3</t>
  </si>
  <si>
    <t>rul.</t>
  </si>
  <si>
    <t>silikaturi qafura</t>
  </si>
  <si>
    <t>gruntis ukuCayra da adgilze moSandakeba xeliT</t>
  </si>
  <si>
    <t>6-101</t>
  </si>
  <si>
    <t>wyalmomaragebis qselis mowyoba d-32 mm pn 25 plastmasis miliT fasonuri nawilebis gamoyenebiT. sistemis hidravlikuri gamocda da misi garecxva qlorirebiT.</t>
  </si>
  <si>
    <t>6-57</t>
  </si>
  <si>
    <t>.6-18</t>
  </si>
  <si>
    <t>.6-13</t>
  </si>
  <si>
    <t>kanalizaciis sistemis CarTva arsebul sistemaSi</t>
  </si>
  <si>
    <t>lokalur-resursuli xarjTaRricxva #3</t>
  </si>
  <si>
    <t>sn da w  IV-2-82 t-3 cx.22-8-1</t>
  </si>
  <si>
    <t xml:space="preserve">s.n. da w.  t.3 cx. 22-20-1   </t>
  </si>
  <si>
    <t>qloriani wyali</t>
  </si>
  <si>
    <t>sn da w  IV-2-82 t-3 cx.22-25-1</t>
  </si>
  <si>
    <t>wyalsadenis gare qselis mowyoba</t>
  </si>
  <si>
    <t xml:space="preserve"> d-32 mm. pn25 plastmasis milis gayvana fasonuri nawilebis gamoyenebiT da hidravlikuri gamocda</t>
  </si>
  <si>
    <t>mili plastmasis d-32 mm fasonuri nawilebiT</t>
  </si>
  <si>
    <t>4.1-36</t>
  </si>
  <si>
    <t>4.1-242</t>
  </si>
  <si>
    <t>4.1-210</t>
  </si>
  <si>
    <t xml:space="preserve"> SromiTi resursi</t>
  </si>
  <si>
    <t>lokalur-resursuli xarjTaRricxva #2/2</t>
  </si>
  <si>
    <t>saqvabes Senoba</t>
  </si>
  <si>
    <t>lokalur-resursuli xarjTaRricxva #2/1</t>
  </si>
  <si>
    <t>saxarjTaRricxvo nomeri</t>
  </si>
  <si>
    <t xml:space="preserve">samSeneblo da samontaJo samuSaoebi </t>
  </si>
  <si>
    <t>saobieqto xarjTaRricxva #2</t>
  </si>
  <si>
    <t>4.1-337</t>
  </si>
  <si>
    <t>saobieqto xarjT. #2</t>
  </si>
  <si>
    <t>saqvabes DSenoba</t>
  </si>
  <si>
    <t>შრომითი რესურსი</t>
  </si>
  <si>
    <t xml:space="preserve"> materialuri resursi</t>
  </si>
  <si>
    <t>sn da w  IV-2-82 t-3 cx.23-15-1</t>
  </si>
  <si>
    <t xml:space="preserve">duRabi cementis 1:2 </t>
  </si>
  <si>
    <t>ficari wiwvovani sisqiT 25_32 mm</t>
  </si>
  <si>
    <t>sn da w  IV-2-82 t-1 cx.1-78-3</t>
  </si>
  <si>
    <t xml:space="preserve"> sn da w  IV-2-82 t-1 cx. 1-78-3</t>
  </si>
  <si>
    <t>sn da w   IV-2-82 t-2 cx.8-7-3</t>
  </si>
  <si>
    <t>kedlebisa da tixrebis wyobis armireba da Caankereba kedlebis da gadaxurvis mzid konstruqciebSi А-I klasis armaturiT</t>
  </si>
  <si>
    <t xml:space="preserve"> armatura А-I</t>
  </si>
  <si>
    <t xml:space="preserve">saxuravis  burulis mowyoba profilirebuli galvanizirebuli feradi liTonis furclebiT sisqiT aranakleb 0,5 mm-sa, analogiuri feris da sisqis brtyeli TunuqiT kexis mowyoba </t>
  </si>
  <si>
    <t>sn da w  IV-2-82 t-2 damateba 1  cx.7-58-4</t>
  </si>
  <si>
    <t>3-32-s misad.</t>
  </si>
  <si>
    <t>uJangavi liTonis moajiri</t>
  </si>
  <si>
    <t xml:space="preserve"> liTonis Robis zedapirebis gawmenda da dagruntva</t>
  </si>
  <si>
    <t>liTonis zedapirebis SeRebva antikoroziuli saRebaviT 2 jer.</t>
  </si>
  <si>
    <t xml:space="preserve">    </t>
  </si>
  <si>
    <r>
      <t xml:space="preserve">N </t>
    </r>
    <r>
      <rPr>
        <sz val="10"/>
        <rFont val="Sylfaen"/>
        <family val="1"/>
      </rPr>
      <t>NAYY 5</t>
    </r>
    <r>
      <rPr>
        <sz val="10"/>
        <rFont val="LitNusx"/>
        <family val="0"/>
      </rPr>
      <t>X6 kv.mm ganikveTis aluminis eleqtro kabeli</t>
    </r>
  </si>
  <si>
    <r>
      <t>H</t>
    </r>
    <r>
      <rPr>
        <b/>
        <sz val="10"/>
        <rFont val="Sylfaen"/>
        <family val="1"/>
      </rPr>
      <t>H</t>
    </r>
    <r>
      <rPr>
        <b/>
        <sz val="10"/>
        <rFont val="LitNusx"/>
        <family val="0"/>
      </rPr>
      <t>2X</t>
    </r>
    <r>
      <rPr>
        <b/>
        <sz val="10"/>
        <rFont val="Sylfaen"/>
        <family val="1"/>
      </rPr>
      <t>H-3</t>
    </r>
    <r>
      <rPr>
        <b/>
        <sz val="10"/>
        <rFont val="LitNusx"/>
        <family val="0"/>
      </rPr>
      <t>*1,5 kv.mm ganikveTis spilenZis eleqtro sadenis gayvana daxuruli el.gayvanilobisTvis</t>
    </r>
  </si>
  <si>
    <t>sn da w IV-2-82 t-2 cx.15-169-2</t>
  </si>
  <si>
    <t>4.2-62</t>
  </si>
  <si>
    <t>ormxrivfurcliani (furclis sisqiT 2,0 mm) liTonis  karebis Casma</t>
  </si>
  <si>
    <t>ormxrivfurcliani (sisqiT 2,0 mm) liTonis  kari</t>
  </si>
  <si>
    <t xml:space="preserve">poliqlorvinilis gluvi milis Cadeba arxSi diametriT 50 mm </t>
  </si>
  <si>
    <t xml:space="preserve">poliqlorvinilis gluvi mili d-50 mm </t>
  </si>
  <si>
    <t>sn da w  IV-2-82 t-8 cx.46-43-1</t>
  </si>
  <si>
    <r>
      <t xml:space="preserve">sakvamle milis saZirkvlis mowyoba </t>
    </r>
    <r>
      <rPr>
        <b/>
        <sz val="10"/>
        <rFont val="Times New Roman"/>
        <family val="1"/>
      </rPr>
      <t>B</t>
    </r>
    <r>
      <rPr>
        <b/>
        <sz val="10"/>
        <rFont val="LitNusx"/>
        <family val="0"/>
      </rPr>
      <t>-20 klasis betoniT</t>
    </r>
  </si>
  <si>
    <r>
      <t xml:space="preserve">betoni </t>
    </r>
    <r>
      <rPr>
        <sz val="10"/>
        <rFont val="Times New Roman"/>
        <family val="1"/>
      </rPr>
      <t>B-20</t>
    </r>
    <r>
      <rPr>
        <sz val="10"/>
        <rFont val="LitNusx"/>
        <family val="0"/>
      </rPr>
      <t xml:space="preserve"> </t>
    </r>
  </si>
  <si>
    <t>100*100 mm cxauris dayeneba</t>
  </si>
  <si>
    <t>100*100 mm  cxauri</t>
  </si>
  <si>
    <t>sn da w  IV-2-82 t-3 cx.20-1-1</t>
  </si>
  <si>
    <r>
      <t xml:space="preserve">betoni </t>
    </r>
    <r>
      <rPr>
        <sz val="10"/>
        <rFont val="Academiuri Nuskhuri"/>
        <family val="0"/>
      </rPr>
      <t>B</t>
    </r>
    <r>
      <rPr>
        <sz val="10"/>
        <rFont val="LitNusx"/>
        <family val="0"/>
      </rPr>
      <t xml:space="preserve">-20 kl. </t>
    </r>
  </si>
  <si>
    <t>armatura</t>
  </si>
  <si>
    <t>Tujis xufi CarCoTi d-600*600 mm</t>
  </si>
  <si>
    <t>6-60</t>
  </si>
  <si>
    <t>7-25 da 7-26</t>
  </si>
  <si>
    <t xml:space="preserve"> unitazi (Camrecxi avziT) </t>
  </si>
  <si>
    <t>sn da w IV-6-82 T-6 cx.8-121-1</t>
  </si>
  <si>
    <t>8.14-36</t>
  </si>
  <si>
    <t>kedelze samontaJo mTavari gamanawilebeli faris dayeneba (dacvis klasi ip-54) Sesabamisi samagri detalebis gamoyenebiT</t>
  </si>
  <si>
    <t>mTavari gamanawilebeli fari-samagri detalebiT (dacvis klasi ip-54)</t>
  </si>
  <si>
    <t xml:space="preserve"> mTavar gamanawilebel farSi 1*10a avtomaturi amomrTvelis dayeneba da momzadeba CarTvisaTvis </t>
  </si>
  <si>
    <t>kabeldamaboloebeli buniki 16 kv.mm</t>
  </si>
  <si>
    <t>pr.</t>
  </si>
  <si>
    <t>WanWiki da qanCi m-6</t>
  </si>
  <si>
    <t xml:space="preserve"> 1*30 vt. simZlavris proJeqtoruli tipis Suqdioduri sanaTuris (dacvis klasi ip65) da naTuris dayeneba </t>
  </si>
  <si>
    <t>1*24 vt. led sanaTi naTuriT (dacvis klasi aranakleb ip20)</t>
  </si>
  <si>
    <t>1*15 vt. simZlavris led sanaTi naTuriT (dacvis klasi ip54)</t>
  </si>
  <si>
    <t>d-50 mm. poliqlorvinilis gluvi mili sakabelo arxis gayvana</t>
  </si>
  <si>
    <t xml:space="preserve">poliqlorvinilis  mili d-50 </t>
  </si>
  <si>
    <t>sn da w IV-6-82 T-6 cx.10-682-5</t>
  </si>
  <si>
    <t>sn da w  IV-6-82 T-6 cx.8-142-2-misad</t>
  </si>
  <si>
    <t>arxSi kabelis mimaniSnebeli lentis Cadeba</t>
  </si>
  <si>
    <t xml:space="preserve">I. samSeneblo samuSaoebi </t>
  </si>
  <si>
    <t xml:space="preserve">plastmasis sqelkaniani milis Cadeba arxSi diametriT 50 mm </t>
  </si>
  <si>
    <t>plastmasis mili d-50 mm sqelkaniani</t>
  </si>
  <si>
    <t xml:space="preserve">arxSi kabelis qviSis safenis da safaris mowyoba </t>
  </si>
  <si>
    <t xml:space="preserve">qviSa </t>
  </si>
  <si>
    <t>sn da w  IV-2-82 t-1 cx.1-118-1</t>
  </si>
  <si>
    <t xml:space="preserve">ukuCayrili gruntis datkepna pnevmaturi satkepniT </t>
  </si>
  <si>
    <t>13-339</t>
  </si>
  <si>
    <t xml:space="preserve">pnevmaturi satkepni </t>
  </si>
  <si>
    <t>sul samSeneblo samuSaoebi</t>
  </si>
  <si>
    <t>II samontaJo samuSaoebi</t>
  </si>
  <si>
    <t>sn da w  IV-6-82 t.3 cx. 21-27-1</t>
  </si>
  <si>
    <t>8 moduliani kedelSi CaSenebuli Semyvan-gamanawilebeli faris (222*280*92 mm, dacvis klasi ip-40) dayeneba Sesabamisi samagri detalebis gamoyenebiT</t>
  </si>
  <si>
    <t xml:space="preserve"> Semyvan-gamanawilebeli fari (222*280*92 mm, dacvis klasi ip-40) Sesabamisi samagri detalebiT</t>
  </si>
  <si>
    <t>sn da w  IV-6-82 T-6 cx.
8-525-1</t>
  </si>
  <si>
    <t>8.14-56.</t>
  </si>
  <si>
    <t xml:space="preserve"> Semyvan-gamanawilebel farSi 2*6a 50 ka Zravis dacvis avtomaturi amomrTvelis dayeneba</t>
  </si>
  <si>
    <t>Zravis dacvis avtomaturi amomrTveli 2*6 a 50 ka</t>
  </si>
  <si>
    <t xml:space="preserve"> Semyvan-gamanawilebel farSi 1*6a 6 ka avtomaturi amomrTvelis dayeneba</t>
  </si>
  <si>
    <t>8.14-53-s misada</t>
  </si>
  <si>
    <t>avtomaturi amomrTveli 1*6 a 6 ka</t>
  </si>
  <si>
    <t>sn da w  IV-2-82 Tavi 6 cx.8-599-1</t>
  </si>
  <si>
    <t xml:space="preserve">  1*24 vt. simZlavris Suqdioduri Weris sanaTis da naTuris dayeneba </t>
  </si>
  <si>
    <t xml:space="preserve"> 1*24 vt. simZlavris Suqdioduri Weris sanaTis naTuriT </t>
  </si>
  <si>
    <r>
      <t>H</t>
    </r>
    <r>
      <rPr>
        <sz val="10"/>
        <rFont val="Sylfaen"/>
        <family val="1"/>
      </rPr>
      <t>H</t>
    </r>
    <r>
      <rPr>
        <sz val="10"/>
        <rFont val="LitNusx"/>
        <family val="0"/>
      </rPr>
      <t>2X</t>
    </r>
    <r>
      <rPr>
        <sz val="10"/>
        <rFont val="Sylfaen"/>
        <family val="1"/>
      </rPr>
      <t>H</t>
    </r>
    <r>
      <rPr>
        <sz val="10"/>
        <rFont val="LitNusx"/>
        <family val="0"/>
      </rPr>
      <t>-3*1,5 kv.mm ganikveTis spilenZis eleqtro sadeni</t>
    </r>
  </si>
  <si>
    <t>arxSi kabelis qviSis safenis da safaris mowyoba lentis Cadeba</t>
  </si>
  <si>
    <t>damiwebis eleqtrodi d-18 mm</t>
  </si>
  <si>
    <t>sn da w  IV-2-82 Tavi 6 cx.8-471-4</t>
  </si>
  <si>
    <t>sn da w  IV-2-82 Tavi 6 cx.8-472-2</t>
  </si>
  <si>
    <t xml:space="preserve">perforirebuli liTonis 50*50*0.7 mm  kabel-arxi </t>
  </si>
  <si>
    <t>sn da w  IV-2-82 t-3 cx.21-29</t>
  </si>
  <si>
    <t>saventilacio Hhaersataris mowyoba 0,6 mm moTuTiebuli furclebisagan haersataris permetriT 1000 m.m.-de</t>
  </si>
  <si>
    <t xml:space="preserve"> plastmasis gadamyvani </t>
  </si>
  <si>
    <t>plastmasis quro d-25 mm</t>
  </si>
  <si>
    <t>plastmasis muxli d-25 mm</t>
  </si>
  <si>
    <t>samkapi d-25 mm da plastmasis samkapi gadamyvaniT (0.04+0.13)</t>
  </si>
  <si>
    <t xml:space="preserve">plastmasis armirebuli mili d-32 mm pn25 </t>
  </si>
  <si>
    <t>plastmasis quro d-32 mm</t>
  </si>
  <si>
    <t>plastmasis muxli d-32 mm</t>
  </si>
  <si>
    <t>samkapi d-32 mm da plastmasis samkapi gadamyvaniT 0.4+0.1</t>
  </si>
  <si>
    <t xml:space="preserve">plastmasis armirebuli mili d-40 mm pn25 </t>
  </si>
  <si>
    <t>plastmasis quro d-40 mm</t>
  </si>
  <si>
    <t>plastmasis muxli d-40 mm</t>
  </si>
  <si>
    <t>samkapi d-40 mm da plastmasis samkapi gadamyvaniT 0.4+0.4</t>
  </si>
  <si>
    <t>gaTbobis qselis mowyoba d-50 mm pn25 plastmasis armirebuli miliT. sistemis hidravlikuri gamocda da misi garecxva qlorirebiT.</t>
  </si>
  <si>
    <t xml:space="preserve">plastmasis armirebuli mili d-50 mm pn25 </t>
  </si>
  <si>
    <t>plastmasis quro d-50 mm</t>
  </si>
  <si>
    <t>plastmasis muxli d-50 mm</t>
  </si>
  <si>
    <t xml:space="preserve">plastmasis armirebuli mili d-63 mm pn25 </t>
  </si>
  <si>
    <t>samkapi d-63 mm da plastmasis samkapi gadamyvaniT 0.04+0.03</t>
  </si>
  <si>
    <t>samkapi d-50 mm da plastmasis samkapi gadamyvaniT 0.04+0.04</t>
  </si>
  <si>
    <t>2.6-54</t>
  </si>
  <si>
    <t>sakabelo arxis samagri Weris kronSteini</t>
  </si>
  <si>
    <t xml:space="preserve">sarWi </t>
  </si>
  <si>
    <t xml:space="preserve">plastmasis mili  d-20 mm  pn 25 </t>
  </si>
  <si>
    <t>plastmasis quro d-20 mm</t>
  </si>
  <si>
    <t>plastmasis muxli d-20 mm</t>
  </si>
  <si>
    <t>samkapi d-20 mm da plastmasis samkapi gadamyvaniT (0.04+0.19)</t>
  </si>
  <si>
    <t xml:space="preserve">plastmasis mili d-25 mm pn25 </t>
  </si>
  <si>
    <t xml:space="preserve">plastmasis mili d-32 mm pn25 </t>
  </si>
  <si>
    <t>milebis samagri detalebi</t>
  </si>
  <si>
    <t xml:space="preserve">d-32  plastmasis milis garecxva da dezinfeqcia </t>
  </si>
  <si>
    <t xml:space="preserve">d-25 mm milebis samagri </t>
  </si>
  <si>
    <t xml:space="preserve">d-32 mm milebis samagri </t>
  </si>
  <si>
    <t>6-238</t>
  </si>
  <si>
    <t>sn da w  IV-2-82 t-3 cx.16-24-7 (damat. gam. .#2)</t>
  </si>
  <si>
    <t xml:space="preserve"> d-75 mm pn25 plastmasis armirebuli milis montaJi fasonuri nawilebis gamoyenebiT. sistemis hidravlikuri gamocda da misi garecxva qlorirebiT.</t>
  </si>
  <si>
    <t xml:space="preserve">plastmasis armirebuli mili d-75 mm pn25 </t>
  </si>
  <si>
    <t>samkapi d-75 mm da plastmasis samkapi gadamyvaniT 0.03+0.03</t>
  </si>
  <si>
    <t xml:space="preserve">d-75 mm milebis samagri </t>
  </si>
  <si>
    <t>lokalur-resursuli xarjTaRricxva #2/3</t>
  </si>
  <si>
    <t>sn da w  IV-2-82 t-2 cx.6-1-20</t>
  </si>
  <si>
    <r>
      <t>monoliTuri betonis lenturi saZirkvlis mowyoba B</t>
    </r>
    <r>
      <rPr>
        <b/>
        <sz val="10"/>
        <rFont val="Calibri"/>
        <family val="2"/>
      </rPr>
      <t>B</t>
    </r>
    <r>
      <rPr>
        <b/>
        <sz val="10"/>
        <rFont val="LitNusx"/>
        <family val="0"/>
      </rPr>
      <t>-15 klasis betoniT</t>
    </r>
  </si>
  <si>
    <r>
      <t xml:space="preserve">betoni </t>
    </r>
    <r>
      <rPr>
        <sz val="10"/>
        <rFont val="Calibri"/>
        <family val="2"/>
      </rPr>
      <t>B</t>
    </r>
    <r>
      <rPr>
        <sz val="10"/>
        <rFont val="LitNusx"/>
        <family val="0"/>
      </rPr>
      <t>-15</t>
    </r>
  </si>
  <si>
    <r>
      <t>monoliTuri rk.betonis gulanebis mowyoba B</t>
    </r>
    <r>
      <rPr>
        <b/>
        <sz val="10"/>
        <rFont val="Calibri"/>
        <family val="2"/>
      </rPr>
      <t>B</t>
    </r>
    <r>
      <rPr>
        <b/>
        <sz val="10"/>
        <rFont val="LitNusx"/>
        <family val="0"/>
      </rPr>
      <t xml:space="preserve">-20 klasis betoniT </t>
    </r>
  </si>
  <si>
    <r>
      <t>betoni B</t>
    </r>
    <r>
      <rPr>
        <sz val="10"/>
        <rFont val="Calibri"/>
        <family val="2"/>
      </rPr>
      <t>B</t>
    </r>
    <r>
      <rPr>
        <sz val="10"/>
        <rFont val="LitNusx"/>
        <family val="0"/>
      </rPr>
      <t>-20</t>
    </r>
  </si>
  <si>
    <t>armatura a_III</t>
  </si>
  <si>
    <t>sn da w  IV-2-82 t-2 cx.8-1-4</t>
  </si>
  <si>
    <t>saZirkvelis Tavis horizontaluri hidroizolacia cementis xsnariT SemadgenlobiT 1:2</t>
  </si>
  <si>
    <t>cementis xsnari 1:2</t>
  </si>
  <si>
    <t>kedlebis wyoba mcire sakedle blokebiT sisqiT 20 sm</t>
  </si>
  <si>
    <t>wvrili sakedle bloki sisqiT 20 sm 0,92/(0,39*0,19*0,188)</t>
  </si>
  <si>
    <t>sn da w  IV-2-82 t-2 cx.6-16-1</t>
  </si>
  <si>
    <t>ficari wiwvovani jiSis δ(0,84+2,56+0,26)/100=0,0366</t>
  </si>
  <si>
    <t>sn da w  IV-2-82 t-2 cx.12-10-1(2)</t>
  </si>
  <si>
    <t>saxuravze mWimis mowyoba m-100 markis qviSa-cementis xsnariT qanobiT, saSualo sisqiT 50 mm</t>
  </si>
  <si>
    <t xml:space="preserve"> SromiTi danaxarji (14.3+35*0,07)/100</t>
  </si>
  <si>
    <t xml:space="preserve"> manqanebi (0,74+35*0,05)/100</t>
  </si>
  <si>
    <t>qviSa-cementis xsnari m-100 markis (1.58+35*0,105)/100</t>
  </si>
  <si>
    <t>sn da w  IV-2-82 t-2  cx.12-1-4</t>
  </si>
  <si>
    <t xml:space="preserve">saxuravis burulis mowyoba sami fena (mesame fena moxreSili)  bituliniT sisqiT 3,5+3,5+3.5 mm.  </t>
  </si>
  <si>
    <t>bituliniδ=3,5 mm priala</t>
  </si>
  <si>
    <t>bituliniδ=3,5 mm moxreSili</t>
  </si>
  <si>
    <t xml:space="preserve">butumis mastika </t>
  </si>
  <si>
    <t>.5-22</t>
  </si>
  <si>
    <t>daxerxili ficari III xarisxis 40-60 mm</t>
  </si>
  <si>
    <t xml:space="preserve"> minapaketiT Seminuli metaloplastmasis   fanjrebis montaJi </t>
  </si>
  <si>
    <t>sn da w  IV-2-82 t-2 cx.9-5-1</t>
  </si>
  <si>
    <t>liTonis calmxrivi furcliani Jaluzebiani karis mowyoba</t>
  </si>
  <si>
    <t>liTonis Jaluziani kari</t>
  </si>
  <si>
    <t xml:space="preserve"> liTonis elementebis  dagruntva </t>
  </si>
  <si>
    <t>sn da w  IV-2-82 t-2cx.15-164-8</t>
  </si>
  <si>
    <t xml:space="preserve"> liTonis elementebis SeRebva antikoroziuli saRebaviT 2 jer.</t>
  </si>
  <si>
    <t xml:space="preserve"> saRebavi antikoroziuli </t>
  </si>
  <si>
    <t>olifa</t>
  </si>
  <si>
    <t xml:space="preserve">mosamzadebeli fenis mowyoba RorRiT saSualo sisqiT 50 mm </t>
  </si>
  <si>
    <r>
      <t>betonis iatakis momzadebis mowyoba B</t>
    </r>
    <r>
      <rPr>
        <b/>
        <sz val="10"/>
        <rFont val="Calibri"/>
        <family val="2"/>
      </rPr>
      <t>B</t>
    </r>
    <r>
      <rPr>
        <b/>
        <sz val="10"/>
        <rFont val="LitNusx"/>
        <family val="0"/>
      </rPr>
      <t xml:space="preserve">-15 klasis betoniT </t>
    </r>
  </si>
  <si>
    <r>
      <t>betoni B</t>
    </r>
    <r>
      <rPr>
        <sz val="10"/>
        <rFont val="Calibri"/>
        <family val="2"/>
      </rPr>
      <t>B</t>
    </r>
    <r>
      <rPr>
        <sz val="10"/>
        <rFont val="LitNusx"/>
        <family val="0"/>
      </rPr>
      <t>-15 kl.</t>
    </r>
  </si>
  <si>
    <t xml:space="preserve"> cementis mWimis mowyoba m-100 markis qviSa-cementis xsnariT saSualo sisqiT 3.0 sm</t>
  </si>
  <si>
    <t>msxvilfraqciuli duRabi m-100 0,0204+2*0,0051=0,0306</t>
  </si>
  <si>
    <t>sn da w  IV-2-82 t-2 cx.11-20-3</t>
  </si>
  <si>
    <t xml:space="preserve">iatakze metlaxis filebis dageba </t>
  </si>
  <si>
    <t xml:space="preserve"> meTlaxis fila </t>
  </si>
  <si>
    <t xml:space="preserve">meTlaxis plintusis mowyoba </t>
  </si>
  <si>
    <t xml:space="preserve">meTlaxis fila </t>
  </si>
  <si>
    <t>sn da w  IV-2-82 t-2 cx.15-55-9 teqn.nawili cx. 3-11</t>
  </si>
  <si>
    <t>Sida kedlebis maRalxarisxovani Selesva qviSa-cementis xsnariT</t>
  </si>
  <si>
    <t xml:space="preserve"> SromiTi danaxarji 1.16*1.01</t>
  </si>
  <si>
    <t>14 - 190</t>
  </si>
  <si>
    <t>xsnaris tumbo 1 kub.m/sT</t>
  </si>
  <si>
    <t>sxva manqanebi</t>
  </si>
  <si>
    <t>sn da w  IV-2-82 t-2 cx.15-55-14</t>
  </si>
  <si>
    <t>Weris gadalesva mosapirkeTebeli duRabiT</t>
  </si>
  <si>
    <t>sn da w  IV-2-82 t-2 cx.15-168,7</t>
  </si>
  <si>
    <t xml:space="preserve"> kedlebis da kar-fanjrebis ferdoebis SefiTxvna da SeRebva wyalemulsiuri saRebaviT </t>
  </si>
  <si>
    <t>4.2-39</t>
  </si>
  <si>
    <t>wyalemulsiuri saRebavi</t>
  </si>
  <si>
    <t>4.2-87</t>
  </si>
  <si>
    <t xml:space="preserve">sn da w IV-2-82 t-2 cx.15-168-8 </t>
  </si>
  <si>
    <t>Weris zedapirebis maRalxarisxovani SeRebva wyalemursiuli saRebaviT</t>
  </si>
  <si>
    <t xml:space="preserve"> fiTxi </t>
  </si>
  <si>
    <t>sn da w  IV-2-82 t-2 cx.15-52-1</t>
  </si>
  <si>
    <t xml:space="preserve">fasadis zedapirebis maRalxarisxovani Selesva qv/cementis xsnariT </t>
  </si>
  <si>
    <t xml:space="preserve"> SromiTi danaxarji 1.05*0.93</t>
  </si>
  <si>
    <t>26</t>
  </si>
  <si>
    <t>sn da w  IV-2-82 t-2 cx.15-56-4</t>
  </si>
  <si>
    <t>fasadis kedlebis da kar-fanjrebis ferdoebis SeRebva  wyalmedegi saRebaviT</t>
  </si>
  <si>
    <t>safiTxni fasadis</t>
  </si>
  <si>
    <t>sagrunti fasadis</t>
  </si>
  <si>
    <t>betonis filis qveS 5,0 sm sisqis RorRis safuZvelis mowyoba da datkepna</t>
  </si>
  <si>
    <t>RorRi³</t>
  </si>
  <si>
    <t>s.n. da w.  IV-2-82 t-4 cx.27-24-17(18)-misad.</t>
  </si>
  <si>
    <r>
      <t>Senobis garSemo betonis filis mowyoba siganiT 1,0 m., sisqiT 10 sm, B</t>
    </r>
    <r>
      <rPr>
        <b/>
        <sz val="10"/>
        <rFont val="Calibri"/>
        <family val="2"/>
      </rPr>
      <t>B</t>
    </r>
    <r>
      <rPr>
        <b/>
        <sz val="10"/>
        <rFont val="LitNusx"/>
        <family val="0"/>
      </rPr>
      <t>-20 klasis betoniT</t>
    </r>
  </si>
  <si>
    <t xml:space="preserve"> SromiTi danaxarji (405-10*4.64)1000</t>
  </si>
  <si>
    <t>13-229</t>
  </si>
  <si>
    <t>sarwyavi manqana 6000 l</t>
  </si>
  <si>
    <t>manq/sT</t>
  </si>
  <si>
    <t>manqanebi (13.5-10*0.1)/1000</t>
  </si>
  <si>
    <r>
      <t>betoni B</t>
    </r>
    <r>
      <rPr>
        <sz val="10"/>
        <rFont val="Calibri"/>
        <family val="2"/>
      </rPr>
      <t>B</t>
    </r>
    <r>
      <rPr>
        <sz val="10"/>
        <rFont val="LitNusx"/>
        <family val="0"/>
      </rPr>
      <t>-20 (204-10*10.2)</t>
    </r>
  </si>
  <si>
    <t>fari yalibis (11.7-10*0.59)/1000</t>
  </si>
  <si>
    <t xml:space="preserve">სემეკის#51 </t>
  </si>
  <si>
    <t>sxvadasxva masalebi (6.4-10*0.19)</t>
  </si>
  <si>
    <t xml:space="preserve">lokalur-resursuli uwyisis jami: </t>
  </si>
  <si>
    <t>სემეკი #51</t>
  </si>
  <si>
    <t>samontaJo elementi</t>
  </si>
  <si>
    <t xml:space="preserve">Robis zeZirkvelis SeRebva qviSanarevi dekoratiuli cementis (pigmentis damatebiT) naSxefiT  </t>
  </si>
  <si>
    <t>fari yalibis δ=25 mm</t>
  </si>
  <si>
    <t>ficari wiwvovani jiSis, δ=40 mm</t>
  </si>
  <si>
    <t>sn da w  IV-2-82 t-2 cx.6-15-9</t>
  </si>
  <si>
    <t>xsnaris tumbo 1 kub.m/sT 1.15*0.041</t>
  </si>
  <si>
    <t>duRabi 1.05*0.0238</t>
  </si>
  <si>
    <t>sn da w  IV-2-82 t-2 cx.15-55-5 teqn.nawili cx. 3-11</t>
  </si>
  <si>
    <t>qv/cementis xsnari 0,0158+0,002=0,0178 1.05*0.0178</t>
  </si>
  <si>
    <t xml:space="preserve"> SromiTi danaxarji 1.16*0.64</t>
  </si>
  <si>
    <t xml:space="preserve">metlaxis plintusis mowyoba webo-cementze </t>
  </si>
  <si>
    <t>Senobis mTliani saxuravis farTis xis masalis cecxldacva</t>
  </si>
  <si>
    <t>Senobis mTliani saxuravis farTis xis masalis damuSaveba antiseptikuri xsnariT</t>
  </si>
  <si>
    <t>Ugalvanizirebuli feradi Tunuqis wyalsawreti milebis (Tunuqis sisqiT aranakleb 0.7 mm-sa) dayeneba sarinebis gamoyenebiT</t>
  </si>
  <si>
    <t>galvanizirebuli feradi Tunuqis wyal-mimRebi Zabri Tunuqis sisqiT aranakleb 0.7 mm-sa</t>
  </si>
  <si>
    <r>
      <t xml:space="preserve">22 </t>
    </r>
    <r>
      <rPr>
        <b/>
        <sz val="9"/>
        <rFont val="Academiuri Nuskhuri"/>
        <family val="0"/>
      </rPr>
      <t>PKKP</t>
    </r>
    <r>
      <rPr>
        <b/>
        <sz val="10"/>
        <rFont val="LitNusx"/>
        <family val="0"/>
      </rPr>
      <t xml:space="preserve"> 600 markis sxvadasxva sigrZis liTonis paneluri radiatoris dayeneba</t>
    </r>
  </si>
  <si>
    <t xml:space="preserve"> sakvamle milis dagruntva</t>
  </si>
  <si>
    <t>jami (Tavi I-samSeneblo samuSaoebi)</t>
  </si>
  <si>
    <t>II-santeqnikuri samuSaoebi</t>
  </si>
  <si>
    <t>I-samSeneblo samuSaoebi</t>
  </si>
  <si>
    <t>ja (Tavi II-santeqnikuri samuSaoebi)</t>
  </si>
  <si>
    <t xml:space="preserve">galvanizirebuli feradi Tunuqis wyalmimRebi Zabris dayeneba Tunuqis sisqiT aranakleb 0.7-sa </t>
  </si>
  <si>
    <t xml:space="preserve"> saxuravebis fasadis kedlebSi CakeTeba </t>
  </si>
  <si>
    <t>kedelTan saxuravis burulis  SeerTebis adgilze CakeTebisaTvis Raris gamotexva</t>
  </si>
  <si>
    <t xml:space="preserve"> samercxlurebSi fanjrebze gasaRebi liTonis Jaluzebis montaJi</t>
  </si>
  <si>
    <t>liTonis Jaluzi</t>
  </si>
  <si>
    <t>liTonis Jaluzebis gawmenda da dagruntva</t>
  </si>
  <si>
    <t>liTonis Jaluzebis SeRebva antikoroziuli saRebaviT 2 jer.</t>
  </si>
  <si>
    <t>metaloplastmasis fanjris gadmokidebis meqanizmi</t>
  </si>
  <si>
    <t xml:space="preserve"> minapaketiT Seminuli metaloplastmasis fanjara </t>
  </si>
  <si>
    <t xml:space="preserve">.10.3-24 </t>
  </si>
  <si>
    <t>sn da w   IV-2-82 t-2 cx.9-14-5</t>
  </si>
  <si>
    <t xml:space="preserve">`m.d.f~-is karis bloki TamasebiT  </t>
  </si>
  <si>
    <t>sn da w   IV-2-82 t-2 cx.10-20-1</t>
  </si>
  <si>
    <t>liTonis gisosi</t>
  </si>
  <si>
    <t>sn da w  IV-2-82 t-2 cx.11-14-1</t>
  </si>
  <si>
    <t xml:space="preserve"> Pvinilis safaris qveS TviTsworebadi fenis mowyoba</t>
  </si>
  <si>
    <t>4.1-200</t>
  </si>
  <si>
    <t>mza narevi TviTsworebadi iatakisaTvis</t>
  </si>
  <si>
    <t>sn da w  IV-2-82 t-2 cx.11-28-s misadagebiT</t>
  </si>
  <si>
    <t>2.5 mm sisqis mravalSriani antistatikuri, antibaqteriuli vinilis fenili, cveTamedegi SriT 0.70 mm zedapiri daculi laqebidan</t>
  </si>
  <si>
    <t xml:space="preserve">sn da w  IV-2-82 t-2 cx.11-30-5 </t>
  </si>
  <si>
    <t>sn da w IV-2-82 t-2 cx.11-27-2</t>
  </si>
  <si>
    <t xml:space="preserve"> sxvadasxva manqanebi </t>
  </si>
  <si>
    <t xml:space="preserve"> lursmani </t>
  </si>
  <si>
    <t>sn da w IV-2-82 t-2 cx.11-9-3</t>
  </si>
  <si>
    <t>daxerxili xe-tye</t>
  </si>
  <si>
    <t xml:space="preserve"> sxva  masalebi </t>
  </si>
  <si>
    <t>sn da w IV-2-82 t-2 cx.11-27-1</t>
  </si>
  <si>
    <t>I rigi ficruli iatakis mowyoba sisqiT 25 mm (mTliani farTis 80 %)</t>
  </si>
  <si>
    <t xml:space="preserve"> SromiTi danaxarji 0.782*0.8</t>
  </si>
  <si>
    <t xml:space="preserve"> sxvadasxva manqanebi 0.0382*0.8</t>
  </si>
  <si>
    <t>daxerxili xe-tye 0.02625*0.8</t>
  </si>
  <si>
    <t xml:space="preserve"> lursmani 0.138*0.8</t>
  </si>
  <si>
    <t>II rigi ficruli iatakis mowyoba  mSrali lariqsis Sipebiani ficrebiT sisqiT 37 sm.</t>
  </si>
  <si>
    <t>wiwvovani masalis xis plinTusi simaRliT 70 mm.</t>
  </si>
  <si>
    <t>sn da w  IV-2-82 t-2 cx.15-160-3</t>
  </si>
  <si>
    <t xml:space="preserve"> kvm</t>
  </si>
  <si>
    <t xml:space="preserve"> saRebavi zeTovani gamxsneliT</t>
  </si>
  <si>
    <t xml:space="preserve"> fiTxi xis </t>
  </si>
  <si>
    <t xml:space="preserve"> alifa</t>
  </si>
  <si>
    <t>25</t>
  </si>
  <si>
    <t>sn da w  IV-2-82 t-2 cx.10-4-1</t>
  </si>
  <si>
    <t>ruberoidi (cx. 10-11 misadagebiT)</t>
  </si>
  <si>
    <t xml:space="preserve"> sxvadasxva  masalebi</t>
  </si>
  <si>
    <t xml:space="preserve">sn da w  IV-2-82  cx.34-59-7-misad.             </t>
  </si>
  <si>
    <t xml:space="preserve">sn da w  IV-2-82 t-5 cx. 34-61-13 -misad.             </t>
  </si>
  <si>
    <t xml:space="preserve"> SromiTi danaxarji k-0.4</t>
  </si>
  <si>
    <t xml:space="preserve"> Sekiduli Weris mowyoba plastikatis lartyebis montaJi</t>
  </si>
  <si>
    <t>plastikatis Sekiduli WerisaTvis liTonis karkasis mowyoba</t>
  </si>
  <si>
    <t>TabaSir-muyaos Sekiduli WerisaTvis liTonis karkasis mowyoba</t>
  </si>
  <si>
    <t xml:space="preserve">Sekiduli Weris mowyoba nestgamZle TabaSir-muyaos filebiT  </t>
  </si>
  <si>
    <t>70 mm simaRlis penoplastis karnizebis montaJi</t>
  </si>
  <si>
    <t xml:space="preserve"> SromiTi danaxarji k-0.6</t>
  </si>
  <si>
    <t>amstrongis fila da liTonis karkasi (liTonis profilebi, sakidebi, gadasabmeli elementebi da sxva)</t>
  </si>
  <si>
    <t>10.4-2</t>
  </si>
  <si>
    <t xml:space="preserve">gruntis ukuCayra xeliT </t>
  </si>
  <si>
    <t xml:space="preserve">ukuCayrili gruntisa da qviSa-RorRis narevis datkepna pnevmaturi satkepniT </t>
  </si>
  <si>
    <t>yinva-gamZle webo-cementi</t>
  </si>
  <si>
    <t>4.1-206</t>
  </si>
  <si>
    <t>Sveduri kedlis mowyoba</t>
  </si>
  <si>
    <t>sportuli bagiris mowyoba</t>
  </si>
  <si>
    <t>lokalur-resursuli xarjTaRricxva #1/8</t>
  </si>
  <si>
    <t>sn da w  IV-2-82 t-2 cx.6-44-8-s misadagebiT</t>
  </si>
  <si>
    <t xml:space="preserve"> zednadebi xarjebi SromiTi resursebidan </t>
  </si>
  <si>
    <t>II Tavis jami</t>
  </si>
  <si>
    <t>8.13-32</t>
  </si>
  <si>
    <t>l/r xarjTaRri-cxva #1/8</t>
  </si>
  <si>
    <t>sn da w  IV-2-82 t-2 cx.15-55-13</t>
  </si>
  <si>
    <r>
      <t xml:space="preserve">monoliTuri rk.betonis  gadaxurvis filis mowyoba </t>
    </r>
    <r>
      <rPr>
        <b/>
        <sz val="10"/>
        <rFont val="Calibri"/>
        <family val="2"/>
      </rPr>
      <t>B</t>
    </r>
    <r>
      <rPr>
        <b/>
        <sz val="10"/>
        <rFont val="LitNusx"/>
        <family val="0"/>
      </rPr>
      <t xml:space="preserve">-20 klasis betoniT </t>
    </r>
  </si>
  <si>
    <t>meSkovina</t>
  </si>
  <si>
    <t>kv</t>
  </si>
  <si>
    <t>bitumis mastika (0.23-10*0.01)/1000</t>
  </si>
  <si>
    <t>13-43</t>
  </si>
  <si>
    <t>avtoamwe TvirTamweobiT 6.3 tona</t>
  </si>
  <si>
    <t>კუბ.მ</t>
  </si>
  <si>
    <t>მანქ.სთ</t>
  </si>
  <si>
    <t xml:space="preserve">მანქანები </t>
  </si>
  <si>
    <t>სნ და წ  IV-2-82 ტ-1 ცხ.1-22-3</t>
  </si>
  <si>
    <t xml:space="preserve">ექსკავატორი 1,0 კუბ.მ </t>
  </si>
  <si>
    <t>13-121</t>
  </si>
  <si>
    <t>ტონა</t>
  </si>
  <si>
    <t xml:space="preserve"> ტრანსპორტირება 5 კმ. მანძილზე</t>
  </si>
  <si>
    <t>sn da w  IV-2-82 t-4 cx.27-7-4</t>
  </si>
  <si>
    <t>13 - 218</t>
  </si>
  <si>
    <t>satkepni sagzao-TviTmavali -5 t</t>
  </si>
  <si>
    <t>13 - 219</t>
  </si>
  <si>
    <t>satkepni sagzao-TviTmavali -10 t</t>
  </si>
  <si>
    <t>13 - 229</t>
  </si>
  <si>
    <t>sn da w  IV-2-82 t-9 cx.48-18-6</t>
  </si>
  <si>
    <t>gamwvanebisaTvis balaxis daTesva</t>
  </si>
  <si>
    <t xml:space="preserve">balaxis Tesli </t>
  </si>
  <si>
    <t xml:space="preserve">სემეკის #51 </t>
  </si>
  <si>
    <t>karierSi mcenareuli gruntis datvirTva av.TviTmclelebze 0.5 kub.m CamCis tevadobis eqskavaToriT</t>
  </si>
  <si>
    <t>sn da w  IV-2-82 t-1 cx.1-22-14</t>
  </si>
  <si>
    <t xml:space="preserve">eqskavatori CamCis tevadobiT 0.5 m </t>
  </si>
  <si>
    <t>mamq./sT</t>
  </si>
  <si>
    <t>13-118</t>
  </si>
  <si>
    <t>mcenareuli gruntis Semotana karieridan 15 km manZilze</t>
  </si>
  <si>
    <t xml:space="preserve">mcenareuli gruntis Setana da momzadeba balaxis dasaTesad </t>
  </si>
  <si>
    <t xml:space="preserve">სემეკის  #51 </t>
  </si>
  <si>
    <t>გრანიტით შემოსილი წყაროს დაყენება თანმდევი დამატებითი (მიწის სამუშაოები, მილგაყვანილობა და სხვა) სამუშაოების გათვალისწინებით</t>
  </si>
  <si>
    <t xml:space="preserve"> მატერიალური რესურსი</t>
  </si>
  <si>
    <t>sn da w  IV-2-82 t-2 cx.6-15-11</t>
  </si>
  <si>
    <r>
      <t xml:space="preserve">monoliTuri rk.betonis sartyelis mowyoba  </t>
    </r>
    <r>
      <rPr>
        <b/>
        <sz val="10"/>
        <rFont val="Academiuri Nuskhuri"/>
        <family val="0"/>
      </rPr>
      <t>B</t>
    </r>
    <r>
      <rPr>
        <b/>
        <sz val="10"/>
        <rFont val="LitNusx"/>
        <family val="0"/>
      </rPr>
      <t xml:space="preserve">-20 klasis betoniT </t>
    </r>
  </si>
  <si>
    <r>
      <t>betoni B</t>
    </r>
    <r>
      <rPr>
        <sz val="10"/>
        <rFont val="Academiuri Nuskhuri"/>
        <family val="0"/>
      </rPr>
      <t>B</t>
    </r>
    <r>
      <rPr>
        <sz val="10"/>
        <rFont val="LitNusx"/>
        <family val="0"/>
      </rPr>
      <t>-20 kl.</t>
    </r>
  </si>
  <si>
    <t xml:space="preserve"> fari yalibis</t>
  </si>
  <si>
    <t>ficari wiwvovani jiSis δ=40 mm</t>
  </si>
  <si>
    <t>s.n.da w.    7-22-1 misad.</t>
  </si>
  <si>
    <t>s.n.da w.    7-22-8 misad.</t>
  </si>
  <si>
    <t>liTonis dekoratiuli seqciuri Robe</t>
  </si>
  <si>
    <t>armatura a_I</t>
  </si>
  <si>
    <t>sakvamle mili foladis d-Ø159*4.5 mm</t>
  </si>
  <si>
    <t>mza saZirkvelze d-159*4.5 mm liTonis sakvamle milis (qolgiT) montaJi sigrZiT 12 m</t>
  </si>
  <si>
    <t>sn da w  IV-2-82 t-3 cx.18-2-8</t>
  </si>
  <si>
    <t>sn da w  IV-2-82 t-3 cx.18-15-4</t>
  </si>
  <si>
    <t>Termomanometris dayeneba</t>
  </si>
  <si>
    <t>Termomanometri</t>
  </si>
  <si>
    <t>sn da w  IV-2-82 t-3 cx.22-27-1</t>
  </si>
  <si>
    <t xml:space="preserve"> axali qselis CarTva arsebul qselSi</t>
  </si>
  <si>
    <t>28</t>
  </si>
  <si>
    <t>30</t>
  </si>
  <si>
    <t>13-92-misad.</t>
  </si>
  <si>
    <t>eleqtrojalambari</t>
  </si>
  <si>
    <t xml:space="preserve"> Semyvan-gamanawilebel farSi 3*10a 6 ka  avtomaturi amomrTvelis dayeneba</t>
  </si>
  <si>
    <t xml:space="preserve"> avtomaturi amomrTveli 3*10 a 6 ka</t>
  </si>
  <si>
    <t>Siga da gare elsamontaJo samuSaoebi</t>
  </si>
  <si>
    <t>saqvabes Siga da gare el.samontaJo samuSaoebi</t>
  </si>
  <si>
    <t>.9-89</t>
  </si>
  <si>
    <t xml:space="preserve">denis Senaxvis wyaro  </t>
  </si>
  <si>
    <t>sn da w  IV-2-82 t-3 cx.10-350-22-s misadagebiT</t>
  </si>
  <si>
    <t>Siga saTvalTvalo kamera</t>
  </si>
  <si>
    <t>sn da w  IV-2-82 t-2 cx.21-29</t>
  </si>
  <si>
    <t>uwvadi perforirebuli liTonis 50*50*0.7 mm  kabel-arxis gayvana</t>
  </si>
  <si>
    <t>9-81</t>
  </si>
  <si>
    <t xml:space="preserve"> avariuli naTebis akumulatoriT integrirebuli Suqdioduri sanaTi (365*180*25 mm, 3 v, 50 h, 40 lm)  warweriT ,,gasasvleli" </t>
  </si>
  <si>
    <r>
      <t xml:space="preserve">sn da w  IV-2-82 t-5 cx.33-251-6 </t>
    </r>
    <r>
      <rPr>
        <b/>
        <sz val="8"/>
        <rFont val="LitNusx"/>
        <family val="0"/>
      </rPr>
      <t>misadag.</t>
    </r>
  </si>
  <si>
    <t>13 - 43</t>
  </si>
  <si>
    <t>avtoamwe 6.3 toniani</t>
  </si>
  <si>
    <t>.1-15</t>
  </si>
  <si>
    <t>sn da w  IV-2-82 Tavi 6 cx.8-471-1</t>
  </si>
  <si>
    <t>sn da w  IV-6-82 T-6 cx.
10-698-1-misad.</t>
  </si>
  <si>
    <t xml:space="preserve"> mTavar gamanawilebel farSi 1*16a avtomaturi amomrTvelis dayeneba da momzadeba CarTvisaTvis </t>
  </si>
  <si>
    <t>erTpolusa avtomaturi amomrTveli 16 a</t>
  </si>
  <si>
    <t>sn da w  IV-6-82 t.3 cx. 21-24-2</t>
  </si>
  <si>
    <t>8.14-60</t>
  </si>
  <si>
    <t>sampolusa avtomaturi amomrTveli 100 a</t>
  </si>
  <si>
    <t xml:space="preserve">mTavar gamanawilebel farSi 3*16a avtomaturi amomrTvelis dayeneba da momzadeba CarTvisaTvis </t>
  </si>
  <si>
    <t>sampolusa avtomaturi amomrTveli 16 a</t>
  </si>
  <si>
    <t>sn da w  IV-6-82 T-6 cx.8-527-1</t>
  </si>
  <si>
    <t xml:space="preserve">liftisaTvis Semyvan-gamanawilebeli faris dayeneba </t>
  </si>
  <si>
    <t xml:space="preserve"> Semyvan-gamanawilebeli fari</t>
  </si>
  <si>
    <t xml:space="preserve">liftis Semyvan-gamanawilebel farSi 3*16a avtomaturi amomrTvelis dayeneba da momzadeba CarTvisaTvis </t>
  </si>
  <si>
    <t xml:space="preserve">avariuli ganaTebis faris dayeneba </t>
  </si>
  <si>
    <t xml:space="preserve">Semyvan-gamanawilebel farebSi 3*16a avtomaturi amomrTvelis dayeneba da momzadeba CarTvisaTvis </t>
  </si>
  <si>
    <t xml:space="preserve">Semyvan-gamanawilebel farebSi 1*10a avtomaturi amomrTvelis dayeneba da momzadeba CarTvisaTvis </t>
  </si>
  <si>
    <t xml:space="preserve">Semyvan-gamanawilebel farebSi 1*10a diferencialuri avtomaturi amomrTvelis dayeneba da momzadeba CarTvisaTvis </t>
  </si>
  <si>
    <t>erTpolusa diferencialuri avtomaturi amomrTveli 10 a</t>
  </si>
  <si>
    <t xml:space="preserve"> 1*24 vt. simZlavris saaqto darbazis, scenis led sanaTis (dacvis klasi aranakleb ip20)  da naTuris dayeneba </t>
  </si>
  <si>
    <t xml:space="preserve"> 1*15 vt. simZlavris kedlis led sanaTuris (dacvis klasi ip54)  da naTuris dayeneba </t>
  </si>
  <si>
    <t xml:space="preserve"> 1*9 vt. simZlavris akumulatoriT integrirebuli kedlis/Weris led sanaTis ( dacvis klasi aranakleb ip20-sa)  da naTuris dayeneba </t>
  </si>
  <si>
    <t>29</t>
  </si>
  <si>
    <t>31</t>
  </si>
  <si>
    <t>32</t>
  </si>
  <si>
    <t>33</t>
  </si>
  <si>
    <t xml:space="preserve"> akumulatoris dayeneba </t>
  </si>
  <si>
    <t xml:space="preserve"> avariuli naTebis akumulatoriT integrirebuli Suqdioduri sanaTis (365*180*25 mm, 3 v, 50 h, 40 lm)  warweriT ,,gasasvleli" dayeneba </t>
  </si>
  <si>
    <t>haersatari 0,6 mm sisqis moTuTiebuli milisagan</t>
  </si>
  <si>
    <t>sn da w  IV-2-82 t-3 cx22-8-5 misadag.</t>
  </si>
  <si>
    <t xml:space="preserve">fekaluri sakanalizacio qselisaTvis d-150 mm. gofrirebuli milis Cadeba arxSi </t>
  </si>
  <si>
    <t xml:space="preserve"> gofrirebuli plastmasis mili d-150 mm fasonuri nawilebiT</t>
  </si>
  <si>
    <t>mili plastmasis d-40 mm fasonuri nawilebiT</t>
  </si>
  <si>
    <t xml:space="preserve"> d-40 mm. pn25 plastmasis milis gayvana fasonuri nawilebis gamoyenebiT da hidravlikuri gamocda</t>
  </si>
  <si>
    <t>plastmasis ventili d-40 mm</t>
  </si>
  <si>
    <t>sn da w  IV-2-82 t-3 cx.22-8-2</t>
  </si>
  <si>
    <t xml:space="preserve"> wyalmomaragebis qselis mowyoba d-20 mm pn 25 armirebuli plastmasis miliT fasonuri nawilebis gamoyenebiT. sistemis hidravlikuri gamocda da misi garecxva qlorirebiT.</t>
  </si>
  <si>
    <t xml:space="preserve">armirebuli plastmasis mili  d-20 mm  pn 25 </t>
  </si>
  <si>
    <t>wyalmomaragebis qselis mowyoba d-25 mm pn 25 armirebuli  plastmasis miliT fasonuri nawilebis gamoyenebiT. sistemis hidravlikuri gamocda da misi garecxva qlorirebiT.</t>
  </si>
  <si>
    <t xml:space="preserve">armirebuli plastmasis mili d-25 mm pn25 </t>
  </si>
  <si>
    <t>s.n. da w. IV-2-82t-3 cx.17.2</t>
  </si>
  <si>
    <t>Sxapis Semrevis montaJi</t>
  </si>
  <si>
    <t>kac\sT</t>
  </si>
  <si>
    <t>Sxapis Semrevi</t>
  </si>
  <si>
    <t>xelsabanis onkani</t>
  </si>
  <si>
    <t>sn da w  IV-2-82 t-3 cx.17-2</t>
  </si>
  <si>
    <t>sn da w  IV-2-82 t-3 cx.18-4-1</t>
  </si>
  <si>
    <t>miltuCi liTonis</t>
  </si>
  <si>
    <t>sn da w  IV-2-82 t-3 cx.18-10-1</t>
  </si>
  <si>
    <t>d-150 mm gamanawilebeli kvanZis (savarcxela) mowyoba</t>
  </si>
  <si>
    <t>kvanZi</t>
  </si>
  <si>
    <t>gamanawilebeli kvanZi d-150</t>
  </si>
  <si>
    <t>50 000 kkal/sT simZlavris Cqarosnuli Tbomleli</t>
  </si>
  <si>
    <t xml:space="preserve">d-25 mm ukusarqvelis dayeneba </t>
  </si>
  <si>
    <t xml:space="preserve"> d-65 mm urdulis dayeneba </t>
  </si>
  <si>
    <t xml:space="preserve"> d-65 mm urduli</t>
  </si>
  <si>
    <t>maT Soris SromiTi danaxarji</t>
  </si>
  <si>
    <t>sn da w  IV-2-82 t-3 cx.22-16-1-s misad</t>
  </si>
  <si>
    <t>g/m</t>
  </si>
  <si>
    <t xml:space="preserve">sxva masalebi </t>
  </si>
  <si>
    <t>d-32 mm milze Tboizolaciis mowyoba</t>
  </si>
  <si>
    <t xml:space="preserve"> d-32 mm milis Tboizolaciaa</t>
  </si>
  <si>
    <t>d-40 mm milze Tboizolaciis mowyoba</t>
  </si>
  <si>
    <t xml:space="preserve"> d-40 mm milis Tboizolaciaa</t>
  </si>
  <si>
    <t>sn da w  IV-2-82 t-3 cx.22-16-2-s misad</t>
  </si>
  <si>
    <t>saizolacio Rrubeli</t>
  </si>
  <si>
    <t xml:space="preserve">d-40  plastmasis milis garecxva da dezinfeqcia </t>
  </si>
  <si>
    <t>.6-24</t>
  </si>
  <si>
    <t>sn da w  IV-2-82 t-1 cx.1-11-9</t>
  </si>
  <si>
    <t xml:space="preserve">erTcicxviani eqskavatori muxluxa svlaze CamCis tevadobiT 0.65 kub.m. </t>
  </si>
  <si>
    <t>qviSa-xreSovani narevi</t>
  </si>
  <si>
    <t>sn da w  IV-2-82 t-1 cx.1-118-7 (8)</t>
  </si>
  <si>
    <t>gruntis satkepni manqana (12,9-2*1,27)/1000=0,01036</t>
  </si>
  <si>
    <t>buldozeri 79 kvt(108 cx.Z)(3,18-2*0,32)/1000=0,00254</t>
  </si>
  <si>
    <t>sn da w  IV-2-82 t-2 cx.6-1-1</t>
  </si>
  <si>
    <t>avtobetonis tumbo</t>
  </si>
  <si>
    <t>samSeneblo fari</t>
  </si>
  <si>
    <t>ficari wiwvovani δsisq.25 mm</t>
  </si>
  <si>
    <t>1.9-14</t>
  </si>
  <si>
    <t>qvabulis ferdoebSi III kategoriis gruntis ukuCayra xeliT</t>
  </si>
  <si>
    <t>sn da w  IV-2-82 t-1 cx.1-31-3(14)</t>
  </si>
  <si>
    <t>buldozeri 59 kvt(80 cx.Z)(9.21+4*4.97)/1000=0,02909</t>
  </si>
  <si>
    <t>sn da w  IV-2-82 t-2 cx.6-15-2</t>
  </si>
  <si>
    <t>fari yalibis 25 mm</t>
  </si>
  <si>
    <t>ficari wiwvovani jiSis, II xarisxis, 40 mm (1,6+0,7)/100=0,023</t>
  </si>
  <si>
    <t>13-119</t>
  </si>
  <si>
    <t xml:space="preserve">RorRis fenis datkepna </t>
  </si>
  <si>
    <t>13-142</t>
  </si>
  <si>
    <t xml:space="preserve">saZirkvlis qveS RorRis safuZvelis mowyoba </t>
  </si>
  <si>
    <t>sn da w  IV-2-82 t-2 cx.6-1-5</t>
  </si>
  <si>
    <t>armatura a-III</t>
  </si>
  <si>
    <t>armatura a-I kl</t>
  </si>
  <si>
    <t>armatura a-III kl</t>
  </si>
  <si>
    <t>sn da w  IV-2-82 t-2 cx.6-15-1</t>
  </si>
  <si>
    <t>13-141</t>
  </si>
  <si>
    <t>adgilze arsebuli  III kategoriis gruntiT qvabulis ferdoebis Sevseba  da Siga farTis arealSi (-0.6 niSnulamde) ukuCayra buldozeris saSualebiT gruntis saSualod 50 m. manZilamde gadaadgilebiT</t>
  </si>
  <si>
    <t xml:space="preserve">gruntis da qviSa-xreSovani narevis  fena-fenad datkepna </t>
  </si>
  <si>
    <t xml:space="preserve">armaturis nakeToba a-III klasis </t>
  </si>
  <si>
    <t>sn da w  IV-2-82 t-2 cx.6-14-4</t>
  </si>
  <si>
    <t>ficari wiwvovani jiSis (3.33+0,33)/100=0,0399</t>
  </si>
  <si>
    <t>sn da w  IV-2-82 t-2 cx.6-16-6</t>
  </si>
  <si>
    <t>ficari wiwvovani jiSis</t>
  </si>
  <si>
    <t>toli</t>
  </si>
  <si>
    <t>sn da w  IV-2-82 t-2 cx.10-36-7-s misadagebiT</t>
  </si>
  <si>
    <t>saxuravebis burulis qveS molartyvis mowyoba (ficari 150*30 mm, ficrebs Soris daSoreba 200 mm) SenaRarebis   qveS mTliani molartyviT</t>
  </si>
  <si>
    <t>saxuravis SenaRarebis mowyoba, samercxluris, parapetis Tavis da kedlis Siga nawilis Semosva galvanizirebuli feradi liTonis furclebiT (ormagi narimandebiT) sisqiT aranakleb 0,5 mm-sa</t>
  </si>
  <si>
    <t>sn da w  IV-2-82 t-2 cx.10-12</t>
  </si>
  <si>
    <t xml:space="preserve">samercxulis xis karkasis mowyoba </t>
  </si>
  <si>
    <t>saaqto darbazSi scenis mosawyobad xis karkasis montaJi dgarebis qveS ruberoidis mowyobiT</t>
  </si>
  <si>
    <t xml:space="preserve"> saaqtoo darbazis scenaze ficruli iatakis (kibisa da Sublis CaTvliT) mowyoba mSrali lariqsis Sipebiani ficrebiT sisqiT 5 sm.</t>
  </si>
  <si>
    <t>orive sportuli darbazis iatakebisa da saaqto darbazis scenisaTvis  wiwvovani masalis xis plinTusebis mowyoba simaRliT 70 mm</t>
  </si>
  <si>
    <t xml:space="preserve">xaoiani teqnogranitis fila </t>
  </si>
  <si>
    <t xml:space="preserve">keramogranitis plintusis mowyoba webo-cementze </t>
  </si>
  <si>
    <t>sn da w  IV-2-82 t-2 cx.11-1-4</t>
  </si>
  <si>
    <t xml:space="preserve">pemza </t>
  </si>
  <si>
    <t>kum/m</t>
  </si>
  <si>
    <t>iatakis mWimis qveS pemzis fenis mowyoba sisqiT 50 mm</t>
  </si>
  <si>
    <t>4.1-225</t>
  </si>
  <si>
    <t xml:space="preserve"> Piatakebis safaris qveS armirebuli (konstruqciuli SeduRebuli liTonis bade)  cementis mWimis mowyoba m-150 markis qviSa-cementis xsnariT saSualo sisqiT 3.0 sm</t>
  </si>
  <si>
    <t xml:space="preserve">konstruqciuli SeduRebuli liTonis bade </t>
  </si>
  <si>
    <t xml:space="preserve">mTavar gamanawilebel farSi 3*63a avtomaturi amomrTvelis dayeneba da momzadeba CarTvisaTvis </t>
  </si>
  <si>
    <t xml:space="preserve"> mTavar gamanawilebel farSi 1*6a avtomaturi amomrTvelis dayeneba da momzadeba CarTvisaTvis </t>
  </si>
  <si>
    <t>erTpolusa avtomaturi amomrTveli 6 a</t>
  </si>
  <si>
    <t>8.14-53-msad.</t>
  </si>
  <si>
    <t xml:space="preserve"> avariuli ganaTebis farSi 1*10a avtomaturi amomrTvelis dayeneba da momzadeba CarTvisaTvis </t>
  </si>
  <si>
    <t>1*36 vt. simZlavris Suqdioduri universaluri paneli naTuriT ( dacvis klasi aranakleb ip20-sa)</t>
  </si>
  <si>
    <t>1*30 vt. simZlavris Suqdioduri sanaTuri naTuriT (150*120*38 mm, dacvis klasi ip65)</t>
  </si>
  <si>
    <t xml:space="preserve"> 1*9 vt. simZlavris akumulatoriT integrirebuli kedlis/Weris led sanaTis ( dacvis klasi aranakleb ip20-sa)  da naTura </t>
  </si>
  <si>
    <t>34</t>
  </si>
  <si>
    <t>8.3-31</t>
  </si>
  <si>
    <t>maT Soris: SromiTi danaxarji</t>
  </si>
  <si>
    <t>320 000 kkal.sT simZlavris liTonis gaTbobis qvabis damontaJeba</t>
  </si>
  <si>
    <t xml:space="preserve">qvabi gaTbobis Q=320 000 kkal/sT </t>
  </si>
  <si>
    <t>d-50 mm milze  Tboizolaciis mowyoba</t>
  </si>
  <si>
    <t>d-63 mm milze  Tboizolaciis mowyoba</t>
  </si>
  <si>
    <t xml:space="preserve"> d-50 mm milis Tboizolaciaa</t>
  </si>
  <si>
    <t xml:space="preserve"> d-63 mm milis Tboizolaciaa</t>
  </si>
  <si>
    <t xml:space="preserve">gaTbobis milsadenebis izolaciisTvis d-150 mm  plastmasis gofrirebuli  milis-garsacmis Cadeba arxSi </t>
  </si>
  <si>
    <t>sn da w  IV-2-82 t-3 cx.23-2-3-misad</t>
  </si>
  <si>
    <t>sn da w  IV-2-82 t-3 cx.23-2-1-misad</t>
  </si>
  <si>
    <t xml:space="preserve"> Tboqselis milsadenis izolaciis mowyoba saizolacio RrubeliT</t>
  </si>
  <si>
    <t>semekis d.</t>
  </si>
  <si>
    <t>milsadenze d-40mm. plastmasis ventilis dayeneba</t>
  </si>
  <si>
    <t xml:space="preserve"> minapaketiT Seminuli metaloplastmasis sarkmeli</t>
  </si>
  <si>
    <t xml:space="preserve"> minapaketiT Seminuli metaloplastmasis vitraJi nawilobrivi gaRebiT</t>
  </si>
  <si>
    <t xml:space="preserve">.10.3-2 </t>
  </si>
  <si>
    <t>sn da w  IV-2-82 t-2 cx.12-8-3 misadag.</t>
  </si>
  <si>
    <t xml:space="preserve">Senobis fasadis fanjrebze  sacremleebis mowyoba feradi faqturis galvanizirebuli TunuqiT sisqiT aranakleb 0,5 mm-sa </t>
  </si>
  <si>
    <t xml:space="preserve">   Robis saZirkvlis da zeZirkvelis mosawyobad gruntis damuSaveba xeliT </t>
  </si>
  <si>
    <t>Robis saZirkvlebisa da zeZirkvelis mowyobis Semdeg gruntis ukuCayra da zedmeti gruntis adgilze mosworeba</t>
  </si>
  <si>
    <t xml:space="preserve">qviSa-RorRis datkepna pnevmaturi satkepniT </t>
  </si>
  <si>
    <t>liTonis milkvadrati 120*120</t>
  </si>
  <si>
    <t>13 - 44</t>
  </si>
  <si>
    <t>amwe 10 tn</t>
  </si>
  <si>
    <t>liTonis samontaJo konstruqcia</t>
  </si>
  <si>
    <t xml:space="preserve">sn da w  IV-2-82 t-2 cx.9-7-2-misad             </t>
  </si>
  <si>
    <t>liTonis anjama</t>
  </si>
  <si>
    <t>sxvadasxva sortamentis liTonis profili</t>
  </si>
  <si>
    <t xml:space="preserve"> foladis furceli 4 mm</t>
  </si>
  <si>
    <t xml:space="preserve"> kibis liTonis moajiris, sxvenSi asasvleli kibisa da luqis zedapirebis dagruntva</t>
  </si>
  <si>
    <t>kibis liTonis moajiris, sxvenSi asasvleli kibisa da luqis zedapirebis SeRebva antikoroziuli saRebaviT 2 jer.</t>
  </si>
  <si>
    <t>sn da w  IV-2-82 t-8  cx.46-23-5</t>
  </si>
  <si>
    <t>მატერიალური რესურსი</t>
  </si>
  <si>
    <t xml:space="preserve">msxvilfraqciuli duRabi m-150 </t>
  </si>
  <si>
    <t>daburCatebuli bazaltis  fila sisqiT 2.0 sm</t>
  </si>
  <si>
    <t>pandusebze da gare kibeze  uJangavi liTonis moajiris mowyoba</t>
  </si>
  <si>
    <t>60*40*3 mm liTonis profili</t>
  </si>
  <si>
    <t>15*15*2 mm liTonis profili</t>
  </si>
  <si>
    <t xml:space="preserve">winafris mosawyobad kedlebis  gaburRva siRrmiT 20 sm - diametriT 20 mm </t>
  </si>
  <si>
    <t xml:space="preserve">winafrebis burulis mowyoba profilirebuli galvanizirebuli feradi Tunuqis furclebiT sisqiT aranakleb  0.5 mm, </t>
  </si>
  <si>
    <t>iatakis betonis momzadebis qveS qviSa-xreSovani narevis fenis mowyoba saSualo sisqiT 40 sm</t>
  </si>
  <si>
    <t xml:space="preserve">kedlebisa da tixrebis mowyoba </t>
  </si>
  <si>
    <t>sn da w  IV-2-82 t-2 cx.6-13-1</t>
  </si>
  <si>
    <t>I) samontaJo samuSaoebi</t>
  </si>
  <si>
    <t>Tavi II</t>
  </si>
  <si>
    <t>sul lokalur-resursuli xarjTaRricxvis jami (Tavi I + Tavi II)</t>
  </si>
  <si>
    <t>I Tavis jami</t>
  </si>
  <si>
    <t>sn da w  IV-6-82 T-6 cx.3-560-1(4 da 6)</t>
  </si>
  <si>
    <t xml:space="preserve"> Sromatevadoba 802-X6*73-18*11</t>
  </si>
  <si>
    <t xml:space="preserve"> manqanebis eqspluat. 186-6X17,4-18X2,78</t>
  </si>
  <si>
    <t xml:space="preserve"> masalebi 71-6X3,2-18X0,33</t>
  </si>
  <si>
    <t xml:space="preserve"> SromiTi resursebi</t>
  </si>
  <si>
    <t xml:space="preserve"> materialuri danaxarji</t>
  </si>
  <si>
    <t xml:space="preserve">Zveli da axali Senobebis fasadze inventaruli xaraCos dayeneba da daSla </t>
  </si>
  <si>
    <r>
      <t>0,4 kvN</t>
    </r>
    <r>
      <rPr>
        <b/>
        <sz val="10"/>
        <rFont val="Sylfaen"/>
        <family val="1"/>
      </rPr>
      <t>NAYY 3</t>
    </r>
    <r>
      <rPr>
        <b/>
        <sz val="10"/>
        <rFont val="LitNusx"/>
        <family val="0"/>
      </rPr>
      <t xml:space="preserve">X4 kv.mm ganikveTis aluminis eleqtro kabelis gayvana milSi </t>
    </r>
  </si>
  <si>
    <r>
      <t xml:space="preserve">N0,4 kv </t>
    </r>
    <r>
      <rPr>
        <sz val="10"/>
        <rFont val="Sylfaen"/>
        <family val="1"/>
      </rPr>
      <t>NAYY-1 3</t>
    </r>
    <r>
      <rPr>
        <sz val="10"/>
        <rFont val="LitNusx"/>
        <family val="0"/>
      </rPr>
      <t>X4 kv.mm ganikveTis aluminis eleqtro kabeli</t>
    </r>
  </si>
  <si>
    <t>III kategoriis  gruntis saboloo damuSaveba xeliT saproeqto niSnulamde da qvabulis ferdoebze miyra</t>
  </si>
  <si>
    <t xml:space="preserve">sn da w  IV-2-82 t-2 cx.8-5-8            </t>
  </si>
  <si>
    <t xml:space="preserve">gare ganaTebis drantis tipis sanaTis da naTuris  (led 1*35 vt) dayeneba </t>
  </si>
  <si>
    <t xml:space="preserve">gare ganaTebis drantis tipis sanaTi da naTura (led 1*35 vt) </t>
  </si>
  <si>
    <t xml:space="preserve">saZirkvlis qveS qviSa-RorRis baliSis mowyoba </t>
  </si>
  <si>
    <t xml:space="preserve">Cafluli tipis 16 jgufiani Semyvan-gamanawilebeli faris dayeneba </t>
  </si>
  <si>
    <t>16 jgufiani Semyvan-gamanawilebeli fari</t>
  </si>
  <si>
    <t xml:space="preserve">Semyvan-gamanawilebel farebSi 1*16a diferencialuri avtomaturi amomrTvelis dayeneba da momzadeba CarTvisaTvis </t>
  </si>
  <si>
    <t>erTpolusa diferencialuri avtomaturi amomrTveli 16 a</t>
  </si>
  <si>
    <t xml:space="preserve">1*15 vt. simZlavris kedlis/Weris Suqdioduri led sanaTis (dacvis klasi aranakleb ip20)  da naTura </t>
  </si>
  <si>
    <t>37</t>
  </si>
  <si>
    <t xml:space="preserve"> ganaTebis sayrdenebisaTvis monoliTuri betonis saZirkvlis mowyoba da sayrdenebis (simaRliT 6,0 m) dayeneba </t>
  </si>
  <si>
    <t>gare ganaTebis sayrdeni simaRliT 6,0 m</t>
  </si>
  <si>
    <t>jami dRg-s CaTvliT</t>
  </si>
  <si>
    <t>semek-s 2008 wlis 18 seqtem-bris #20 dadgenileba</t>
  </si>
  <si>
    <t xml:space="preserve"> 2014 wlis 31 oqtombris #43/3  gadawyvetileba</t>
  </si>
  <si>
    <t>sportdarbazis iatakis mosawyobad xis lagebis (100*40 mm) montaJi</t>
  </si>
  <si>
    <t xml:space="preserve">kibis safexurebze keramogranitis plintusis mowyoba webo-cementze </t>
  </si>
  <si>
    <t>Siga kibeebze kedlis mxares d-40 mm miliT uJangavi liTonis saxeluris mowyoba</t>
  </si>
  <si>
    <t>sn da w  IV-2-82 t-2 damateba 1  cx.7-58-4-misadagebit</t>
  </si>
  <si>
    <t>d-40 mm milis uJangavi liTonis saxeluri</t>
  </si>
  <si>
    <t xml:space="preserve">   Siga kibeebze liTonis moajirebis (dekoratiuli sferoebiT da liTonis milis saxuluriT) dayeneba</t>
  </si>
  <si>
    <t xml:space="preserve"> liTonis moajirebis (dekoratiuli sferoebiT da liTonis milis saxuluriT)</t>
  </si>
  <si>
    <t>sxvenSi asasvleli liTonis kibis da luqis montaJi mowyoba</t>
  </si>
  <si>
    <t xml:space="preserve"> minapaketiT Seminuli metaloplastmasis fanjris Casma evrogaRebiT (64 cali)  </t>
  </si>
  <si>
    <t xml:space="preserve"> minapaketiT Seminuli metaloplastmasis sarkmelis Casma evrogaRebiT  (11 cali)</t>
  </si>
  <si>
    <t>sportdarbazSi minapaketiT Seminuli metaloplastmasis vitraJis Casma nawilobrivi gaRebiT</t>
  </si>
  <si>
    <t>aluminis izoprofilis samkameriani yru vitraJis Casma</t>
  </si>
  <si>
    <t>mTavar SesasvlelSi aluminis izoprofilis samkameriani karebiani vitraJis  Casma</t>
  </si>
  <si>
    <t>aluminis izoprofilis samkameriani yru vitraJi</t>
  </si>
  <si>
    <t>aluminis izoprofilis samkameriani karebiani vitraJi</t>
  </si>
  <si>
    <t>metaloplastmasis vitraJis Casma kariT</t>
  </si>
  <si>
    <t>metaloplastmasis vitraJi kariT</t>
  </si>
  <si>
    <t>liTonis karebis, gisosebis gawmenda da dagruntva</t>
  </si>
  <si>
    <t>liTonis karebis da gisosebis   SeRebva antikoroziuli saRebaviT 2 jer.</t>
  </si>
  <si>
    <t>sn da w  IV-2-82 t-2 cx.10-19-1-s misadagebiT</t>
  </si>
  <si>
    <t>SromiTi resursebi   112/140</t>
  </si>
  <si>
    <t>manqanebi 5,28/140</t>
  </si>
  <si>
    <t>duRabi mosapirkeTebeli 0,63/140</t>
  </si>
  <si>
    <t xml:space="preserve"> SromiTi danaxarjebi </t>
  </si>
  <si>
    <t xml:space="preserve"> sxvadasxva  masalebi </t>
  </si>
  <si>
    <t xml:space="preserve"> xis fanjrisqveSa rafa sisqiT 5 sm</t>
  </si>
  <si>
    <t>5 sm sisqis xis fanjrisqveSa rafebis dayeneba</t>
  </si>
  <si>
    <t>saxuravi</t>
  </si>
  <si>
    <t>saxuravis  xis sanivnive sistemis mowyoba, betonis zedapirTan xis masalis Sexebis adgilze toliT dafeniT</t>
  </si>
  <si>
    <t>xelsabanis Semrevis dayeneba</t>
  </si>
  <si>
    <t>xelsabanis Semrevi</t>
  </si>
  <si>
    <t>.6-8</t>
  </si>
  <si>
    <t xml:space="preserve">d-70 mm. plastmasis sakanalizacio milis gayvana fasonuri nawilebisa da samagrebis gamoyenebiT da maTi hidravlikuri gamocda </t>
  </si>
  <si>
    <t>sn da w  IV-2-82 t-3 cx.16-6-1-misad</t>
  </si>
  <si>
    <t>plastmasis sakanalizacio mili d-70 mm fasonuri nawilebiT</t>
  </si>
  <si>
    <t xml:space="preserve">7-18 da7-19 -s misad. </t>
  </si>
  <si>
    <t xml:space="preserve">7-28 </t>
  </si>
  <si>
    <t>7-27 da 7-28</t>
  </si>
  <si>
    <t xml:space="preserve"> 7-25 </t>
  </si>
  <si>
    <t xml:space="preserve"> d-75 mm sferuli ventilis dayeneba </t>
  </si>
  <si>
    <t xml:space="preserve"> sferuli ventili d-75 mm</t>
  </si>
  <si>
    <t>6-66</t>
  </si>
  <si>
    <t>d-75 mm milze  Tboizolaciis mowyoba</t>
  </si>
  <si>
    <t xml:space="preserve"> d-75 mm milis Tboizolaciaa</t>
  </si>
  <si>
    <t>saqvabe milis montaJi da santeqnikuri samuSaoebi</t>
  </si>
  <si>
    <t>saqvabes milis montaJi da santeqnikuri samuSaoebi</t>
  </si>
  <si>
    <t xml:space="preserve">safarToebeli WurWeli V=300 l 16 bari </t>
  </si>
  <si>
    <t xml:space="preserve">d-40 mm milebis samagri </t>
  </si>
  <si>
    <t>300 - l moculobis safarToebeli WurWlis damontaJeba (16 bari)</t>
  </si>
  <si>
    <t xml:space="preserve"> d-25 mm. pn25 plastmasis milis gayvana fasonuri nawilebis gamoyenebiT da hidravlikuri gamocda</t>
  </si>
  <si>
    <t>mili plastmasis d-25 mm fasonuri nawilebiT</t>
  </si>
  <si>
    <t xml:space="preserve">d-25  plastmasis milis garecxva da dezinfeqcia </t>
  </si>
  <si>
    <t>milsadenze d-25mm. plastmasis ventilis dayeneba</t>
  </si>
  <si>
    <t>milsadenze d-32mm. plastmasis ventilis dayeneba</t>
  </si>
  <si>
    <t>gare gaTbobis Tboqselis mowyoba</t>
  </si>
  <si>
    <t xml:space="preserve"> gare gaTbobis Tboqselis mowyoba</t>
  </si>
  <si>
    <t xml:space="preserve">gaTbobis milsadenebis izolaciisTvis d-250 mm  plastmasis gofrirebuli  milis-garsacmis Cadeba arxSi </t>
  </si>
  <si>
    <t xml:space="preserve"> plastmasis gofrirebuli mili d-250 mm</t>
  </si>
  <si>
    <t>2.6-114</t>
  </si>
  <si>
    <t xml:space="preserve">d-40 mm armirebuli plastmasis milis gayvana fasonuri nawilebis gamoyenebiT da hidravlikuri gamocda </t>
  </si>
  <si>
    <t xml:space="preserve">d-75 mm armirebuli plastmasis milis gayvana fasonuri nawilebis gamoyenebiT da hidravlikuri gamocda </t>
  </si>
  <si>
    <t xml:space="preserve">d-40 mm plastmasis armirebuli mili fasonuri nawilebiT  </t>
  </si>
  <si>
    <t xml:space="preserve">d75 mm plastmasis armirebuli mili fasonuri nawilebiT  </t>
  </si>
  <si>
    <t>2.6-58</t>
  </si>
  <si>
    <t>kibeebis da pandusebis mosawyobad gruntis damuSaveba xeliT</t>
  </si>
  <si>
    <t xml:space="preserve">pandusebis da kibeebis qveS qviSa-RorRis nareviT </t>
  </si>
  <si>
    <t xml:space="preserve">kibeebisa da pandusebis ubeebis Sevseba qviSa-RorRis nareviT </t>
  </si>
  <si>
    <t xml:space="preserve">  pandusebis  da  kibebis filis, baqnebis, safexurebis (SublebiT) mosapirkeTeblad  cementis mWimis mowyoba m-150 markis qviSa-cementis xsnariT saSualo sisqiT 2.0 sm</t>
  </si>
  <si>
    <t>daburCatebuli bunebrivi granitis fila sisqiT 2.0 sm</t>
  </si>
  <si>
    <t>mTavari Sesasvleli kibis baqnebis da safexurebis (SublebiT) mopirkeTeba 2.0 sm sisqis daburCatebuli bunebrivi granitis filebiT yinvagamZle webo-cementze</t>
  </si>
  <si>
    <t xml:space="preserve">bunebrivi granitis plintusis mowyoba webo-cementze </t>
  </si>
  <si>
    <t xml:space="preserve"> bunebrivi granitis fila sisqiT 2.0 sm</t>
  </si>
  <si>
    <t>60*40*3 mm. (50.1 grZ.m) da 15*15*2 mm.(29.1 grZ.m) liTonis oTxkuTxa milisagan winafris konstruqciis damzadeba da montaJi (3 cali)</t>
  </si>
  <si>
    <t>sn da w  IV-2-82 t-2 damateba 1  cx.7-58-4-misadag.</t>
  </si>
  <si>
    <t>kedlis mxares d-40 mm miliT uJangavi liTonis saxeluris mowyoba</t>
  </si>
  <si>
    <t xml:space="preserve">dekoratiuli filis, armirebuli betonis Semonakirwylis da filis qveS 15.0 sm sisqis RorRis safuZvelis  mowyoba </t>
  </si>
  <si>
    <t>teritoriis saproeqto niSnulze mosayvana balastiT da misi fena-fena datkepna</t>
  </si>
  <si>
    <t>balasti</t>
  </si>
  <si>
    <t>4.1-236</t>
  </si>
  <si>
    <t>sn da w  IV-2-82 t-4 cx.27-7-2</t>
  </si>
  <si>
    <t xml:space="preserve">buldozeri 79 kvt (108 cx.Z) </t>
  </si>
  <si>
    <t>სნ და წ  IV-2-82 ტ-3 ცხ.22-30-1</t>
  </si>
  <si>
    <t>რკინაბეტონის რგოლი დ-800 მმ სიმაღლე 1.0 მ</t>
  </si>
  <si>
    <t>ბეტონი მ-100</t>
  </si>
  <si>
    <t>რკინაბეტონის გადახურვის ფილა 1*1*0.15 მმ მრგვალი ხუფით</t>
  </si>
  <si>
    <t>არსებული ორკამერიან სეპტიკურ სალექარზე  დ-800 მმ  2.0 მეტრამდე სიმაღლის ანაკრები რკინაბეტონის რგოლებისა და სახურავის ფილის მონტაჟი საკანალიზაციო ლუქით (2 კომპლექტი)</t>
  </si>
  <si>
    <t xml:space="preserve">teritoriaze 6,0 (5+1) sm. sisqis orSriani betonis filebis dageba, msxvilmarcvlovani qviSis 5 sm sisqis narevze, filebis nakerebis msxvilmarclovani qviSiT SevsebiT   </t>
  </si>
  <si>
    <t xml:space="preserve"> kedlebis amoSeneba msubuqi betonis mcire sakedle blokebiT sisqiT 20 sm</t>
  </si>
  <si>
    <t xml:space="preserve"> wvrili msubuqi betonis sakedle bloki 20*19*40</t>
  </si>
  <si>
    <t xml:space="preserve"> tixrebis mowyoba msubuqi betonis mcire sakedle blokebiT kedlis sisqiT 10 sm </t>
  </si>
  <si>
    <t xml:space="preserve"> wvrili msubuqi betonis sakedle bloki 39*10*19</t>
  </si>
  <si>
    <t xml:space="preserve">Siga zedapirebis maRalxarisxovani Selesva qv/cementis xsnariT </t>
  </si>
  <si>
    <t xml:space="preserve"> betonis Werebis, darbazis koWebis, kibis marSebisa da baqnevbis Zirebis  gadalesva mosapirkeTebeli duRabiT</t>
  </si>
  <si>
    <t>fasadis zedapirebis gadalesva yinvagamZle webocementiT</t>
  </si>
  <si>
    <t xml:space="preserve"> fasadis zedapirebis dekoratiuli Selesva-SeRebva (,,miunxeni" an analogi) faqturuli saRebaviT </t>
  </si>
  <si>
    <t>betonis zedapirebis (ferdoebis, gasasvleli sivrces) damuSaveba fasadis fiTxiT da SeRebva gare dafarvis wyaldispersiuli saRebaviT orjer</t>
  </si>
  <si>
    <t>miwis samuSaoebi da monoliTuri rkinabetonis saZirkvlisa da karkasis mowyoba</t>
  </si>
  <si>
    <t>zeZirkvelSi saZirkvlis Tavis doneze d-100 mm. plastmasis sakanalizacio milis gayvana</t>
  </si>
  <si>
    <t xml:space="preserve">plastmasis sakanalizacio mili d-100 mm </t>
  </si>
  <si>
    <t xml:space="preserve">liTonkvadratebiT Sedgenili dekoratiuli WiSkaris montaJi </t>
  </si>
  <si>
    <t xml:space="preserve">liTonkvadratebiT Sedgenili dekoratiuli kutikaris  montaJi </t>
  </si>
  <si>
    <t xml:space="preserve">liTonis dekoratiuli kutikari </t>
  </si>
  <si>
    <t xml:space="preserve">liTonkvadratebiT Sedgenili dekoratiuli seqciuri Robis seqciis simaRliT 1,45 m)  montaJi </t>
  </si>
  <si>
    <t xml:space="preserve">Robis zeZirkvelis gaumjobesebuli Selesva qv/cementis xsnariT </t>
  </si>
  <si>
    <t xml:space="preserve">AliTonis dgarebis Tavebze  70*70*6 liTonis furcelis montaJi </t>
  </si>
  <si>
    <t>liTonis furceli 70*70*6 mm</t>
  </si>
  <si>
    <t>liTonis milkvadrati 70*70</t>
  </si>
  <si>
    <t>Robis da saryrdeni kedelis (maT Soris arsebul kedelze rkinabetonis perangi) mowyoba</t>
  </si>
  <si>
    <t xml:space="preserve">glinula armatura </t>
  </si>
  <si>
    <t xml:space="preserve">  perangis mosawyobad gruntis damuSaveba xeliT </t>
  </si>
  <si>
    <t xml:space="preserve">perangis mosawyobad kedlebis  gaburRva siRrmiT 30 sm - diametriT 10 mm </t>
  </si>
  <si>
    <t>sn da w  IV-2-82 t-8 cx.46-43-1-misad.</t>
  </si>
  <si>
    <t>sn da w  IV-2-82 t-2 cx.6-16-4</t>
  </si>
  <si>
    <t>monoliTuri rkbetonis perangis saZirkvlisa da tanis mowyoba В20 klasis betoniT</t>
  </si>
  <si>
    <t xml:space="preserve"> perangis saZirkvlebisa da tanis mowyobis Semdeg gruntis ukuCayra da zedmeti gruntis adgilze mosworeba</t>
  </si>
  <si>
    <t xml:space="preserve">kedlis tanis gaumjobesebuli Selesva qv/cementis xsnariT </t>
  </si>
  <si>
    <t xml:space="preserve">kedlis tanis dekoratiuli cementis (pigmentis damatebiT) naSxefiT  </t>
  </si>
  <si>
    <t xml:space="preserve"> sn da w  IV-2-82 t-1 cx. 1-80-3</t>
  </si>
  <si>
    <t xml:space="preserve">   sayrdeni kedlis saZirkvlis mosawyobad gruntis damuSaveba xeliT </t>
  </si>
  <si>
    <t>sn da w  IV-2-82 t-2 cx.6-11-3</t>
  </si>
  <si>
    <t>.1.10-14</t>
  </si>
  <si>
    <r>
      <t xml:space="preserve">monoliTuri betonis saZirkvlis mowyoba </t>
    </r>
    <r>
      <rPr>
        <b/>
        <sz val="10"/>
        <rFont val="Times New Roman"/>
        <family val="1"/>
      </rPr>
      <t>B</t>
    </r>
    <r>
      <rPr>
        <b/>
        <sz val="10"/>
        <rFont val="LitNusx"/>
        <family val="0"/>
      </rPr>
      <t xml:space="preserve">-20 klasis betoniT </t>
    </r>
  </si>
  <si>
    <r>
      <t xml:space="preserve">betoni </t>
    </r>
    <r>
      <rPr>
        <sz val="10"/>
        <rFont val="Arial"/>
        <family val="2"/>
      </rPr>
      <t>B</t>
    </r>
    <r>
      <rPr>
        <sz val="10"/>
        <rFont val="LitNusx"/>
        <family val="0"/>
      </rPr>
      <t>-20 kl.</t>
    </r>
  </si>
  <si>
    <r>
      <t>betoni B</t>
    </r>
    <r>
      <rPr>
        <sz val="10"/>
        <rFont val="Calibri"/>
        <family val="2"/>
      </rPr>
      <t>B</t>
    </r>
    <r>
      <rPr>
        <sz val="10"/>
        <rFont val="LitNusx"/>
        <family val="0"/>
      </rPr>
      <t xml:space="preserve">-20 </t>
    </r>
  </si>
  <si>
    <r>
      <t xml:space="preserve">500*700 </t>
    </r>
    <r>
      <rPr>
        <sz val="10"/>
        <rFont val="Calibri"/>
        <family val="2"/>
      </rPr>
      <t xml:space="preserve">PKKP-22 </t>
    </r>
    <r>
      <rPr>
        <sz val="10"/>
        <rFont val="LitNusx"/>
        <family val="0"/>
      </rPr>
      <t>markis liTonis paneluri radiatori</t>
    </r>
  </si>
  <si>
    <r>
      <t xml:space="preserve">600*700 </t>
    </r>
    <r>
      <rPr>
        <sz val="10"/>
        <rFont val="Calibri"/>
        <family val="2"/>
      </rPr>
      <t xml:space="preserve">PKKP-22 </t>
    </r>
    <r>
      <rPr>
        <sz val="10"/>
        <rFont val="LitNusx"/>
        <family val="0"/>
      </rPr>
      <t>markis liTonis paneluri radiatori</t>
    </r>
  </si>
  <si>
    <r>
      <t xml:space="preserve">600*800 </t>
    </r>
    <r>
      <rPr>
        <sz val="10"/>
        <rFont val="Calibri"/>
        <family val="2"/>
      </rPr>
      <t xml:space="preserve">PKKP-22 </t>
    </r>
    <r>
      <rPr>
        <sz val="10"/>
        <rFont val="LitNusx"/>
        <family val="0"/>
      </rPr>
      <t>markis liTonis paneluri radiatori</t>
    </r>
  </si>
  <si>
    <r>
      <t xml:space="preserve">600*900 </t>
    </r>
    <r>
      <rPr>
        <sz val="10"/>
        <rFont val="Calibri"/>
        <family val="2"/>
      </rPr>
      <t xml:space="preserve">PKKP-22 </t>
    </r>
    <r>
      <rPr>
        <sz val="10"/>
        <rFont val="LitNusx"/>
        <family val="0"/>
      </rPr>
      <t>markis liTonis paneluri radiatori</t>
    </r>
  </si>
  <si>
    <r>
      <t xml:space="preserve">600*1000 </t>
    </r>
    <r>
      <rPr>
        <sz val="10"/>
        <rFont val="Calibri"/>
        <family val="2"/>
      </rPr>
      <t xml:space="preserve">PKKP-22 </t>
    </r>
    <r>
      <rPr>
        <sz val="10"/>
        <rFont val="LitNusx"/>
        <family val="0"/>
      </rPr>
      <t>markis liTonis paneluri radiatori</t>
    </r>
  </si>
  <si>
    <r>
      <t xml:space="preserve">600*1100 </t>
    </r>
    <r>
      <rPr>
        <sz val="10"/>
        <rFont val="Calibri"/>
        <family val="2"/>
      </rPr>
      <t xml:space="preserve">PKKP-22 </t>
    </r>
    <r>
      <rPr>
        <sz val="10"/>
        <rFont val="LitNusx"/>
        <family val="0"/>
      </rPr>
      <t>markis liTonis paneluri radiatori</t>
    </r>
  </si>
  <si>
    <r>
      <t xml:space="preserve">600*1200 </t>
    </r>
    <r>
      <rPr>
        <sz val="10"/>
        <rFont val="Calibri"/>
        <family val="2"/>
      </rPr>
      <t xml:space="preserve">PKKP-22 </t>
    </r>
    <r>
      <rPr>
        <sz val="10"/>
        <rFont val="LitNusx"/>
        <family val="0"/>
      </rPr>
      <t>markis liTonis paneluri radiatori</t>
    </r>
  </si>
  <si>
    <r>
      <t xml:space="preserve">600*1300 </t>
    </r>
    <r>
      <rPr>
        <sz val="10"/>
        <rFont val="Calibri"/>
        <family val="2"/>
      </rPr>
      <t xml:space="preserve">PKKP-22 </t>
    </r>
    <r>
      <rPr>
        <sz val="10"/>
        <rFont val="LitNusx"/>
        <family val="0"/>
      </rPr>
      <t>markis  liTonis paneluri radiatori</t>
    </r>
  </si>
  <si>
    <r>
      <t xml:space="preserve">600*1400 </t>
    </r>
    <r>
      <rPr>
        <sz val="10"/>
        <rFont val="Calibri"/>
        <family val="2"/>
      </rPr>
      <t xml:space="preserve">PKKP-22 </t>
    </r>
    <r>
      <rPr>
        <sz val="10"/>
        <rFont val="LitNusx"/>
        <family val="0"/>
      </rPr>
      <t>markis  liTonis paneluri radiatori</t>
    </r>
  </si>
  <si>
    <r>
      <t xml:space="preserve">600*1700 </t>
    </r>
    <r>
      <rPr>
        <sz val="10"/>
        <rFont val="Calibri"/>
        <family val="2"/>
      </rPr>
      <t xml:space="preserve">PKKP-22 </t>
    </r>
    <r>
      <rPr>
        <sz val="10"/>
        <rFont val="LitNusx"/>
        <family val="0"/>
      </rPr>
      <t>markis  liTonis paneluri radiatori</t>
    </r>
  </si>
  <si>
    <r>
      <t xml:space="preserve">600*1800 </t>
    </r>
    <r>
      <rPr>
        <sz val="10"/>
        <rFont val="Calibri"/>
        <family val="2"/>
      </rPr>
      <t xml:space="preserve">PKKP-22 </t>
    </r>
    <r>
      <rPr>
        <sz val="10"/>
        <rFont val="LitNusx"/>
        <family val="0"/>
      </rPr>
      <t>markis  liTonis paneluri radiatori</t>
    </r>
  </si>
  <si>
    <t>monoliTuri betonis sayrdeni kedlis saZirkvlisa da tanis mowyoba В20 klasis betoniT</t>
  </si>
  <si>
    <t>sayrden kedlebSi d-70 mm. plastmasis sadrenaJe milis montaJi</t>
  </si>
  <si>
    <t xml:space="preserve">plastmasis sakalizacio mili d-70 mm </t>
  </si>
  <si>
    <t>2.6-35</t>
  </si>
  <si>
    <t>msxvili RorRi³</t>
  </si>
  <si>
    <t xml:space="preserve">gruntis datkepna pnevmaturi satkepniT </t>
  </si>
  <si>
    <t xml:space="preserve"> jami (Tavi b-sayrdeni kedeli)</t>
  </si>
  <si>
    <t>b) sayrdeni kedeli</t>
  </si>
  <si>
    <t>a) arsebul sayrden kedelze monoliTuri rkinabetonis perangis mowyoba</t>
  </si>
  <si>
    <t>g) Robis mowyoba</t>
  </si>
  <si>
    <t xml:space="preserve"> jami (Tavi g-Robe)</t>
  </si>
  <si>
    <t>50 000 kkal/sT simZlavris Cqarosnuli Tbomclelis damontaJeba</t>
  </si>
  <si>
    <t xml:space="preserve">perforirebuli liTonis 200*40 mm  kabel-arxi </t>
  </si>
  <si>
    <t xml:space="preserve"> samSeneblo gazo bloki </t>
  </si>
  <si>
    <t xml:space="preserve"> gare perimetrze kedlebis amoSeneba samSeneblo gazo blokebiT fasadidan gamoweuli nawilebis SeqmniT  </t>
  </si>
  <si>
    <t>Tixis mosapirkeTebeli aguri 35*18*8 sm</t>
  </si>
  <si>
    <t>4.1-5</t>
  </si>
  <si>
    <t>saZirkvlebis mosawyobad  III kategoris gruntis damuSaveba eqskavatoriT CamCis tevadobiT 0.65 kub.m gverdze dayriT</t>
  </si>
  <si>
    <t>danarCeni kibeebis baqnebis, safexurebis (SublebiT) da pandusebis mopirkeTeba 2.0 sm sisqis daburCatebuli bazaltis filebiT yinvagamZle webo-cementze</t>
  </si>
  <si>
    <t>fasadis zedapirebze mosapirkeTebeli Tixis aguris akvra yinvagamZle webo-cementze</t>
  </si>
  <si>
    <t xml:space="preserve"> d-40 mm ventilis dayeneba </t>
  </si>
  <si>
    <t xml:space="preserve"> d-40 mm ventili</t>
  </si>
  <si>
    <r>
      <t xml:space="preserve">monoliTuri betonis sakanalizacio Wis (4 cali) mowyoba </t>
    </r>
    <r>
      <rPr>
        <b/>
        <sz val="10"/>
        <rFont val="Academiuri Nuskhuri"/>
        <family val="0"/>
      </rPr>
      <t>B</t>
    </r>
    <r>
      <rPr>
        <b/>
        <sz val="10"/>
        <rFont val="LitNusx"/>
        <family val="0"/>
      </rPr>
      <t xml:space="preserve">-20 klasis betoniT da 600*600 oTxkuTxa Tujis xufis montaJi </t>
    </r>
  </si>
  <si>
    <t>konstruqciuli SeduRebuli bade d-4 mm</t>
  </si>
  <si>
    <t>saZirkvlis baliSsa da kedelSi sadrenaJe zolisaTvis msxvili RorRis fenis mowyoba</t>
  </si>
  <si>
    <t>sxva masalebi 8,5/140</t>
  </si>
  <si>
    <t>13 - 190</t>
  </si>
  <si>
    <t>.4.2-39</t>
  </si>
  <si>
    <t>4.2-120</t>
  </si>
  <si>
    <t>5 - 128</t>
  </si>
  <si>
    <t>5 -128</t>
  </si>
  <si>
    <t>5-14</t>
  </si>
  <si>
    <t>5-25</t>
  </si>
  <si>
    <t>4.1-333</t>
  </si>
  <si>
    <t>4.1-335</t>
  </si>
  <si>
    <t>4.1 - 335</t>
  </si>
  <si>
    <t>4.1-33</t>
  </si>
  <si>
    <t>1.1 - 1</t>
  </si>
  <si>
    <t>1.1 -1</t>
  </si>
  <si>
    <t>1.1-1</t>
  </si>
  <si>
    <t>1.1 -3</t>
  </si>
  <si>
    <t>4.1-239</t>
  </si>
  <si>
    <t>.10.3-7</t>
  </si>
  <si>
    <t>sayrdeni kedlis mowyobis Semdeg adgilze arsebuli  III kategoriis gruntiT (maT Soris Senobis qvabulidan monarCeni) ukuCayra buldozeris saSualebiT gruntis saSualod 50 m. manZilamde gadaadgilebiT</t>
  </si>
  <si>
    <t>11.1-41</t>
  </si>
  <si>
    <t>1.1 - 3</t>
  </si>
  <si>
    <t>5-128</t>
  </si>
  <si>
    <t>5.1-23</t>
  </si>
  <si>
    <t>4.1-372</t>
  </si>
  <si>
    <t>1.10-24-s misad.</t>
  </si>
  <si>
    <t>2.2-117</t>
  </si>
  <si>
    <t>2.2-89</t>
  </si>
  <si>
    <t>1.6-30</t>
  </si>
  <si>
    <t>4.2-14</t>
  </si>
  <si>
    <t>2.6-45</t>
  </si>
  <si>
    <t xml:space="preserve">liTonis dekoratiuli WiSkari  </t>
  </si>
  <si>
    <t>4.1-247</t>
  </si>
  <si>
    <t>4.2-60</t>
  </si>
  <si>
    <t>1.9-100-s misad</t>
  </si>
  <si>
    <t>1.9-86-misad.</t>
  </si>
  <si>
    <t>5.1-82</t>
  </si>
  <si>
    <t>4.1 - 373</t>
  </si>
  <si>
    <t>4.1-369</t>
  </si>
  <si>
    <t>1.1-46</t>
  </si>
  <si>
    <t>1.9-98</t>
  </si>
  <si>
    <t>.1.9-86</t>
  </si>
  <si>
    <t>.5-88</t>
  </si>
  <si>
    <t>.5-104</t>
  </si>
  <si>
    <t>1.10-25</t>
  </si>
  <si>
    <t>4.2-106</t>
  </si>
  <si>
    <t>qila</t>
  </si>
  <si>
    <t>4.2 -99</t>
  </si>
  <si>
    <t>4.2 - 99</t>
  </si>
  <si>
    <t>yinvagamZle webo-cementi</t>
  </si>
  <si>
    <t>4.2-92</t>
  </si>
  <si>
    <t>antiseptikuri sxnari</t>
  </si>
  <si>
    <t>4.1-377</t>
  </si>
  <si>
    <t>1.5-15</t>
  </si>
  <si>
    <t>4.3-29</t>
  </si>
  <si>
    <t>1.5-19</t>
  </si>
  <si>
    <t>4.1-520</t>
  </si>
  <si>
    <t xml:space="preserve"> gruntis gamxsneli</t>
  </si>
  <si>
    <t>grunti fasadis</t>
  </si>
  <si>
    <t>4.3-27</t>
  </si>
  <si>
    <t>2.4-14-s misad.</t>
  </si>
  <si>
    <t>1.9-103</t>
  </si>
  <si>
    <t>4.2-46-misad</t>
  </si>
  <si>
    <t>.1.9-88-misad.</t>
  </si>
  <si>
    <t>.3-2</t>
  </si>
  <si>
    <t>1.9-5</t>
  </si>
  <si>
    <t>4.2-31</t>
  </si>
  <si>
    <t>4.1-404</t>
  </si>
  <si>
    <t>4.4-10</t>
  </si>
  <si>
    <t>.5-98</t>
  </si>
  <si>
    <t>.5-99</t>
  </si>
  <si>
    <t>.5-105</t>
  </si>
  <si>
    <t>5-107</t>
  </si>
  <si>
    <t>4.1-383</t>
  </si>
  <si>
    <t>4.2-66</t>
  </si>
  <si>
    <t>4.2-78</t>
  </si>
  <si>
    <t>4.2-67</t>
  </si>
  <si>
    <t>4.4-1</t>
  </si>
  <si>
    <t>4.1-322</t>
  </si>
  <si>
    <t>4.1-293-s misad</t>
  </si>
  <si>
    <t>4.1-273 misad</t>
  </si>
  <si>
    <t>1.9 -20</t>
  </si>
  <si>
    <t>Savi liTonis sabaTqaSe bade</t>
  </si>
  <si>
    <t>4.4-20</t>
  </si>
  <si>
    <t>5.-1</t>
  </si>
  <si>
    <t>5-1</t>
  </si>
  <si>
    <t>.1.9-91</t>
  </si>
  <si>
    <t>2.2-1</t>
  </si>
  <si>
    <t>1.6 - 28</t>
  </si>
  <si>
    <t>5-154</t>
  </si>
  <si>
    <t>11.1-42</t>
  </si>
  <si>
    <t>2.2-58</t>
  </si>
  <si>
    <t>2.2-11</t>
  </si>
  <si>
    <t>4.3-18</t>
  </si>
  <si>
    <t>4.2-109</t>
  </si>
  <si>
    <t>Tunuqi feradi faqturis galvanizirebili sisqiT aranakleb 0,5 mm-sa</t>
  </si>
  <si>
    <t>4.1-40 misad</t>
  </si>
  <si>
    <t>4.2-48</t>
  </si>
  <si>
    <t>saRebavi faqturuli ,,miunxeni" an msgavsi</t>
  </si>
  <si>
    <t>14.2 - 5</t>
  </si>
  <si>
    <t>14.2 - 15</t>
  </si>
  <si>
    <t>13 -200</t>
  </si>
  <si>
    <t>4.1-332</t>
  </si>
  <si>
    <t>4.1-253</t>
  </si>
  <si>
    <t>5-138</t>
  </si>
  <si>
    <t>4.1-237</t>
  </si>
  <si>
    <t>4.1-238</t>
  </si>
  <si>
    <t>5-23</t>
  </si>
  <si>
    <t>4.1-521</t>
  </si>
  <si>
    <t>4.1-104 და 105 მისად</t>
  </si>
  <si>
    <t>4.1-112 და 113 მისად</t>
  </si>
  <si>
    <t>.1-1-მისად</t>
  </si>
  <si>
    <t>8.14-196</t>
  </si>
  <si>
    <t>8.14-166</t>
  </si>
  <si>
    <t>8.2-13</t>
  </si>
  <si>
    <t>1.4-55</t>
  </si>
  <si>
    <t>2.6-53</t>
  </si>
  <si>
    <t>liftis saZirkvelis mowyoba da 300 kg tviTamweobis SSm pirTa samgzavro liftis montaJi</t>
  </si>
  <si>
    <t xml:space="preserve"> SSm pirTaTvis samgzavro lifti ( tvirTamweoba _ 300 kg, asvlis siCqare _0,5 m/wm, gaCerebebis raodenoba _ 3) </t>
  </si>
  <si>
    <t xml:space="preserve"> 300 kg tviTamweobis SSm pirTa samgzavro liftis  montaJi</t>
  </si>
  <si>
    <t>8.14-403</t>
  </si>
  <si>
    <t>8.14-409-misad</t>
  </si>
  <si>
    <t>8.4-8</t>
  </si>
  <si>
    <t>cecxlmaqri</t>
  </si>
  <si>
    <t>12-61</t>
  </si>
  <si>
    <t>12-59</t>
  </si>
  <si>
    <t>samisamarTo kvamlis deteqtori universaluri samagri ZiriT</t>
  </si>
  <si>
    <t>12-65</t>
  </si>
  <si>
    <t>12-57</t>
  </si>
  <si>
    <t>7-633</t>
  </si>
  <si>
    <t xml:space="preserve">7-527-s misad. </t>
  </si>
  <si>
    <t>6-3-misad.</t>
  </si>
  <si>
    <t>8.14-90-misad</t>
  </si>
  <si>
    <t>8.14-303-misad</t>
  </si>
  <si>
    <t>8.14-332</t>
  </si>
  <si>
    <t>8.14-335</t>
  </si>
  <si>
    <t>8.14-241</t>
  </si>
  <si>
    <t>8.14-345</t>
  </si>
  <si>
    <t>1.14-293</t>
  </si>
  <si>
    <t>8.14-405</t>
  </si>
  <si>
    <t>8.14-410-misad</t>
  </si>
  <si>
    <t>1.6-57</t>
  </si>
  <si>
    <t>8.3-23</t>
  </si>
  <si>
    <t>8.3-30</t>
  </si>
  <si>
    <t>8.3-40</t>
  </si>
  <si>
    <t>8.3-95</t>
  </si>
  <si>
    <t>8.14-199</t>
  </si>
  <si>
    <t>8.14-412</t>
  </si>
  <si>
    <t>6-640</t>
  </si>
  <si>
    <t>6-641</t>
  </si>
  <si>
    <t>6-642</t>
  </si>
  <si>
    <t>6-491</t>
  </si>
  <si>
    <t>6-492</t>
  </si>
  <si>
    <t>6-493</t>
  </si>
  <si>
    <t>6-732</t>
  </si>
  <si>
    <t>6-733</t>
  </si>
  <si>
    <t>6-379</t>
  </si>
  <si>
    <t>6-380</t>
  </si>
  <si>
    <t>6-381</t>
  </si>
  <si>
    <t>6-82 misad.</t>
  </si>
  <si>
    <t>.6-7</t>
  </si>
  <si>
    <t>.6-10</t>
  </si>
  <si>
    <t>4.2-119</t>
  </si>
  <si>
    <t>.6-30</t>
  </si>
  <si>
    <t xml:space="preserve">BSSm pirTa xelsabani (sifoni, gamSvebi) </t>
  </si>
  <si>
    <t xml:space="preserve"> 6-27</t>
  </si>
  <si>
    <t xml:space="preserve">aziuri unitazi  </t>
  </si>
  <si>
    <t>Camrecxi avzi</t>
  </si>
  <si>
    <t xml:space="preserve"> 6-28</t>
  </si>
  <si>
    <t>7.25 da 7-26</t>
  </si>
  <si>
    <t>6.232-s misadagebiT k=2</t>
  </si>
  <si>
    <t>kronSteini 2.43*2</t>
  </si>
  <si>
    <t>6-105</t>
  </si>
  <si>
    <t>6-106</t>
  </si>
  <si>
    <t>6-108</t>
  </si>
  <si>
    <t>6-117</t>
  </si>
  <si>
    <t>6-116</t>
  </si>
  <si>
    <t>2.6-39</t>
  </si>
  <si>
    <t>2.6-60</t>
  </si>
  <si>
    <t>6-643</t>
  </si>
  <si>
    <t>6-644</t>
  </si>
  <si>
    <t>6-494</t>
  </si>
  <si>
    <t>6-495</t>
  </si>
  <si>
    <t>6-383</t>
  </si>
  <si>
    <t>6-385</t>
  </si>
  <si>
    <t>6-386</t>
  </si>
  <si>
    <t>6-387</t>
  </si>
  <si>
    <t>6-734</t>
  </si>
  <si>
    <t>6-736</t>
  </si>
  <si>
    <t>6-738</t>
  </si>
  <si>
    <t>6-739-s misad</t>
  </si>
  <si>
    <t>6-230</t>
  </si>
  <si>
    <t>2.6 - 165</t>
  </si>
  <si>
    <t>2.6 - 166</t>
  </si>
  <si>
    <t>2.6 - 167</t>
  </si>
  <si>
    <t>1.1-3</t>
  </si>
  <si>
    <t>5-21</t>
  </si>
  <si>
    <t>2.6-92</t>
  </si>
  <si>
    <t>2.6-96</t>
  </si>
  <si>
    <t>1.1 - 45</t>
  </si>
  <si>
    <t>4.2 -106</t>
  </si>
  <si>
    <t>4.1 - 458</t>
  </si>
  <si>
    <r>
      <t>saqvabes eleqtromomaragebisaTvisN</t>
    </r>
    <r>
      <rPr>
        <b/>
        <sz val="10"/>
        <rFont val="Sylfaen"/>
        <family val="1"/>
      </rPr>
      <t>NAYY 5</t>
    </r>
    <r>
      <rPr>
        <b/>
        <sz val="10"/>
        <rFont val="LitNusx"/>
        <family val="0"/>
      </rPr>
      <t xml:space="preserve">X6 kv.mm ganikveTis aluminis eleqtro kabelis gayvana arxSi da milSi </t>
    </r>
  </si>
  <si>
    <t>8.14-302-misad.</t>
  </si>
  <si>
    <t>8.14-96</t>
  </si>
  <si>
    <t>8.3-70</t>
  </si>
  <si>
    <t>8.3-71</t>
  </si>
  <si>
    <t>5.1-128</t>
  </si>
  <si>
    <t>5.-2</t>
  </si>
  <si>
    <t>2.1-77</t>
  </si>
  <si>
    <t>Tboqselis saqvabes milsadenis izolaciis mowyoba folgiani saizolacio RrubeliT</t>
  </si>
  <si>
    <t>folgiani saizolacio Rrubeli</t>
  </si>
  <si>
    <t>6-226</t>
  </si>
  <si>
    <t>6-227</t>
  </si>
  <si>
    <t>6-225</t>
  </si>
  <si>
    <t>6-327</t>
  </si>
  <si>
    <t>ukusarqveli d-25 mm</t>
  </si>
  <si>
    <t>6 - 273</t>
  </si>
  <si>
    <t>6 - 272</t>
  </si>
  <si>
    <t>7-613-misad</t>
  </si>
  <si>
    <t>7 - 603</t>
  </si>
  <si>
    <t>7 - 224 da 225 mis</t>
  </si>
  <si>
    <t>7 - 160 da 161 -mis</t>
  </si>
  <si>
    <t>6-158</t>
  </si>
  <si>
    <t>7 - 469-misad</t>
  </si>
  <si>
    <t>7-420</t>
  </si>
  <si>
    <t>6-848 misad</t>
  </si>
  <si>
    <t>6-854 misad</t>
  </si>
  <si>
    <t>6-855-s misad</t>
  </si>
  <si>
    <t>4.1 - 459</t>
  </si>
  <si>
    <t>saqsovi mavrTuli</t>
  </si>
  <si>
    <t>1.1-45</t>
  </si>
  <si>
    <t>4.1-334</t>
  </si>
  <si>
    <t>.5-23</t>
  </si>
  <si>
    <t>5-2</t>
  </si>
  <si>
    <t>4.1-364</t>
  </si>
  <si>
    <t>mosapirkeTebeli duRabi</t>
  </si>
  <si>
    <t xml:space="preserve">qviSa-cementis xsnari </t>
  </si>
  <si>
    <t>4.1 - 28</t>
  </si>
  <si>
    <t>moTuTiebuli Tunuqi (9.8/3.9)*1000</t>
  </si>
  <si>
    <t>1.6-12-misad</t>
  </si>
  <si>
    <t>4.1-405</t>
  </si>
  <si>
    <t>1.9 - 99-s misadag.</t>
  </si>
  <si>
    <t>4.1-252</t>
  </si>
  <si>
    <t>wyalemulsiuri saRebavi fasadis</t>
  </si>
  <si>
    <t>4.1-44</t>
  </si>
  <si>
    <t>4.2 -66</t>
  </si>
  <si>
    <t>4.3 -1</t>
  </si>
  <si>
    <r>
      <t xml:space="preserve">betoni </t>
    </r>
    <r>
      <rPr>
        <b/>
        <sz val="10"/>
        <rFont val="LitNusx"/>
        <family val="0"/>
      </rPr>
      <t>B</t>
    </r>
    <r>
      <rPr>
        <sz val="10"/>
        <rFont val="Academiuri Nuskhuri"/>
        <family val="0"/>
      </rPr>
      <t>B-20</t>
    </r>
  </si>
  <si>
    <r>
      <t>12 portiani gamanawilebeli xabis (</t>
    </r>
    <r>
      <rPr>
        <b/>
        <sz val="10"/>
        <rFont val="Geo_Lit"/>
        <family val="2"/>
      </rPr>
      <t>Switch</t>
    </r>
    <r>
      <rPr>
        <b/>
        <sz val="10"/>
        <rFont val="LitNusx"/>
        <family val="0"/>
      </rPr>
      <t>) montaJi</t>
    </r>
  </si>
  <si>
    <r>
      <t>24 portiani gamanawilebeli xabis (</t>
    </r>
    <r>
      <rPr>
        <b/>
        <sz val="10"/>
        <rFont val="Geo_Lit"/>
        <family val="2"/>
      </rPr>
      <t>Switch</t>
    </r>
    <r>
      <rPr>
        <b/>
        <sz val="10"/>
        <rFont val="LitNusx"/>
        <family val="0"/>
      </rPr>
      <t>) montaJi</t>
    </r>
  </si>
  <si>
    <r>
      <t xml:space="preserve">saxanZro signalizaciis da sirenis 2*2*0.8 </t>
    </r>
    <r>
      <rPr>
        <b/>
        <sz val="10"/>
        <rFont val="Sylfaen"/>
        <family val="1"/>
      </rPr>
      <t xml:space="preserve">JH (st) H FE 180  FE 180 </t>
    </r>
    <r>
      <rPr>
        <b/>
        <sz val="10"/>
        <rFont val="LitNusx"/>
        <family val="0"/>
      </rPr>
      <t>kabelebis gayvana</t>
    </r>
  </si>
  <si>
    <r>
      <t>saxanZro signalizaciis da sirenis kabeli   2×2×0,8 mm</t>
    </r>
    <r>
      <rPr>
        <vertAlign val="superscript"/>
        <sz val="10"/>
        <rFont val="LitNusx"/>
        <family val="0"/>
      </rPr>
      <t>2</t>
    </r>
    <r>
      <rPr>
        <sz val="10"/>
        <rFont val="LitNusx"/>
        <family val="0"/>
      </rPr>
      <t xml:space="preserve">² </t>
    </r>
    <r>
      <rPr>
        <sz val="10"/>
        <rFont val="Sylfaen"/>
        <family val="1"/>
      </rPr>
      <t xml:space="preserve">JH(st) H FE 180 FE </t>
    </r>
    <r>
      <rPr>
        <sz val="10"/>
        <rFont val="LitNusx"/>
        <family val="0"/>
      </rPr>
      <t>180  FE</t>
    </r>
  </si>
  <si>
    <r>
      <t>H</t>
    </r>
    <r>
      <rPr>
        <b/>
        <sz val="10"/>
        <rFont val="Sylfaen"/>
        <family val="1"/>
      </rPr>
      <t>H</t>
    </r>
    <r>
      <rPr>
        <b/>
        <sz val="10"/>
        <rFont val="LitNusx"/>
        <family val="0"/>
      </rPr>
      <t>2X</t>
    </r>
    <r>
      <rPr>
        <b/>
        <sz val="10"/>
        <rFont val="Sylfaen"/>
        <family val="1"/>
      </rPr>
      <t>H-2</t>
    </r>
    <r>
      <rPr>
        <b/>
        <sz val="10"/>
        <rFont val="LitNusx"/>
        <family val="0"/>
      </rPr>
      <t>*1,5 kv.mm ganikveTis spilenZis eleqtro sadenis gayvana daxuruli el.gayvanilobisTvis</t>
    </r>
  </si>
  <si>
    <r>
      <t>H</t>
    </r>
    <r>
      <rPr>
        <sz val="10"/>
        <rFont val="Sylfaen"/>
        <family val="1"/>
      </rPr>
      <t>H</t>
    </r>
    <r>
      <rPr>
        <sz val="10"/>
        <rFont val="LitNusx"/>
        <family val="0"/>
      </rPr>
      <t>2X</t>
    </r>
    <r>
      <rPr>
        <sz val="10"/>
        <rFont val="Sylfaen"/>
        <family val="1"/>
      </rPr>
      <t>H</t>
    </r>
    <r>
      <rPr>
        <sz val="10"/>
        <rFont val="LitNusx"/>
        <family val="0"/>
      </rPr>
      <t>-2*1,5 kv.mm ganikveTis spilenZis eleqtro sadeni</t>
    </r>
  </si>
  <si>
    <r>
      <t>H</t>
    </r>
    <r>
      <rPr>
        <b/>
        <sz val="10"/>
        <rFont val="Sylfaen"/>
        <family val="1"/>
      </rPr>
      <t>H</t>
    </r>
    <r>
      <rPr>
        <b/>
        <sz val="10"/>
        <rFont val="LitNusx"/>
        <family val="0"/>
      </rPr>
      <t>2X</t>
    </r>
    <r>
      <rPr>
        <b/>
        <sz val="10"/>
        <rFont val="Sylfaen"/>
        <family val="1"/>
      </rPr>
      <t>H-</t>
    </r>
    <r>
      <rPr>
        <b/>
        <sz val="10"/>
        <rFont val="LitNusx"/>
        <family val="0"/>
      </rPr>
      <t>3*4 kv.mm ganikveTis spilenZis eleqtro sadenebis gayvana daxuruli el.gayvanilobisTvis</t>
    </r>
  </si>
  <si>
    <r>
      <t>H</t>
    </r>
    <r>
      <rPr>
        <sz val="10"/>
        <rFont val="Sylfaen"/>
        <family val="1"/>
      </rPr>
      <t>H</t>
    </r>
    <r>
      <rPr>
        <sz val="10"/>
        <rFont val="LitNusx"/>
        <family val="0"/>
      </rPr>
      <t>2X</t>
    </r>
    <r>
      <rPr>
        <sz val="10"/>
        <rFont val="Sylfaen"/>
        <family val="1"/>
      </rPr>
      <t>H</t>
    </r>
    <r>
      <rPr>
        <sz val="10"/>
        <rFont val="LitNusx"/>
        <family val="0"/>
      </rPr>
      <t>-3*4 kv.mm ganikveTis spilenZis eleqtro sadeni</t>
    </r>
  </si>
  <si>
    <r>
      <t>H</t>
    </r>
    <r>
      <rPr>
        <b/>
        <sz val="10"/>
        <rFont val="Sylfaen"/>
        <family val="1"/>
      </rPr>
      <t>H</t>
    </r>
    <r>
      <rPr>
        <b/>
        <sz val="10"/>
        <rFont val="LitNusx"/>
        <family val="0"/>
      </rPr>
      <t>2X</t>
    </r>
    <r>
      <rPr>
        <b/>
        <sz val="10"/>
        <rFont val="Sylfaen"/>
        <family val="1"/>
      </rPr>
      <t>H-5</t>
    </r>
    <r>
      <rPr>
        <b/>
        <sz val="10"/>
        <rFont val="LitNusx"/>
        <family val="0"/>
      </rPr>
      <t>*6 kv.mm ganikveTis spilenZis eleqtro sadenebis gayvana daxuruli el.gayvanilobisTvis</t>
    </r>
  </si>
  <si>
    <r>
      <t>H</t>
    </r>
    <r>
      <rPr>
        <sz val="10"/>
        <rFont val="Sylfaen"/>
        <family val="1"/>
      </rPr>
      <t>H</t>
    </r>
    <r>
      <rPr>
        <sz val="10"/>
        <rFont val="LitNusx"/>
        <family val="0"/>
      </rPr>
      <t>2X</t>
    </r>
    <r>
      <rPr>
        <sz val="10"/>
        <rFont val="Sylfaen"/>
        <family val="1"/>
      </rPr>
      <t>H</t>
    </r>
    <r>
      <rPr>
        <sz val="10"/>
        <rFont val="LitNusx"/>
        <family val="0"/>
      </rPr>
      <t>-5*4 kv.mm ganikveTis spilenZis eleqtro sadeni</t>
    </r>
  </si>
  <si>
    <r>
      <t>H</t>
    </r>
    <r>
      <rPr>
        <b/>
        <sz val="10"/>
        <rFont val="Sylfaen"/>
        <family val="1"/>
      </rPr>
      <t>H</t>
    </r>
    <r>
      <rPr>
        <b/>
        <sz val="10"/>
        <rFont val="LitNusx"/>
        <family val="0"/>
      </rPr>
      <t>2X</t>
    </r>
    <r>
      <rPr>
        <b/>
        <sz val="10"/>
        <rFont val="Sylfaen"/>
        <family val="1"/>
      </rPr>
      <t>H-1</t>
    </r>
    <r>
      <rPr>
        <b/>
        <sz val="10"/>
        <rFont val="LitNusx"/>
        <family val="0"/>
      </rPr>
      <t>*16 kv.mm ganikveTis spilenZis eleqtro sadenebis SeerTeba damiwebis konturTan</t>
    </r>
  </si>
  <si>
    <r>
      <t>H</t>
    </r>
    <r>
      <rPr>
        <sz val="10"/>
        <rFont val="Sylfaen"/>
        <family val="1"/>
      </rPr>
      <t>H</t>
    </r>
    <r>
      <rPr>
        <sz val="10"/>
        <rFont val="LitNusx"/>
        <family val="0"/>
      </rPr>
      <t>2X</t>
    </r>
    <r>
      <rPr>
        <sz val="10"/>
        <rFont val="Sylfaen"/>
        <family val="1"/>
      </rPr>
      <t>H</t>
    </r>
    <r>
      <rPr>
        <sz val="10"/>
        <rFont val="LitNusx"/>
        <family val="0"/>
      </rPr>
      <t>-1*16 kv.mm ganikveTis spilenZis eleqtro sadeni bunikebiT</t>
    </r>
  </si>
  <si>
    <r>
      <t xml:space="preserve">saZirkvlebis qveS betonis momzadebis mowyoba </t>
    </r>
    <r>
      <rPr>
        <b/>
        <sz val="10"/>
        <rFont val="Academiuri Nuskhuri"/>
        <family val="0"/>
      </rPr>
      <t>B</t>
    </r>
    <r>
      <rPr>
        <b/>
        <sz val="10"/>
        <rFont val="LitNusx"/>
        <family val="0"/>
      </rPr>
      <t>-10 klasis betoniT</t>
    </r>
  </si>
  <si>
    <r>
      <t xml:space="preserve">betoni </t>
    </r>
    <r>
      <rPr>
        <sz val="10"/>
        <rFont val="Academiuri Nuskhuri"/>
        <family val="0"/>
      </rPr>
      <t>B-10</t>
    </r>
  </si>
  <si>
    <r>
      <t xml:space="preserve">monoliTuri rk.betonis wertilovani saZirkvlis mowyoba </t>
    </r>
    <r>
      <rPr>
        <b/>
        <sz val="10"/>
        <rFont val="Academiuri Nuskhuri"/>
        <family val="0"/>
      </rPr>
      <t>B</t>
    </r>
    <r>
      <rPr>
        <b/>
        <sz val="10"/>
        <rFont val="LitNusx"/>
        <family val="0"/>
      </rPr>
      <t xml:space="preserve">-25 klasis betoniT </t>
    </r>
  </si>
  <si>
    <r>
      <t xml:space="preserve">betoni </t>
    </r>
    <r>
      <rPr>
        <sz val="10"/>
        <rFont val="Academiuri Nuskhuri"/>
        <family val="0"/>
      </rPr>
      <t>B</t>
    </r>
    <r>
      <rPr>
        <sz val="10"/>
        <rFont val="LitNusx"/>
        <family val="0"/>
      </rPr>
      <t>-25</t>
    </r>
  </si>
  <si>
    <r>
      <t xml:space="preserve">monoliTuri rk.betonis saZirkvlis (rand) koWis da zeZirkvelis mowyoba </t>
    </r>
    <r>
      <rPr>
        <b/>
        <sz val="10"/>
        <rFont val="Academiuri Nuskhuri"/>
        <family val="0"/>
      </rPr>
      <t>B</t>
    </r>
    <r>
      <rPr>
        <b/>
        <sz val="10"/>
        <rFont val="LitNusx"/>
        <family val="0"/>
      </rPr>
      <t xml:space="preserve">-25 klasis betoniT </t>
    </r>
  </si>
  <si>
    <r>
      <t xml:space="preserve">datkepnil safuZvelze armirebuli betonis iatakis momzadebis mowyoba </t>
    </r>
    <r>
      <rPr>
        <b/>
        <sz val="10"/>
        <rFont val="Academiuri Nuskhuri"/>
        <family val="0"/>
      </rPr>
      <t>B</t>
    </r>
    <r>
      <rPr>
        <b/>
        <sz val="10"/>
        <rFont val="LitNusx"/>
        <family val="0"/>
      </rPr>
      <t xml:space="preserve">-25 klasis betoniT </t>
    </r>
  </si>
  <si>
    <r>
      <t xml:space="preserve">monoliTuri rk.betonis svetebis  mowyoba </t>
    </r>
    <r>
      <rPr>
        <b/>
        <sz val="10"/>
        <rFont val="Academiuri Nuskhuri"/>
        <family val="0"/>
      </rPr>
      <t>B</t>
    </r>
    <r>
      <rPr>
        <b/>
        <sz val="10"/>
        <rFont val="LitNusx"/>
        <family val="0"/>
      </rPr>
      <t xml:space="preserve">-25 klasis betoniT </t>
    </r>
  </si>
  <si>
    <r>
      <t xml:space="preserve">monoliTuri rk.betonis diafragmebis (parapetis CaTvliT) mowyoba </t>
    </r>
    <r>
      <rPr>
        <b/>
        <sz val="10"/>
        <rFont val="Academiuri Nuskhuri"/>
        <family val="0"/>
      </rPr>
      <t>B</t>
    </r>
    <r>
      <rPr>
        <b/>
        <sz val="10"/>
        <rFont val="LitNusx"/>
        <family val="0"/>
      </rPr>
      <t xml:space="preserve">-25 klasis betoniT </t>
    </r>
  </si>
  <si>
    <r>
      <t xml:space="preserve">monoliTuri rk.betonis rigelis da koWebis mowyoba </t>
    </r>
    <r>
      <rPr>
        <b/>
        <sz val="10"/>
        <rFont val="Academiuri Nuskhuri"/>
        <family val="0"/>
      </rPr>
      <t>B</t>
    </r>
    <r>
      <rPr>
        <b/>
        <sz val="10"/>
        <rFont val="LitNusx"/>
        <family val="0"/>
      </rPr>
      <t xml:space="preserve">-25 klasis betoniT </t>
    </r>
  </si>
  <si>
    <r>
      <t xml:space="preserve">monoliTuri rk.betonis gadaxurvis filis mowyoba </t>
    </r>
    <r>
      <rPr>
        <b/>
        <sz val="10"/>
        <rFont val="Academiuri Nuskhuri"/>
        <family val="0"/>
      </rPr>
      <t>B</t>
    </r>
    <r>
      <rPr>
        <b/>
        <sz val="10"/>
        <rFont val="LitNusx"/>
        <family val="0"/>
      </rPr>
      <t xml:space="preserve">-25 klasis betoniT </t>
    </r>
  </si>
  <si>
    <r>
      <t>monoliTuri rk.betonis kibis mowyoba B</t>
    </r>
    <r>
      <rPr>
        <b/>
        <sz val="10"/>
        <rFont val="Calibri"/>
        <family val="2"/>
      </rPr>
      <t>B-</t>
    </r>
    <r>
      <rPr>
        <b/>
        <sz val="10"/>
        <rFont val="LitNusx"/>
        <family val="0"/>
      </rPr>
      <t>25 klasis betoniT</t>
    </r>
  </si>
  <si>
    <r>
      <t>fasadis garkveuli nawilebis aguriT mopirkeTebis mizniT randkoWTan da gadaxurvis filebTan armaturis karkasis dakavSireba da mopirkeTebis momentSi kvanZebis dabetoneba B</t>
    </r>
    <r>
      <rPr>
        <b/>
        <sz val="10"/>
        <rFont val="Calibri"/>
        <family val="2"/>
      </rPr>
      <t>B-</t>
    </r>
    <r>
      <rPr>
        <b/>
        <sz val="10"/>
        <rFont val="LitNusx"/>
        <family val="0"/>
      </rPr>
      <t>25 klasis betoniT</t>
    </r>
  </si>
  <si>
    <r>
      <t xml:space="preserve"> ficari iatakis lariqsis Sipebiani </t>
    </r>
    <r>
      <rPr>
        <sz val="10"/>
        <rFont val="Calibri"/>
        <family val="2"/>
      </rPr>
      <t xml:space="preserve"> δ</t>
    </r>
    <r>
      <rPr>
        <sz val="10"/>
        <rFont val="LitNusx"/>
        <family val="0"/>
      </rPr>
      <t>=50 mm</t>
    </r>
  </si>
  <si>
    <r>
      <t xml:space="preserve"> ficari iatakis lariqsis Sipebiani </t>
    </r>
    <r>
      <rPr>
        <sz val="10"/>
        <rFont val="Calibri"/>
        <family val="2"/>
      </rPr>
      <t xml:space="preserve"> δ</t>
    </r>
    <r>
      <rPr>
        <sz val="10"/>
        <rFont val="LitNusx"/>
        <family val="0"/>
      </rPr>
      <t>=37 mm</t>
    </r>
  </si>
  <si>
    <r>
      <t xml:space="preserve">monoliTuri rk.betonis zRudarebis mowyoba </t>
    </r>
    <r>
      <rPr>
        <b/>
        <sz val="10"/>
        <rFont val="Calibri"/>
        <family val="2"/>
      </rPr>
      <t>B</t>
    </r>
    <r>
      <rPr>
        <b/>
        <sz val="10"/>
        <rFont val="LitNusx"/>
        <family val="0"/>
      </rPr>
      <t>-20 klasis betoniT</t>
    </r>
  </si>
  <si>
    <r>
      <t xml:space="preserve">betoni </t>
    </r>
    <r>
      <rPr>
        <sz val="10"/>
        <rFont val="Calibri"/>
        <family val="2"/>
      </rPr>
      <t>B</t>
    </r>
    <r>
      <rPr>
        <sz val="10"/>
        <rFont val="LitNusx"/>
        <family val="0"/>
      </rPr>
      <t>-20</t>
    </r>
  </si>
  <si>
    <r>
      <t xml:space="preserve">monoliTuri betonis kibeebis da  pandusebis (saZirkvlebi, kedlebi da fila)  mowyoba </t>
    </r>
    <r>
      <rPr>
        <b/>
        <sz val="10"/>
        <rFont val="Academiuri Nuskhuri"/>
        <family val="0"/>
      </rPr>
      <t>B</t>
    </r>
    <r>
      <rPr>
        <b/>
        <sz val="10"/>
        <rFont val="LitNusx"/>
        <family val="0"/>
      </rPr>
      <t>-20 klasis betoniT</t>
    </r>
  </si>
  <si>
    <r>
      <t xml:space="preserve">betoni </t>
    </r>
    <r>
      <rPr>
        <sz val="10"/>
        <rFont val="Calibri"/>
        <family val="2"/>
      </rPr>
      <t>B</t>
    </r>
    <r>
      <rPr>
        <sz val="10"/>
        <rFont val="LitNusx"/>
        <family val="0"/>
      </rPr>
      <t>-20 (3,06+0,51*14)</t>
    </r>
  </si>
  <si>
    <t>lokalur-resursuli xarjTaRricxva #8</t>
  </si>
  <si>
    <t>qobuleTis municipalitetis sofel xucubanSi sajaro skolis Zveli korpusebis demontaJi da axali skolis Senobis mSenebloba</t>
  </si>
  <si>
    <t>sul xarjTaRricxviT: (maqsimaluri Rirebuleba 60 000 lari)</t>
  </si>
  <si>
    <t>sul xarjTaRricxviT: (maqsimaluri Rirebuleba 
11 000 lari)</t>
  </si>
  <si>
    <t>sul xarjTaRricxviT: (Tavi I+Tavi II) (maqsimaluri Rirebuleba 35 000 lari)</t>
  </si>
  <si>
    <t>sul xarjTaRricxviT: (I+II): samSeneblo da eleqtrosamontaJo samuSaoebi (maqsimaluri Rirebuleba 2 000 lari)</t>
  </si>
  <si>
    <t>sul xarjTaRricxviT: (maqsimaluri Rirebuleba 
1000 lari)</t>
  </si>
  <si>
    <t>sul xarjTaRricxviT: (maqsimaluri Rirebuleba 
3 500 lari)</t>
  </si>
  <si>
    <t>sul xarjTaRricxviT: (maqsimaluri Rirebuleba 
5 000 lari)</t>
  </si>
  <si>
    <t>sul xarjTaRricxviT: (I+II): samSeneblo da eleqtrosamontaJo samuSaoebi (maqsimaluri Rirebuleba 7 000 lari)</t>
  </si>
  <si>
    <t>sul xarjTaRricxviT: (maqsimaluri Rirebuleba 250 000 lari)</t>
  </si>
  <si>
    <t>miSenebisa da Robis mowyobis arealSi moxvedrili, xemcenareebis, buCqnarisa da ekal-bardebis moWra-gakafva da fesvebis amoZirkva 
(maqsimaluri Rirebuleba 
500 lari)</t>
  </si>
  <si>
    <t>სამშენებლო ნაგავის ავტოთვითმცლელზე დატვირთვა 1,0 კუბ.მ ჩამჩის ტევადობის ექსკავატორით 
(მაქსიმალური ღირებულება
 4 000 ლარი)</t>
  </si>
  <si>
    <t>სამშენებლო ნაგავის  გატანა 5.0  კმ-მდე მანძილზე 
 (მაქსიმალური ღირებულება 12 000 ლარი)</t>
  </si>
  <si>
    <t>ტერიტორიის კეთილმოწყობისათვის გრუნტისა და სხვადასხვა ამორტიზირებული ფენილების მოხსნა,  გრუნტის გადაადგილება, ტერიტორიის მოშანდაკება და დატკეპნა მექანიზირებული წესით, ახალი მასალის დამატების გარეშე    
(მაქსიმალური ღირებულება 
3 000 ლარი)</t>
  </si>
  <si>
    <t>saqarTvelos enegetikisa da wyalmomaragebis maregurirebeli erovnuli komisiis 2008 wlis 18 seqtembris #20 dadgenilebisa da 2017 wlis 19 aprilis #6 dadgenilebis  cvlilebis safuZvelze 35 kv.t simZlavris mixedviT (ფიქსირებული თანხა)</t>
  </si>
  <si>
    <t>bunebrivi gazis gamanawilebel  qselze axali momxmareblis mierTebis safasuri . 2014 wlis 31 oqtombris #43/3  gadawyvetileba (ფიქსირებული თანხა)</t>
  </si>
  <si>
    <t>jami (konstruqciuli nawili) (მაქსიმალური ღირებულება 
700 000 ლარი)</t>
  </si>
  <si>
    <r>
      <t xml:space="preserve">brtyeli galvanizirebuli feradi furclebi sisqiT aranakleb 0,5 mm.  </t>
    </r>
    <r>
      <rPr>
        <sz val="9"/>
        <rFont val="LitNusx"/>
        <family val="0"/>
      </rPr>
      <t>(</t>
    </r>
    <r>
      <rPr>
        <sz val="9"/>
        <rFont val="Impact"/>
        <family val="2"/>
      </rPr>
      <t>±</t>
    </r>
    <r>
      <rPr>
        <sz val="9"/>
        <rFont val="LitNusx"/>
        <family val="0"/>
      </rPr>
      <t>0,02მმ)</t>
    </r>
  </si>
  <si>
    <r>
      <t xml:space="preserve">liTonis profilirebuli galvanizirebuli feradi furclebi sisqiT aranakleb 0,5 mm.  </t>
    </r>
    <r>
      <rPr>
        <sz val="9"/>
        <rFont val="LitNusx"/>
        <family val="0"/>
      </rPr>
      <t>(</t>
    </r>
    <r>
      <rPr>
        <sz val="9"/>
        <rFont val="Goudy Old Style"/>
        <family val="1"/>
      </rPr>
      <t>±</t>
    </r>
    <r>
      <rPr>
        <sz val="9"/>
        <rFont val="LitNusx"/>
        <family val="0"/>
      </rPr>
      <t>0,02მმ)</t>
    </r>
  </si>
  <si>
    <t>jami (saxuravi) 
(maqsimaluri Rirebuleba
 110 000 lari)</t>
  </si>
  <si>
    <t xml:space="preserve"> minapaketiT Seminuli metaloplastmasis fanjris Casma Cveulebrivi gaRebiT</t>
  </si>
  <si>
    <t xml:space="preserve"> მდფ (შიდა) მაღალხარისხოვანი კარის ბლოკების მოწყობა აქსესუარებით და თავისი თამასებით კარის ირგვლივ და კედლის წიბოების სრული დაფარვით. კარი უნდა იყოს მაქსიმალურად გამძლე მექანიკური დაზიანების მიმართ. ფერი შეთანხმდეს შემსყიდველთან. კარებთან იატაკზე უნდა დამონტაჟდეს ბოლომდე გაღების დამცავი ბარიერი</t>
  </si>
  <si>
    <t>fanjrebze liTonis gisosebis montaJi (nawilobrivi gaRebiT usafrTxoebis moTxonebis gaTvaliswinebiT)</t>
  </si>
  <si>
    <r>
      <t xml:space="preserve"> xis fanjrisqveSa rafis damuSaveba da SeRebva zeTovani saRebaviT. </t>
    </r>
    <r>
      <rPr>
        <b/>
        <sz val="9"/>
        <rFont val="LitNusx"/>
        <family val="0"/>
      </rPr>
      <t>ფერი შეთანხმდეს შემსყიდველთან.</t>
    </r>
    <r>
      <rPr>
        <b/>
        <sz val="10"/>
        <rFont val="LitNusx"/>
        <family val="0"/>
      </rPr>
      <t xml:space="preserve"> </t>
    </r>
  </si>
  <si>
    <t>jami (kar-fanjrebi)
 (maqsimaluri Rirebuleba 
130 000 lari)</t>
  </si>
  <si>
    <t>იატაკზე 2.5 მმ სისქის მრავალშრიანი ეკოლოგიურად სუფთა, ანტისტატიკური, ანტიბაქტერიული ვინილის ფენილის მოწყობა ცვეთამედეგი შრით 0,7 მმ, ზედაპირი დაცული ლაქებიდან (კლასი 34/43). ცეცხლმედეგობა EN 13501-1 სტანდარტის შესაბამისად Bfl-s1. ფერი შეთანხმდეს შემსყიდველთან.</t>
  </si>
  <si>
    <t>იატაკზე მაღალი ცვეთამედეგობის (AC5) არანაკლებ 12 მმ. სისქის ლამინირებული პარკეტის დაგება პარალონის ქვესაგების საფუძველზე, პლინტუსების მოწყობით. კლასი არანაკლებ 32, ეკოლოგიურად სუფთა E1 სერტიფიკატი. ფერი შეთანხმდეს შემსყიდველთან.</t>
  </si>
  <si>
    <t>2.5 mm sisqis vinilis da saaqto darbazis iatakebisaTvis maRali xarisxis da meqanikuri dazianebisagan gamZle 80 mm simaRlis mdf-s plinTusebis mowyoba</t>
  </si>
  <si>
    <t>80 mm simaRlis mdf-s plintusi</t>
  </si>
  <si>
    <t>იატაკის მოპირკეთება მეტლახის ფილებით (ხაოიანი ზედაპირით, სველ შემთხვევაში არადაცურებადი) სპეც. წებო-ცემენტით გრანიტის ფილებისათვის. დაგებული იატაკის ზედაპირი უნდა იყოს მაქსიმალურად თანაბრად გასწორებული. ფერი შეთანხმდეს შემსყიდველთან.</t>
  </si>
  <si>
    <t>iatakze xaoiani (სველ შემთხვევაში არადაცურებადი) teqnogranitis filebis dageba webo-cementze. ეკოლოგიურად სუფთა, რომლის გამოყენებაც შესაძლებელია ბავშვთა განთავსების ადგილას, შესაბამისი სერტიფიკატის წარმოდგენით. დაგებული იატაკის ზედაპირი უნდა იყოს მაქსიმალურად თანაბრად გასწორებული. ფერი შეთანხმდეს შემსყიდველთან.</t>
  </si>
  <si>
    <t>kibis safexurebze xaoiani teqnogranitis filebis dageba webo-cementze. ეკოლოგიურად სუფთა, რომლის გამოყენებაც შესაძლებელია ბავშვთა განთავსების ადგილას, შესაბამისი სერტიფიკატის წარმოდგენით. დაგებული იატაკის ზედაპირი უნდა იყოს მაქსიმალურად თანაბრად გასწორებული. ფერი შეთანხმდეს შემსყიდველთან.</t>
  </si>
  <si>
    <t xml:space="preserve"> xis iatakebis da plintusebis damuSaveba da SeRebva zeTovani saRebaviT. იატაკი უნდა გაიღებოს ორ ფერში, დახაზვის შესაბამისად. ფერები შეთანხმდეს შემსყიდველთან.</t>
  </si>
  <si>
    <t>jami (iatakebi da Siga kibeebi)  (maqsimaluri Rirebuleba 
220 000 lari)</t>
  </si>
  <si>
    <t>jami (Sekiduli Werebi da karnizebi)  (maqsimaluri Rirebuleba 
70 000 lari)</t>
  </si>
  <si>
    <t xml:space="preserve">Siga zedapirebis Selesva, sveli wertilebis kedlebis kafeliT mopirkeTeba, zedapirebis SeRebva </t>
  </si>
  <si>
    <r>
      <t xml:space="preserve">svel wertilebSi mTels simaRleze, laboratoriis xelsabanebTan fragmentulad kedelze kafelis filebis akvra. </t>
    </r>
    <r>
      <rPr>
        <b/>
        <sz val="9"/>
        <rFont val="LitNusx"/>
        <family val="0"/>
      </rPr>
      <t>ზედაპირი უნდა იყოს მაქსიმალურად თანაბრად გასწორებული. ფერი შეთანხმდეს შემსყიდველთან.</t>
    </r>
  </si>
  <si>
    <r>
      <t xml:space="preserve"> TabaSir-muyaos da betonis Werebis  SefiTxvna da SeRebva Siga dafarvis wyaldispersiuri saRebaviT orjer, </t>
    </r>
    <r>
      <rPr>
        <b/>
        <sz val="9"/>
        <rFont val="LitNusx"/>
        <family val="0"/>
      </rPr>
      <t xml:space="preserve">რომლის ტექნიკურ ინფორმაციაში გამოყენების სფეროში მითითებული უნდა იყოს სკოლები ან/და საბავშვო დაწესებულებები. </t>
    </r>
  </si>
  <si>
    <r>
      <t xml:space="preserve">Siga kedlebis da kar-fanjrebis ferdoebis SefiTxvna da SeRebva Siga dafarvis wyalemulsiis saRebaviT orjer, </t>
    </r>
    <r>
      <rPr>
        <b/>
        <sz val="9"/>
        <rFont val="LitNusx"/>
        <family val="0"/>
      </rPr>
      <t>რომლის ტექნიკურ ინფორმაციაში გამოყენების სფეროში მითითებული უნდა იყოს სკოლები ან/და საბავშვო დაწესებულებები. შეღებილი კედელი უნდა იყოს სველი დასუფთავების (გარეცხვის) მიმართ გამძლე. ფერი შეთანხმდეს შემსყიდველთან</t>
    </r>
  </si>
  <si>
    <t>jami (Siga farTebis Selesva, SeRebva) (მაქსიმალური ღირებულება 180 000 ლარი)</t>
  </si>
  <si>
    <t xml:space="preserve">gaburRuli xvrelebis gasufTaveba mtverisagan da d-18 mm liTonis ankeris (sigrZiT 25 sm) Caankereba orkomponentiani qimiuri duRabiT  </t>
  </si>
  <si>
    <t xml:space="preserve">qimiuri saankere orkomponentiani duRabi </t>
  </si>
  <si>
    <t>jami (gare kibeebi, pandusi da winafrebi) (მაქსიმალური ღირებულება 30 000 ლარი)</t>
  </si>
  <si>
    <t>jami (fasadis mopirkeTeba) (მაქსიმალური ღირებულება 
100 000 ლარი)</t>
  </si>
  <si>
    <t>frenburTis badis mowyoba kedelSi ankerebis mowyobiT + 2 frenburTis profesionaluri burTi</t>
  </si>
  <si>
    <t>sportdarbazSi transformirebadi kalaTburTis faris (qarxnuli, profesionaluri) dayeneba, + 2 kalaTburTis da 2 fexburTis profesionaluri burTebi</t>
  </si>
  <si>
    <t>sul xarjTaRricxviT: 
(maqsimaluri Rirebuleba 
30 000 lari)</t>
  </si>
  <si>
    <t xml:space="preserve"> 1/2" ventilis dayeneba</t>
  </si>
  <si>
    <t xml:space="preserve"> 1/2" ventili</t>
  </si>
  <si>
    <t xml:space="preserve">საშხაპის მოწყობა, სპეციალური, არამსხვრევადი, გაუმჭვირვალე კარის მოწობით და კართან იატაკზე მცირე ამოშენებით, წყლის შესაკავებლად </t>
  </si>
  <si>
    <t>კარები და საჭირო აქსესუარები</t>
  </si>
  <si>
    <t>sul xarjTaRricxviT: (მაქსიმალური ღირებულება 
40 000 ლარი)</t>
  </si>
  <si>
    <r>
      <t xml:space="preserve"> 1*36 vt. simZlavris Suqdioduri universaluri panelis (</t>
    </r>
    <r>
      <rPr>
        <b/>
        <sz val="10"/>
        <rFont val="Impact"/>
        <family val="2"/>
      </rPr>
      <t xml:space="preserve"> </t>
    </r>
    <r>
      <rPr>
        <b/>
        <sz val="10"/>
        <rFont val="LitNusx"/>
        <family val="0"/>
      </rPr>
      <t xml:space="preserve">dacvis klasi aranakleb ip20-sa) da naTuris dayeneba </t>
    </r>
  </si>
  <si>
    <t>შენიშვნა: შეკიდულ ჭერში ნათურები უნდა დამონტაჟდეს ჭერში ჩასმით და არა გარედან, ზედაპირზე მიმაგრებით</t>
  </si>
  <si>
    <t xml:space="preserve"> 1*15 vt. simZlavris kedlis/Weris Suqdoduri led sanaTis (dacvis klasi aranakleb ip20) da naTuris dayeneba </t>
  </si>
  <si>
    <t xml:space="preserve">  saxanZro signalizaciis marTvis panelis  dayeneba </t>
  </si>
  <si>
    <t>samisamarTo xelis Rilakiani deteqtoris  dayeneba</t>
  </si>
  <si>
    <t xml:space="preserve"> SSm pirTaTvis samgzavro lifti (tvirTamweoba _ 300 kg, asvlis siCqare _0,5 m/wm, gaCerebebis raodenoba _ 3) transportirebiT</t>
  </si>
  <si>
    <t>შენიშვნა: ლიფტის მიღება მოხდება უფლებამოსილი სახელმწიფო ორგანოს/წარმომადგენილის 
სპეციალური დადასტურების შემდეგ</t>
  </si>
  <si>
    <t>saqvabe mowyobilobebis demontaJi da dasawyobeba (skolis gankargulebaSi) (maqsimaluri Rirebuleba 1000 lari)</t>
  </si>
  <si>
    <t>gruntis ukuCayra xeliT da zedmeti gruntis adgilze mosworeba</t>
  </si>
  <si>
    <r>
      <t xml:space="preserve">bunebrivi airis sawvavis sanTuris _ </t>
    </r>
    <r>
      <rPr>
        <b/>
        <sz val="10"/>
        <rFont val="Sylfaen"/>
        <family val="1"/>
      </rPr>
      <t>NG 200</t>
    </r>
    <r>
      <rPr>
        <b/>
        <sz val="10"/>
        <rFont val="LitNusx"/>
        <family val="0"/>
      </rPr>
      <t xml:space="preserve"> an aranaklebis damontaJeba</t>
    </r>
  </si>
  <si>
    <r>
      <t>bunebrivi airis sanTuraN</t>
    </r>
    <r>
      <rPr>
        <sz val="10"/>
        <rFont val="Sylfaen"/>
        <family val="1"/>
      </rPr>
      <t>NG 200</t>
    </r>
    <r>
      <rPr>
        <sz val="10"/>
        <rFont val="LitNusx"/>
        <family val="0"/>
      </rPr>
      <t xml:space="preserve"> an aranaklebi monacemebis</t>
    </r>
  </si>
  <si>
    <r>
      <t>gaTbobis sacirkulacio tumbosU</t>
    </r>
    <r>
      <rPr>
        <b/>
        <sz val="10"/>
        <rFont val="LitNusx"/>
        <family val="0"/>
      </rPr>
      <t xml:space="preserve"> damontaJeba </t>
    </r>
  </si>
  <si>
    <r>
      <t xml:space="preserve">gaTbobis sacirkulacio tumbo </t>
    </r>
  </si>
  <si>
    <r>
      <t>cxeli wylis sacirkulacio tumbosU</t>
    </r>
    <r>
      <rPr>
        <b/>
        <sz val="10"/>
        <rFont val="LitNusx"/>
        <family val="0"/>
      </rPr>
      <t xml:space="preserve">damontaJeba </t>
    </r>
  </si>
  <si>
    <r>
      <t xml:space="preserve">cxeli wylis sacirkulacio tumbo </t>
    </r>
  </si>
  <si>
    <t>სრული პასუხისმგებლობა გათბობის სისტემის გამართულ მუშაობასა და შესაბამისი ტემპერატურით ოთახების გათბობაზე ეკისრება მიმწოდებელს. იმ შემთხვევაში, თუ მიმწოდებელი მიიჩნევს, რომ არსებული საპროექტო დოკუმენტაციით გათვალისწინებული გათბობის სისტემა თავისი მონაცემების გამო ვერ უზრუნველყოფს ნორმალურ ფუნქციონირებას ან/და ოთახებში სათანადო ტემპერატურის მიღწევას, მაშინ მიმწოდებელმა უნდა წარმოუდგინოს შემსყიდველს დასაბუთებული მოსაზრება გათბობის სისტემის მოწყობილობების ცვლილებასთან დაკავშირებით. წინააღმდეგ შემთხვევაში, გათბობის სისტემის მოწყობის შემდეგ, თუ სისტემა ვერ უზრუნველყოფს ნორმალურ ფუნქციონირებას ან/და ოთახებში სათანადო ტემპერატურის მიღწევას, მიმწოდებლის პრეტენზია საპროექტო დოკუმენტაციასთან დაკავშირებით არ მიიღება, ხოლო მიმწოდებელს დაეკისრება პრობლემის გამოსწორება.</t>
  </si>
  <si>
    <t>საქვაბის ფასადის (ეზოს მხრიდან) ერთ კედლის ნაწილი მოიხატოს, რომლის ესკიზი შეთანხმდეს შემსყიდველთან.</t>
  </si>
  <si>
    <t xml:space="preserve">foto-reles dayeneba da momzadeba CarTvisaTvis </t>
  </si>
  <si>
    <t>foto-rele</t>
  </si>
  <si>
    <t>sul xarjTaRricxviT: (maqsimaluri Rirebuleba 
180 000 lari)</t>
  </si>
  <si>
    <t xml:space="preserve"> jami (Tavi a-sayrdeni kedlis perangi) 
(მაქსიმალური ღირებულება 25 000 ლარი)</t>
  </si>
  <si>
    <t>arsebuli skolis Senobebisa da sxva damxmare qvis Senobis (gare sapirfareSo, wylis avzi da sxva) daSla 
(maqsimaluri Rirebuleba 
96 000 lari)</t>
  </si>
  <si>
    <r>
      <t>Senobis garSemo armirebuli betonis Semonakirwylis da proeqtiT gansazRvrul farTebSi armirebuli (konstruqciuli SeduRebuli bade d-4 mm) filis mowyoba sisqiT 10 sm, B</t>
    </r>
    <r>
      <rPr>
        <b/>
        <sz val="10"/>
        <rFont val="Calibri"/>
        <family val="2"/>
      </rPr>
      <t>B</t>
    </r>
    <r>
      <rPr>
        <b/>
        <sz val="10"/>
        <rFont val="LitNusx"/>
        <family val="0"/>
      </rPr>
      <t>-20 klasis betoniT, ზედაპირის იდეალური მოსწორებით</t>
    </r>
  </si>
  <si>
    <r>
      <rPr>
        <sz val="10"/>
        <rFont val="High Tower Text"/>
        <family val="1"/>
      </rPr>
      <t xml:space="preserve">.  </t>
    </r>
    <r>
      <rPr>
        <sz val="10"/>
        <rFont val="LitNusx"/>
        <family val="0"/>
      </rPr>
      <t xml:space="preserve">qviSa msxvilmarcvlovani </t>
    </r>
  </si>
  <si>
    <t xml:space="preserve">sportuli da saaqto darbazebis da sxva inventari </t>
  </si>
  <si>
    <t xml:space="preserve">Senobis fasadze warweris (xucubnis sajaro skola) damzadeba montaJi. asoebi unda iyos samganzomilebiani simaRle unda iyos aranakleb 50 sm.. masala unda iyos specialuri firfitebi, romelic iqneba nestgamZle da klimaturi zemoqmedebisagan gamZle. Asoebi unda naTdebodes Signidan  </t>
  </si>
  <si>
    <t>droSebis konstruqciisaTvis saZirkvlis mosawyobad gruntis damuSaveba xeliT</t>
  </si>
  <si>
    <t xml:space="preserve">d-76 mm uJangavi liTonis milis, rolikebiTa da bagiriT (miwis zedapiridan 8 metri simaRlis) montaJi mza saZirkvelze </t>
  </si>
  <si>
    <t>დამატებითი პირობა: მიმწოდებელი ვალდებულია შენობის პირველ და მეორე სართულზე დერეფნებში და რამდენიმე საკლასო ოთახში, ასევე სპორტულ და სააქტო დარბაზებში, პროფესიონალი მხატვრის ან შესაბამისი გამოცდილების მქონე პირის მეშვეობით, განახორციელოს კედლის მოხატვა - ჯამში 20 კომპოზიცია, რომელთა ზომები, ვიზუალი, წინასწარ უნდა შეთანხდეს შემსყიდველთან.</t>
  </si>
  <si>
    <t>სცენის აღჭურვილობა (აქსესუარები ფარდების მონტაჟისათვის, რომლითაც შესაძლებელი იქნება მექანიკურად ფარდების გადაწევა, სპეციალური განათება სცენისათვის)</t>
  </si>
  <si>
    <t>saaqto darbazSi savarZlebis (maRali xarisxis qsovilis an/da tyavis imitaciis rbili zedapiriT, rbili sazurgiT, saxelurebiT, rkinis karkasiT, standartuli zomis) SeZena da montaJi iatakze (შესაძლებელი უნდა იყოს მოხსნაც). არანაკლებ 3 სავარძელი ქარხნულად უნდა იყოს გადაბმული</t>
  </si>
  <si>
    <t>xelsabanis onkanis dayeneba. ონკანი უნდა იყოს სქელი ფოლადის (წნევაგამძლე) და მექანიკური დაზიანებისადმი მაქსიმალურად გამძლე. ონკანებთან უნდა დამონტაჟდეს სარკეები და თხევადი საპნის დისპენსერები. თითოეულ სველ წერტილში (გამოსავლელთან ახლოს) უნდა დამონტაჟდეს ხელსახოცი ქაღალდის აპარატი</t>
  </si>
  <si>
    <t xml:space="preserve">sarke da Txevadi sapnis dispenseri </t>
  </si>
  <si>
    <t>xelsaxoci qaRaldis aparati</t>
  </si>
  <si>
    <t xml:space="preserve"> unitazis (Camrecxi avziT) dayeneba. aseve axlos unda damontaJdes tualetis qaRaldis damWeri</t>
  </si>
  <si>
    <t>aziuri unitazis da Camrecxi avzis dayeneba. aseve axlos unda damontaJdes tualetis qaRaldis damWeri</t>
  </si>
  <si>
    <t>SSm pirTaTvis unitazis (Camrecxi avziT) dayeneba. aseve axlos unda damontaJdes tualetis qaRaldis damWeri</t>
  </si>
  <si>
    <t xml:space="preserve"> Sekiduli WerisaTvis liTonis karkasis mowyoba da amstrongis filebis montaJi (proeqtisgan gansxvavebiT aRniSnuli Weri unda moewyos biblioTekaSic)</t>
  </si>
  <si>
    <t>m2</t>
  </si>
  <si>
    <t>Sromis danaxarji</t>
  </si>
  <si>
    <t>k/sT</t>
  </si>
  <si>
    <t>sxva manqana</t>
  </si>
  <si>
    <t>liTonis profilebi</t>
  </si>
  <si>
    <t>samSeneblo WanWiki</t>
  </si>
  <si>
    <t>კომპაქტ ლამინატი</t>
  </si>
  <si>
    <r>
      <t>m</t>
    </r>
    <r>
      <rPr>
        <vertAlign val="superscript"/>
        <sz val="8"/>
        <rFont val="AcadNusx"/>
        <family val="0"/>
      </rPr>
      <t>2</t>
    </r>
  </si>
  <si>
    <t xml:space="preserve">sxva masalebi  </t>
  </si>
  <si>
    <t>სცენის მოწყობა ხის კოჭებზე</t>
  </si>
  <si>
    <t>კვ.მ</t>
  </si>
  <si>
    <t xml:space="preserve">შრომითი დანახარჯი </t>
  </si>
  <si>
    <t>კაც/სთ</t>
  </si>
  <si>
    <t>მან/სთ</t>
  </si>
  <si>
    <t>დახერხილი ხის კოჭი  (3.20*0.2*0.1)*4 ც</t>
  </si>
  <si>
    <t>მ3</t>
  </si>
  <si>
    <t>პასტა ანტისეპტიკური</t>
  </si>
  <si>
    <t>კგ</t>
  </si>
  <si>
    <t>დამუშავებული საპოლე ფიცარი  45 მმ</t>
  </si>
  <si>
    <t>ლურსმანი</t>
  </si>
  <si>
    <t>სხვადასხვა  მასალა</t>
  </si>
  <si>
    <t>ლ</t>
  </si>
  <si>
    <t>ბიბლიოთეკაში კედლის (7 მ2) და ჭერის (15 მ2) მოწყობა კომპაქტ ლამინატით ლითონის კარკასზე</t>
  </si>
  <si>
    <t>კომპ</t>
  </si>
  <si>
    <t>შრომითი დანახარჯები</t>
  </si>
  <si>
    <t>ლამინირებული დსპ 18 მმ</t>
  </si>
  <si>
    <t>მ2</t>
  </si>
  <si>
    <t>მაღალი კანტებით მოჩარჩოება</t>
  </si>
  <si>
    <t>მ</t>
  </si>
  <si>
    <t>ჩვეულებრივი კანტებით მოჩარჩოება</t>
  </si>
  <si>
    <t>წიგნების თაროს მონტაჟი კედელზე</t>
  </si>
  <si>
    <t>jami (kedlebi da tixrebi)  (maqsimaluri Rirebuleba 
200 000 lari)</t>
  </si>
  <si>
    <t>ბიბილიოთეკაში ფანჯრებზე ჰორიზონტალური ჟალუზების შეძენა-მონტაჟი</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</si>
</sst>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 &quot;Lari&quot;;\-#,##0\ &quot;Lari&quot;"/>
    <numFmt numFmtId="175" formatCode="#,##0\ &quot;Lari&quot;;[Red]\-#,##0\ &quot;Lari&quot;"/>
    <numFmt numFmtId="176" formatCode="#,##0.00\ &quot;Lari&quot;;\-#,##0.00\ &quot;Lari&quot;"/>
    <numFmt numFmtId="177" formatCode="#,##0.00\ &quot;Lari&quot;;[Red]\-#,##0.00\ &quot;Lari&quot;"/>
    <numFmt numFmtId="178" formatCode="_-* #,##0\ &quot;Lari&quot;_-;\-* #,##0\ &quot;Lari&quot;_-;_-* &quot;-&quot;\ &quot;Lari&quot;_-;_-@_-"/>
    <numFmt numFmtId="179" formatCode="_-* #,##0\ _L_a_r_i_-;\-* #,##0\ _L_a_r_i_-;_-* &quot;-&quot;\ _L_a_r_i_-;_-@_-"/>
    <numFmt numFmtId="180" formatCode="_-* #,##0.00\ &quot;Lari&quot;_-;\-* #,##0.00\ &quot;Lari&quot;_-;_-* &quot;-&quot;??\ &quot;Lari&quot;_-;_-@_-"/>
    <numFmt numFmtId="181" formatCode="_-* #,##0.00\ _L_a_r_i_-;\-* #,##0.00\ _L_a_r_i_-;_-* &quot;-&quot;??\ _L_a_r_i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0.000"/>
    <numFmt numFmtId="199" formatCode="0.0"/>
    <numFmt numFmtId="200" formatCode="0.0000"/>
    <numFmt numFmtId="201" formatCode="0.000000"/>
    <numFmt numFmtId="202" formatCode="0.00000"/>
    <numFmt numFmtId="203" formatCode="[$-FC19]d\ mmmm\ yyyy\ &quot;г.&quot;"/>
    <numFmt numFmtId="204" formatCode="0.0000000"/>
    <numFmt numFmtId="205" formatCode="_-* #,##0.00_l_-;\-* #,##0.00_l_-;_-* &quot;-&quot;??_l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000000"/>
    <numFmt numFmtId="211" formatCode="0.000000000"/>
    <numFmt numFmtId="212" formatCode="#,##0.0"/>
    <numFmt numFmtId="213" formatCode="#,##0.000"/>
    <numFmt numFmtId="214" formatCode="#,##0.0000"/>
    <numFmt numFmtId="215" formatCode="#,##0.00000"/>
    <numFmt numFmtId="216" formatCode="#,##0.000000"/>
    <numFmt numFmtId="217" formatCode="0.0%"/>
    <numFmt numFmtId="218" formatCode="_-* #,##0.00\ _L_a_r_i_-;\-* #,##0.00\ _L_a_r_i_-;_-* \-??\ _L_a_r_i_-;_-@_-"/>
    <numFmt numFmtId="219" formatCode="#,##0.000&quot;р.&quot;"/>
    <numFmt numFmtId="220" formatCode="#,##0.00&quot;р.&quot;"/>
    <numFmt numFmtId="221" formatCode="0.0000000000"/>
    <numFmt numFmtId="222" formatCode="0.00000000000"/>
    <numFmt numFmtId="223" formatCode="&quot;Yes&quot;;&quot;Yes&quot;;&quot;No&quot;"/>
    <numFmt numFmtId="224" formatCode="&quot;True&quot;;&quot;True&quot;;&quot;False&quot;"/>
    <numFmt numFmtId="225" formatCode="&quot;On&quot;;&quot;On&quot;;&quot;Off&quot;"/>
    <numFmt numFmtId="226" formatCode="[$€-2]\ #,##0.00_);[Red]\([$€-2]\ #,##0.00\)"/>
  </numFmts>
  <fonts count="96">
    <font>
      <sz val="10"/>
      <name val="Arial"/>
      <family val="0"/>
    </font>
    <font>
      <sz val="11"/>
      <name val="AcadNusx"/>
      <family val="0"/>
    </font>
    <font>
      <b/>
      <sz val="11"/>
      <name val="AcadNusx"/>
      <family val="0"/>
    </font>
    <font>
      <sz val="10"/>
      <name val="AcadNusx"/>
      <family val="0"/>
    </font>
    <font>
      <sz val="9"/>
      <name val="AcadNusx"/>
      <family val="0"/>
    </font>
    <font>
      <b/>
      <sz val="10"/>
      <name val="AcadNusx"/>
      <family val="0"/>
    </font>
    <font>
      <b/>
      <sz val="9"/>
      <name val="AcadNusx"/>
      <family val="0"/>
    </font>
    <font>
      <b/>
      <sz val="15"/>
      <color indexed="56"/>
      <name val="Calibri"/>
      <family val="2"/>
    </font>
    <font>
      <b/>
      <sz val="11"/>
      <color indexed="56"/>
      <name val="Calibri"/>
      <family val="2"/>
    </font>
    <font>
      <b/>
      <sz val="18"/>
      <color indexed="56"/>
      <name val="Cambria"/>
      <family val="2"/>
    </font>
    <font>
      <b/>
      <sz val="10"/>
      <name val="AcadMtavr"/>
      <family val="0"/>
    </font>
    <font>
      <b/>
      <sz val="10"/>
      <name val="Arial"/>
      <family val="2"/>
    </font>
    <font>
      <b/>
      <sz val="9"/>
      <name val="AcadMtavr"/>
      <family val="0"/>
    </font>
    <font>
      <sz val="12"/>
      <name val="AcadNusx"/>
      <family val="0"/>
    </font>
    <font>
      <sz val="10"/>
      <name val="Acad Nusx Geo"/>
      <family val="2"/>
    </font>
    <font>
      <b/>
      <sz val="10"/>
      <name val="LitNusx"/>
      <family val="0"/>
    </font>
    <font>
      <b/>
      <sz val="11"/>
      <name val="LitNusx"/>
      <family val="0"/>
    </font>
    <font>
      <sz val="10"/>
      <name val="LitNusx"/>
      <family val="0"/>
    </font>
    <font>
      <sz val="9"/>
      <name val="LitNusx"/>
      <family val="0"/>
    </font>
    <font>
      <sz val="11"/>
      <name val="LitNusx"/>
      <family val="0"/>
    </font>
    <font>
      <b/>
      <sz val="9"/>
      <name val="LitNusx"/>
      <family val="0"/>
    </font>
    <font>
      <b/>
      <sz val="8"/>
      <name val="LitNusx"/>
      <family val="0"/>
    </font>
    <font>
      <b/>
      <sz val="10"/>
      <name val="Academiuri Nuskhuri"/>
      <family val="0"/>
    </font>
    <font>
      <sz val="10"/>
      <name val="Academiuri Nuskhuri"/>
      <family val="0"/>
    </font>
    <font>
      <b/>
      <i/>
      <sz val="10"/>
      <name val="LitNusx"/>
      <family val="0"/>
    </font>
    <font>
      <sz val="11"/>
      <color indexed="8"/>
      <name val="Calibri"/>
      <family val="2"/>
    </font>
    <font>
      <sz val="9"/>
      <name val="Academiuri Nuskhuri"/>
      <family val="0"/>
    </font>
    <font>
      <b/>
      <u val="single"/>
      <sz val="10"/>
      <name val="LitNusx"/>
      <family val="0"/>
    </font>
    <font>
      <b/>
      <i/>
      <sz val="11"/>
      <name val="LitNusx"/>
      <family val="0"/>
    </font>
    <font>
      <sz val="8"/>
      <name val="LitNusx"/>
      <family val="0"/>
    </font>
    <font>
      <sz val="12"/>
      <name val="LitNusx"/>
      <family val="0"/>
    </font>
    <font>
      <b/>
      <sz val="12"/>
      <name val="LitNusx"/>
      <family val="0"/>
    </font>
    <font>
      <b/>
      <sz val="10"/>
      <name val="Sylfaen"/>
      <family val="1"/>
    </font>
    <font>
      <sz val="10"/>
      <name val="Sylfaen"/>
      <family val="1"/>
    </font>
    <font>
      <sz val="10"/>
      <name val="Arial Cyr"/>
      <family val="0"/>
    </font>
    <font>
      <sz val="10"/>
      <name val="Times New Roman"/>
      <family val="1"/>
    </font>
    <font>
      <b/>
      <sz val="10"/>
      <name val="Times New Roman"/>
      <family val="1"/>
    </font>
    <font>
      <sz val="11"/>
      <color indexed="10"/>
      <name val="LitNusx"/>
      <family val="0"/>
    </font>
    <font>
      <sz val="10"/>
      <name val="Calibri"/>
      <family val="2"/>
    </font>
    <font>
      <b/>
      <sz val="10"/>
      <name val="Calibri"/>
      <family val="2"/>
    </font>
    <font>
      <sz val="8"/>
      <name val="AcadNusx"/>
      <family val="0"/>
    </font>
    <font>
      <b/>
      <sz val="9"/>
      <name val="Academiuri Nuskhuri"/>
      <family val="0"/>
    </font>
    <font>
      <b/>
      <i/>
      <sz val="9"/>
      <name val="LitNusx"/>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b/>
      <i/>
      <sz val="12"/>
      <name val="LitNusx"/>
      <family val="0"/>
    </font>
    <font>
      <sz val="9"/>
      <name val="Arial"/>
      <family val="2"/>
    </font>
    <font>
      <b/>
      <sz val="10"/>
      <name val="Geo_Lit"/>
      <family val="2"/>
    </font>
    <font>
      <vertAlign val="superscript"/>
      <sz val="10"/>
      <name val="LitNusx"/>
      <family val="0"/>
    </font>
    <font>
      <sz val="9"/>
      <name val="Impact"/>
      <family val="2"/>
    </font>
    <font>
      <sz val="9"/>
      <name val="Goudy Old Style"/>
      <family val="1"/>
    </font>
    <font>
      <b/>
      <sz val="10"/>
      <name val="Gill Sans MT"/>
      <family val="2"/>
    </font>
    <font>
      <b/>
      <sz val="10"/>
      <name val="Impact"/>
      <family val="2"/>
    </font>
    <font>
      <sz val="10"/>
      <name val="High Tower Text"/>
      <family val="1"/>
    </font>
    <font>
      <vertAlign val="superscript"/>
      <sz val="8"/>
      <name val="AcadNusx"/>
      <family val="0"/>
    </font>
    <font>
      <b/>
      <sz val="8"/>
      <name val="Sylfaen"/>
      <family val="1"/>
    </font>
    <font>
      <sz val="8"/>
      <name val="Sylfaen"/>
      <family val="1"/>
    </font>
    <font>
      <b/>
      <sz val="9"/>
      <name val="Sylfaen"/>
      <family val="1"/>
    </font>
    <font>
      <sz val="9"/>
      <name val="Sylfaen"/>
      <family val="1"/>
    </font>
    <font>
      <u val="single"/>
      <sz val="10"/>
      <color indexed="20"/>
      <name val="Arial"/>
      <family val="2"/>
    </font>
    <font>
      <u val="single"/>
      <sz val="10"/>
      <color indexed="12"/>
      <name val="Arial"/>
      <family val="2"/>
    </font>
    <font>
      <sz val="9"/>
      <name val="Cambria"/>
      <family val="1"/>
    </font>
    <font>
      <b/>
      <sz val="9"/>
      <name val="Cambria"/>
      <family val="1"/>
    </font>
    <font>
      <b/>
      <sz val="8"/>
      <name val="Cambria"/>
      <family val="1"/>
    </font>
    <font>
      <sz val="8"/>
      <name val="Cambria"/>
      <family val="1"/>
    </font>
    <font>
      <sz val="10"/>
      <name val="Cambria"/>
      <family val="1"/>
    </font>
    <font>
      <b/>
      <sz val="11"/>
      <name val="Calibri"/>
      <family val="2"/>
    </font>
    <font>
      <sz val="11"/>
      <name val="Calibri"/>
      <family val="2"/>
    </font>
    <font>
      <sz val="8"/>
      <name val="Segoe UI"/>
      <family val="2"/>
    </font>
    <font>
      <sz val="11"/>
      <color theme="1"/>
      <name val="Calibri"/>
      <family val="2"/>
    </font>
    <font>
      <sz val="11"/>
      <color theme="0"/>
      <name val="Calibri"/>
      <family val="2"/>
    </font>
    <font>
      <u val="single"/>
      <sz val="10"/>
      <color theme="11"/>
      <name val="Arial"/>
      <family val="2"/>
    </font>
    <font>
      <u val="single"/>
      <sz val="10"/>
      <color theme="10"/>
      <name val="Arial"/>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BFFFF"/>
        <bgColor indexed="64"/>
      </patternFill>
    </fill>
    <fill>
      <patternFill patternType="solid">
        <fgColor rgb="FF92D050"/>
        <bgColor indexed="64"/>
      </patternFill>
    </fill>
    <fill>
      <patternFill patternType="solid">
        <fgColor rgb="FFFFC00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thin"/>
    </border>
    <border>
      <left>
        <color indexed="63"/>
      </left>
      <right>
        <color indexed="63"/>
      </right>
      <top style="thin"/>
      <bottom style="thin"/>
    </border>
  </borders>
  <cellStyleXfs count="6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81"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81"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81"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81"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81" fillId="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81" fillId="9"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81"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81" fillId="1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81" fillId="12" borderId="0" applyNumberFormat="0" applyBorder="0" applyAlignment="0" applyProtection="0"/>
    <xf numFmtId="0" fontId="25" fillId="12" borderId="0" applyNumberFormat="0" applyBorder="0" applyAlignment="0" applyProtection="0"/>
    <xf numFmtId="0" fontId="25" fillId="5" borderId="0" applyNumberFormat="0" applyBorder="0" applyAlignment="0" applyProtection="0"/>
    <xf numFmtId="0" fontId="81" fillId="5" borderId="0" applyNumberFormat="0" applyBorder="0" applyAlignment="0" applyProtection="0"/>
    <xf numFmtId="0" fontId="25" fillId="5" borderId="0" applyNumberFormat="0" applyBorder="0" applyAlignment="0" applyProtection="0"/>
    <xf numFmtId="0" fontId="25" fillId="10" borderId="0" applyNumberFormat="0" applyBorder="0" applyAlignment="0" applyProtection="0"/>
    <xf numFmtId="0" fontId="81" fillId="15"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81" fillId="13" borderId="0" applyNumberFormat="0" applyBorder="0" applyAlignment="0" applyProtection="0"/>
    <xf numFmtId="0" fontId="25" fillId="13"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6" borderId="0" applyNumberFormat="0" applyBorder="0" applyAlignment="0" applyProtection="0"/>
    <xf numFmtId="0" fontId="82" fillId="16" borderId="0" applyNumberFormat="0" applyBorder="0" applyAlignment="0" applyProtection="0"/>
    <xf numFmtId="0" fontId="43" fillId="16" borderId="0" applyNumberFormat="0" applyBorder="0" applyAlignment="0" applyProtection="0"/>
    <xf numFmtId="0" fontId="43" fillId="11" borderId="0" applyNumberFormat="0" applyBorder="0" applyAlignment="0" applyProtection="0"/>
    <xf numFmtId="0" fontId="82" fillId="2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82" fillId="12" borderId="0" applyNumberFormat="0" applyBorder="0" applyAlignment="0" applyProtection="0"/>
    <xf numFmtId="0" fontId="43" fillId="12" borderId="0" applyNumberFormat="0" applyBorder="0" applyAlignment="0" applyProtection="0"/>
    <xf numFmtId="0" fontId="43" fillId="17" borderId="0" applyNumberFormat="0" applyBorder="0" applyAlignment="0" applyProtection="0"/>
    <xf numFmtId="0" fontId="82"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82" fillId="21"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82" fillId="19" borderId="0" applyNumberFormat="0" applyBorder="0" applyAlignment="0" applyProtection="0"/>
    <xf numFmtId="0" fontId="43" fillId="19"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9" fillId="27" borderId="2" applyNumberFormat="0" applyAlignment="0" applyProtection="0"/>
    <xf numFmtId="0" fontId="49" fillId="27" borderId="2" applyNumberFormat="0" applyAlignment="0" applyProtection="0"/>
    <xf numFmtId="0" fontId="49" fillId="27" borderId="2" applyNumberFormat="0" applyAlignment="0" applyProtection="0"/>
    <xf numFmtId="0" fontId="49" fillId="27" borderId="2" applyNumberFormat="0" applyAlignment="0" applyProtection="0"/>
    <xf numFmtId="0" fontId="49" fillId="27" borderId="2" applyNumberFormat="0" applyAlignment="0" applyProtection="0"/>
    <xf numFmtId="0" fontId="49" fillId="27" borderId="2" applyNumberFormat="0" applyAlignment="0" applyProtection="0"/>
    <xf numFmtId="0" fontId="49" fillId="27" borderId="2" applyNumberFormat="0" applyAlignment="0" applyProtection="0"/>
    <xf numFmtId="0" fontId="49" fillId="27" borderId="2" applyNumberFormat="0" applyAlignment="0" applyProtection="0"/>
    <xf numFmtId="0" fontId="49" fillId="27" borderId="2" applyNumberFormat="0" applyAlignment="0" applyProtection="0"/>
    <xf numFmtId="0" fontId="4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89" fontId="34"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83" fillId="0" borderId="0" applyNumberFormat="0" applyFill="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4" fillId="0" borderId="0" applyNumberFormat="0" applyFill="0" applyBorder="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45" fillId="26" borderId="8" applyNumberFormat="0" applyAlignment="0" applyProtection="0"/>
    <xf numFmtId="0" fontId="45" fillId="26" borderId="8" applyNumberFormat="0" applyAlignment="0" applyProtection="0"/>
    <xf numFmtId="0" fontId="45" fillId="26" borderId="8" applyNumberFormat="0" applyAlignment="0" applyProtection="0"/>
    <xf numFmtId="0" fontId="45" fillId="26" borderId="8" applyNumberFormat="0" applyAlignment="0" applyProtection="0"/>
    <xf numFmtId="0" fontId="45" fillId="26" borderId="8" applyNumberFormat="0" applyAlignment="0" applyProtection="0"/>
    <xf numFmtId="0" fontId="45" fillId="26" borderId="8" applyNumberFormat="0" applyAlignment="0" applyProtection="0"/>
    <xf numFmtId="0" fontId="45" fillId="26" borderId="8" applyNumberFormat="0" applyAlignment="0" applyProtection="0"/>
    <xf numFmtId="0" fontId="45" fillId="26" borderId="8" applyNumberFormat="0" applyAlignment="0" applyProtection="0"/>
    <xf numFmtId="0" fontId="45" fillId="26" borderId="8" applyNumberFormat="0" applyAlignment="0" applyProtection="0"/>
    <xf numFmtId="0" fontId="45"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82"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82" fillId="30"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82" fillId="31"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82"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82" fillId="32"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82" fillId="33"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85" fillId="34" borderId="10" applyNumberFormat="0" applyAlignment="0" applyProtection="0"/>
    <xf numFmtId="0" fontId="44" fillId="7" borderId="1" applyNumberFormat="0" applyAlignment="0" applyProtection="0"/>
    <xf numFmtId="0" fontId="44" fillId="7" borderId="1" applyNumberFormat="0" applyAlignment="0" applyProtection="0"/>
    <xf numFmtId="0" fontId="86" fillId="26" borderId="11" applyNumberFormat="0" applyAlignment="0" applyProtection="0"/>
    <xf numFmtId="0" fontId="45" fillId="26" borderId="8" applyNumberFormat="0" applyAlignment="0" applyProtection="0"/>
    <xf numFmtId="0" fontId="45" fillId="26" borderId="8" applyNumberFormat="0" applyAlignment="0" applyProtection="0"/>
    <xf numFmtId="0" fontId="87" fillId="26" borderId="10" applyNumberFormat="0" applyAlignment="0" applyProtection="0"/>
    <xf numFmtId="0" fontId="46" fillId="26" borderId="1" applyNumberFormat="0" applyAlignment="0" applyProtection="0"/>
    <xf numFmtId="0" fontId="46" fillId="26" borderId="1"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47" fillId="0" borderId="12"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89" fillId="35" borderId="13" applyNumberFormat="0" applyAlignment="0" applyProtection="0"/>
    <xf numFmtId="0" fontId="49" fillId="27" borderId="2" applyNumberFormat="0" applyAlignment="0" applyProtection="0"/>
    <xf numFmtId="0" fontId="49" fillId="27"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0" fillId="36"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81" fillId="0" borderId="0">
      <alignment/>
      <protection/>
    </xf>
    <xf numFmtId="0" fontId="0" fillId="0" borderId="0">
      <alignment/>
      <protection/>
    </xf>
    <xf numFmtId="0" fontId="34" fillId="0" borderId="0">
      <alignment/>
      <protection/>
    </xf>
    <xf numFmtId="0" fontId="91" fillId="37"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9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38" borderId="14" applyNumberFormat="0" applyFont="0" applyAlignment="0" applyProtection="0"/>
    <xf numFmtId="0" fontId="34" fillId="29" borderId="7" applyNumberFormat="0" applyFont="0" applyAlignment="0" applyProtection="0"/>
    <xf numFmtId="0" fontId="34" fillId="29" borderId="7" applyNumberFormat="0" applyFont="0" applyAlignment="0" applyProtection="0"/>
    <xf numFmtId="0" fontId="34" fillId="29" borderId="7" applyNumberFormat="0" applyFont="0" applyAlignment="0" applyProtection="0"/>
    <xf numFmtId="9" fontId="0" fillId="0" borderId="0" applyFont="0" applyFill="0" applyBorder="0" applyAlignment="0" applyProtection="0"/>
    <xf numFmtId="9" fontId="81" fillId="0" borderId="0" applyFont="0" applyFill="0" applyBorder="0" applyAlignment="0" applyProtection="0"/>
    <xf numFmtId="0" fontId="93" fillId="0" borderId="15"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9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18" fontId="25" fillId="0" borderId="0">
      <alignment/>
      <protection/>
    </xf>
    <xf numFmtId="171" fontId="0" fillId="0" borderId="0" applyFont="0" applyFill="0" applyBorder="0" applyAlignment="0" applyProtection="0"/>
    <xf numFmtId="181" fontId="0" fillId="0" borderId="0" applyFont="0" applyFill="0" applyBorder="0" applyAlignment="0" applyProtection="0"/>
    <xf numFmtId="218" fontId="25" fillId="0" borderId="0">
      <alignment/>
      <protection/>
    </xf>
    <xf numFmtId="189" fontId="0" fillId="0" borderId="0" applyFont="0" applyFill="0" applyBorder="0" applyAlignment="0" applyProtection="0"/>
    <xf numFmtId="218" fontId="25" fillId="0" borderId="0">
      <alignment/>
      <protection/>
    </xf>
    <xf numFmtId="189" fontId="34" fillId="0" borderId="0" applyFont="0" applyFill="0" applyBorder="0" applyAlignment="0" applyProtection="0"/>
    <xf numFmtId="181" fontId="0" fillId="0" borderId="0" applyFont="0" applyFill="0" applyBorder="0" applyAlignment="0" applyProtection="0"/>
    <xf numFmtId="189" fontId="34" fillId="0" borderId="0" applyFont="0" applyFill="0" applyBorder="0" applyAlignment="0" applyProtection="0"/>
    <xf numFmtId="17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181" fontId="0"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0" fontId="95" fillId="39"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8" fillId="0" borderId="5" applyNumberFormat="0" applyFill="0" applyAlignment="0" applyProtection="0"/>
  </cellStyleXfs>
  <cellXfs count="713">
    <xf numFmtId="0" fontId="0" fillId="0" borderId="0" xfId="0" applyAlignment="1">
      <alignment/>
    </xf>
    <xf numFmtId="0" fontId="1" fillId="0" borderId="0" xfId="0" applyFont="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1" fontId="3" fillId="0" borderId="0" xfId="0" applyNumberFormat="1" applyFont="1" applyFill="1" applyAlignment="1">
      <alignment horizontal="center" vertical="center" wrapText="1"/>
    </xf>
    <xf numFmtId="1" fontId="3" fillId="0"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 fontId="1" fillId="0" borderId="0" xfId="0" applyNumberFormat="1" applyFont="1" applyFill="1" applyAlignment="1">
      <alignment horizontal="center" vertical="center" wrapText="1"/>
    </xf>
    <xf numFmtId="1" fontId="4" fillId="0" borderId="0" xfId="0" applyNumberFormat="1" applyFont="1" applyFill="1" applyBorder="1" applyAlignment="1">
      <alignment horizontal="center" vertical="center" textRotation="90" wrapText="1"/>
    </xf>
    <xf numFmtId="49" fontId="3" fillId="0" borderId="0"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Border="1" applyAlignment="1">
      <alignment horizontal="center" vertical="center" wrapText="1"/>
    </xf>
    <xf numFmtId="1" fontId="5" fillId="0" borderId="0" xfId="0" applyNumberFormat="1" applyFont="1" applyAlignment="1">
      <alignment horizontal="center" vertical="center" wrapText="1"/>
    </xf>
    <xf numFmtId="3" fontId="5"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3" fillId="0" borderId="0" xfId="0" applyFont="1" applyAlignment="1">
      <alignment/>
    </xf>
    <xf numFmtId="1" fontId="0"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3" fillId="40" borderId="0" xfId="0" applyFont="1" applyFill="1" applyAlignment="1">
      <alignment/>
    </xf>
    <xf numFmtId="0" fontId="10" fillId="0" borderId="0" xfId="0" applyFont="1" applyFill="1" applyAlignment="1">
      <alignment horizontal="center" vertical="center" wrapText="1"/>
    </xf>
    <xf numFmtId="0" fontId="3" fillId="0" borderId="0" xfId="0" applyFont="1" applyFill="1" applyAlignment="1">
      <alignment vertical="center" wrapText="1"/>
    </xf>
    <xf numFmtId="0" fontId="13" fillId="0" borderId="0" xfId="0" applyFont="1" applyFill="1" applyAlignment="1">
      <alignment horizontal="center" vertical="center" wrapText="1"/>
    </xf>
    <xf numFmtId="0" fontId="3" fillId="40" borderId="0" xfId="0" applyFont="1" applyFill="1" applyAlignment="1">
      <alignment horizontal="center" vertical="center"/>
    </xf>
    <xf numFmtId="2" fontId="5"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1" fontId="3" fillId="0" borderId="0" xfId="0" applyNumberFormat="1" applyFont="1" applyBorder="1" applyAlignment="1">
      <alignment horizontal="center" vertical="center" wrapText="1"/>
    </xf>
    <xf numFmtId="3"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 fontId="5" fillId="0" borderId="0" xfId="0" applyNumberFormat="1" applyFont="1" applyBorder="1" applyAlignment="1">
      <alignment horizontal="center" vertical="center" wrapText="1"/>
    </xf>
    <xf numFmtId="0" fontId="14" fillId="0" borderId="0" xfId="0" applyFont="1" applyAlignment="1">
      <alignment horizontal="center" vertical="center" wrapText="1"/>
    </xf>
    <xf numFmtId="0" fontId="18" fillId="0" borderId="16" xfId="0" applyFont="1" applyBorder="1" applyAlignment="1">
      <alignment horizontal="center" vertical="center" textRotation="90" wrapText="1"/>
    </xf>
    <xf numFmtId="0" fontId="18" fillId="0" borderId="16" xfId="0" applyFont="1" applyFill="1" applyBorder="1" applyAlignment="1">
      <alignment horizontal="center" vertical="center" wrapText="1"/>
    </xf>
    <xf numFmtId="0" fontId="17" fillId="0" borderId="16" xfId="0" applyFont="1" applyFill="1" applyBorder="1" applyAlignment="1">
      <alignment horizontal="center" vertical="center" wrapText="1"/>
    </xf>
    <xf numFmtId="2" fontId="17" fillId="0" borderId="16" xfId="0" applyNumberFormat="1" applyFont="1" applyFill="1" applyBorder="1" applyAlignment="1">
      <alignment horizontal="center" vertical="center" wrapText="1"/>
    </xf>
    <xf numFmtId="49" fontId="18" fillId="0" borderId="16" xfId="0" applyNumberFormat="1" applyFont="1" applyFill="1" applyBorder="1" applyAlignment="1">
      <alignment horizontal="center" vertical="center" wrapText="1"/>
    </xf>
    <xf numFmtId="0" fontId="17" fillId="0" borderId="16" xfId="0" applyFont="1" applyFill="1" applyBorder="1" applyAlignment="1">
      <alignment horizontal="center" vertical="center"/>
    </xf>
    <xf numFmtId="49" fontId="18" fillId="0" borderId="16" xfId="0" applyNumberFormat="1" applyFont="1" applyFill="1" applyBorder="1" applyAlignment="1">
      <alignment horizontal="center" vertical="center"/>
    </xf>
    <xf numFmtId="198" fontId="17" fillId="0" borderId="16" xfId="0" applyNumberFormat="1" applyFont="1" applyFill="1" applyBorder="1" applyAlignment="1">
      <alignment horizontal="center" vertical="center" wrapText="1"/>
    </xf>
    <xf numFmtId="2" fontId="17" fillId="0" borderId="16" xfId="0" applyNumberFormat="1" applyFont="1" applyFill="1" applyBorder="1" applyAlignment="1">
      <alignment horizontal="center" vertical="center"/>
    </xf>
    <xf numFmtId="9" fontId="17" fillId="0" borderId="16"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49" fontId="19" fillId="0" borderId="0" xfId="0" applyNumberFormat="1" applyFont="1" applyFill="1" applyAlignment="1">
      <alignment horizontal="center" vertical="center" wrapText="1"/>
    </xf>
    <xf numFmtId="49" fontId="18" fillId="0" borderId="0" xfId="0" applyNumberFormat="1" applyFont="1" applyFill="1" applyAlignment="1">
      <alignment horizontal="center" vertical="center" wrapText="1"/>
    </xf>
    <xf numFmtId="0" fontId="17" fillId="0" borderId="0" xfId="0" applyFont="1" applyBorder="1" applyAlignment="1">
      <alignment vertical="center" wrapText="1"/>
    </xf>
    <xf numFmtId="0" fontId="19" fillId="0" borderId="0" xfId="0" applyFont="1" applyAlignment="1">
      <alignment horizontal="center" vertical="center" wrapText="1"/>
    </xf>
    <xf numFmtId="2" fontId="17" fillId="0" borderId="0" xfId="0" applyNumberFormat="1" applyFont="1" applyFill="1" applyBorder="1" applyAlignment="1">
      <alignment horizontal="left" vertical="center" wrapText="1"/>
    </xf>
    <xf numFmtId="1" fontId="19" fillId="0" borderId="0" xfId="0" applyNumberFormat="1" applyFont="1" applyFill="1" applyAlignment="1">
      <alignment horizontal="center" vertical="center" wrapText="1"/>
    </xf>
    <xf numFmtId="49" fontId="17" fillId="0" borderId="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1" fontId="17" fillId="0" borderId="0" xfId="0" applyNumberFormat="1" applyFont="1" applyFill="1" applyAlignment="1">
      <alignment horizontal="center" vertical="center" wrapText="1"/>
    </xf>
    <xf numFmtId="0" fontId="5" fillId="41"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7" fillId="0" borderId="16" xfId="0" applyFont="1" applyFill="1" applyBorder="1" applyAlignment="1">
      <alignment horizontal="center" vertical="center" textRotation="90" wrapText="1"/>
    </xf>
    <xf numFmtId="0" fontId="20" fillId="0" borderId="16" xfId="0" applyFont="1" applyFill="1" applyBorder="1" applyAlignment="1">
      <alignment horizontal="center" vertical="center" wrapText="1"/>
    </xf>
    <xf numFmtId="0" fontId="19" fillId="0" borderId="16" xfId="0" applyFont="1" applyFill="1" applyBorder="1" applyAlignment="1">
      <alignment horizontal="center" vertical="center" wrapText="1"/>
    </xf>
    <xf numFmtId="2" fontId="15" fillId="0" borderId="16"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7" fillId="0" borderId="16" xfId="0" applyNumberFormat="1" applyFont="1" applyFill="1" applyBorder="1" applyAlignment="1">
      <alignment horizontal="center" vertical="center" wrapText="1"/>
    </xf>
    <xf numFmtId="4" fontId="17" fillId="41" borderId="16" xfId="0" applyNumberFormat="1" applyFont="1" applyFill="1" applyBorder="1" applyAlignment="1">
      <alignment horizontal="center" vertical="center" wrapText="1"/>
    </xf>
    <xf numFmtId="0" fontId="1" fillId="41" borderId="0" xfId="0" applyFont="1" applyFill="1" applyBorder="1" applyAlignment="1">
      <alignment horizontal="center" vertical="center" wrapText="1"/>
    </xf>
    <xf numFmtId="1" fontId="5" fillId="41" borderId="0" xfId="0" applyNumberFormat="1" applyFont="1" applyFill="1" applyBorder="1" applyAlignment="1">
      <alignment horizontal="center" vertical="center" wrapText="1"/>
    </xf>
    <xf numFmtId="1" fontId="3" fillId="41"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2" fontId="19" fillId="0" borderId="0" xfId="0" applyNumberFormat="1" applyFont="1" applyFill="1" applyAlignment="1">
      <alignment horizontal="center" vertical="center" wrapText="1"/>
    </xf>
    <xf numFmtId="0" fontId="20" fillId="41" borderId="16" xfId="0" applyFont="1" applyFill="1" applyBorder="1" applyAlignment="1">
      <alignment horizontal="center" vertical="center" wrapText="1"/>
    </xf>
    <xf numFmtId="199" fontId="15" fillId="0" borderId="16"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49" fontId="17" fillId="0" borderId="16" xfId="0" applyNumberFormat="1" applyFont="1" applyFill="1" applyBorder="1" applyAlignment="1">
      <alignment horizontal="center" vertical="center" wrapText="1"/>
    </xf>
    <xf numFmtId="1" fontId="17" fillId="0" borderId="16" xfId="0" applyNumberFormat="1" applyFont="1" applyFill="1" applyBorder="1" applyAlignment="1">
      <alignment horizontal="center" vertical="center"/>
    </xf>
    <xf numFmtId="49" fontId="22" fillId="0" borderId="0" xfId="0" applyNumberFormat="1" applyFont="1" applyFill="1" applyAlignment="1">
      <alignment/>
    </xf>
    <xf numFmtId="0" fontId="26"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2" fontId="0"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2" fontId="22" fillId="0" borderId="0" xfId="0" applyNumberFormat="1" applyFont="1" applyFill="1" applyAlignment="1">
      <alignment/>
    </xf>
    <xf numFmtId="0" fontId="17" fillId="0" borderId="16" xfId="0" applyFont="1" applyBorder="1" applyAlignment="1">
      <alignment horizontal="center" vertical="center" wrapText="1"/>
    </xf>
    <xf numFmtId="49" fontId="18" fillId="0" borderId="0" xfId="0" applyNumberFormat="1" applyFont="1" applyFill="1" applyBorder="1" applyAlignment="1">
      <alignment horizontal="center" vertical="center" wrapText="1"/>
    </xf>
    <xf numFmtId="49" fontId="15" fillId="0" borderId="0" xfId="0" applyNumberFormat="1" applyFont="1" applyFill="1" applyAlignment="1">
      <alignment/>
    </xf>
    <xf numFmtId="0" fontId="18"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2" fontId="17" fillId="0" borderId="0" xfId="0" applyNumberFormat="1" applyFont="1" applyFill="1" applyAlignment="1">
      <alignment horizontal="center" vertical="center"/>
    </xf>
    <xf numFmtId="0" fontId="17" fillId="0" borderId="0" xfId="0" applyFont="1" applyFill="1" applyAlignment="1">
      <alignment horizontal="center" vertical="center"/>
    </xf>
    <xf numFmtId="1" fontId="17" fillId="0" borderId="0" xfId="0" applyNumberFormat="1" applyFont="1" applyFill="1" applyAlignment="1">
      <alignment horizontal="center" vertical="center"/>
    </xf>
    <xf numFmtId="2"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2" fontId="17" fillId="0" borderId="16" xfId="0" applyNumberFormat="1" applyFont="1" applyBorder="1" applyAlignment="1">
      <alignment horizontal="center" vertical="center" wrapText="1"/>
    </xf>
    <xf numFmtId="1" fontId="17" fillId="0" borderId="0" xfId="0" applyNumberFormat="1" applyFont="1" applyFill="1" applyBorder="1" applyAlignment="1">
      <alignment horizontal="center" vertical="center" wrapText="1"/>
    </xf>
    <xf numFmtId="0" fontId="17" fillId="0" borderId="0" xfId="0" applyFont="1" applyAlignment="1">
      <alignment/>
    </xf>
    <xf numFmtId="1" fontId="17" fillId="41" borderId="16" xfId="0" applyNumberFormat="1" applyFont="1" applyFill="1" applyBorder="1" applyAlignment="1">
      <alignment horizontal="center" vertical="center"/>
    </xf>
    <xf numFmtId="1" fontId="3" fillId="41" borderId="0" xfId="0" applyNumberFormat="1" applyFont="1" applyFill="1" applyAlignment="1">
      <alignment horizontal="center" vertical="center" wrapText="1"/>
    </xf>
    <xf numFmtId="1" fontId="5" fillId="41" borderId="0" xfId="0" applyNumberFormat="1" applyFont="1" applyFill="1" applyAlignment="1">
      <alignment horizontal="center" vertical="center" wrapText="1"/>
    </xf>
    <xf numFmtId="0" fontId="3" fillId="41" borderId="0" xfId="0" applyFont="1" applyFill="1" applyAlignment="1">
      <alignment horizontal="center" vertical="center"/>
    </xf>
    <xf numFmtId="0" fontId="3" fillId="41" borderId="0" xfId="0" applyFont="1" applyFill="1" applyAlignment="1">
      <alignment/>
    </xf>
    <xf numFmtId="0" fontId="18" fillId="0" borderId="16"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2" fontId="5" fillId="0" borderId="0" xfId="0" applyNumberFormat="1" applyFont="1" applyFill="1" applyAlignment="1">
      <alignment/>
    </xf>
    <xf numFmtId="0" fontId="4" fillId="0" borderId="0" xfId="0" applyFont="1" applyAlignment="1">
      <alignment horizontal="center" vertical="center"/>
    </xf>
    <xf numFmtId="2" fontId="3" fillId="0" borderId="0" xfId="0" applyNumberFormat="1" applyFont="1" applyFill="1" applyAlignment="1">
      <alignment horizontal="center" vertical="center"/>
    </xf>
    <xf numFmtId="198" fontId="17" fillId="0" borderId="16"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9" fontId="15" fillId="0" borderId="0"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7" fillId="0" borderId="0" xfId="0" applyFont="1" applyFill="1" applyAlignment="1">
      <alignment vertical="center" wrapText="1"/>
    </xf>
    <xf numFmtId="4" fontId="17" fillId="41" borderId="16" xfId="0" applyNumberFormat="1" applyFont="1" applyFill="1" applyBorder="1" applyAlignment="1">
      <alignment horizontal="center" vertical="center"/>
    </xf>
    <xf numFmtId="2" fontId="3" fillId="41" borderId="0" xfId="0" applyNumberFormat="1" applyFont="1" applyFill="1" applyBorder="1" applyAlignment="1">
      <alignment horizontal="center" vertical="center" wrapText="1"/>
    </xf>
    <xf numFmtId="3" fontId="17"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0" fontId="18" fillId="0" borderId="0" xfId="0" applyFont="1" applyAlignment="1">
      <alignment horizontal="center" vertical="center" wrapText="1"/>
    </xf>
    <xf numFmtId="0" fontId="29" fillId="0" borderId="16" xfId="0" applyFont="1" applyFill="1" applyBorder="1" applyAlignment="1">
      <alignment horizontal="center" vertical="center" wrapText="1"/>
    </xf>
    <xf numFmtId="49" fontId="17"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2" fontId="15" fillId="0" borderId="0" xfId="0" applyNumberFormat="1" applyFont="1" applyBorder="1" applyAlignment="1">
      <alignment horizontal="center" vertical="center" wrapText="1"/>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center" vertical="center" wrapText="1"/>
    </xf>
    <xf numFmtId="0" fontId="19" fillId="0" borderId="0" xfId="0" applyFont="1" applyFill="1" applyAlignment="1">
      <alignment vertical="center" wrapText="1"/>
    </xf>
    <xf numFmtId="0" fontId="30" fillId="0" borderId="0" xfId="0" applyFont="1" applyFill="1" applyAlignment="1">
      <alignment horizontal="center" vertical="center" wrapText="1"/>
    </xf>
    <xf numFmtId="2" fontId="15" fillId="41" borderId="16" xfId="0" applyNumberFormat="1" applyFont="1" applyFill="1" applyBorder="1" applyAlignment="1">
      <alignment horizontal="center" vertical="center"/>
    </xf>
    <xf numFmtId="0" fontId="2" fillId="41" borderId="0" xfId="0" applyFont="1" applyFill="1" applyAlignment="1">
      <alignment horizontal="center" vertical="center" wrapText="1"/>
    </xf>
    <xf numFmtId="0" fontId="4" fillId="41" borderId="16" xfId="0" applyFont="1" applyFill="1" applyBorder="1" applyAlignment="1">
      <alignment horizontal="center" vertical="center" textRotation="90" wrapText="1"/>
    </xf>
    <xf numFmtId="1" fontId="4" fillId="41" borderId="0" xfId="0" applyNumberFormat="1" applyFont="1" applyFill="1" applyBorder="1" applyAlignment="1">
      <alignment horizontal="center" vertical="center" textRotation="90" wrapText="1"/>
    </xf>
    <xf numFmtId="0" fontId="5" fillId="41" borderId="0" xfId="0" applyFont="1" applyFill="1" applyAlignment="1">
      <alignment horizontal="center" vertical="center" wrapText="1"/>
    </xf>
    <xf numFmtId="9" fontId="17" fillId="41" borderId="16" xfId="0" applyNumberFormat="1" applyFont="1" applyFill="1" applyBorder="1" applyAlignment="1">
      <alignment horizontal="center" vertical="center" wrapText="1"/>
    </xf>
    <xf numFmtId="49" fontId="18" fillId="41" borderId="0" xfId="0" applyNumberFormat="1" applyFont="1" applyFill="1" applyAlignment="1">
      <alignment horizontal="center" vertical="center" wrapText="1"/>
    </xf>
    <xf numFmtId="1" fontId="19" fillId="41" borderId="0" xfId="0" applyNumberFormat="1" applyFont="1" applyFill="1" applyAlignment="1">
      <alignment horizontal="center" vertical="center" wrapText="1"/>
    </xf>
    <xf numFmtId="49" fontId="3" fillId="41" borderId="0" xfId="0" applyNumberFormat="1" applyFont="1" applyFill="1" applyAlignment="1">
      <alignment horizontal="center" vertical="center" wrapText="1"/>
    </xf>
    <xf numFmtId="49" fontId="4" fillId="41" borderId="0" xfId="0" applyNumberFormat="1" applyFont="1" applyFill="1" applyAlignment="1">
      <alignment horizontal="center" vertical="center" wrapText="1"/>
    </xf>
    <xf numFmtId="10" fontId="17" fillId="41" borderId="16" xfId="0" applyNumberFormat="1" applyFont="1" applyFill="1" applyBorder="1" applyAlignment="1">
      <alignment horizontal="center" vertical="center" wrapText="1"/>
    </xf>
    <xf numFmtId="0" fontId="24" fillId="41" borderId="16" xfId="0" applyFont="1" applyFill="1" applyBorder="1" applyAlignment="1">
      <alignment horizontal="center" vertical="center" wrapText="1"/>
    </xf>
    <xf numFmtId="0" fontId="30" fillId="41" borderId="0" xfId="0" applyFont="1" applyFill="1" applyAlignment="1">
      <alignment horizontal="center" wrapText="1"/>
    </xf>
    <xf numFmtId="49" fontId="30" fillId="41" borderId="0" xfId="0" applyNumberFormat="1" applyFont="1" applyFill="1" applyAlignment="1">
      <alignment horizontal="center" vertical="center" wrapText="1"/>
    </xf>
    <xf numFmtId="0" fontId="30" fillId="41" borderId="0" xfId="0" applyFont="1" applyFill="1" applyAlignment="1">
      <alignment horizontal="center" vertical="center" wrapText="1"/>
    </xf>
    <xf numFmtId="0" fontId="13" fillId="41" borderId="0" xfId="0" applyFont="1" applyFill="1" applyAlignment="1">
      <alignment horizontal="center" vertical="center" wrapText="1"/>
    </xf>
    <xf numFmtId="0" fontId="17" fillId="41" borderId="0" xfId="0" applyFont="1" applyFill="1" applyAlignment="1">
      <alignment horizontal="center" wrapText="1"/>
    </xf>
    <xf numFmtId="0" fontId="18" fillId="0" borderId="16" xfId="0" applyFont="1" applyFill="1" applyBorder="1" applyAlignment="1">
      <alignment horizontal="center" vertical="center" textRotation="90" wrapText="1"/>
    </xf>
    <xf numFmtId="1" fontId="18" fillId="0" borderId="16" xfId="0" applyNumberFormat="1" applyFont="1" applyFill="1" applyBorder="1" applyAlignment="1">
      <alignment horizontal="center" vertical="center" textRotation="90" wrapText="1"/>
    </xf>
    <xf numFmtId="0" fontId="15" fillId="0" borderId="16" xfId="0" applyFont="1" applyFill="1" applyBorder="1" applyAlignment="1">
      <alignment horizontal="right" vertical="center" wrapText="1"/>
    </xf>
    <xf numFmtId="200" fontId="17" fillId="0" borderId="16" xfId="0" applyNumberFormat="1" applyFont="1" applyFill="1" applyBorder="1" applyAlignment="1">
      <alignment horizontal="center" vertical="center" wrapText="1"/>
    </xf>
    <xf numFmtId="0" fontId="15" fillId="0" borderId="16" xfId="0" applyFont="1" applyFill="1" applyBorder="1" applyAlignment="1">
      <alignment horizontal="center" vertical="center"/>
    </xf>
    <xf numFmtId="199" fontId="15" fillId="0" borderId="16" xfId="0" applyNumberFormat="1" applyFont="1" applyFill="1" applyBorder="1" applyAlignment="1">
      <alignment horizontal="center" vertical="center"/>
    </xf>
    <xf numFmtId="2" fontId="15" fillId="0" borderId="16" xfId="0" applyNumberFormat="1" applyFont="1" applyFill="1" applyBorder="1" applyAlignment="1">
      <alignment horizontal="center" vertical="center"/>
    </xf>
    <xf numFmtId="202" fontId="17" fillId="0" borderId="16" xfId="0" applyNumberFormat="1" applyFont="1" applyFill="1" applyBorder="1" applyAlignment="1">
      <alignment horizontal="center" vertical="center" wrapText="1"/>
    </xf>
    <xf numFmtId="9" fontId="15" fillId="0" borderId="16"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15" fillId="0" borderId="16" xfId="0" applyFont="1" applyFill="1" applyBorder="1" applyAlignment="1">
      <alignment horizontal="right" vertical="center"/>
    </xf>
    <xf numFmtId="200" fontId="17" fillId="0" borderId="16" xfId="0" applyNumberFormat="1" applyFont="1" applyFill="1" applyBorder="1" applyAlignment="1">
      <alignment horizontal="center" vertical="center"/>
    </xf>
    <xf numFmtId="0" fontId="18" fillId="41" borderId="16" xfId="0" applyFont="1" applyFill="1" applyBorder="1" applyAlignment="1">
      <alignment horizontal="center" vertical="center"/>
    </xf>
    <xf numFmtId="0" fontId="17" fillId="0" borderId="16" xfId="0" applyNumberFormat="1" applyFont="1" applyFill="1" applyBorder="1" applyAlignment="1">
      <alignment horizontal="center" vertical="center" wrapText="1"/>
    </xf>
    <xf numFmtId="0" fontId="27" fillId="0" borderId="16" xfId="0" applyFont="1" applyBorder="1" applyAlignment="1">
      <alignment horizontal="center" vertical="center" wrapText="1"/>
    </xf>
    <xf numFmtId="49" fontId="20" fillId="0" borderId="17" xfId="0" applyNumberFormat="1" applyFont="1" applyFill="1" applyBorder="1" applyAlignment="1">
      <alignment horizontal="center" vertical="center" wrapText="1"/>
    </xf>
    <xf numFmtId="1" fontId="4" fillId="41" borderId="16" xfId="0" applyNumberFormat="1" applyFont="1" applyFill="1" applyBorder="1" applyAlignment="1">
      <alignment horizontal="center" vertical="center" textRotation="90" wrapText="1"/>
    </xf>
    <xf numFmtId="49" fontId="5" fillId="41" borderId="16" xfId="0" applyNumberFormat="1" applyFont="1" applyFill="1" applyBorder="1" applyAlignment="1">
      <alignment horizontal="center" vertical="center" wrapText="1"/>
    </xf>
    <xf numFmtId="0" fontId="5" fillId="41" borderId="16" xfId="0" applyFont="1" applyFill="1" applyBorder="1" applyAlignment="1">
      <alignment horizontal="center" vertical="center" wrapText="1"/>
    </xf>
    <xf numFmtId="1" fontId="5" fillId="41" borderId="16" xfId="0" applyNumberFormat="1" applyFont="1" applyFill="1" applyBorder="1" applyAlignment="1">
      <alignment horizontal="center" vertical="center" wrapText="1"/>
    </xf>
    <xf numFmtId="2" fontId="15" fillId="0" borderId="17" xfId="0" applyNumberFormat="1" applyFont="1" applyFill="1" applyBorder="1" applyAlignment="1">
      <alignment horizontal="center" vertical="center" wrapText="1"/>
    </xf>
    <xf numFmtId="49" fontId="17" fillId="41" borderId="16" xfId="0" applyNumberFormat="1" applyFont="1" applyFill="1" applyBorder="1" applyAlignment="1">
      <alignment horizontal="center" vertical="center"/>
    </xf>
    <xf numFmtId="0" fontId="11" fillId="0" borderId="0" xfId="0" applyFont="1" applyFill="1" applyAlignment="1">
      <alignment/>
    </xf>
    <xf numFmtId="2" fontId="18" fillId="0" borderId="16" xfId="0" applyNumberFormat="1" applyFont="1" applyFill="1" applyBorder="1" applyAlignment="1">
      <alignment horizontal="center" vertical="center" textRotation="90" wrapText="1"/>
    </xf>
    <xf numFmtId="2" fontId="1" fillId="0" borderId="0" xfId="0" applyNumberFormat="1" applyFont="1" applyFill="1" applyAlignment="1">
      <alignment horizontal="center" vertical="center" wrapText="1"/>
    </xf>
    <xf numFmtId="0" fontId="15" fillId="0" borderId="16" xfId="575" applyNumberFormat="1" applyFont="1" applyFill="1" applyBorder="1" applyAlignment="1">
      <alignment horizontal="center" vertical="center" wrapText="1"/>
      <protection/>
    </xf>
    <xf numFmtId="0" fontId="17" fillId="0" borderId="16" xfId="575" applyNumberFormat="1" applyFont="1" applyFill="1" applyBorder="1" applyAlignment="1">
      <alignment horizontal="center" vertical="center" wrapText="1"/>
      <protection/>
    </xf>
    <xf numFmtId="2" fontId="17" fillId="0" borderId="16" xfId="575" applyNumberFormat="1" applyFont="1" applyFill="1" applyBorder="1" applyAlignment="1">
      <alignment horizontal="center" vertical="center" wrapText="1"/>
      <protection/>
    </xf>
    <xf numFmtId="0" fontId="18" fillId="41" borderId="16" xfId="0" applyFont="1" applyFill="1" applyBorder="1" applyAlignment="1">
      <alignment horizontal="center" vertical="center" textRotation="90" wrapText="1"/>
    </xf>
    <xf numFmtId="1" fontId="18" fillId="41" borderId="16" xfId="0" applyNumberFormat="1" applyFont="1" applyFill="1" applyBorder="1" applyAlignment="1">
      <alignment horizontal="center" vertical="center" textRotation="90" wrapText="1"/>
    </xf>
    <xf numFmtId="0" fontId="21" fillId="41" borderId="16" xfId="0" applyNumberFormat="1" applyFont="1" applyFill="1" applyBorder="1" applyAlignment="1">
      <alignment horizontal="center" vertical="center" wrapText="1"/>
    </xf>
    <xf numFmtId="0" fontId="20" fillId="0" borderId="16" xfId="575" applyNumberFormat="1" applyFont="1" applyFill="1" applyBorder="1" applyAlignment="1">
      <alignment horizontal="center" vertical="center" wrapText="1"/>
      <protection/>
    </xf>
    <xf numFmtId="198" fontId="17" fillId="0" borderId="16" xfId="575" applyNumberFormat="1" applyFont="1" applyFill="1" applyBorder="1" applyAlignment="1">
      <alignment horizontal="center" vertical="center" wrapText="1"/>
      <protection/>
    </xf>
    <xf numFmtId="2" fontId="0" fillId="0" borderId="0" xfId="0" applyNumberFormat="1" applyFont="1" applyFill="1" applyAlignment="1">
      <alignment/>
    </xf>
    <xf numFmtId="4" fontId="15" fillId="42" borderId="16" xfId="0" applyNumberFormat="1" applyFont="1" applyFill="1" applyBorder="1" applyAlignment="1">
      <alignment horizontal="center" vertical="center"/>
    </xf>
    <xf numFmtId="198" fontId="15" fillId="41" borderId="16" xfId="0" applyNumberFormat="1" applyFont="1" applyFill="1" applyBorder="1" applyAlignment="1">
      <alignment horizontal="center" vertical="center"/>
    </xf>
    <xf numFmtId="199" fontId="15" fillId="41" borderId="16" xfId="0" applyNumberFormat="1" applyFont="1" applyFill="1" applyBorder="1" applyAlignment="1">
      <alignment horizontal="center" vertical="center"/>
    </xf>
    <xf numFmtId="0" fontId="15" fillId="41" borderId="16" xfId="0" applyFont="1" applyFill="1" applyBorder="1" applyAlignment="1">
      <alignment vertical="center" wrapText="1"/>
    </xf>
    <xf numFmtId="3" fontId="3" fillId="41" borderId="0" xfId="0" applyNumberFormat="1" applyFont="1" applyFill="1" applyBorder="1" applyAlignment="1">
      <alignment horizontal="center" vertical="center" wrapText="1"/>
    </xf>
    <xf numFmtId="2" fontId="17" fillId="0" borderId="0" xfId="0" applyNumberFormat="1" applyFont="1" applyAlignment="1">
      <alignment/>
    </xf>
    <xf numFmtId="2" fontId="17" fillId="0" borderId="0" xfId="0" applyNumberFormat="1" applyFont="1" applyFill="1" applyAlignment="1">
      <alignment horizontal="center" vertical="center" wrapText="1"/>
    </xf>
    <xf numFmtId="2" fontId="0" fillId="0" borderId="0" xfId="0" applyNumberFormat="1" applyFont="1" applyAlignment="1">
      <alignment/>
    </xf>
    <xf numFmtId="0" fontId="17" fillId="41" borderId="16" xfId="0" applyNumberFormat="1" applyFont="1" applyFill="1" applyBorder="1" applyAlignment="1">
      <alignment horizontal="center" vertical="center" wrapText="1"/>
    </xf>
    <xf numFmtId="2" fontId="17" fillId="41" borderId="0" xfId="0" applyNumberFormat="1" applyFont="1" applyFill="1" applyBorder="1" applyAlignment="1">
      <alignment horizontal="left" vertical="center" wrapText="1"/>
    </xf>
    <xf numFmtId="0" fontId="0" fillId="41" borderId="0" xfId="0" applyFont="1" applyFill="1" applyAlignment="1">
      <alignment horizontal="center" vertical="center"/>
    </xf>
    <xf numFmtId="0" fontId="11" fillId="41" borderId="0" xfId="0" applyFont="1" applyFill="1" applyAlignment="1">
      <alignment/>
    </xf>
    <xf numFmtId="0" fontId="3" fillId="41" borderId="0" xfId="0" applyFont="1" applyFill="1" applyAlignment="1">
      <alignment horizontal="center" vertical="center" wrapText="1"/>
    </xf>
    <xf numFmtId="1" fontId="1" fillId="41" borderId="0" xfId="0" applyNumberFormat="1" applyFont="1" applyFill="1" applyAlignment="1">
      <alignment horizontal="center" vertical="center" wrapText="1"/>
    </xf>
    <xf numFmtId="0" fontId="1" fillId="41" borderId="0" xfId="0" applyFont="1" applyFill="1" applyAlignment="1">
      <alignment horizontal="center" vertical="center" wrapText="1"/>
    </xf>
    <xf numFmtId="0" fontId="3" fillId="41" borderId="0" xfId="0" applyFont="1" applyFill="1" applyBorder="1" applyAlignment="1">
      <alignment horizontal="center" vertical="center" wrapText="1"/>
    </xf>
    <xf numFmtId="200" fontId="17" fillId="41" borderId="16" xfId="0" applyNumberFormat="1" applyFont="1" applyFill="1" applyBorder="1" applyAlignment="1">
      <alignment horizontal="center" vertical="center"/>
    </xf>
    <xf numFmtId="0" fontId="17" fillId="0" borderId="16" xfId="575" applyFont="1" applyFill="1" applyBorder="1" applyAlignment="1">
      <alignment horizontal="center" vertical="center" wrapText="1"/>
      <protection/>
    </xf>
    <xf numFmtId="0" fontId="17" fillId="41" borderId="16" xfId="575" applyFont="1" applyFill="1" applyBorder="1" applyAlignment="1">
      <alignment horizontal="center" vertical="center" wrapText="1"/>
      <protection/>
    </xf>
    <xf numFmtId="0" fontId="0" fillId="41" borderId="0" xfId="0" applyFont="1" applyFill="1" applyAlignment="1">
      <alignment/>
    </xf>
    <xf numFmtId="0" fontId="19" fillId="41" borderId="0" xfId="0" applyFont="1" applyFill="1" applyAlignment="1">
      <alignment horizontal="center" vertical="center" wrapText="1"/>
    </xf>
    <xf numFmtId="2" fontId="17" fillId="0" borderId="16" xfId="0" applyNumberFormat="1" applyFont="1" applyFill="1" applyBorder="1" applyAlignment="1">
      <alignment horizontal="center" vertical="center" textRotation="90" wrapText="1"/>
    </xf>
    <xf numFmtId="214" fontId="17" fillId="41" borderId="16" xfId="0" applyNumberFormat="1" applyFont="1" applyFill="1" applyBorder="1" applyAlignment="1">
      <alignment horizontal="center" vertical="center" wrapText="1"/>
    </xf>
    <xf numFmtId="1" fontId="17" fillId="41" borderId="16" xfId="0" applyNumberFormat="1" applyFont="1" applyFill="1" applyBorder="1" applyAlignment="1">
      <alignment horizontal="center" vertical="center" wrapText="1"/>
    </xf>
    <xf numFmtId="2" fontId="15" fillId="0" borderId="0" xfId="0" applyNumberFormat="1" applyFont="1" applyFill="1" applyBorder="1" applyAlignment="1">
      <alignment horizontal="center" vertical="center"/>
    </xf>
    <xf numFmtId="49" fontId="15" fillId="0" borderId="16" xfId="0" applyNumberFormat="1" applyFont="1" applyBorder="1" applyAlignment="1">
      <alignment horizontal="center" vertical="center" wrapText="1"/>
    </xf>
    <xf numFmtId="199" fontId="17" fillId="0" borderId="16"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2" fontId="17" fillId="0" borderId="16" xfId="0" applyNumberFormat="1" applyFont="1" applyFill="1" applyBorder="1" applyAlignment="1">
      <alignment horizontal="center" vertical="center" wrapText="1"/>
    </xf>
    <xf numFmtId="0" fontId="15" fillId="41" borderId="16" xfId="0" applyNumberFormat="1" applyFont="1" applyFill="1" applyBorder="1" applyAlignment="1">
      <alignment horizontal="center" vertical="center" wrapText="1"/>
    </xf>
    <xf numFmtId="0" fontId="27" fillId="0" borderId="16" xfId="0" applyFont="1" applyFill="1" applyBorder="1" applyAlignment="1">
      <alignment horizontal="center" vertical="center" wrapText="1"/>
    </xf>
    <xf numFmtId="1" fontId="15" fillId="41" borderId="16" xfId="0" applyNumberFormat="1" applyFont="1" applyFill="1" applyBorder="1" applyAlignment="1">
      <alignment horizontal="center" vertical="center" wrapText="1"/>
    </xf>
    <xf numFmtId="2" fontId="17" fillId="41" borderId="16" xfId="0" applyNumberFormat="1" applyFont="1" applyFill="1" applyBorder="1" applyAlignment="1">
      <alignment horizontal="center" vertical="center" wrapText="1"/>
    </xf>
    <xf numFmtId="0" fontId="18" fillId="41" borderId="16" xfId="0" applyFont="1" applyFill="1" applyBorder="1" applyAlignment="1">
      <alignment horizontal="center" vertical="center" wrapText="1"/>
    </xf>
    <xf numFmtId="49" fontId="18" fillId="41" borderId="16" xfId="0" applyNumberFormat="1" applyFont="1" applyFill="1" applyBorder="1" applyAlignment="1">
      <alignment horizontal="center" vertical="center" wrapText="1"/>
    </xf>
    <xf numFmtId="200" fontId="17" fillId="41" borderId="16" xfId="0" applyNumberFormat="1" applyFont="1" applyFill="1" applyBorder="1" applyAlignment="1">
      <alignment horizontal="center" vertical="center" wrapText="1"/>
    </xf>
    <xf numFmtId="2" fontId="15" fillId="41" borderId="16" xfId="0" applyNumberFormat="1" applyFont="1" applyFill="1" applyBorder="1" applyAlignment="1">
      <alignment horizontal="center" vertical="center" wrapText="1"/>
    </xf>
    <xf numFmtId="49" fontId="18" fillId="41" borderId="16" xfId="0" applyNumberFormat="1" applyFont="1" applyFill="1" applyBorder="1" applyAlignment="1">
      <alignment horizontal="center" vertical="center"/>
    </xf>
    <xf numFmtId="2" fontId="15" fillId="42" borderId="16" xfId="0" applyNumberFormat="1" applyFont="1" applyFill="1" applyBorder="1" applyAlignment="1">
      <alignment horizontal="center" vertical="center"/>
    </xf>
    <xf numFmtId="0" fontId="15" fillId="41" borderId="16" xfId="0" applyFont="1" applyFill="1" applyBorder="1" applyAlignment="1">
      <alignment horizontal="right" vertical="center" wrapText="1"/>
    </xf>
    <xf numFmtId="49" fontId="17" fillId="43" borderId="16" xfId="0" applyNumberFormat="1" applyFont="1" applyFill="1" applyBorder="1" applyAlignment="1">
      <alignment horizontal="center" vertical="center" wrapText="1"/>
    </xf>
    <xf numFmtId="0" fontId="15" fillId="43" borderId="16" xfId="0" applyFont="1" applyFill="1" applyBorder="1" applyAlignment="1">
      <alignment horizontal="center" vertical="center" wrapText="1"/>
    </xf>
    <xf numFmtId="0" fontId="20" fillId="43" borderId="16" xfId="0" applyFont="1" applyFill="1" applyBorder="1" applyAlignment="1">
      <alignment horizontal="center" vertical="center" wrapText="1"/>
    </xf>
    <xf numFmtId="0" fontId="17" fillId="43" borderId="16" xfId="0" applyFont="1" applyFill="1" applyBorder="1" applyAlignment="1">
      <alignment horizontal="center" vertical="center" wrapText="1"/>
    </xf>
    <xf numFmtId="2" fontId="15" fillId="43" borderId="16"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wrapText="1"/>
    </xf>
    <xf numFmtId="0" fontId="15" fillId="0" borderId="18" xfId="0" applyFont="1" applyBorder="1" applyAlignment="1">
      <alignment horizontal="center" vertical="center" wrapText="1"/>
    </xf>
    <xf numFmtId="2" fontId="17" fillId="41" borderId="16" xfId="581" applyNumberFormat="1" applyFont="1" applyFill="1" applyBorder="1" applyAlignment="1">
      <alignment horizontal="center" vertical="center"/>
      <protection/>
    </xf>
    <xf numFmtId="0" fontId="24" fillId="42" borderId="16" xfId="0" applyFont="1" applyFill="1" applyBorder="1" applyAlignment="1">
      <alignment horizontal="center" vertical="center" wrapText="1"/>
    </xf>
    <xf numFmtId="49" fontId="18" fillId="0" borderId="16" xfId="581" applyNumberFormat="1" applyFont="1" applyFill="1" applyBorder="1" applyAlignment="1">
      <alignment horizontal="center" vertical="center" wrapText="1"/>
      <protection/>
    </xf>
    <xf numFmtId="49" fontId="18" fillId="0" borderId="16" xfId="581" applyNumberFormat="1" applyFont="1" applyFill="1" applyBorder="1" applyAlignment="1">
      <alignment horizontal="center" vertical="center"/>
      <protection/>
    </xf>
    <xf numFmtId="0" fontId="17" fillId="0" borderId="16" xfId="581" applyFont="1" applyFill="1" applyBorder="1" applyAlignment="1">
      <alignment horizontal="center" vertical="center" wrapText="1"/>
      <protection/>
    </xf>
    <xf numFmtId="0" fontId="17" fillId="0" borderId="16" xfId="581" applyFont="1" applyFill="1" applyBorder="1" applyAlignment="1">
      <alignment horizontal="center" vertical="center"/>
      <protection/>
    </xf>
    <xf numFmtId="2" fontId="17" fillId="0" borderId="16" xfId="581" applyNumberFormat="1" applyFont="1" applyFill="1" applyBorder="1" applyAlignment="1">
      <alignment horizontal="center" vertical="center"/>
      <protection/>
    </xf>
    <xf numFmtId="49" fontId="17" fillId="41" borderId="16" xfId="575" applyNumberFormat="1" applyFont="1" applyFill="1" applyBorder="1" applyAlignment="1">
      <alignment horizontal="center" vertical="center" wrapText="1"/>
      <protection/>
    </xf>
    <xf numFmtId="49" fontId="18" fillId="41" borderId="16" xfId="575" applyNumberFormat="1" applyFont="1" applyFill="1" applyBorder="1" applyAlignment="1">
      <alignment horizontal="center" vertical="center" wrapText="1"/>
      <protection/>
    </xf>
    <xf numFmtId="0" fontId="15" fillId="42" borderId="16" xfId="575" applyFont="1" applyFill="1" applyBorder="1" applyAlignment="1">
      <alignment horizontal="center" vertical="center" wrapText="1"/>
      <protection/>
    </xf>
    <xf numFmtId="0" fontId="5" fillId="41" borderId="16" xfId="585" applyNumberFormat="1" applyFont="1" applyFill="1" applyBorder="1" applyAlignment="1">
      <alignment horizontal="center" vertical="center" wrapText="1"/>
      <protection/>
    </xf>
    <xf numFmtId="0" fontId="3" fillId="41" borderId="16" xfId="469" applyNumberFormat="1" applyFont="1" applyFill="1" applyBorder="1" applyAlignment="1">
      <alignment horizontal="center" vertical="center" wrapText="1"/>
      <protection/>
    </xf>
    <xf numFmtId="0" fontId="35" fillId="41" borderId="16" xfId="469" applyNumberFormat="1" applyFont="1" applyFill="1" applyBorder="1" applyAlignment="1">
      <alignment horizontal="center" vertical="center" wrapText="1"/>
      <protection/>
    </xf>
    <xf numFmtId="2" fontId="35" fillId="41" borderId="16" xfId="469" applyNumberFormat="1" applyFont="1" applyFill="1" applyBorder="1" applyAlignment="1">
      <alignment horizontal="center" vertical="center" wrapText="1"/>
      <protection/>
    </xf>
    <xf numFmtId="0" fontId="18" fillId="41" borderId="16" xfId="575" applyFont="1" applyFill="1" applyBorder="1" applyAlignment="1">
      <alignment horizontal="center" vertical="center" wrapText="1"/>
      <protection/>
    </xf>
    <xf numFmtId="0" fontId="17" fillId="41" borderId="16" xfId="575" applyNumberFormat="1" applyFont="1" applyFill="1" applyBorder="1" applyAlignment="1">
      <alignment horizontal="center" vertical="center" wrapText="1"/>
      <protection/>
    </xf>
    <xf numFmtId="200" fontId="17" fillId="0" borderId="16" xfId="575" applyNumberFormat="1" applyFont="1" applyFill="1" applyBorder="1" applyAlignment="1">
      <alignment horizontal="center" vertical="center" wrapText="1"/>
      <protection/>
    </xf>
    <xf numFmtId="200" fontId="15" fillId="0" borderId="16" xfId="575" applyNumberFormat="1" applyFont="1" applyFill="1" applyBorder="1" applyAlignment="1">
      <alignment horizontal="center" vertical="center" wrapText="1"/>
      <protection/>
    </xf>
    <xf numFmtId="0" fontId="15" fillId="41" borderId="16" xfId="575" applyNumberFormat="1" applyFont="1" applyFill="1" applyBorder="1" applyAlignment="1">
      <alignment horizontal="center" vertical="center" wrapText="1"/>
      <protection/>
    </xf>
    <xf numFmtId="2" fontId="15" fillId="0" borderId="16" xfId="575" applyNumberFormat="1" applyFont="1" applyFill="1" applyBorder="1" applyAlignment="1">
      <alignment horizontal="center" vertical="center" wrapText="1"/>
      <protection/>
    </xf>
    <xf numFmtId="0" fontId="15" fillId="41" borderId="19" xfId="0" applyFont="1" applyFill="1" applyBorder="1" applyAlignment="1">
      <alignment vertical="center" wrapText="1"/>
    </xf>
    <xf numFmtId="2" fontId="1" fillId="41" borderId="0" xfId="0" applyNumberFormat="1" applyFont="1" applyFill="1" applyAlignment="1">
      <alignment horizontal="center" vertical="center" wrapText="1"/>
    </xf>
    <xf numFmtId="2" fontId="17" fillId="44" borderId="16" xfId="0" applyNumberFormat="1" applyFont="1" applyFill="1" applyBorder="1" applyAlignment="1">
      <alignment horizontal="center" vertical="center" wrapText="1"/>
    </xf>
    <xf numFmtId="49" fontId="17" fillId="0" borderId="16" xfId="581" applyNumberFormat="1" applyFont="1" applyFill="1" applyBorder="1" applyAlignment="1">
      <alignment horizontal="center" vertical="center" wrapText="1"/>
      <protection/>
    </xf>
    <xf numFmtId="0" fontId="15" fillId="45" borderId="16" xfId="0" applyFont="1" applyFill="1" applyBorder="1" applyAlignment="1">
      <alignment horizontal="center" vertical="center" wrapText="1"/>
    </xf>
    <xf numFmtId="2" fontId="15" fillId="0" borderId="17" xfId="0" applyNumberFormat="1" applyFont="1" applyBorder="1" applyAlignment="1">
      <alignment horizontal="center" vertical="center" wrapText="1"/>
    </xf>
    <xf numFmtId="0" fontId="27" fillId="0" borderId="17" xfId="0" applyFont="1" applyBorder="1" applyAlignment="1">
      <alignment horizontal="center" vertical="center" wrapText="1"/>
    </xf>
    <xf numFmtId="0" fontId="15" fillId="0" borderId="17" xfId="0" applyFont="1" applyBorder="1" applyAlignment="1">
      <alignment horizontal="center" vertical="center" wrapText="1"/>
    </xf>
    <xf numFmtId="0" fontId="15" fillId="41" borderId="20" xfId="0" applyFont="1" applyFill="1" applyBorder="1" applyAlignment="1">
      <alignment vertical="center" wrapText="1"/>
    </xf>
    <xf numFmtId="2" fontId="18" fillId="0" borderId="16" xfId="0" applyNumberFormat="1" applyFont="1" applyBorder="1" applyAlignment="1">
      <alignment horizontal="center" vertical="center" textRotation="90" wrapText="1"/>
    </xf>
    <xf numFmtId="2" fontId="15" fillId="0" borderId="18" xfId="0" applyNumberFormat="1" applyFont="1" applyBorder="1" applyAlignment="1">
      <alignment horizontal="center" vertical="center" wrapText="1"/>
    </xf>
    <xf numFmtId="1" fontId="15" fillId="0" borderId="18" xfId="0" applyNumberFormat="1" applyFont="1" applyBorder="1" applyAlignment="1">
      <alignment horizontal="center" vertical="center" wrapText="1"/>
    </xf>
    <xf numFmtId="49" fontId="18" fillId="0" borderId="18" xfId="0" applyNumberFormat="1" applyFont="1" applyFill="1" applyBorder="1" applyAlignment="1">
      <alignment horizontal="center" vertical="center" wrapText="1"/>
    </xf>
    <xf numFmtId="2" fontId="17" fillId="0" borderId="18" xfId="0" applyNumberFormat="1" applyFont="1" applyFill="1" applyBorder="1" applyAlignment="1">
      <alignment horizontal="center" vertical="center" wrapText="1"/>
    </xf>
    <xf numFmtId="0" fontId="0" fillId="0" borderId="0" xfId="0" applyFont="1" applyAlignment="1">
      <alignment/>
    </xf>
    <xf numFmtId="0" fontId="17" fillId="41" borderId="18" xfId="0" applyFont="1" applyFill="1" applyBorder="1" applyAlignment="1">
      <alignment horizontal="center" vertical="center" wrapText="1"/>
    </xf>
    <xf numFmtId="1" fontId="5" fillId="0" borderId="0" xfId="0" applyNumberFormat="1" applyFont="1" applyFill="1" applyAlignment="1">
      <alignment horizontal="center" vertical="center" wrapText="1"/>
    </xf>
    <xf numFmtId="1" fontId="0" fillId="0" borderId="0" xfId="0" applyNumberFormat="1" applyFont="1" applyFill="1" applyAlignment="1">
      <alignment horizontal="center" vertical="center"/>
    </xf>
    <xf numFmtId="49" fontId="17" fillId="41" borderId="17" xfId="0" applyNumberFormat="1" applyFont="1" applyFill="1" applyBorder="1" applyAlignment="1">
      <alignment horizontal="center" vertical="center" wrapText="1"/>
    </xf>
    <xf numFmtId="0" fontId="24" fillId="41" borderId="17" xfId="0" applyFont="1" applyFill="1" applyBorder="1" applyAlignment="1">
      <alignment horizontal="center" vertical="center" wrapText="1"/>
    </xf>
    <xf numFmtId="0" fontId="15" fillId="41" borderId="17" xfId="0" applyFont="1" applyFill="1" applyBorder="1" applyAlignment="1">
      <alignment horizontal="center" vertical="center" wrapText="1"/>
    </xf>
    <xf numFmtId="0" fontId="15" fillId="42" borderId="21" xfId="0" applyFont="1" applyFill="1" applyBorder="1" applyAlignment="1">
      <alignment horizontal="center" vertical="center" wrapText="1"/>
    </xf>
    <xf numFmtId="0" fontId="15" fillId="42" borderId="22" xfId="0" applyFont="1" applyFill="1" applyBorder="1" applyAlignment="1">
      <alignment vertical="center" wrapText="1"/>
    </xf>
    <xf numFmtId="199" fontId="17" fillId="41" borderId="18" xfId="0" applyNumberFormat="1" applyFont="1" applyFill="1" applyBorder="1" applyAlignment="1">
      <alignment horizontal="center" vertical="center" wrapText="1"/>
    </xf>
    <xf numFmtId="2" fontId="17" fillId="41" borderId="0" xfId="0" applyNumberFormat="1" applyFont="1" applyFill="1" applyBorder="1" applyAlignment="1">
      <alignment horizontal="center" vertical="center" wrapText="1"/>
    </xf>
    <xf numFmtId="3" fontId="17" fillId="41" borderId="0" xfId="0" applyNumberFormat="1" applyFont="1" applyFill="1" applyBorder="1" applyAlignment="1">
      <alignment horizontal="center" vertical="center" wrapText="1"/>
    </xf>
    <xf numFmtId="0" fontId="37"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2" fontId="17" fillId="41" borderId="16" xfId="575" applyNumberFormat="1" applyFont="1" applyFill="1" applyBorder="1" applyAlignment="1">
      <alignment horizontal="center" vertical="center" wrapText="1"/>
      <protection/>
    </xf>
    <xf numFmtId="2" fontId="38" fillId="0" borderId="16" xfId="581" applyNumberFormat="1" applyFont="1" applyBorder="1" applyAlignment="1">
      <alignment horizontal="center" vertical="center"/>
      <protection/>
    </xf>
    <xf numFmtId="49" fontId="20" fillId="41" borderId="18" xfId="0" applyNumberFormat="1" applyFont="1" applyFill="1" applyBorder="1" applyAlignment="1">
      <alignment horizontal="center" vertical="center" wrapText="1"/>
    </xf>
    <xf numFmtId="2" fontId="17" fillId="0" borderId="0" xfId="0" applyNumberFormat="1" applyFont="1" applyAlignment="1">
      <alignment horizontal="center" vertical="center" wrapText="1"/>
    </xf>
    <xf numFmtId="2" fontId="17" fillId="0" borderId="16" xfId="468" applyNumberFormat="1" applyFont="1" applyFill="1" applyBorder="1" applyAlignment="1">
      <alignment horizontal="center" vertical="center" wrapText="1"/>
      <protection/>
    </xf>
    <xf numFmtId="2" fontId="17" fillId="41" borderId="18" xfId="0" applyNumberFormat="1" applyFont="1" applyFill="1" applyBorder="1" applyAlignment="1">
      <alignment horizontal="center" vertical="center" wrapText="1"/>
    </xf>
    <xf numFmtId="4" fontId="17" fillId="0" borderId="16" xfId="0" applyNumberFormat="1" applyFont="1" applyFill="1" applyBorder="1" applyAlignment="1">
      <alignment horizontal="center" vertical="center"/>
    </xf>
    <xf numFmtId="0" fontId="15" fillId="0" borderId="16" xfId="0" applyFont="1" applyFill="1" applyBorder="1" applyAlignment="1">
      <alignment vertical="center" wrapText="1"/>
    </xf>
    <xf numFmtId="49" fontId="20" fillId="43" borderId="16" xfId="0" applyNumberFormat="1" applyFont="1" applyFill="1" applyBorder="1" applyAlignment="1">
      <alignment horizontal="center" vertical="center" wrapText="1"/>
    </xf>
    <xf numFmtId="199" fontId="17" fillId="41" borderId="16" xfId="0" applyNumberFormat="1" applyFont="1" applyFill="1" applyBorder="1" applyAlignment="1">
      <alignment horizontal="center" vertical="center"/>
    </xf>
    <xf numFmtId="198" fontId="17" fillId="41" borderId="16" xfId="0" applyNumberFormat="1" applyFont="1" applyFill="1" applyBorder="1" applyAlignment="1">
      <alignment horizontal="center" vertical="center"/>
    </xf>
    <xf numFmtId="0" fontId="15" fillId="0" borderId="16" xfId="0" applyFont="1" applyFill="1" applyBorder="1" applyAlignment="1">
      <alignment vertical="center"/>
    </xf>
    <xf numFmtId="14" fontId="17" fillId="41" borderId="16" xfId="575" applyNumberFormat="1" applyFont="1" applyFill="1" applyBorder="1" applyAlignment="1">
      <alignment horizontal="center" vertical="center" wrapText="1"/>
      <protection/>
    </xf>
    <xf numFmtId="0" fontId="21" fillId="0" borderId="16" xfId="0" applyNumberFormat="1" applyFont="1" applyFill="1" applyBorder="1" applyAlignment="1">
      <alignment horizontal="center" vertical="center" wrapText="1"/>
    </xf>
    <xf numFmtId="0" fontId="4" fillId="41" borderId="16" xfId="429" applyFont="1" applyFill="1" applyBorder="1" applyAlignment="1">
      <alignment horizontal="center" vertical="center"/>
      <protection/>
    </xf>
    <xf numFmtId="49" fontId="17" fillId="41" borderId="18" xfId="0" applyNumberFormat="1" applyFont="1" applyFill="1" applyBorder="1" applyAlignment="1">
      <alignment horizontal="center" vertical="center" wrapText="1"/>
    </xf>
    <xf numFmtId="0" fontId="18" fillId="41" borderId="18" xfId="0" applyFont="1" applyFill="1" applyBorder="1" applyAlignment="1">
      <alignment horizontal="center" vertical="center" wrapText="1"/>
    </xf>
    <xf numFmtId="2" fontId="17" fillId="41" borderId="18" xfId="0" applyNumberFormat="1" applyFont="1" applyFill="1" applyBorder="1" applyAlignment="1">
      <alignment horizontal="center" vertical="center"/>
    </xf>
    <xf numFmtId="200" fontId="17" fillId="41" borderId="18" xfId="0" applyNumberFormat="1" applyFont="1" applyFill="1" applyBorder="1" applyAlignment="1">
      <alignment horizontal="center" vertical="center"/>
    </xf>
    <xf numFmtId="0" fontId="17" fillId="41" borderId="18" xfId="0" applyFont="1" applyFill="1" applyBorder="1" applyAlignment="1">
      <alignment horizontal="center" vertical="center"/>
    </xf>
    <xf numFmtId="4" fontId="17" fillId="41" borderId="18" xfId="0" applyNumberFormat="1" applyFont="1" applyFill="1" applyBorder="1" applyAlignment="1">
      <alignment horizontal="center" vertical="center"/>
    </xf>
    <xf numFmtId="49" fontId="15" fillId="0" borderId="16"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xf>
    <xf numFmtId="2" fontId="15" fillId="42" borderId="16" xfId="0" applyNumberFormat="1" applyFont="1" applyFill="1" applyBorder="1" applyAlignment="1">
      <alignment horizontal="center" vertical="center"/>
    </xf>
    <xf numFmtId="0" fontId="17" fillId="0" borderId="16" xfId="0" applyNumberFormat="1" applyFont="1" applyFill="1" applyBorder="1" applyAlignment="1">
      <alignment horizontal="center" vertical="center"/>
    </xf>
    <xf numFmtId="198" fontId="17" fillId="0" borderId="16" xfId="0" applyNumberFormat="1" applyFont="1" applyFill="1" applyBorder="1" applyAlignment="1">
      <alignment horizontal="center" vertical="center"/>
    </xf>
    <xf numFmtId="202" fontId="17" fillId="41" borderId="16" xfId="0" applyNumberFormat="1" applyFont="1" applyFill="1" applyBorder="1" applyAlignment="1">
      <alignment horizontal="center" vertical="center" wrapText="1"/>
    </xf>
    <xf numFmtId="0" fontId="3" fillId="41" borderId="16" xfId="429" applyFont="1" applyFill="1" applyBorder="1" applyAlignment="1">
      <alignment horizontal="center" vertical="center" wrapText="1"/>
      <protection/>
    </xf>
    <xf numFmtId="198" fontId="3" fillId="0" borderId="0" xfId="0" applyNumberFormat="1" applyFont="1" applyAlignment="1">
      <alignment horizontal="center" vertical="center"/>
    </xf>
    <xf numFmtId="0" fontId="3" fillId="41" borderId="16" xfId="429" applyFont="1" applyFill="1" applyBorder="1" applyAlignment="1">
      <alignment horizontal="center" vertical="center"/>
      <protection/>
    </xf>
    <xf numFmtId="4" fontId="17" fillId="41" borderId="16" xfId="429" applyNumberFormat="1" applyFont="1" applyFill="1" applyBorder="1" applyAlignment="1">
      <alignment horizontal="center" vertical="center" wrapText="1"/>
      <protection/>
    </xf>
    <xf numFmtId="0" fontId="27" fillId="41" borderId="16" xfId="0" applyFont="1" applyFill="1" applyBorder="1" applyAlignment="1">
      <alignment horizontal="center" vertical="center" wrapText="1"/>
    </xf>
    <xf numFmtId="4" fontId="3" fillId="41" borderId="16" xfId="429" applyNumberFormat="1" applyFont="1" applyFill="1" applyBorder="1" applyAlignment="1">
      <alignment horizontal="center" vertical="center" wrapText="1"/>
      <protection/>
    </xf>
    <xf numFmtId="3" fontId="15" fillId="41" borderId="16" xfId="429" applyNumberFormat="1" applyFont="1" applyFill="1" applyBorder="1" applyAlignment="1">
      <alignment horizontal="center" vertical="center" wrapText="1"/>
      <protection/>
    </xf>
    <xf numFmtId="4" fontId="15" fillId="41" borderId="16" xfId="429" applyNumberFormat="1" applyFont="1" applyFill="1" applyBorder="1" applyAlignment="1">
      <alignment horizontal="center" vertical="center" wrapText="1"/>
      <protection/>
    </xf>
    <xf numFmtId="1" fontId="15" fillId="41" borderId="17" xfId="0" applyNumberFormat="1" applyFont="1" applyFill="1" applyBorder="1" applyAlignment="1">
      <alignment horizontal="center" vertical="center" wrapText="1"/>
    </xf>
    <xf numFmtId="2" fontId="15" fillId="41" borderId="17" xfId="0" applyNumberFormat="1" applyFont="1" applyFill="1" applyBorder="1" applyAlignment="1">
      <alignment horizontal="center" vertical="center" wrapText="1"/>
    </xf>
    <xf numFmtId="0" fontId="17" fillId="41" borderId="17" xfId="0" applyFont="1" applyFill="1" applyBorder="1" applyAlignment="1">
      <alignment horizontal="center" vertical="center" wrapText="1"/>
    </xf>
    <xf numFmtId="49" fontId="20" fillId="41" borderId="17" xfId="0" applyNumberFormat="1" applyFont="1" applyFill="1" applyBorder="1" applyAlignment="1">
      <alignment horizontal="center" vertical="center" wrapText="1"/>
    </xf>
    <xf numFmtId="49" fontId="19" fillId="41" borderId="0" xfId="0" applyNumberFormat="1" applyFont="1" applyFill="1" applyAlignment="1">
      <alignment horizontal="center" vertical="center" wrapText="1"/>
    </xf>
    <xf numFmtId="0" fontId="17" fillId="41" borderId="0" xfId="0" applyFont="1" applyFill="1" applyBorder="1" applyAlignment="1">
      <alignment vertical="center" wrapText="1"/>
    </xf>
    <xf numFmtId="49" fontId="1" fillId="41" borderId="0" xfId="0" applyNumberFormat="1" applyFont="1" applyFill="1" applyAlignment="1">
      <alignment horizontal="center" vertical="center" wrapText="1"/>
    </xf>
    <xf numFmtId="0" fontId="3" fillId="41" borderId="0" xfId="0" applyFont="1" applyFill="1" applyBorder="1" applyAlignment="1">
      <alignment vertical="center" wrapText="1"/>
    </xf>
    <xf numFmtId="2" fontId="3" fillId="41" borderId="0" xfId="0" applyNumberFormat="1" applyFont="1" applyFill="1" applyBorder="1" applyAlignment="1">
      <alignment horizontal="left" vertical="center" wrapText="1"/>
    </xf>
    <xf numFmtId="49" fontId="3" fillId="41" borderId="0" xfId="0" applyNumberFormat="1" applyFont="1" applyFill="1" applyBorder="1" applyAlignment="1">
      <alignment horizontal="center" vertical="center" wrapText="1"/>
    </xf>
    <xf numFmtId="0" fontId="3" fillId="41" borderId="0" xfId="0" applyFont="1" applyFill="1" applyAlignment="1">
      <alignment vertical="center" wrapText="1"/>
    </xf>
    <xf numFmtId="2" fontId="15" fillId="42" borderId="17" xfId="0" applyNumberFormat="1" applyFont="1" applyFill="1" applyBorder="1" applyAlignment="1">
      <alignment horizontal="center" vertical="center" wrapText="1"/>
    </xf>
    <xf numFmtId="4" fontId="15" fillId="42" borderId="16" xfId="429" applyNumberFormat="1" applyFont="1" applyFill="1" applyBorder="1" applyAlignment="1">
      <alignment horizontal="center" vertical="center" wrapText="1"/>
      <protection/>
    </xf>
    <xf numFmtId="49" fontId="17" fillId="0" borderId="0" xfId="0" applyNumberFormat="1" applyFont="1" applyFill="1" applyAlignment="1">
      <alignment horizontal="center" vertical="center" wrapText="1"/>
    </xf>
    <xf numFmtId="0" fontId="17" fillId="41" borderId="16" xfId="429" applyFont="1" applyFill="1" applyBorder="1" applyAlignment="1">
      <alignment horizontal="center" vertical="center"/>
      <protection/>
    </xf>
    <xf numFmtId="213" fontId="3" fillId="41" borderId="16" xfId="429" applyNumberFormat="1" applyFont="1" applyFill="1" applyBorder="1" applyAlignment="1">
      <alignment horizontal="center" vertical="center" wrapText="1"/>
      <protection/>
    </xf>
    <xf numFmtId="0" fontId="15" fillId="41" borderId="16" xfId="0" applyFont="1" applyFill="1" applyBorder="1" applyAlignment="1">
      <alignment horizontal="center" vertical="center" wrapText="1"/>
    </xf>
    <xf numFmtId="199" fontId="17" fillId="41" borderId="16" xfId="0" applyNumberFormat="1" applyFont="1" applyFill="1" applyBorder="1" applyAlignment="1">
      <alignment horizontal="center" vertical="center" wrapText="1"/>
    </xf>
    <xf numFmtId="0" fontId="18" fillId="41" borderId="23" xfId="429" applyFont="1" applyFill="1" applyBorder="1" applyAlignment="1">
      <alignment horizontal="center" vertical="center"/>
      <protection/>
    </xf>
    <xf numFmtId="0" fontId="18" fillId="41" borderId="16" xfId="429" applyFont="1" applyFill="1" applyBorder="1" applyAlignment="1">
      <alignment horizontal="center" vertical="center"/>
      <protection/>
    </xf>
    <xf numFmtId="16" fontId="18" fillId="41" borderId="16"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7" fillId="41" borderId="0" xfId="0" applyFont="1" applyFill="1" applyAlignment="1">
      <alignment horizontal="center" vertical="center"/>
    </xf>
    <xf numFmtId="0" fontId="40" fillId="0" borderId="0" xfId="0" applyFont="1" applyFill="1" applyAlignment="1">
      <alignment horizontal="center" vertical="center" wrapText="1"/>
    </xf>
    <xf numFmtId="4" fontId="15" fillId="41" borderId="16" xfId="0" applyNumberFormat="1" applyFont="1" applyFill="1" applyBorder="1" applyAlignment="1">
      <alignment horizontal="center" vertical="center"/>
    </xf>
    <xf numFmtId="0" fontId="21" fillId="41" borderId="16" xfId="0" applyFont="1" applyFill="1" applyBorder="1" applyAlignment="1">
      <alignment horizontal="center" vertical="center" wrapText="1"/>
    </xf>
    <xf numFmtId="212" fontId="15" fillId="41" borderId="16" xfId="0" applyNumberFormat="1" applyFont="1" applyFill="1" applyBorder="1" applyAlignment="1">
      <alignment horizontal="center" vertical="center"/>
    </xf>
    <xf numFmtId="0" fontId="15" fillId="0" borderId="16" xfId="575" applyNumberFormat="1" applyFont="1" applyFill="1" applyBorder="1" applyAlignment="1">
      <alignment horizontal="center" vertical="center"/>
      <protection/>
    </xf>
    <xf numFmtId="2" fontId="15" fillId="0" borderId="16" xfId="575" applyNumberFormat="1" applyFont="1" applyFill="1" applyBorder="1" applyAlignment="1">
      <alignment horizontal="center" vertical="center"/>
      <protection/>
    </xf>
    <xf numFmtId="0" fontId="17" fillId="0" borderId="16" xfId="0" applyNumberFormat="1" applyFont="1" applyFill="1" applyBorder="1" applyAlignment="1">
      <alignment horizontal="center" vertical="center"/>
    </xf>
    <xf numFmtId="200" fontId="17" fillId="0" borderId="16" xfId="575" applyNumberFormat="1" applyFont="1" applyFill="1" applyBorder="1" applyAlignment="1">
      <alignment horizontal="center" vertical="center"/>
      <protection/>
    </xf>
    <xf numFmtId="0" fontId="17" fillId="0" borderId="16" xfId="575" applyNumberFormat="1" applyFont="1" applyFill="1" applyBorder="1" applyAlignment="1">
      <alignment horizontal="center" vertical="center"/>
      <protection/>
    </xf>
    <xf numFmtId="2" fontId="17" fillId="41" borderId="16" xfId="575" applyNumberFormat="1" applyFont="1" applyFill="1" applyBorder="1" applyAlignment="1">
      <alignment horizontal="center" vertical="center"/>
      <protection/>
    </xf>
    <xf numFmtId="0" fontId="73" fillId="41" borderId="16" xfId="416" applyFont="1" applyFill="1" applyBorder="1" applyAlignment="1">
      <alignment horizontal="center" vertical="center" wrapText="1"/>
      <protection/>
    </xf>
    <xf numFmtId="0" fontId="73" fillId="0" borderId="16" xfId="416" applyFont="1" applyFill="1" applyBorder="1" applyAlignment="1">
      <alignment horizontal="center" vertical="center" wrapText="1"/>
      <protection/>
    </xf>
    <xf numFmtId="198" fontId="73" fillId="41" borderId="16" xfId="416" applyNumberFormat="1" applyFont="1" applyFill="1" applyBorder="1" applyAlignment="1">
      <alignment horizontal="center" vertical="center" wrapText="1"/>
      <protection/>
    </xf>
    <xf numFmtId="0" fontId="0" fillId="41" borderId="0" xfId="0" applyFont="1" applyFill="1" applyAlignment="1">
      <alignment wrapText="1"/>
    </xf>
    <xf numFmtId="0" fontId="6" fillId="41" borderId="16" xfId="0" applyFont="1" applyFill="1" applyBorder="1" applyAlignment="1">
      <alignment horizontal="center" vertical="center" wrapText="1"/>
    </xf>
    <xf numFmtId="2" fontId="18" fillId="0" borderId="16" xfId="0" applyNumberFormat="1" applyFont="1" applyFill="1" applyBorder="1" applyAlignment="1">
      <alignment horizontal="center" vertical="center" wrapText="1"/>
    </xf>
    <xf numFmtId="0" fontId="4" fillId="41" borderId="16" xfId="429" applyFont="1" applyFill="1" applyBorder="1" applyAlignment="1">
      <alignment horizontal="center" vertical="center" wrapText="1"/>
      <protection/>
    </xf>
    <xf numFmtId="0" fontId="15" fillId="42" borderId="16" xfId="0" applyFont="1" applyFill="1" applyBorder="1" applyAlignment="1">
      <alignment horizontal="center" vertical="center" wrapText="1"/>
    </xf>
    <xf numFmtId="0" fontId="17" fillId="41" borderId="16" xfId="469" applyNumberFormat="1" applyFont="1" applyFill="1" applyBorder="1" applyAlignment="1">
      <alignment horizontal="center" vertical="center" wrapText="1"/>
      <protection/>
    </xf>
    <xf numFmtId="0" fontId="15" fillId="41" borderId="16" xfId="469" applyNumberFormat="1" applyFont="1" applyFill="1" applyBorder="1" applyAlignment="1">
      <alignment horizontal="center" vertical="center" wrapText="1"/>
      <protection/>
    </xf>
    <xf numFmtId="2" fontId="17" fillId="41" borderId="16" xfId="457" applyNumberFormat="1" applyFont="1" applyFill="1" applyBorder="1" applyAlignment="1">
      <alignment horizontal="center" vertical="center" wrapText="1"/>
      <protection/>
    </xf>
    <xf numFmtId="198" fontId="0" fillId="0" borderId="0" xfId="0" applyNumberFormat="1" applyFont="1" applyAlignment="1">
      <alignment/>
    </xf>
    <xf numFmtId="4" fontId="0" fillId="0" borderId="0" xfId="0" applyNumberFormat="1" applyFont="1" applyAlignment="1">
      <alignment/>
    </xf>
    <xf numFmtId="4" fontId="17" fillId="0" borderId="0" xfId="0" applyNumberFormat="1" applyFont="1" applyAlignment="1">
      <alignment/>
    </xf>
    <xf numFmtId="49" fontId="18" fillId="41" borderId="16" xfId="581" applyNumberFormat="1" applyFont="1" applyFill="1" applyBorder="1" applyAlignment="1">
      <alignment horizontal="center" vertical="center"/>
      <protection/>
    </xf>
    <xf numFmtId="0" fontId="17" fillId="0" borderId="16" xfId="0" applyNumberFormat="1" applyFont="1" applyFill="1" applyBorder="1" applyAlignment="1">
      <alignment horizontal="center" vertical="center" wrapText="1"/>
    </xf>
    <xf numFmtId="198" fontId="17" fillId="41" borderId="16" xfId="0" applyNumberFormat="1" applyFont="1" applyFill="1" applyBorder="1" applyAlignment="1">
      <alignment horizontal="center" vertical="center" wrapText="1"/>
    </xf>
    <xf numFmtId="0" fontId="17" fillId="41" borderId="16" xfId="0" applyFont="1" applyFill="1" applyBorder="1" applyAlignment="1">
      <alignment horizontal="center" vertical="center"/>
    </xf>
    <xf numFmtId="0" fontId="15" fillId="41" borderId="16" xfId="0" applyFont="1" applyFill="1" applyBorder="1" applyAlignment="1">
      <alignment horizontal="center" vertical="center"/>
    </xf>
    <xf numFmtId="0" fontId="15" fillId="41" borderId="16" xfId="0" applyFont="1" applyFill="1" applyBorder="1" applyAlignment="1">
      <alignment horizontal="center" vertical="center" wrapText="1"/>
    </xf>
    <xf numFmtId="49" fontId="15" fillId="41" borderId="16" xfId="0" applyNumberFormat="1" applyFont="1" applyFill="1" applyBorder="1" applyAlignment="1">
      <alignment horizontal="center" vertical="center" wrapText="1"/>
    </xf>
    <xf numFmtId="2" fontId="17" fillId="41" borderId="16" xfId="0" applyNumberFormat="1" applyFont="1" applyFill="1" applyBorder="1" applyAlignment="1">
      <alignment horizontal="center" vertical="center"/>
    </xf>
    <xf numFmtId="49" fontId="20" fillId="41" borderId="16" xfId="0" applyNumberFormat="1" applyFont="1" applyFill="1" applyBorder="1" applyAlignment="1">
      <alignment horizontal="center" vertical="center" wrapText="1"/>
    </xf>
    <xf numFmtId="199" fontId="15" fillId="41" borderId="16" xfId="0" applyNumberFormat="1" applyFont="1" applyFill="1" applyBorder="1" applyAlignment="1">
      <alignment horizontal="center" vertical="center" wrapText="1"/>
    </xf>
    <xf numFmtId="2" fontId="15" fillId="42" borderId="16" xfId="0" applyNumberFormat="1" applyFont="1" applyFill="1" applyBorder="1" applyAlignment="1">
      <alignment horizontal="center" vertical="center" wrapText="1"/>
    </xf>
    <xf numFmtId="199" fontId="17" fillId="41" borderId="16" xfId="0" applyNumberFormat="1" applyFont="1" applyFill="1" applyBorder="1" applyAlignment="1">
      <alignment horizontal="center" vertical="center" wrapText="1"/>
    </xf>
    <xf numFmtId="2" fontId="1" fillId="0" borderId="0" xfId="0" applyNumberFormat="1" applyFont="1" applyAlignment="1">
      <alignment horizontal="center" vertical="center" wrapText="1"/>
    </xf>
    <xf numFmtId="202" fontId="17" fillId="0" borderId="16" xfId="0" applyNumberFormat="1" applyFont="1" applyFill="1" applyBorder="1" applyAlignment="1">
      <alignment horizontal="center" vertical="center"/>
    </xf>
    <xf numFmtId="2" fontId="4" fillId="41" borderId="16" xfId="0" applyNumberFormat="1" applyFont="1" applyFill="1" applyBorder="1" applyAlignment="1">
      <alignment horizontal="center" vertical="center" textRotation="90" wrapText="1"/>
    </xf>
    <xf numFmtId="2" fontId="19" fillId="41" borderId="0" xfId="0" applyNumberFormat="1" applyFont="1" applyFill="1" applyAlignment="1">
      <alignment horizontal="center" vertical="center" wrapText="1"/>
    </xf>
    <xf numFmtId="0" fontId="15" fillId="0" borderId="16" xfId="0" applyNumberFormat="1" applyFont="1" applyBorder="1" applyAlignment="1">
      <alignment horizontal="center" vertical="center" wrapText="1"/>
    </xf>
    <xf numFmtId="2" fontId="15" fillId="0" borderId="16" xfId="0" applyNumberFormat="1" applyFont="1" applyBorder="1" applyAlignment="1">
      <alignment horizontal="center" vertical="center" wrapText="1"/>
    </xf>
    <xf numFmtId="2" fontId="15" fillId="42" borderId="16" xfId="0" applyNumberFormat="1" applyFont="1" applyFill="1" applyBorder="1" applyAlignment="1">
      <alignment horizontal="center" vertical="center" wrapText="1"/>
    </xf>
    <xf numFmtId="0" fontId="17" fillId="0" borderId="16" xfId="0" applyNumberFormat="1" applyFont="1" applyBorder="1" applyAlignment="1">
      <alignment horizontal="center" vertical="center" wrapText="1"/>
    </xf>
    <xf numFmtId="2" fontId="17" fillId="0" borderId="16" xfId="0" applyNumberFormat="1" applyFont="1" applyBorder="1" applyAlignment="1">
      <alignment horizontal="center" vertical="center" wrapText="1"/>
    </xf>
    <xf numFmtId="2" fontId="17" fillId="41" borderId="16" xfId="0" applyNumberFormat="1" applyFont="1" applyFill="1" applyBorder="1" applyAlignment="1">
      <alignment horizontal="center" vertical="center" wrapText="1"/>
    </xf>
    <xf numFmtId="49" fontId="74" fillId="0" borderId="16" xfId="0" applyNumberFormat="1"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41" borderId="16" xfId="0" applyFont="1" applyFill="1" applyBorder="1" applyAlignment="1">
      <alignment horizontal="center" vertical="center" wrapText="1"/>
    </xf>
    <xf numFmtId="4" fontId="74" fillId="41" borderId="16" xfId="0" applyNumberFormat="1" applyFont="1" applyFill="1" applyBorder="1" applyAlignment="1">
      <alignment horizontal="center" vertical="center" wrapText="1"/>
    </xf>
    <xf numFmtId="2" fontId="74" fillId="41" borderId="16" xfId="0" applyNumberFormat="1" applyFont="1" applyFill="1" applyBorder="1" applyAlignment="1">
      <alignment horizontal="center" vertical="center" wrapText="1"/>
    </xf>
    <xf numFmtId="49" fontId="73" fillId="0" borderId="16" xfId="0" applyNumberFormat="1"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41" borderId="16" xfId="0" applyFont="1" applyFill="1" applyBorder="1" applyAlignment="1">
      <alignment horizontal="center" vertical="center" wrapText="1"/>
    </xf>
    <xf numFmtId="2" fontId="73" fillId="41" borderId="16" xfId="0" applyNumberFormat="1" applyFont="1" applyFill="1" applyBorder="1" applyAlignment="1">
      <alignment horizontal="center" vertical="center" wrapText="1"/>
    </xf>
    <xf numFmtId="202" fontId="73" fillId="41" borderId="16" xfId="0" applyNumberFormat="1" applyFont="1" applyFill="1" applyBorder="1" applyAlignment="1">
      <alignment horizontal="center" vertical="center" wrapText="1"/>
    </xf>
    <xf numFmtId="49" fontId="73" fillId="41" borderId="16" xfId="0" applyNumberFormat="1" applyFont="1" applyFill="1" applyBorder="1" applyAlignment="1">
      <alignment horizontal="center" vertical="center" wrapText="1"/>
    </xf>
    <xf numFmtId="4" fontId="74" fillId="0" borderId="16" xfId="0" applyNumberFormat="1" applyFont="1" applyFill="1" applyBorder="1" applyAlignment="1">
      <alignment horizontal="center" vertical="center" wrapText="1"/>
    </xf>
    <xf numFmtId="199" fontId="73" fillId="41" borderId="16" xfId="0" applyNumberFormat="1" applyFont="1" applyFill="1" applyBorder="1" applyAlignment="1">
      <alignment horizontal="center" vertical="center" wrapText="1"/>
    </xf>
    <xf numFmtId="2" fontId="15" fillId="41" borderId="16" xfId="575" applyNumberFormat="1" applyFont="1" applyFill="1" applyBorder="1" applyAlignment="1">
      <alignment horizontal="center" vertical="center" wrapText="1"/>
      <protection/>
    </xf>
    <xf numFmtId="0" fontId="17" fillId="41" borderId="16" xfId="0" applyFont="1" applyFill="1" applyBorder="1" applyAlignment="1">
      <alignment horizontal="center" vertical="center" wrapText="1"/>
    </xf>
    <xf numFmtId="49" fontId="17" fillId="41" borderId="16"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2" fontId="3" fillId="0" borderId="16" xfId="0" applyNumberFormat="1" applyFont="1" applyFill="1" applyBorder="1" applyAlignment="1">
      <alignment horizontal="center" vertical="center"/>
    </xf>
    <xf numFmtId="0" fontId="3" fillId="41" borderId="16" xfId="0" applyFont="1" applyFill="1" applyBorder="1" applyAlignment="1">
      <alignment horizontal="center" vertical="center"/>
    </xf>
    <xf numFmtId="0" fontId="4" fillId="41" borderId="23" xfId="429" applyFont="1" applyFill="1" applyBorder="1" applyAlignment="1">
      <alignment horizontal="center" vertical="center"/>
      <protection/>
    </xf>
    <xf numFmtId="2" fontId="4" fillId="41" borderId="16" xfId="0" applyNumberFormat="1" applyFont="1" applyFill="1" applyBorder="1" applyAlignment="1">
      <alignment horizontal="center" vertical="center" wrapText="1"/>
    </xf>
    <xf numFmtId="2" fontId="3" fillId="41" borderId="16" xfId="0" applyNumberFormat="1" applyFont="1" applyFill="1" applyBorder="1" applyAlignment="1">
      <alignment horizontal="center" vertical="center"/>
    </xf>
    <xf numFmtId="0" fontId="4" fillId="41" borderId="23" xfId="429" applyFont="1" applyFill="1" applyBorder="1" applyAlignment="1">
      <alignment horizontal="center" vertical="center" wrapText="1"/>
      <protection/>
    </xf>
    <xf numFmtId="49" fontId="15" fillId="0" borderId="16" xfId="576" applyNumberFormat="1" applyFont="1" applyFill="1" applyBorder="1" applyAlignment="1">
      <alignment horizontal="center" vertical="center" wrapText="1"/>
      <protection/>
    </xf>
    <xf numFmtId="49" fontId="20" fillId="0" borderId="16" xfId="576" applyNumberFormat="1" applyFont="1" applyFill="1" applyBorder="1" applyAlignment="1">
      <alignment horizontal="center" vertical="center" wrapText="1"/>
      <protection/>
    </xf>
    <xf numFmtId="0" fontId="15" fillId="0" borderId="16" xfId="576" applyFont="1" applyFill="1" applyBorder="1" applyAlignment="1">
      <alignment horizontal="center" vertical="center" wrapText="1"/>
      <protection/>
    </xf>
    <xf numFmtId="49" fontId="17" fillId="0" borderId="16" xfId="576" applyNumberFormat="1" applyFont="1" applyFill="1" applyBorder="1" applyAlignment="1">
      <alignment horizontal="center" vertical="center" wrapText="1"/>
      <protection/>
    </xf>
    <xf numFmtId="0" fontId="17" fillId="0" borderId="16" xfId="576" applyFont="1" applyFill="1" applyBorder="1" applyAlignment="1">
      <alignment horizontal="center" vertical="center" wrapText="1"/>
      <protection/>
    </xf>
    <xf numFmtId="200" fontId="17" fillId="0" borderId="16" xfId="576" applyNumberFormat="1" applyFont="1" applyFill="1" applyBorder="1" applyAlignment="1">
      <alignment horizontal="center" vertical="center" wrapText="1"/>
      <protection/>
    </xf>
    <xf numFmtId="1" fontId="74" fillId="0" borderId="16" xfId="0" applyNumberFormat="1" applyFont="1" applyBorder="1" applyAlignment="1">
      <alignment horizontal="center" vertical="center" wrapText="1"/>
    </xf>
    <xf numFmtId="0" fontId="74" fillId="0" borderId="16" xfId="0" applyFont="1" applyBorder="1" applyAlignment="1">
      <alignment horizontal="center" vertical="center" wrapText="1"/>
    </xf>
    <xf numFmtId="2" fontId="74" fillId="0" borderId="16" xfId="0" applyNumberFormat="1" applyFont="1" applyBorder="1" applyAlignment="1">
      <alignment horizontal="center" vertical="center" wrapText="1"/>
    </xf>
    <xf numFmtId="2" fontId="74" fillId="42" borderId="16" xfId="0" applyNumberFormat="1" applyFont="1" applyFill="1" applyBorder="1" applyAlignment="1">
      <alignment horizontal="center" vertical="center" wrapText="1"/>
    </xf>
    <xf numFmtId="199" fontId="73" fillId="0" borderId="16" xfId="0" applyNumberFormat="1" applyFont="1" applyBorder="1" applyAlignment="1">
      <alignment horizontal="center" vertical="center" wrapText="1"/>
    </xf>
    <xf numFmtId="0" fontId="73" fillId="0" borderId="16" xfId="0" applyFont="1" applyBorder="1" applyAlignment="1">
      <alignment horizontal="center" vertical="center" wrapText="1"/>
    </xf>
    <xf numFmtId="200" fontId="73" fillId="0" borderId="16" xfId="0" applyNumberFormat="1" applyFont="1" applyBorder="1" applyAlignment="1">
      <alignment horizontal="center" vertical="center" wrapText="1"/>
    </xf>
    <xf numFmtId="198" fontId="73" fillId="41" borderId="16" xfId="576" applyNumberFormat="1" applyFont="1" applyFill="1" applyBorder="1" applyAlignment="1">
      <alignment horizontal="center" vertical="center" wrapText="1"/>
      <protection/>
    </xf>
    <xf numFmtId="2" fontId="73" fillId="0" borderId="16" xfId="0" applyNumberFormat="1" applyFont="1" applyBorder="1" applyAlignment="1">
      <alignment horizontal="center" vertical="center" wrapText="1"/>
    </xf>
    <xf numFmtId="202" fontId="73" fillId="0" borderId="16" xfId="0" applyNumberFormat="1" applyFont="1" applyBorder="1" applyAlignment="1">
      <alignment horizontal="center" vertical="center" wrapText="1"/>
    </xf>
    <xf numFmtId="16" fontId="73" fillId="0" borderId="16" xfId="0" applyNumberFormat="1" applyFont="1" applyBorder="1" applyAlignment="1">
      <alignment horizontal="center" vertical="center" wrapText="1"/>
    </xf>
    <xf numFmtId="2" fontId="73" fillId="41" borderId="16" xfId="576" applyNumberFormat="1" applyFont="1" applyFill="1" applyBorder="1" applyAlignment="1">
      <alignment horizontal="center" vertical="center" wrapText="1"/>
      <protection/>
    </xf>
    <xf numFmtId="198" fontId="73" fillId="0" borderId="16" xfId="0" applyNumberFormat="1" applyFont="1" applyBorder="1" applyAlignment="1">
      <alignment horizontal="center" vertical="center" wrapText="1"/>
    </xf>
    <xf numFmtId="1" fontId="15" fillId="0" borderId="16" xfId="416" applyNumberFormat="1" applyFont="1" applyFill="1" applyBorder="1" applyAlignment="1">
      <alignment horizontal="center" vertical="center" wrapText="1"/>
      <protection/>
    </xf>
    <xf numFmtId="0" fontId="15" fillId="41" borderId="16" xfId="416" applyFont="1" applyFill="1" applyBorder="1" applyAlignment="1">
      <alignment horizontal="center" vertical="center" wrapText="1"/>
      <protection/>
    </xf>
    <xf numFmtId="0" fontId="20" fillId="0" borderId="16" xfId="416" applyFont="1" applyFill="1" applyBorder="1" applyAlignment="1">
      <alignment horizontal="center" vertical="center" wrapText="1"/>
      <protection/>
    </xf>
    <xf numFmtId="0" fontId="15" fillId="0" borderId="16" xfId="416" applyFont="1" applyFill="1" applyBorder="1" applyAlignment="1">
      <alignment horizontal="center" vertical="center"/>
      <protection/>
    </xf>
    <xf numFmtId="212" fontId="15" fillId="41" borderId="16" xfId="416" applyNumberFormat="1" applyFont="1" applyFill="1" applyBorder="1" applyAlignment="1">
      <alignment horizontal="center" vertical="center"/>
      <protection/>
    </xf>
    <xf numFmtId="198" fontId="17" fillId="41" borderId="18" xfId="0" applyNumberFormat="1" applyFont="1" applyFill="1" applyBorder="1" applyAlignment="1">
      <alignment horizontal="center" vertical="center"/>
    </xf>
    <xf numFmtId="49" fontId="15" fillId="41" borderId="16" xfId="576" applyNumberFormat="1" applyFont="1" applyFill="1" applyBorder="1" applyAlignment="1">
      <alignment horizontal="center" vertical="center" wrapText="1"/>
      <protection/>
    </xf>
    <xf numFmtId="49" fontId="74" fillId="41" borderId="16" xfId="576" applyNumberFormat="1" applyFont="1" applyFill="1" applyBorder="1" applyAlignment="1">
      <alignment horizontal="center" vertical="center" wrapText="1"/>
      <protection/>
    </xf>
    <xf numFmtId="0" fontId="20" fillId="41" borderId="16" xfId="576" applyFont="1" applyFill="1" applyBorder="1" applyAlignment="1">
      <alignment horizontal="center" vertical="center" wrapText="1"/>
      <protection/>
    </xf>
    <xf numFmtId="0" fontId="20" fillId="41" borderId="16" xfId="576" applyFont="1" applyFill="1" applyBorder="1" applyAlignment="1">
      <alignment horizontal="center" vertical="center"/>
      <protection/>
    </xf>
    <xf numFmtId="0" fontId="15" fillId="41" borderId="16" xfId="576" applyFont="1" applyFill="1" applyBorder="1" applyAlignment="1">
      <alignment horizontal="center" vertical="center"/>
      <protection/>
    </xf>
    <xf numFmtId="2" fontId="74" fillId="41" borderId="16" xfId="576" applyNumberFormat="1" applyFont="1" applyFill="1" applyBorder="1" applyAlignment="1">
      <alignment horizontal="center" vertical="center" wrapText="1"/>
      <protection/>
    </xf>
    <xf numFmtId="2" fontId="15" fillId="0" borderId="16" xfId="576" applyNumberFormat="1" applyFont="1" applyFill="1" applyBorder="1" applyAlignment="1">
      <alignment horizontal="center" vertical="center"/>
      <protection/>
    </xf>
    <xf numFmtId="2" fontId="74" fillId="42" borderId="16" xfId="576" applyNumberFormat="1" applyFont="1" applyFill="1" applyBorder="1" applyAlignment="1">
      <alignment horizontal="center" vertical="center" wrapText="1"/>
      <protection/>
    </xf>
    <xf numFmtId="49" fontId="17" fillId="0" borderId="16" xfId="576" applyNumberFormat="1" applyFont="1" applyFill="1" applyBorder="1" applyAlignment="1">
      <alignment horizontal="center" vertical="center" wrapText="1"/>
      <protection/>
    </xf>
    <xf numFmtId="49" fontId="73" fillId="41" borderId="16" xfId="576" applyNumberFormat="1" applyFont="1" applyFill="1" applyBorder="1" applyAlignment="1">
      <alignment horizontal="center" vertical="center" wrapText="1"/>
      <protection/>
    </xf>
    <xf numFmtId="0" fontId="18" fillId="0" borderId="16" xfId="576" applyFont="1" applyFill="1" applyBorder="1" applyAlignment="1">
      <alignment horizontal="center" vertical="center" wrapText="1"/>
      <protection/>
    </xf>
    <xf numFmtId="0" fontId="17" fillId="0" borderId="16" xfId="576" applyFont="1" applyFill="1" applyBorder="1" applyAlignment="1">
      <alignment horizontal="center" vertical="center"/>
      <protection/>
    </xf>
    <xf numFmtId="49" fontId="15" fillId="0" borderId="16" xfId="576" applyNumberFormat="1" applyFont="1" applyFill="1" applyBorder="1" applyAlignment="1">
      <alignment horizontal="center" vertical="center" wrapText="1"/>
      <protection/>
    </xf>
    <xf numFmtId="0" fontId="20" fillId="0" borderId="16" xfId="576" applyFont="1" applyFill="1" applyBorder="1" applyAlignment="1">
      <alignment horizontal="center" vertical="center"/>
      <protection/>
    </xf>
    <xf numFmtId="198" fontId="18" fillId="41" borderId="16" xfId="0" applyNumberFormat="1" applyFont="1" applyFill="1" applyBorder="1" applyAlignment="1">
      <alignment horizontal="center" vertical="center" wrapText="1"/>
    </xf>
    <xf numFmtId="198" fontId="18" fillId="0" borderId="16" xfId="0" applyNumberFormat="1" applyFont="1" applyFill="1" applyBorder="1" applyAlignment="1">
      <alignment horizontal="center" vertical="center" wrapText="1"/>
    </xf>
    <xf numFmtId="0" fontId="40" fillId="41" borderId="16" xfId="429" applyFont="1" applyFill="1" applyBorder="1" applyAlignment="1">
      <alignment horizontal="center" vertical="center" wrapText="1"/>
      <protection/>
    </xf>
    <xf numFmtId="2" fontId="17" fillId="41" borderId="16" xfId="429" applyNumberFormat="1" applyFont="1" applyFill="1" applyBorder="1" applyAlignment="1">
      <alignment horizontal="center" vertical="center" wrapText="1"/>
      <protection/>
    </xf>
    <xf numFmtId="0" fontId="15" fillId="0" borderId="16" xfId="471" applyNumberFormat="1" applyFont="1" applyFill="1" applyBorder="1" applyAlignment="1">
      <alignment horizontal="center" vertical="center" wrapText="1"/>
      <protection/>
    </xf>
    <xf numFmtId="2" fontId="17" fillId="41" borderId="16" xfId="470" applyNumberFormat="1" applyFont="1" applyFill="1" applyBorder="1" applyAlignment="1">
      <alignment horizontal="center" vertical="center" wrapText="1"/>
      <protection/>
    </xf>
    <xf numFmtId="2" fontId="17" fillId="0" borderId="16" xfId="470" applyNumberFormat="1" applyFont="1" applyFill="1" applyBorder="1" applyAlignment="1">
      <alignment horizontal="center" vertical="center" wrapText="1"/>
      <protection/>
    </xf>
    <xf numFmtId="2" fontId="15" fillId="41" borderId="16" xfId="429" applyNumberFormat="1" applyFont="1" applyFill="1" applyBorder="1" applyAlignment="1">
      <alignment horizontal="center" vertical="center" wrapText="1"/>
      <protection/>
    </xf>
    <xf numFmtId="2" fontId="17" fillId="41" borderId="16" xfId="581" applyNumberFormat="1" applyFont="1" applyFill="1" applyBorder="1" applyAlignment="1">
      <alignment horizontal="center" vertical="center" wrapText="1"/>
      <protection/>
    </xf>
    <xf numFmtId="2" fontId="17" fillId="43" borderId="16" xfId="0" applyNumberFormat="1" applyFont="1" applyFill="1" applyBorder="1" applyAlignment="1">
      <alignment horizontal="center" vertical="center" wrapText="1"/>
    </xf>
    <xf numFmtId="2" fontId="15" fillId="0" borderId="16" xfId="416" applyNumberFormat="1" applyFont="1" applyFill="1" applyBorder="1" applyAlignment="1">
      <alignment horizontal="center" vertical="center"/>
      <protection/>
    </xf>
    <xf numFmtId="2" fontId="34" fillId="41" borderId="16" xfId="0" applyNumberFormat="1" applyFont="1" applyFill="1" applyBorder="1" applyAlignment="1">
      <alignment horizontal="center" vertical="center"/>
    </xf>
    <xf numFmtId="2" fontId="3" fillId="41" borderId="16" xfId="429" applyNumberFormat="1" applyFont="1" applyFill="1" applyBorder="1" applyAlignment="1">
      <alignment horizontal="center" vertical="center" wrapText="1"/>
      <protection/>
    </xf>
    <xf numFmtId="2" fontId="17" fillId="0" borderId="16" xfId="575" applyNumberFormat="1" applyFont="1" applyFill="1" applyBorder="1" applyAlignment="1">
      <alignment horizontal="center" vertical="center"/>
      <protection/>
    </xf>
    <xf numFmtId="2" fontId="17" fillId="0" borderId="16" xfId="468" applyNumberFormat="1" applyFont="1" applyFill="1" applyBorder="1" applyAlignment="1">
      <alignment horizontal="center" vertical="center"/>
      <protection/>
    </xf>
    <xf numFmtId="2" fontId="27" fillId="0" borderId="16" xfId="416" applyNumberFormat="1" applyFont="1" applyFill="1" applyBorder="1" applyAlignment="1">
      <alignment horizontal="center" vertical="center"/>
      <protection/>
    </xf>
    <xf numFmtId="2" fontId="17" fillId="41" borderId="16" xfId="457" applyNumberFormat="1" applyFont="1" applyFill="1" applyBorder="1" applyAlignment="1">
      <alignment horizontal="center" vertical="center" wrapText="1"/>
      <protection/>
    </xf>
    <xf numFmtId="2" fontId="15" fillId="0" borderId="16" xfId="576" applyNumberFormat="1" applyFont="1" applyFill="1" applyBorder="1" applyAlignment="1">
      <alignment horizontal="center" vertical="center" wrapText="1"/>
      <protection/>
    </xf>
    <xf numFmtId="0" fontId="75" fillId="0" borderId="16" xfId="0" applyFont="1" applyFill="1" applyBorder="1" applyAlignment="1">
      <alignment horizontal="center" vertical="center" wrapText="1"/>
    </xf>
    <xf numFmtId="0" fontId="76" fillId="41" borderId="16"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6" xfId="0" applyFont="1" applyBorder="1" applyAlignment="1">
      <alignment horizontal="center" vertical="center" wrapText="1"/>
    </xf>
    <xf numFmtId="0" fontId="5" fillId="42" borderId="16" xfId="585" applyNumberFormat="1" applyFont="1" applyFill="1" applyBorder="1" applyAlignment="1">
      <alignment horizontal="center" vertical="center" wrapText="1"/>
      <protection/>
    </xf>
    <xf numFmtId="0" fontId="3" fillId="41" borderId="16" xfId="585" applyNumberFormat="1" applyFont="1" applyFill="1" applyBorder="1" applyAlignment="1">
      <alignment horizontal="center" vertical="center" wrapText="1"/>
      <protection/>
    </xf>
    <xf numFmtId="0" fontId="17" fillId="41" borderId="16" xfId="0" applyFont="1" applyFill="1" applyBorder="1" applyAlignment="1">
      <alignment horizontal="center" vertical="center" wrapText="1"/>
    </xf>
    <xf numFmtId="49" fontId="17" fillId="41" borderId="16" xfId="0" applyNumberFormat="1" applyFont="1" applyFill="1" applyBorder="1" applyAlignment="1">
      <alignment horizontal="center" vertical="center" wrapText="1"/>
    </xf>
    <xf numFmtId="0" fontId="15" fillId="42" borderId="19" xfId="0" applyFont="1" applyFill="1" applyBorder="1" applyAlignment="1">
      <alignment horizontal="center" vertical="center" wrapText="1"/>
    </xf>
    <xf numFmtId="2" fontId="15" fillId="41" borderId="16" xfId="0" applyNumberFormat="1" applyFont="1" applyFill="1" applyBorder="1" applyAlignment="1">
      <alignment horizontal="right" vertical="center" wrapText="1"/>
    </xf>
    <xf numFmtId="2" fontId="15" fillId="41" borderId="16" xfId="416" applyNumberFormat="1" applyFont="1" applyFill="1" applyBorder="1" applyAlignment="1">
      <alignment horizontal="center" vertical="center"/>
      <protection/>
    </xf>
    <xf numFmtId="2" fontId="73" fillId="0" borderId="16" xfId="0" applyNumberFormat="1" applyFont="1" applyFill="1" applyBorder="1" applyAlignment="1">
      <alignment horizontal="center" vertical="center" wrapText="1"/>
    </xf>
    <xf numFmtId="2" fontId="73" fillId="40" borderId="16" xfId="0" applyNumberFormat="1" applyFont="1" applyFill="1" applyBorder="1" applyAlignment="1">
      <alignment horizontal="center" vertical="center"/>
    </xf>
    <xf numFmtId="2" fontId="74" fillId="42" borderId="16" xfId="0" applyNumberFormat="1" applyFont="1" applyFill="1" applyBorder="1" applyAlignment="1">
      <alignment horizontal="center" vertical="center"/>
    </xf>
    <xf numFmtId="2" fontId="15" fillId="42" borderId="16" xfId="429" applyNumberFormat="1" applyFont="1" applyFill="1" applyBorder="1" applyAlignment="1">
      <alignment horizontal="center" vertical="center" wrapText="1"/>
      <protection/>
    </xf>
    <xf numFmtId="0" fontId="3" fillId="41" borderId="16" xfId="0" applyFont="1" applyFill="1" applyBorder="1" applyAlignment="1">
      <alignment horizontal="center" vertical="center" textRotation="90" wrapText="1"/>
    </xf>
    <xf numFmtId="0" fontId="3" fillId="41" borderId="16" xfId="0" applyFont="1" applyFill="1" applyBorder="1" applyAlignment="1">
      <alignment horizontal="center" vertical="center" wrapText="1"/>
    </xf>
    <xf numFmtId="49" fontId="3" fillId="41" borderId="16" xfId="0" applyNumberFormat="1" applyFont="1" applyFill="1" applyBorder="1" applyAlignment="1">
      <alignment horizontal="center" vertical="center" wrapText="1"/>
    </xf>
    <xf numFmtId="0" fontId="17" fillId="41" borderId="0" xfId="0" applyFont="1" applyFill="1" applyAlignment="1">
      <alignment horizontal="center" vertical="center" wrapText="1"/>
    </xf>
    <xf numFmtId="0" fontId="15" fillId="41" borderId="0" xfId="0" applyFont="1" applyFill="1" applyAlignment="1">
      <alignment horizontal="center" vertical="center" wrapText="1"/>
    </xf>
    <xf numFmtId="0" fontId="15" fillId="41" borderId="0" xfId="0" applyFont="1" applyFill="1" applyAlignment="1">
      <alignment horizontal="center" wrapText="1"/>
    </xf>
    <xf numFmtId="0" fontId="17" fillId="41" borderId="16" xfId="0" applyFont="1" applyFill="1" applyBorder="1" applyAlignment="1">
      <alignment horizontal="center" vertical="center" wrapText="1"/>
    </xf>
    <xf numFmtId="49" fontId="17" fillId="41" borderId="16" xfId="0" applyNumberFormat="1" applyFont="1" applyFill="1" applyBorder="1" applyAlignment="1">
      <alignment horizontal="center" vertical="center" wrapText="1"/>
    </xf>
    <xf numFmtId="0" fontId="19" fillId="41" borderId="16" xfId="0" applyFont="1" applyFill="1" applyBorder="1" applyAlignment="1">
      <alignment horizontal="center" vertical="center" wrapText="1"/>
    </xf>
    <xf numFmtId="49" fontId="17" fillId="41" borderId="0" xfId="0" applyNumberFormat="1" applyFont="1" applyFill="1" applyAlignment="1">
      <alignment horizontal="center" vertical="center" wrapText="1"/>
    </xf>
    <xf numFmtId="0" fontId="18" fillId="0" borderId="16" xfId="0" applyFont="1" applyBorder="1" applyAlignment="1">
      <alignment horizontal="center" vertical="center" wrapText="1"/>
    </xf>
    <xf numFmtId="16" fontId="17" fillId="41" borderId="16"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0" fontId="17" fillId="0" borderId="16" xfId="0" applyFont="1" applyFill="1" applyBorder="1" applyAlignment="1">
      <alignment horizontal="center" vertical="center" wrapText="1"/>
    </xf>
    <xf numFmtId="200" fontId="17" fillId="0" borderId="16" xfId="0" applyNumberFormat="1" applyFont="1" applyFill="1" applyBorder="1" applyAlignment="1">
      <alignment horizontal="center" vertical="center" wrapText="1"/>
    </xf>
    <xf numFmtId="2" fontId="17" fillId="0" borderId="16" xfId="0" applyNumberFormat="1" applyFont="1" applyFill="1" applyBorder="1" applyAlignment="1">
      <alignment horizontal="center" vertical="center"/>
    </xf>
    <xf numFmtId="2" fontId="17" fillId="41" borderId="16" xfId="0" applyNumberFormat="1" applyFont="1" applyFill="1" applyBorder="1" applyAlignment="1">
      <alignment horizontal="center" vertical="center"/>
    </xf>
    <xf numFmtId="2" fontId="15" fillId="42" borderId="16" xfId="0" applyNumberFormat="1" applyFont="1" applyFill="1" applyBorder="1" applyAlignment="1">
      <alignment horizontal="center" vertical="center" wrapText="1"/>
    </xf>
    <xf numFmtId="0" fontId="17" fillId="0" borderId="16" xfId="576" applyFont="1" applyFill="1" applyBorder="1" applyAlignment="1">
      <alignment horizontal="center" vertical="center" wrapText="1"/>
      <protection/>
    </xf>
    <xf numFmtId="200" fontId="17" fillId="0" borderId="16" xfId="576" applyNumberFormat="1" applyFont="1" applyFill="1" applyBorder="1" applyAlignment="1">
      <alignment horizontal="center" vertical="center" wrapText="1"/>
      <protection/>
    </xf>
    <xf numFmtId="2" fontId="17" fillId="0" borderId="16" xfId="576" applyNumberFormat="1" applyFont="1" applyFill="1" applyBorder="1" applyAlignment="1">
      <alignment horizontal="center" vertical="center" wrapText="1"/>
      <protection/>
    </xf>
    <xf numFmtId="0" fontId="15" fillId="41" borderId="16" xfId="595" applyFont="1" applyFill="1" applyBorder="1" applyAlignment="1">
      <alignment horizontal="center" vertical="center" wrapText="1"/>
      <protection/>
    </xf>
    <xf numFmtId="4" fontId="17" fillId="0" borderId="16" xfId="0" applyNumberFormat="1" applyFont="1" applyFill="1" applyBorder="1" applyAlignment="1">
      <alignment horizontal="center" vertical="center" wrapText="1"/>
    </xf>
    <xf numFmtId="14" fontId="17" fillId="41" borderId="16" xfId="0" applyNumberFormat="1" applyFont="1" applyFill="1" applyBorder="1" applyAlignment="1">
      <alignment horizontal="center" vertical="center" wrapText="1"/>
    </xf>
    <xf numFmtId="213" fontId="17" fillId="41" borderId="16" xfId="0" applyNumberFormat="1" applyFont="1" applyFill="1" applyBorder="1" applyAlignment="1">
      <alignment horizontal="center" vertical="center" wrapText="1"/>
    </xf>
    <xf numFmtId="199" fontId="17" fillId="0" borderId="16" xfId="0" applyNumberFormat="1" applyFont="1" applyFill="1" applyBorder="1" applyAlignment="1">
      <alignment horizontal="center" vertical="center" wrapText="1"/>
    </xf>
    <xf numFmtId="198" fontId="17" fillId="41" borderId="16" xfId="575" applyNumberFormat="1" applyFont="1" applyFill="1" applyBorder="1" applyAlignment="1">
      <alignment horizontal="center" vertical="center" wrapText="1"/>
      <protection/>
    </xf>
    <xf numFmtId="0" fontId="15" fillId="0" borderId="16" xfId="447" applyFont="1" applyFill="1" applyBorder="1" applyAlignment="1">
      <alignment horizontal="center" vertical="center" wrapText="1"/>
      <protection/>
    </xf>
    <xf numFmtId="0" fontId="17" fillId="41" borderId="16" xfId="424" applyFont="1" applyFill="1" applyBorder="1" applyAlignment="1">
      <alignment horizontal="center" vertical="center" wrapText="1"/>
      <protection/>
    </xf>
    <xf numFmtId="0" fontId="15" fillId="0" borderId="16" xfId="424" applyFont="1" applyFill="1" applyBorder="1" applyAlignment="1">
      <alignment horizontal="center" vertical="center"/>
      <protection/>
    </xf>
    <xf numFmtId="2" fontId="15" fillId="0" borderId="16" xfId="447" applyNumberFormat="1" applyFont="1" applyFill="1" applyBorder="1" applyAlignment="1">
      <alignment horizontal="center" vertical="center"/>
      <protection/>
    </xf>
    <xf numFmtId="0" fontId="15" fillId="0" borderId="16" xfId="469" applyFont="1" applyFill="1" applyBorder="1" applyAlignment="1">
      <alignment horizontal="center" vertical="center" wrapText="1"/>
      <protection/>
    </xf>
    <xf numFmtId="0" fontId="15" fillId="42" borderId="16" xfId="469" applyFont="1" applyFill="1" applyBorder="1" applyAlignment="1">
      <alignment horizontal="center" vertical="center" wrapText="1"/>
      <protection/>
    </xf>
    <xf numFmtId="0" fontId="17" fillId="0" borderId="16" xfId="447" applyFont="1" applyFill="1" applyBorder="1" applyAlignment="1">
      <alignment horizontal="center" vertical="center"/>
      <protection/>
    </xf>
    <xf numFmtId="0" fontId="17" fillId="0" borderId="16" xfId="447" applyFont="1" applyFill="1" applyBorder="1" applyAlignment="1">
      <alignment horizontal="center" vertical="center" wrapText="1"/>
      <protection/>
    </xf>
    <xf numFmtId="0" fontId="15" fillId="0" borderId="16" xfId="447" applyFont="1" applyFill="1" applyBorder="1" applyAlignment="1">
      <alignment horizontal="center" vertical="center"/>
      <protection/>
    </xf>
    <xf numFmtId="0" fontId="15" fillId="0" borderId="16" xfId="469" applyFont="1" applyFill="1" applyBorder="1" applyAlignment="1">
      <alignment horizontal="center" vertical="center"/>
      <protection/>
    </xf>
    <xf numFmtId="0" fontId="15" fillId="0" borderId="16" xfId="585" applyNumberFormat="1" applyFont="1" applyFill="1" applyBorder="1" applyAlignment="1">
      <alignment horizontal="center" vertical="center" wrapText="1"/>
      <protection/>
    </xf>
    <xf numFmtId="0" fontId="17" fillId="0" borderId="16" xfId="585" applyNumberFormat="1" applyFont="1" applyFill="1" applyBorder="1" applyAlignment="1">
      <alignment horizontal="center" vertical="center" wrapText="1"/>
      <protection/>
    </xf>
    <xf numFmtId="9" fontId="17" fillId="0" borderId="16" xfId="585" applyNumberFormat="1" applyFont="1" applyFill="1" applyBorder="1" applyAlignment="1">
      <alignment horizontal="center" vertical="center" wrapText="1"/>
      <protection/>
    </xf>
    <xf numFmtId="2" fontId="17" fillId="0" borderId="16" xfId="585" applyNumberFormat="1" applyFont="1" applyFill="1" applyBorder="1" applyAlignment="1">
      <alignment horizontal="center" vertical="center" wrapText="1"/>
      <protection/>
    </xf>
    <xf numFmtId="2" fontId="15" fillId="0" borderId="16" xfId="469" applyNumberFormat="1" applyFont="1" applyFill="1" applyBorder="1" applyAlignment="1">
      <alignment horizontal="center" vertical="center"/>
      <protection/>
    </xf>
    <xf numFmtId="9" fontId="17" fillId="0" borderId="16" xfId="447" applyNumberFormat="1" applyFont="1" applyFill="1" applyBorder="1" applyAlignment="1">
      <alignment horizontal="center" vertical="center"/>
      <protection/>
    </xf>
    <xf numFmtId="0" fontId="17" fillId="0" borderId="16" xfId="469" applyFont="1" applyFill="1" applyBorder="1" applyAlignment="1">
      <alignment horizontal="center" vertical="center"/>
      <protection/>
    </xf>
    <xf numFmtId="2" fontId="17" fillId="0" borderId="16" xfId="469" applyNumberFormat="1" applyFont="1" applyFill="1" applyBorder="1" applyAlignment="1">
      <alignment horizontal="center" vertical="center"/>
      <protection/>
    </xf>
    <xf numFmtId="2" fontId="15" fillId="0" borderId="16" xfId="468" applyNumberFormat="1" applyFont="1" applyFill="1" applyBorder="1" applyAlignment="1">
      <alignment horizontal="center" vertical="center" wrapText="1"/>
      <protection/>
    </xf>
    <xf numFmtId="0" fontId="15" fillId="0" borderId="16" xfId="0" applyFont="1" applyBorder="1" applyAlignment="1">
      <alignment horizontal="center" vertical="center"/>
    </xf>
    <xf numFmtId="2" fontId="15" fillId="0" borderId="16" xfId="0" applyNumberFormat="1" applyFont="1" applyBorder="1" applyAlignment="1">
      <alignment horizontal="center" vertical="center"/>
    </xf>
    <xf numFmtId="0" fontId="15" fillId="0" borderId="18" xfId="0" applyFont="1" applyBorder="1" applyAlignment="1">
      <alignment horizontal="center" vertical="center"/>
    </xf>
    <xf numFmtId="0" fontId="17" fillId="0" borderId="18" xfId="0" applyFont="1" applyFill="1" applyBorder="1" applyAlignment="1">
      <alignment horizontal="center" vertical="center" wrapText="1"/>
    </xf>
    <xf numFmtId="198" fontId="17" fillId="0" borderId="18" xfId="0" applyNumberFormat="1" applyFont="1" applyFill="1" applyBorder="1" applyAlignment="1">
      <alignment horizontal="center" vertical="center" wrapText="1"/>
    </xf>
    <xf numFmtId="17" fontId="3" fillId="41" borderId="16" xfId="429" applyNumberFormat="1" applyFont="1" applyFill="1" applyBorder="1" applyAlignment="1">
      <alignment horizontal="center" vertical="center"/>
      <protection/>
    </xf>
    <xf numFmtId="214" fontId="17" fillId="0" borderId="16" xfId="0" applyNumberFormat="1" applyFont="1" applyFill="1" applyBorder="1" applyAlignment="1">
      <alignment horizontal="center" vertical="center" wrapText="1"/>
    </xf>
    <xf numFmtId="0" fontId="17" fillId="0" borderId="16" xfId="0" applyFont="1" applyBorder="1" applyAlignment="1">
      <alignment horizontal="center" vertical="center"/>
    </xf>
    <xf numFmtId="198" fontId="15" fillId="42" borderId="16" xfId="0" applyNumberFormat="1" applyFont="1" applyFill="1" applyBorder="1" applyAlignment="1">
      <alignment horizontal="center" vertical="center" wrapText="1"/>
    </xf>
    <xf numFmtId="200" fontId="15" fillId="41" borderId="16" xfId="0" applyNumberFormat="1" applyFont="1" applyFill="1" applyBorder="1" applyAlignment="1">
      <alignment horizontal="center" vertical="center" wrapText="1"/>
    </xf>
    <xf numFmtId="202" fontId="18" fillId="0" borderId="16" xfId="0" applyNumberFormat="1" applyFont="1" applyFill="1" applyBorder="1" applyAlignment="1">
      <alignment horizontal="center" vertical="center" wrapText="1"/>
    </xf>
    <xf numFmtId="198" fontId="15" fillId="41" borderId="16" xfId="0" applyNumberFormat="1" applyFont="1" applyFill="1" applyBorder="1" applyAlignment="1">
      <alignment horizontal="center" vertical="center" wrapText="1"/>
    </xf>
    <xf numFmtId="2" fontId="15" fillId="42" borderId="16" xfId="581" applyNumberFormat="1" applyFont="1" applyFill="1" applyBorder="1" applyAlignment="1">
      <alignment horizontal="center" vertical="center"/>
      <protection/>
    </xf>
    <xf numFmtId="1" fontId="15" fillId="41" borderId="16" xfId="581" applyNumberFormat="1" applyFont="1" applyFill="1" applyBorder="1" applyAlignment="1">
      <alignment horizontal="center" vertical="center" wrapText="1"/>
      <protection/>
    </xf>
    <xf numFmtId="49" fontId="21" fillId="41" borderId="16" xfId="581" applyNumberFormat="1" applyFont="1" applyFill="1" applyBorder="1" applyAlignment="1">
      <alignment horizontal="center" vertical="center" wrapText="1"/>
      <protection/>
    </xf>
    <xf numFmtId="0" fontId="15" fillId="41" borderId="16" xfId="581" applyFont="1" applyFill="1" applyBorder="1" applyAlignment="1">
      <alignment horizontal="center" vertical="center" wrapText="1"/>
      <protection/>
    </xf>
    <xf numFmtId="0" fontId="15" fillId="41" borderId="16" xfId="581" applyFont="1" applyFill="1" applyBorder="1" applyAlignment="1">
      <alignment horizontal="center" vertical="center"/>
      <protection/>
    </xf>
    <xf numFmtId="199" fontId="15" fillId="41" borderId="16" xfId="581" applyNumberFormat="1" applyFont="1" applyFill="1" applyBorder="1" applyAlignment="1">
      <alignment horizontal="center" vertical="center"/>
      <protection/>
    </xf>
    <xf numFmtId="2" fontId="15" fillId="41" borderId="16" xfId="581" applyNumberFormat="1" applyFont="1" applyFill="1" applyBorder="1" applyAlignment="1">
      <alignment horizontal="center" vertical="center"/>
      <protection/>
    </xf>
    <xf numFmtId="49" fontId="18" fillId="41" borderId="16" xfId="581" applyNumberFormat="1" applyFont="1" applyFill="1" applyBorder="1" applyAlignment="1">
      <alignment horizontal="center" vertical="center" wrapText="1"/>
      <protection/>
    </xf>
    <xf numFmtId="0" fontId="17" fillId="41" borderId="16" xfId="581" applyFont="1" applyFill="1" applyBorder="1" applyAlignment="1">
      <alignment horizontal="center" vertical="center"/>
      <protection/>
    </xf>
    <xf numFmtId="0" fontId="17" fillId="41" borderId="16" xfId="581" applyFont="1" applyFill="1" applyBorder="1" applyAlignment="1">
      <alignment horizontal="center" vertical="center" wrapText="1"/>
      <protection/>
    </xf>
    <xf numFmtId="0" fontId="15" fillId="0" borderId="16" xfId="576" applyNumberFormat="1" applyFont="1" applyFill="1" applyBorder="1" applyAlignment="1">
      <alignment horizontal="center" vertical="center" wrapText="1"/>
      <protection/>
    </xf>
    <xf numFmtId="0" fontId="15" fillId="41" borderId="16" xfId="576" applyNumberFormat="1" applyFont="1" applyFill="1" applyBorder="1" applyAlignment="1">
      <alignment horizontal="center" vertical="center" wrapText="1"/>
      <protection/>
    </xf>
    <xf numFmtId="0" fontId="21" fillId="0" borderId="16" xfId="576" applyNumberFormat="1" applyFont="1" applyFill="1" applyBorder="1" applyAlignment="1">
      <alignment horizontal="center" vertical="center" wrapText="1"/>
      <protection/>
    </xf>
    <xf numFmtId="2" fontId="15" fillId="41" borderId="16" xfId="576" applyNumberFormat="1" applyFont="1" applyFill="1" applyBorder="1" applyAlignment="1">
      <alignment horizontal="center" vertical="center" wrapText="1"/>
      <protection/>
    </xf>
    <xf numFmtId="2" fontId="15" fillId="42" borderId="16" xfId="576" applyNumberFormat="1" applyFont="1" applyFill="1" applyBorder="1" applyAlignment="1">
      <alignment horizontal="center" vertical="center" wrapText="1"/>
      <protection/>
    </xf>
    <xf numFmtId="0" fontId="17" fillId="0" borderId="16" xfId="471" applyNumberFormat="1" applyFont="1" applyFill="1" applyBorder="1" applyAlignment="1">
      <alignment horizontal="center" vertical="center" wrapText="1"/>
      <protection/>
    </xf>
    <xf numFmtId="0" fontId="17" fillId="0" borderId="16" xfId="576" applyNumberFormat="1" applyFont="1" applyFill="1" applyBorder="1" applyAlignment="1">
      <alignment horizontal="center" vertical="center" wrapText="1"/>
      <protection/>
    </xf>
    <xf numFmtId="2" fontId="17" fillId="0" borderId="16" xfId="471" applyNumberFormat="1" applyFont="1" applyFill="1" applyBorder="1" applyAlignment="1">
      <alignment horizontal="center" vertical="center" wrapText="1"/>
      <protection/>
    </xf>
    <xf numFmtId="49" fontId="20" fillId="41" borderId="16" xfId="576" applyNumberFormat="1" applyFont="1" applyFill="1" applyBorder="1" applyAlignment="1">
      <alignment horizontal="center" vertical="center" wrapText="1"/>
      <protection/>
    </xf>
    <xf numFmtId="0" fontId="15" fillId="41" borderId="16" xfId="576" applyFont="1" applyFill="1" applyBorder="1" applyAlignment="1">
      <alignment horizontal="center" vertical="center" wrapText="1"/>
      <protection/>
    </xf>
    <xf numFmtId="2" fontId="15" fillId="0" borderId="16" xfId="576" applyNumberFormat="1" applyFont="1" applyFill="1" applyBorder="1" applyAlignment="1">
      <alignment horizontal="center" vertical="center" wrapText="1"/>
      <protection/>
    </xf>
    <xf numFmtId="200" fontId="17" fillId="41" borderId="16" xfId="576" applyNumberFormat="1" applyFont="1" applyFill="1" applyBorder="1" applyAlignment="1">
      <alignment horizontal="center" vertical="center" wrapText="1"/>
      <protection/>
    </xf>
    <xf numFmtId="2" fontId="17" fillId="41" borderId="16" xfId="576" applyNumberFormat="1" applyFont="1" applyFill="1" applyBorder="1" applyAlignment="1">
      <alignment horizontal="center" vertical="center" wrapText="1"/>
      <protection/>
    </xf>
    <xf numFmtId="198" fontId="17" fillId="41" borderId="16" xfId="576" applyNumberFormat="1" applyFont="1" applyFill="1" applyBorder="1" applyAlignment="1">
      <alignment horizontal="center" vertical="center" wrapText="1"/>
      <protection/>
    </xf>
    <xf numFmtId="49" fontId="18" fillId="41" borderId="16" xfId="576" applyNumberFormat="1" applyFont="1" applyFill="1" applyBorder="1" applyAlignment="1">
      <alignment horizontal="center" vertical="center" wrapText="1"/>
      <protection/>
    </xf>
    <xf numFmtId="16" fontId="17" fillId="41" borderId="16" xfId="575" applyNumberFormat="1" applyFont="1" applyFill="1" applyBorder="1" applyAlignment="1">
      <alignment horizontal="center" vertical="center" wrapText="1"/>
      <protection/>
    </xf>
    <xf numFmtId="198" fontId="77" fillId="41" borderId="16" xfId="0" applyNumberFormat="1" applyFont="1" applyFill="1" applyBorder="1" applyAlignment="1">
      <alignment horizontal="center" vertical="center"/>
    </xf>
    <xf numFmtId="2" fontId="77" fillId="41" borderId="16" xfId="0" applyNumberFormat="1" applyFont="1" applyFill="1" applyBorder="1" applyAlignment="1">
      <alignment horizontal="center" vertical="center"/>
    </xf>
    <xf numFmtId="17" fontId="17" fillId="41" borderId="16" xfId="0" applyNumberFormat="1" applyFont="1" applyFill="1" applyBorder="1" applyAlignment="1">
      <alignment horizontal="center" vertical="center" wrapText="1"/>
    </xf>
    <xf numFmtId="49" fontId="15" fillId="0" borderId="24" xfId="575" applyNumberFormat="1" applyFont="1" applyFill="1" applyBorder="1" applyAlignment="1">
      <alignment horizontal="center" vertical="center" wrapText="1"/>
      <protection/>
    </xf>
    <xf numFmtId="0" fontId="20" fillId="0" borderId="16" xfId="575" applyFont="1" applyFill="1" applyBorder="1" applyAlignment="1">
      <alignment horizontal="center" vertical="center" wrapText="1"/>
      <protection/>
    </xf>
    <xf numFmtId="0" fontId="15" fillId="41" borderId="16" xfId="575" applyFont="1" applyFill="1" applyBorder="1" applyAlignment="1">
      <alignment horizontal="center" vertical="center" wrapText="1"/>
      <protection/>
    </xf>
    <xf numFmtId="0" fontId="15" fillId="0" borderId="16" xfId="575" applyFont="1" applyFill="1" applyBorder="1" applyAlignment="1">
      <alignment horizontal="center" vertical="center" wrapText="1"/>
      <protection/>
    </xf>
    <xf numFmtId="49" fontId="17" fillId="0" borderId="24" xfId="575" applyNumberFormat="1" applyFont="1" applyFill="1" applyBorder="1" applyAlignment="1">
      <alignment horizontal="center" vertical="center" wrapText="1"/>
      <protection/>
    </xf>
    <xf numFmtId="0" fontId="18" fillId="0" borderId="16" xfId="575" applyFont="1" applyFill="1" applyBorder="1" applyAlignment="1">
      <alignment horizontal="center" vertical="center" wrapText="1"/>
      <protection/>
    </xf>
    <xf numFmtId="49" fontId="17" fillId="41" borderId="24" xfId="575" applyNumberFormat="1" applyFont="1" applyFill="1" applyBorder="1" applyAlignment="1">
      <alignment horizontal="center" vertical="center" wrapText="1"/>
      <protection/>
    </xf>
    <xf numFmtId="0" fontId="18" fillId="0" borderId="17" xfId="575" applyFont="1" applyFill="1" applyBorder="1" applyAlignment="1">
      <alignment horizontal="center" vertical="center" wrapText="1"/>
      <protection/>
    </xf>
    <xf numFmtId="0" fontId="20" fillId="41" borderId="16" xfId="575" applyFont="1" applyFill="1" applyBorder="1" applyAlignment="1">
      <alignment horizontal="center" vertical="center" wrapText="1"/>
      <protection/>
    </xf>
    <xf numFmtId="213" fontId="17" fillId="41" borderId="16" xfId="615" applyNumberFormat="1" applyFont="1" applyFill="1" applyBorder="1" applyAlignment="1">
      <alignment horizontal="center" vertical="center"/>
    </xf>
    <xf numFmtId="199" fontId="17" fillId="41" borderId="16" xfId="615" applyNumberFormat="1" applyFont="1" applyFill="1" applyBorder="1" applyAlignment="1">
      <alignment horizontal="center" vertical="center"/>
    </xf>
    <xf numFmtId="2" fontId="17" fillId="41" borderId="16" xfId="615" applyNumberFormat="1" applyFont="1" applyFill="1" applyBorder="1" applyAlignment="1">
      <alignment horizontal="center" vertical="center"/>
    </xf>
    <xf numFmtId="4" fontId="15" fillId="0" borderId="16" xfId="429" applyNumberFormat="1" applyFont="1" applyFill="1" applyBorder="1" applyAlignment="1">
      <alignment horizontal="center" vertical="center" wrapText="1"/>
      <protection/>
    </xf>
    <xf numFmtId="4" fontId="17" fillId="0" borderId="16" xfId="429" applyNumberFormat="1" applyFont="1" applyFill="1" applyBorder="1" applyAlignment="1">
      <alignment horizontal="center" vertical="center" wrapText="1"/>
      <protection/>
    </xf>
    <xf numFmtId="0" fontId="77" fillId="41" borderId="16" xfId="0" applyFont="1" applyFill="1" applyBorder="1" applyAlignment="1">
      <alignment horizontal="center" vertical="center"/>
    </xf>
    <xf numFmtId="14" fontId="18" fillId="41" borderId="16" xfId="0" applyNumberFormat="1" applyFont="1" applyFill="1" applyBorder="1" applyAlignment="1">
      <alignment horizontal="center" vertical="center" wrapText="1"/>
    </xf>
    <xf numFmtId="49" fontId="18" fillId="44" borderId="16" xfId="0" applyNumberFormat="1" applyFont="1" applyFill="1" applyBorder="1" applyAlignment="1">
      <alignment horizontal="center" vertical="center" wrapText="1"/>
    </xf>
    <xf numFmtId="49" fontId="6" fillId="41" borderId="16" xfId="0" applyNumberFormat="1" applyFont="1" applyFill="1" applyBorder="1" applyAlignment="1">
      <alignment horizontal="center" vertical="center" wrapText="1"/>
    </xf>
    <xf numFmtId="200" fontId="17" fillId="41" borderId="16" xfId="429" applyNumberFormat="1" applyFont="1" applyFill="1" applyBorder="1" applyAlignment="1">
      <alignment horizontal="center" vertical="center" wrapText="1"/>
      <protection/>
    </xf>
    <xf numFmtId="4" fontId="15" fillId="42" borderId="16" xfId="0" applyNumberFormat="1" applyFont="1" applyFill="1" applyBorder="1" applyAlignment="1">
      <alignment horizontal="center" vertical="center" wrapText="1"/>
    </xf>
    <xf numFmtId="0" fontId="17" fillId="41" borderId="16" xfId="595" applyFont="1" applyFill="1" applyBorder="1" applyAlignment="1">
      <alignment horizontal="center" vertical="center" wrapText="1"/>
      <protection/>
    </xf>
    <xf numFmtId="2" fontId="17" fillId="41" borderId="16" xfId="595" applyNumberFormat="1" applyFont="1" applyFill="1" applyBorder="1" applyAlignment="1">
      <alignment horizontal="center" vertical="center"/>
      <protection/>
    </xf>
    <xf numFmtId="49" fontId="15" fillId="41" borderId="16" xfId="575" applyNumberFormat="1" applyFont="1" applyFill="1" applyBorder="1" applyAlignment="1">
      <alignment horizontal="center" vertical="center" wrapText="1"/>
      <protection/>
    </xf>
    <xf numFmtId="49" fontId="20" fillId="41" borderId="16" xfId="575" applyNumberFormat="1" applyFont="1" applyFill="1" applyBorder="1" applyAlignment="1">
      <alignment horizontal="center" vertical="center" wrapText="1"/>
      <protection/>
    </xf>
    <xf numFmtId="200" fontId="17" fillId="41" borderId="16" xfId="581" applyNumberFormat="1" applyFont="1" applyFill="1" applyBorder="1" applyAlignment="1">
      <alignment horizontal="center" vertical="center"/>
      <protection/>
    </xf>
    <xf numFmtId="49" fontId="15" fillId="0" borderId="16" xfId="581" applyNumberFormat="1" applyFont="1" applyFill="1" applyBorder="1" applyAlignment="1">
      <alignment horizontal="center" vertical="center" wrapText="1"/>
      <protection/>
    </xf>
    <xf numFmtId="49" fontId="20" fillId="0" borderId="16" xfId="581" applyNumberFormat="1" applyFont="1" applyFill="1" applyBorder="1" applyAlignment="1">
      <alignment horizontal="center" vertical="center" wrapText="1"/>
      <protection/>
    </xf>
    <xf numFmtId="0" fontId="15" fillId="0" borderId="16" xfId="581" applyFont="1" applyFill="1" applyBorder="1" applyAlignment="1">
      <alignment horizontal="center" vertical="center" wrapText="1"/>
      <protection/>
    </xf>
    <xf numFmtId="199" fontId="15" fillId="41" borderId="16" xfId="581" applyNumberFormat="1" applyFont="1" applyFill="1" applyBorder="1" applyAlignment="1">
      <alignment horizontal="center" vertical="center" wrapText="1"/>
      <protection/>
    </xf>
    <xf numFmtId="2" fontId="15" fillId="0" borderId="16" xfId="581" applyNumberFormat="1" applyFont="1" applyFill="1" applyBorder="1" applyAlignment="1">
      <alignment horizontal="center" vertical="center" wrapText="1"/>
      <protection/>
    </xf>
    <xf numFmtId="2" fontId="78" fillId="42" borderId="16" xfId="581" applyNumberFormat="1" applyFont="1" applyFill="1" applyBorder="1" applyAlignment="1">
      <alignment horizontal="center" vertical="center"/>
      <protection/>
    </xf>
    <xf numFmtId="212" fontId="17" fillId="0" borderId="16" xfId="581" applyNumberFormat="1" applyFont="1" applyFill="1" applyBorder="1" applyAlignment="1">
      <alignment horizontal="center" vertical="center" wrapText="1"/>
      <protection/>
    </xf>
    <xf numFmtId="2" fontId="17" fillId="0" borderId="16" xfId="581" applyNumberFormat="1" applyFont="1" applyFill="1" applyBorder="1" applyAlignment="1">
      <alignment horizontal="center" vertical="center" wrapText="1"/>
      <protection/>
    </xf>
    <xf numFmtId="2" fontId="79" fillId="0" borderId="16" xfId="581" applyNumberFormat="1" applyFont="1" applyBorder="1" applyAlignment="1">
      <alignment horizontal="center" vertical="center"/>
      <protection/>
    </xf>
    <xf numFmtId="49" fontId="20" fillId="41" borderId="16" xfId="581" applyNumberFormat="1" applyFont="1" applyFill="1" applyBorder="1" applyAlignment="1">
      <alignment horizontal="center" vertical="center" wrapText="1"/>
      <protection/>
    </xf>
    <xf numFmtId="212" fontId="15" fillId="41" borderId="16" xfId="581" applyNumberFormat="1" applyFont="1" applyFill="1" applyBorder="1" applyAlignment="1">
      <alignment horizontal="center" vertical="center" wrapText="1"/>
      <protection/>
    </xf>
    <xf numFmtId="2" fontId="15" fillId="41" borderId="16" xfId="581" applyNumberFormat="1" applyFont="1" applyFill="1" applyBorder="1" applyAlignment="1">
      <alignment horizontal="center" vertical="center" wrapText="1"/>
      <protection/>
    </xf>
    <xf numFmtId="2" fontId="39" fillId="42" borderId="16" xfId="581" applyNumberFormat="1" applyFont="1" applyFill="1" applyBorder="1" applyAlignment="1">
      <alignment horizontal="center" vertical="center"/>
      <protection/>
    </xf>
    <xf numFmtId="49" fontId="20" fillId="41" borderId="16" xfId="0" applyNumberFormat="1" applyFont="1" applyFill="1" applyBorder="1" applyAlignment="1">
      <alignment horizontal="center" vertical="center"/>
    </xf>
    <xf numFmtId="1" fontId="15" fillId="0" borderId="16" xfId="0" applyNumberFormat="1" applyFont="1" applyBorder="1" applyAlignment="1">
      <alignment horizontal="center" vertical="center" wrapText="1"/>
    </xf>
    <xf numFmtId="0" fontId="17" fillId="0" borderId="19" xfId="0" applyFont="1" applyFill="1" applyBorder="1" applyAlignment="1">
      <alignment horizontal="center" vertical="center" wrapText="1"/>
    </xf>
    <xf numFmtId="0" fontId="75" fillId="42" borderId="16" xfId="0" applyFont="1" applyFill="1" applyBorder="1" applyAlignment="1">
      <alignment horizontal="center" vertical="center" wrapText="1"/>
    </xf>
    <xf numFmtId="0" fontId="15" fillId="46" borderId="16" xfId="0" applyFont="1" applyFill="1" applyBorder="1" applyAlignment="1">
      <alignment horizontal="center" vertical="center" wrapText="1"/>
    </xf>
    <xf numFmtId="0" fontId="63" fillId="0" borderId="16" xfId="0" applyNumberFormat="1" applyFont="1" applyFill="1" applyBorder="1" applyAlignment="1">
      <alignment horizontal="center" vertical="center" wrapText="1"/>
    </xf>
    <xf numFmtId="0" fontId="39" fillId="0" borderId="16" xfId="0" applyNumberFormat="1" applyFont="1" applyFill="1" applyBorder="1" applyAlignment="1">
      <alignment horizontal="center" vertical="center" wrapText="1"/>
    </xf>
    <xf numFmtId="0" fontId="36" fillId="0" borderId="16" xfId="0" applyNumberFormat="1" applyFont="1" applyFill="1" applyBorder="1" applyAlignment="1">
      <alignment horizontal="center" vertical="center" wrapText="1"/>
    </xf>
    <xf numFmtId="49" fontId="17" fillId="41" borderId="16" xfId="0" applyNumberFormat="1" applyFont="1" applyFill="1" applyBorder="1" applyAlignment="1">
      <alignment horizontal="center" vertical="center" wrapText="1"/>
    </xf>
    <xf numFmtId="0" fontId="17" fillId="41" borderId="16" xfId="0" applyFont="1" applyFill="1" applyBorder="1" applyAlignment="1">
      <alignment horizontal="center" vertical="center" wrapText="1"/>
    </xf>
    <xf numFmtId="0" fontId="20" fillId="41" borderId="16" xfId="0" applyFont="1" applyFill="1" applyBorder="1" applyAlignment="1">
      <alignment horizontal="center" vertical="center"/>
    </xf>
    <xf numFmtId="0" fontId="40" fillId="41" borderId="16" xfId="575" applyNumberFormat="1" applyFont="1" applyFill="1" applyBorder="1" applyAlignment="1">
      <alignment horizontal="center" vertical="center" wrapText="1"/>
      <protection/>
    </xf>
    <xf numFmtId="49" fontId="40" fillId="41" borderId="16" xfId="575" applyNumberFormat="1" applyFont="1" applyFill="1" applyBorder="1" applyAlignment="1">
      <alignment horizontal="center" vertical="center" wrapText="1"/>
      <protection/>
    </xf>
    <xf numFmtId="2" fontId="40" fillId="41" borderId="16" xfId="575" applyNumberFormat="1" applyFont="1" applyFill="1" applyBorder="1" applyAlignment="1">
      <alignment horizontal="center" vertical="center" wrapText="1"/>
      <protection/>
    </xf>
    <xf numFmtId="0" fontId="40" fillId="41" borderId="16" xfId="447" applyNumberFormat="1" applyFont="1" applyFill="1" applyBorder="1" applyAlignment="1" applyProtection="1">
      <alignment horizontal="center" vertical="center" wrapText="1"/>
      <protection/>
    </xf>
    <xf numFmtId="0" fontId="67" fillId="41" borderId="16" xfId="0" applyFont="1" applyFill="1" applyBorder="1" applyAlignment="1">
      <alignment horizontal="center" vertical="center"/>
    </xf>
    <xf numFmtId="2" fontId="67" fillId="41" borderId="16" xfId="0" applyNumberFormat="1" applyFont="1" applyFill="1" applyBorder="1" applyAlignment="1">
      <alignment horizontal="center" vertical="center"/>
    </xf>
    <xf numFmtId="0" fontId="68" fillId="41" borderId="16" xfId="0" applyFont="1" applyFill="1" applyBorder="1" applyAlignment="1">
      <alignment horizontal="center" vertical="center"/>
    </xf>
    <xf numFmtId="2" fontId="68" fillId="41" borderId="16" xfId="0" applyNumberFormat="1" applyFont="1" applyFill="1" applyBorder="1" applyAlignment="1">
      <alignment horizontal="center" vertical="center"/>
    </xf>
    <xf numFmtId="0" fontId="69" fillId="41" borderId="16" xfId="0" applyFont="1" applyFill="1" applyBorder="1" applyAlignment="1">
      <alignment horizontal="center" vertical="center" wrapText="1"/>
    </xf>
    <xf numFmtId="0" fontId="70" fillId="41" borderId="16" xfId="0" applyFont="1" applyFill="1" applyBorder="1" applyAlignment="1">
      <alignment horizontal="center" vertical="center" wrapText="1"/>
    </xf>
    <xf numFmtId="1" fontId="69" fillId="41" borderId="16" xfId="0" applyNumberFormat="1" applyFont="1" applyFill="1" applyBorder="1" applyAlignment="1">
      <alignment horizontal="center" vertical="center" wrapText="1"/>
    </xf>
    <xf numFmtId="2" fontId="70" fillId="41" borderId="16" xfId="0" applyNumberFormat="1" applyFont="1" applyFill="1" applyBorder="1" applyAlignment="1">
      <alignment horizontal="center" vertical="center" wrapText="1"/>
    </xf>
    <xf numFmtId="199" fontId="70" fillId="41" borderId="16" xfId="0" applyNumberFormat="1" applyFont="1" applyFill="1" applyBorder="1" applyAlignment="1">
      <alignment horizontal="center" vertical="center" wrapText="1"/>
    </xf>
    <xf numFmtId="4" fontId="70" fillId="41" borderId="16" xfId="0" applyNumberFormat="1" applyFont="1" applyFill="1" applyBorder="1" applyAlignment="1">
      <alignment horizontal="center" vertical="center" wrapText="1"/>
    </xf>
    <xf numFmtId="200" fontId="15" fillId="0" borderId="16" xfId="0" applyNumberFormat="1"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6" fillId="0" borderId="0" xfId="0" applyFont="1" applyFill="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7" fillId="0" borderId="0" xfId="0" applyFont="1" applyAlignment="1">
      <alignment horizontal="center" wrapText="1"/>
    </xf>
    <xf numFmtId="0" fontId="15" fillId="0" borderId="16" xfId="0" applyFont="1" applyFill="1" applyBorder="1" applyAlignment="1">
      <alignment horizontal="center" vertical="center" wrapText="1"/>
    </xf>
    <xf numFmtId="0" fontId="17" fillId="0" borderId="0" xfId="0" applyFont="1" applyBorder="1" applyAlignment="1">
      <alignment horizontal="left" vertical="center" wrapText="1"/>
    </xf>
    <xf numFmtId="0" fontId="18" fillId="0" borderId="16" xfId="0" applyFont="1" applyFill="1" applyBorder="1" applyAlignment="1">
      <alignment horizontal="center" vertical="center" wrapText="1"/>
    </xf>
    <xf numFmtId="0" fontId="17" fillId="41" borderId="19" xfId="0" applyFont="1" applyFill="1" applyBorder="1" applyAlignment="1">
      <alignment horizontal="center" vertical="center" wrapText="1"/>
    </xf>
    <xf numFmtId="0" fontId="17" fillId="41" borderId="20" xfId="0" applyFont="1" applyFill="1" applyBorder="1" applyAlignment="1">
      <alignment horizontal="center" vertical="center" wrapText="1"/>
    </xf>
    <xf numFmtId="49" fontId="17" fillId="0" borderId="16" xfId="0" applyNumberFormat="1"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6" xfId="0" applyFont="1" applyBorder="1" applyAlignment="1">
      <alignment horizontal="center" vertical="center" wrapText="1"/>
    </xf>
    <xf numFmtId="0" fontId="57" fillId="41" borderId="0" xfId="0" applyFont="1" applyFill="1" applyBorder="1" applyAlignment="1">
      <alignment horizontal="center" vertical="center" wrapText="1"/>
    </xf>
    <xf numFmtId="0" fontId="31" fillId="0" borderId="0" xfId="0" applyFont="1" applyFill="1" applyAlignment="1">
      <alignment horizontal="center" vertical="center" wrapText="1"/>
    </xf>
    <xf numFmtId="0" fontId="30" fillId="0" borderId="16"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7" fillId="0" borderId="0" xfId="0" applyFont="1" applyFill="1" applyAlignment="1">
      <alignment horizontal="center" vertical="center" wrapText="1"/>
    </xf>
    <xf numFmtId="2" fontId="16" fillId="0" borderId="0" xfId="0" applyNumberFormat="1" applyFont="1" applyFill="1" applyAlignment="1">
      <alignment horizontal="center" vertical="center" wrapText="1"/>
    </xf>
    <xf numFmtId="0" fontId="16" fillId="0" borderId="0" xfId="0" applyFont="1" applyAlignment="1">
      <alignment horizontal="center" vertical="center" wrapText="1"/>
    </xf>
    <xf numFmtId="0" fontId="16" fillId="41" borderId="0" xfId="0" applyFont="1" applyFill="1" applyAlignment="1">
      <alignment horizontal="center" vertical="center" wrapText="1"/>
    </xf>
    <xf numFmtId="49" fontId="15" fillId="42" borderId="19" xfId="0" applyNumberFormat="1" applyFont="1" applyFill="1" applyBorder="1" applyAlignment="1">
      <alignment horizontal="center" vertical="center" wrapText="1"/>
    </xf>
    <xf numFmtId="49" fontId="15" fillId="42" borderId="25" xfId="0" applyNumberFormat="1" applyFont="1" applyFill="1" applyBorder="1" applyAlignment="1">
      <alignment horizontal="center" vertical="center" wrapText="1"/>
    </xf>
    <xf numFmtId="49" fontId="15" fillId="42" borderId="20" xfId="0" applyNumberFormat="1" applyFont="1" applyFill="1" applyBorder="1" applyAlignment="1">
      <alignment horizontal="center" vertical="center" wrapText="1"/>
    </xf>
    <xf numFmtId="0" fontId="19" fillId="0" borderId="16" xfId="0" applyFont="1" applyBorder="1" applyAlignment="1">
      <alignment horizontal="center" vertical="center" wrapText="1"/>
    </xf>
    <xf numFmtId="0" fontId="17" fillId="0" borderId="16" xfId="0" applyFont="1" applyBorder="1" applyAlignment="1">
      <alignment horizontal="center" vertical="center" textRotation="90" wrapText="1"/>
    </xf>
    <xf numFmtId="49" fontId="18" fillId="41" borderId="16" xfId="0" applyNumberFormat="1" applyFont="1" applyFill="1" applyBorder="1" applyAlignment="1">
      <alignment horizontal="center" vertical="center" textRotation="90" wrapText="1"/>
    </xf>
    <xf numFmtId="49" fontId="30" fillId="45" borderId="0" xfId="0" applyNumberFormat="1" applyFont="1" applyFill="1" applyAlignment="1">
      <alignment horizontal="left" vertical="center" wrapText="1"/>
    </xf>
    <xf numFmtId="0" fontId="3" fillId="41" borderId="16" xfId="0" applyFont="1" applyFill="1" applyBorder="1" applyAlignment="1">
      <alignment horizontal="center" vertical="center" wrapText="1"/>
    </xf>
    <xf numFmtId="49" fontId="3" fillId="41" borderId="16" xfId="0" applyNumberFormat="1" applyFont="1" applyFill="1" applyBorder="1" applyAlignment="1">
      <alignment horizontal="center" vertical="center" wrapText="1"/>
    </xf>
    <xf numFmtId="49" fontId="4" fillId="41" borderId="16" xfId="0" applyNumberFormat="1" applyFont="1" applyFill="1" applyBorder="1" applyAlignment="1">
      <alignment horizontal="center" vertical="center" textRotation="90" wrapText="1"/>
    </xf>
    <xf numFmtId="0" fontId="1" fillId="41" borderId="16" xfId="0" applyFont="1" applyFill="1" applyBorder="1" applyAlignment="1">
      <alignment horizontal="center" vertical="center" wrapText="1"/>
    </xf>
    <xf numFmtId="0" fontId="3" fillId="41" borderId="16" xfId="0" applyFont="1" applyFill="1" applyBorder="1" applyAlignment="1">
      <alignment horizontal="center" vertical="center" textRotation="90" wrapText="1"/>
    </xf>
    <xf numFmtId="0" fontId="17" fillId="41" borderId="0" xfId="0" applyFont="1" applyFill="1" applyAlignment="1">
      <alignment horizontal="center" vertical="center" wrapText="1"/>
    </xf>
    <xf numFmtId="0" fontId="15" fillId="41" borderId="0" xfId="0" applyFont="1" applyFill="1" applyAlignment="1">
      <alignment horizontal="center" vertical="center" wrapText="1"/>
    </xf>
    <xf numFmtId="0" fontId="15" fillId="41" borderId="0" xfId="0" applyFont="1" applyFill="1" applyAlignment="1">
      <alignment horizontal="center" wrapText="1"/>
    </xf>
    <xf numFmtId="0" fontId="17" fillId="41" borderId="16" xfId="0" applyFont="1" applyFill="1" applyBorder="1" applyAlignment="1">
      <alignment horizontal="center" vertical="center" textRotation="90" wrapText="1"/>
    </xf>
    <xf numFmtId="0" fontId="17" fillId="41" borderId="16" xfId="0" applyFont="1" applyFill="1" applyBorder="1" applyAlignment="1">
      <alignment horizontal="center" vertical="center" wrapText="1"/>
    </xf>
    <xf numFmtId="49" fontId="17" fillId="41" borderId="16" xfId="0" applyNumberFormat="1" applyFont="1" applyFill="1" applyBorder="1" applyAlignment="1">
      <alignment horizontal="center" vertical="center" wrapText="1"/>
    </xf>
    <xf numFmtId="0" fontId="19" fillId="41" borderId="16" xfId="0" applyFont="1" applyFill="1" applyBorder="1" applyAlignment="1">
      <alignment horizontal="center" vertical="center" wrapText="1"/>
    </xf>
    <xf numFmtId="49" fontId="1" fillId="46" borderId="0" xfId="0" applyNumberFormat="1" applyFont="1" applyFill="1" applyAlignment="1">
      <alignment horizontal="left" vertical="center" wrapText="1"/>
    </xf>
    <xf numFmtId="0" fontId="17" fillId="0" borderId="0" xfId="0" applyFont="1" applyFill="1" applyAlignment="1">
      <alignment horizontal="left" vertical="center" wrapText="1"/>
    </xf>
    <xf numFmtId="2" fontId="19" fillId="0" borderId="16" xfId="0" applyNumberFormat="1" applyFont="1" applyBorder="1" applyAlignment="1">
      <alignment horizontal="center" vertical="center" wrapText="1"/>
    </xf>
    <xf numFmtId="49" fontId="17" fillId="0" borderId="16" xfId="0" applyNumberFormat="1" applyFont="1" applyFill="1" applyBorder="1" applyAlignment="1">
      <alignment horizontal="center" vertical="center" textRotation="90" wrapText="1"/>
    </xf>
    <xf numFmtId="0" fontId="17" fillId="46" borderId="0" xfId="0" applyFont="1" applyFill="1" applyAlignment="1">
      <alignment horizontal="center" vertical="center" wrapText="1"/>
    </xf>
    <xf numFmtId="0" fontId="17" fillId="46" borderId="0" xfId="0" applyFont="1" applyFill="1" applyAlignment="1">
      <alignment horizontal="center" vertical="center"/>
    </xf>
    <xf numFmtId="1" fontId="3" fillId="41" borderId="0" xfId="0" applyNumberFormat="1" applyFont="1" applyFill="1" applyBorder="1" applyAlignment="1">
      <alignment horizontal="left" vertical="center" wrapText="1"/>
    </xf>
    <xf numFmtId="1" fontId="5" fillId="41" borderId="0" xfId="0" applyNumberFormat="1" applyFont="1" applyFill="1" applyBorder="1" applyAlignment="1">
      <alignment horizontal="left" vertical="center" wrapText="1"/>
    </xf>
    <xf numFmtId="49" fontId="17" fillId="46" borderId="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18" fillId="0" borderId="16" xfId="0" applyNumberFormat="1" applyFont="1" applyFill="1" applyBorder="1" applyAlignment="1">
      <alignment horizontal="center" vertical="center" textRotation="90" wrapText="1"/>
    </xf>
    <xf numFmtId="49" fontId="3" fillId="46" borderId="0" xfId="0" applyNumberFormat="1" applyFont="1" applyFill="1" applyAlignment="1">
      <alignment horizontal="center" vertical="center" wrapText="1"/>
    </xf>
    <xf numFmtId="49" fontId="42" fillId="42" borderId="19" xfId="0" applyNumberFormat="1" applyFont="1" applyFill="1" applyBorder="1" applyAlignment="1">
      <alignment horizontal="center" vertical="center" wrapText="1"/>
    </xf>
    <xf numFmtId="49" fontId="42" fillId="42" borderId="25" xfId="0" applyNumberFormat="1" applyFont="1" applyFill="1" applyBorder="1" applyAlignment="1">
      <alignment horizontal="center" vertical="center" wrapText="1"/>
    </xf>
    <xf numFmtId="49" fontId="42" fillId="42" borderId="20" xfId="0" applyNumberFormat="1" applyFont="1" applyFill="1" applyBorder="1" applyAlignment="1">
      <alignment horizontal="center" vertical="center" wrapText="1"/>
    </xf>
    <xf numFmtId="2" fontId="16" fillId="41" borderId="0" xfId="0" applyNumberFormat="1" applyFont="1" applyFill="1" applyAlignment="1">
      <alignment horizontal="center" vertical="center" wrapText="1"/>
    </xf>
    <xf numFmtId="0" fontId="16" fillId="41" borderId="0" xfId="0" applyFont="1" applyFill="1" applyAlignment="1">
      <alignment horizontal="center" vertical="center"/>
    </xf>
    <xf numFmtId="0" fontId="18" fillId="0" borderId="16" xfId="0" applyFont="1" applyBorder="1" applyAlignment="1">
      <alignment horizontal="center" vertical="center" textRotation="90" wrapText="1"/>
    </xf>
    <xf numFmtId="0" fontId="18" fillId="0" borderId="16" xfId="0" applyFont="1" applyBorder="1" applyAlignment="1">
      <alignment horizontal="center" vertical="center" wrapText="1"/>
    </xf>
    <xf numFmtId="0" fontId="3" fillId="0" borderId="0" xfId="0" applyFont="1" applyFill="1" applyAlignment="1">
      <alignment horizontal="center" vertical="center" wrapText="1"/>
    </xf>
    <xf numFmtId="0" fontId="28" fillId="42" borderId="19" xfId="0" applyFont="1" applyFill="1" applyBorder="1" applyAlignment="1">
      <alignment horizontal="center" vertical="center" wrapText="1"/>
    </xf>
    <xf numFmtId="0" fontId="28" fillId="42" borderId="25" xfId="0" applyFont="1" applyFill="1" applyBorder="1" applyAlignment="1">
      <alignment horizontal="center" vertical="center" wrapText="1"/>
    </xf>
    <xf numFmtId="0" fontId="28" fillId="42" borderId="20" xfId="0" applyFont="1" applyFill="1" applyBorder="1" applyAlignment="1">
      <alignment horizontal="center" vertical="center" wrapText="1"/>
    </xf>
    <xf numFmtId="2" fontId="17" fillId="0" borderId="16" xfId="0" applyNumberFormat="1" applyFont="1" applyBorder="1" applyAlignment="1">
      <alignment horizontal="center" vertical="center" wrapText="1"/>
    </xf>
    <xf numFmtId="0" fontId="17" fillId="0" borderId="16" xfId="0" applyFont="1" applyFill="1" applyBorder="1" applyAlignment="1">
      <alignment horizontal="center" vertical="center" textRotation="90" wrapText="1"/>
    </xf>
    <xf numFmtId="0" fontId="28" fillId="0" borderId="0" xfId="0" applyFont="1" applyAlignment="1">
      <alignment horizontal="center" vertical="center" wrapText="1"/>
    </xf>
    <xf numFmtId="200" fontId="29" fillId="0" borderId="16" xfId="0" applyNumberFormat="1" applyFont="1" applyFill="1" applyBorder="1" applyAlignment="1">
      <alignment horizontal="center" vertical="center" wrapText="1"/>
    </xf>
    <xf numFmtId="0" fontId="15" fillId="41" borderId="16" xfId="424" applyFont="1" applyFill="1" applyBorder="1" applyAlignment="1">
      <alignment horizontal="center" vertical="center" wrapText="1"/>
      <protection/>
    </xf>
    <xf numFmtId="0" fontId="15" fillId="0" borderId="16" xfId="424" applyFont="1" applyFill="1" applyBorder="1" applyAlignment="1">
      <alignment horizontal="center" vertical="center" wrapText="1"/>
      <protection/>
    </xf>
    <xf numFmtId="2" fontId="15" fillId="41" borderId="16" xfId="424" applyNumberFormat="1" applyFont="1" applyFill="1" applyBorder="1" applyAlignment="1">
      <alignment horizontal="center" vertical="center" wrapText="1"/>
      <protection/>
    </xf>
    <xf numFmtId="2" fontId="15" fillId="41" borderId="16" xfId="457" applyNumberFormat="1" applyFont="1" applyFill="1" applyBorder="1" applyAlignment="1">
      <alignment horizontal="center" vertical="center" wrapText="1"/>
      <protection/>
    </xf>
  </cellXfs>
  <cellStyles count="622">
    <cellStyle name="Normal" xfId="0"/>
    <cellStyle name="20% - Accent1" xfId="15"/>
    <cellStyle name="20% - Accent1 2" xfId="16"/>
    <cellStyle name="20% - Accent1 2 2" xfId="17"/>
    <cellStyle name="20% - Accent1 3" xfId="18"/>
    <cellStyle name="20% - Accent1 4" xfId="19"/>
    <cellStyle name="20% - Accent1 4 2" xfId="20"/>
    <cellStyle name="20% - Accent1 5" xfId="21"/>
    <cellStyle name="20% - Accent1 6" xfId="22"/>
    <cellStyle name="20% - Accent1 7" xfId="23"/>
    <cellStyle name="20% - Accent2" xfId="24"/>
    <cellStyle name="20% - Accent2 2" xfId="25"/>
    <cellStyle name="20% - Accent2 2 2" xfId="26"/>
    <cellStyle name="20% - Accent2 3" xfId="27"/>
    <cellStyle name="20% - Accent2 4" xfId="28"/>
    <cellStyle name="20% - Accent2 4 2" xfId="29"/>
    <cellStyle name="20% - Accent2 5" xfId="30"/>
    <cellStyle name="20% - Accent2 6" xfId="31"/>
    <cellStyle name="20% - Accent2 7" xfId="32"/>
    <cellStyle name="20% - Accent3" xfId="33"/>
    <cellStyle name="20% - Accent3 2" xfId="34"/>
    <cellStyle name="20% - Accent3 2 2" xfId="35"/>
    <cellStyle name="20% - Accent3 3" xfId="36"/>
    <cellStyle name="20% - Accent3 4" xfId="37"/>
    <cellStyle name="20% - Accent3 4 2" xfId="38"/>
    <cellStyle name="20% - Accent3 5" xfId="39"/>
    <cellStyle name="20% - Accent3 6" xfId="40"/>
    <cellStyle name="20% - Accent3 7" xfId="41"/>
    <cellStyle name="20% - Accent4" xfId="42"/>
    <cellStyle name="20% - Accent4 2" xfId="43"/>
    <cellStyle name="20% - Accent4 2 2" xfId="44"/>
    <cellStyle name="20% - Accent4 3" xfId="45"/>
    <cellStyle name="20% - Accent4 4" xfId="46"/>
    <cellStyle name="20% - Accent4 4 2" xfId="47"/>
    <cellStyle name="20% - Accent4 5" xfId="48"/>
    <cellStyle name="20% - Accent4 6" xfId="49"/>
    <cellStyle name="20% - Accent4 7" xfId="50"/>
    <cellStyle name="20% - Accent5" xfId="51"/>
    <cellStyle name="20% - Accent5 2" xfId="52"/>
    <cellStyle name="20% - Accent5 2 2" xfId="53"/>
    <cellStyle name="20% - Accent5 3" xfId="54"/>
    <cellStyle name="20% - Accent5 4" xfId="55"/>
    <cellStyle name="20% - Accent5 4 2" xfId="56"/>
    <cellStyle name="20% - Accent5 5" xfId="57"/>
    <cellStyle name="20% - Accent5 6" xfId="58"/>
    <cellStyle name="20% - Accent5 7" xfId="59"/>
    <cellStyle name="20% - Accent6" xfId="60"/>
    <cellStyle name="20% - Accent6 2" xfId="61"/>
    <cellStyle name="20% - Accent6 2 2" xfId="62"/>
    <cellStyle name="20% - Accent6 3" xfId="63"/>
    <cellStyle name="20% - Accent6 4" xfId="64"/>
    <cellStyle name="20% - Accent6 4 2" xfId="65"/>
    <cellStyle name="20% - Accent6 5" xfId="66"/>
    <cellStyle name="20% - Accent6 6" xfId="67"/>
    <cellStyle name="20% - Accent6 7" xfId="68"/>
    <cellStyle name="20% - Акцент1" xfId="69"/>
    <cellStyle name="20% — акцент1" xfId="70"/>
    <cellStyle name="20% - Акцент1 2" xfId="71"/>
    <cellStyle name="20% - Акцент2" xfId="72"/>
    <cellStyle name="20% — акцент2" xfId="73"/>
    <cellStyle name="20% - Акцент2 2" xfId="74"/>
    <cellStyle name="20% - Акцент3" xfId="75"/>
    <cellStyle name="20% — акцент3" xfId="76"/>
    <cellStyle name="20% - Акцент3 2" xfId="77"/>
    <cellStyle name="20% - Акцент4" xfId="78"/>
    <cellStyle name="20% — акцент4" xfId="79"/>
    <cellStyle name="20% - Акцент4 2" xfId="80"/>
    <cellStyle name="20% - Акцент5" xfId="81"/>
    <cellStyle name="20% — акцент5" xfId="82"/>
    <cellStyle name="20% - Акцент5 2" xfId="83"/>
    <cellStyle name="20% - Акцент6" xfId="84"/>
    <cellStyle name="20% — акцент6" xfId="85"/>
    <cellStyle name="20% - Акцент6 2" xfId="86"/>
    <cellStyle name="40% - Accent1" xfId="87"/>
    <cellStyle name="40% - Accent1 2" xfId="88"/>
    <cellStyle name="40% - Accent1 2 2" xfId="89"/>
    <cellStyle name="40% - Accent1 3" xfId="90"/>
    <cellStyle name="40% - Accent1 4" xfId="91"/>
    <cellStyle name="40% - Accent1 4 2" xfId="92"/>
    <cellStyle name="40% - Accent1 5" xfId="93"/>
    <cellStyle name="40% - Accent1 6" xfId="94"/>
    <cellStyle name="40% - Accent1 7" xfId="95"/>
    <cellStyle name="40% - Accent2" xfId="96"/>
    <cellStyle name="40% - Accent2 2" xfId="97"/>
    <cellStyle name="40% - Accent2 2 2" xfId="98"/>
    <cellStyle name="40% - Accent2 3" xfId="99"/>
    <cellStyle name="40% - Accent2 4" xfId="100"/>
    <cellStyle name="40% - Accent2 4 2" xfId="101"/>
    <cellStyle name="40% - Accent2 5" xfId="102"/>
    <cellStyle name="40% - Accent2 6" xfId="103"/>
    <cellStyle name="40% - Accent2 7" xfId="104"/>
    <cellStyle name="40% - Accent3" xfId="105"/>
    <cellStyle name="40% - Accent3 2" xfId="106"/>
    <cellStyle name="40% - Accent3 2 2" xfId="107"/>
    <cellStyle name="40% - Accent3 3" xfId="108"/>
    <cellStyle name="40% - Accent3 4" xfId="109"/>
    <cellStyle name="40% - Accent3 4 2" xfId="110"/>
    <cellStyle name="40% - Accent3 5" xfId="111"/>
    <cellStyle name="40% - Accent3 6" xfId="112"/>
    <cellStyle name="40% - Accent3 7" xfId="113"/>
    <cellStyle name="40% - Accent4" xfId="114"/>
    <cellStyle name="40% - Accent4 2" xfId="115"/>
    <cellStyle name="40% - Accent4 2 2" xfId="116"/>
    <cellStyle name="40% - Accent4 3" xfId="117"/>
    <cellStyle name="40% - Accent4 4" xfId="118"/>
    <cellStyle name="40% - Accent4 4 2" xfId="119"/>
    <cellStyle name="40% - Accent4 5" xfId="120"/>
    <cellStyle name="40% - Accent4 6" xfId="121"/>
    <cellStyle name="40% - Accent4 7" xfId="122"/>
    <cellStyle name="40% - Accent5" xfId="123"/>
    <cellStyle name="40% - Accent5 2" xfId="124"/>
    <cellStyle name="40% - Accent5 2 2" xfId="125"/>
    <cellStyle name="40% - Accent5 3" xfId="126"/>
    <cellStyle name="40% - Accent5 4" xfId="127"/>
    <cellStyle name="40% - Accent5 4 2" xfId="128"/>
    <cellStyle name="40% - Accent5 5" xfId="129"/>
    <cellStyle name="40% - Accent5 6" xfId="130"/>
    <cellStyle name="40% - Accent5 7" xfId="131"/>
    <cellStyle name="40% - Accent6" xfId="132"/>
    <cellStyle name="40% - Accent6 2" xfId="133"/>
    <cellStyle name="40% - Accent6 2 2" xfId="134"/>
    <cellStyle name="40% - Accent6 3" xfId="135"/>
    <cellStyle name="40% - Accent6 4" xfId="136"/>
    <cellStyle name="40% - Accent6 4 2" xfId="137"/>
    <cellStyle name="40% - Accent6 5" xfId="138"/>
    <cellStyle name="40% - Accent6 6" xfId="139"/>
    <cellStyle name="40% - Accent6 7" xfId="140"/>
    <cellStyle name="40% - Акцент1" xfId="141"/>
    <cellStyle name="40% — акцент1" xfId="142"/>
    <cellStyle name="40% - Акцент1 2" xfId="143"/>
    <cellStyle name="40% - Акцент2" xfId="144"/>
    <cellStyle name="40% — акцент2" xfId="145"/>
    <cellStyle name="40% - Акцент2 2" xfId="146"/>
    <cellStyle name="40% - Акцент3" xfId="147"/>
    <cellStyle name="40% — акцент3" xfId="148"/>
    <cellStyle name="40% - Акцент3 2" xfId="149"/>
    <cellStyle name="40% - Акцент4" xfId="150"/>
    <cellStyle name="40% — акцент4" xfId="151"/>
    <cellStyle name="40% - Акцент4 2" xfId="152"/>
    <cellStyle name="40% - Акцент5" xfId="153"/>
    <cellStyle name="40% — акцент5" xfId="154"/>
    <cellStyle name="40% - Акцент5 2" xfId="155"/>
    <cellStyle name="40% - Акцент6" xfId="156"/>
    <cellStyle name="40% — акцент6" xfId="157"/>
    <cellStyle name="40% - Акцент6 2" xfId="158"/>
    <cellStyle name="60% - Accent1" xfId="159"/>
    <cellStyle name="60% - Accent1 2" xfId="160"/>
    <cellStyle name="60% - Accent1 2 2" xfId="161"/>
    <cellStyle name="60% - Accent1 3" xfId="162"/>
    <cellStyle name="60% - Accent1 4" xfId="163"/>
    <cellStyle name="60% - Accent1 4 2" xfId="164"/>
    <cellStyle name="60% - Accent1 5" xfId="165"/>
    <cellStyle name="60% - Accent1 6" xfId="166"/>
    <cellStyle name="60% - Accent1 7" xfId="167"/>
    <cellStyle name="60% - Accent2" xfId="168"/>
    <cellStyle name="60% - Accent2 2" xfId="169"/>
    <cellStyle name="60% - Accent2 2 2" xfId="170"/>
    <cellStyle name="60% - Accent2 3" xfId="171"/>
    <cellStyle name="60% - Accent2 4" xfId="172"/>
    <cellStyle name="60% - Accent2 4 2" xfId="173"/>
    <cellStyle name="60% - Accent2 5" xfId="174"/>
    <cellStyle name="60% - Accent2 6" xfId="175"/>
    <cellStyle name="60% - Accent2 7" xfId="176"/>
    <cellStyle name="60% - Accent3" xfId="177"/>
    <cellStyle name="60% - Accent3 2" xfId="178"/>
    <cellStyle name="60% - Accent3 2 2" xfId="179"/>
    <cellStyle name="60% - Accent3 3" xfId="180"/>
    <cellStyle name="60% - Accent3 4" xfId="181"/>
    <cellStyle name="60% - Accent3 4 2" xfId="182"/>
    <cellStyle name="60% - Accent3 5" xfId="183"/>
    <cellStyle name="60% - Accent3 6" xfId="184"/>
    <cellStyle name="60% - Accent3 7" xfId="185"/>
    <cellStyle name="60% - Accent4" xfId="186"/>
    <cellStyle name="60% - Accent4 2" xfId="187"/>
    <cellStyle name="60% - Accent4 2 2" xfId="188"/>
    <cellStyle name="60% - Accent4 3" xfId="189"/>
    <cellStyle name="60% - Accent4 4" xfId="190"/>
    <cellStyle name="60% - Accent4 4 2" xfId="191"/>
    <cellStyle name="60% - Accent4 5" xfId="192"/>
    <cellStyle name="60% - Accent4 6" xfId="193"/>
    <cellStyle name="60% - Accent4 7" xfId="194"/>
    <cellStyle name="60% - Accent5" xfId="195"/>
    <cellStyle name="60% - Accent5 2" xfId="196"/>
    <cellStyle name="60% - Accent5 2 2" xfId="197"/>
    <cellStyle name="60% - Accent5 3" xfId="198"/>
    <cellStyle name="60% - Accent5 4" xfId="199"/>
    <cellStyle name="60% - Accent5 4 2" xfId="200"/>
    <cellStyle name="60% - Accent5 5" xfId="201"/>
    <cellStyle name="60% - Accent5 6" xfId="202"/>
    <cellStyle name="60% - Accent5 7" xfId="203"/>
    <cellStyle name="60% - Accent6" xfId="204"/>
    <cellStyle name="60% - Accent6 2" xfId="205"/>
    <cellStyle name="60% - Accent6 2 2" xfId="206"/>
    <cellStyle name="60% - Accent6 3" xfId="207"/>
    <cellStyle name="60% - Accent6 4" xfId="208"/>
    <cellStyle name="60% - Accent6 4 2" xfId="209"/>
    <cellStyle name="60% - Accent6 5" xfId="210"/>
    <cellStyle name="60% - Accent6 6" xfId="211"/>
    <cellStyle name="60% - Accent6 7" xfId="212"/>
    <cellStyle name="60% - Акцент1" xfId="213"/>
    <cellStyle name="60% — акцент1" xfId="214"/>
    <cellStyle name="60% - Акцент1 2" xfId="215"/>
    <cellStyle name="60% - Акцент2" xfId="216"/>
    <cellStyle name="60% — акцент2" xfId="217"/>
    <cellStyle name="60% - Акцент2 2" xfId="218"/>
    <cellStyle name="60% - Акцент3" xfId="219"/>
    <cellStyle name="60% — акцент3" xfId="220"/>
    <cellStyle name="60% - Акцент3 2" xfId="221"/>
    <cellStyle name="60% - Акцент4" xfId="222"/>
    <cellStyle name="60% — акцент4" xfId="223"/>
    <cellStyle name="60% - Акцент4 2" xfId="224"/>
    <cellStyle name="60% - Акцент5" xfId="225"/>
    <cellStyle name="60% — акцент5" xfId="226"/>
    <cellStyle name="60% - Акцент5 2" xfId="227"/>
    <cellStyle name="60% - Акцент6" xfId="228"/>
    <cellStyle name="60% — акцент6" xfId="229"/>
    <cellStyle name="60% - Акцент6 2" xfId="230"/>
    <cellStyle name="Accent1" xfId="231"/>
    <cellStyle name="Accent1 2" xfId="232"/>
    <cellStyle name="Accent1 2 2" xfId="233"/>
    <cellStyle name="Accent1 3" xfId="234"/>
    <cellStyle name="Accent1 4" xfId="235"/>
    <cellStyle name="Accent1 4 2" xfId="236"/>
    <cellStyle name="Accent1 5" xfId="237"/>
    <cellStyle name="Accent1 6" xfId="238"/>
    <cellStyle name="Accent1 7" xfId="239"/>
    <cellStyle name="Accent2" xfId="240"/>
    <cellStyle name="Accent2 2" xfId="241"/>
    <cellStyle name="Accent2 2 2" xfId="242"/>
    <cellStyle name="Accent2 3" xfId="243"/>
    <cellStyle name="Accent2 4" xfId="244"/>
    <cellStyle name="Accent2 4 2" xfId="245"/>
    <cellStyle name="Accent2 5" xfId="246"/>
    <cellStyle name="Accent2 6" xfId="247"/>
    <cellStyle name="Accent2 7" xfId="248"/>
    <cellStyle name="Accent3" xfId="249"/>
    <cellStyle name="Accent3 2" xfId="250"/>
    <cellStyle name="Accent3 2 2" xfId="251"/>
    <cellStyle name="Accent3 3" xfId="252"/>
    <cellStyle name="Accent3 4" xfId="253"/>
    <cellStyle name="Accent3 4 2" xfId="254"/>
    <cellStyle name="Accent3 5" xfId="255"/>
    <cellStyle name="Accent3 6" xfId="256"/>
    <cellStyle name="Accent3 7" xfId="257"/>
    <cellStyle name="Accent4" xfId="258"/>
    <cellStyle name="Accent4 2" xfId="259"/>
    <cellStyle name="Accent4 2 2" xfId="260"/>
    <cellStyle name="Accent4 3" xfId="261"/>
    <cellStyle name="Accent4 4" xfId="262"/>
    <cellStyle name="Accent4 4 2" xfId="263"/>
    <cellStyle name="Accent4 5" xfId="264"/>
    <cellStyle name="Accent4 6" xfId="265"/>
    <cellStyle name="Accent4 7" xfId="266"/>
    <cellStyle name="Accent5" xfId="267"/>
    <cellStyle name="Accent5 2" xfId="268"/>
    <cellStyle name="Accent5 2 2" xfId="269"/>
    <cellStyle name="Accent5 3" xfId="270"/>
    <cellStyle name="Accent5 4" xfId="271"/>
    <cellStyle name="Accent5 4 2" xfId="272"/>
    <cellStyle name="Accent5 5" xfId="273"/>
    <cellStyle name="Accent5 6" xfId="274"/>
    <cellStyle name="Accent5 7" xfId="275"/>
    <cellStyle name="Accent6" xfId="276"/>
    <cellStyle name="Accent6 2" xfId="277"/>
    <cellStyle name="Accent6 2 2" xfId="278"/>
    <cellStyle name="Accent6 3" xfId="279"/>
    <cellStyle name="Accent6 4" xfId="280"/>
    <cellStyle name="Accent6 4 2" xfId="281"/>
    <cellStyle name="Accent6 5" xfId="282"/>
    <cellStyle name="Accent6 6" xfId="283"/>
    <cellStyle name="Accent6 7" xfId="284"/>
    <cellStyle name="Bad" xfId="285"/>
    <cellStyle name="Bad 2" xfId="286"/>
    <cellStyle name="Bad 2 2" xfId="287"/>
    <cellStyle name="Bad 3" xfId="288"/>
    <cellStyle name="Bad 4" xfId="289"/>
    <cellStyle name="Bad 4 2" xfId="290"/>
    <cellStyle name="Bad 5" xfId="291"/>
    <cellStyle name="Bad 6" xfId="292"/>
    <cellStyle name="Bad 7" xfId="293"/>
    <cellStyle name="Calculation" xfId="294"/>
    <cellStyle name="Calculation 2" xfId="295"/>
    <cellStyle name="Calculation 2 2" xfId="296"/>
    <cellStyle name="Calculation 3" xfId="297"/>
    <cellStyle name="Calculation 4" xfId="298"/>
    <cellStyle name="Calculation 4 2" xfId="299"/>
    <cellStyle name="Calculation 4_Copy of SANTEQNIKA" xfId="300"/>
    <cellStyle name="Calculation 5" xfId="301"/>
    <cellStyle name="Calculation 6" xfId="302"/>
    <cellStyle name="Calculation 7" xfId="303"/>
    <cellStyle name="Check Cell" xfId="304"/>
    <cellStyle name="Check Cell 2" xfId="305"/>
    <cellStyle name="Check Cell 2 2" xfId="306"/>
    <cellStyle name="Check Cell 3" xfId="307"/>
    <cellStyle name="Check Cell 4" xfId="308"/>
    <cellStyle name="Check Cell 4 2" xfId="309"/>
    <cellStyle name="Check Cell 4_Copy of SANTEQNIKA" xfId="310"/>
    <cellStyle name="Check Cell 5" xfId="311"/>
    <cellStyle name="Check Cell 6" xfId="312"/>
    <cellStyle name="Check Cell 7" xfId="313"/>
    <cellStyle name="Comma" xfId="314"/>
    <cellStyle name="Comma [0]" xfId="315"/>
    <cellStyle name="Comma 2" xfId="316"/>
    <cellStyle name="Comma 2 2" xfId="317"/>
    <cellStyle name="Comma 3" xfId="318"/>
    <cellStyle name="Comma 4" xfId="319"/>
    <cellStyle name="Currency" xfId="320"/>
    <cellStyle name="Currency [0]" xfId="321"/>
    <cellStyle name="Excel Built-in Normal" xfId="322"/>
    <cellStyle name="Explanatory Text" xfId="323"/>
    <cellStyle name="Explanatory Text 2" xfId="324"/>
    <cellStyle name="Explanatory Text 2 2" xfId="325"/>
    <cellStyle name="Explanatory Text 3" xfId="326"/>
    <cellStyle name="Explanatory Text 4" xfId="327"/>
    <cellStyle name="Explanatory Text 4 2" xfId="328"/>
    <cellStyle name="Explanatory Text 5" xfId="329"/>
    <cellStyle name="Explanatory Text 6" xfId="330"/>
    <cellStyle name="Explanatory Text 7" xfId="331"/>
    <cellStyle name="Followed Hyperlink" xfId="332"/>
    <cellStyle name="Good" xfId="333"/>
    <cellStyle name="Good 2" xfId="334"/>
    <cellStyle name="Good 2 2" xfId="335"/>
    <cellStyle name="Good 3" xfId="336"/>
    <cellStyle name="Good 4" xfId="337"/>
    <cellStyle name="Good 4 2" xfId="338"/>
    <cellStyle name="Good 5" xfId="339"/>
    <cellStyle name="Good 6" xfId="340"/>
    <cellStyle name="Good 7" xfId="341"/>
    <cellStyle name="Heading 1" xfId="342"/>
    <cellStyle name="Heading 1 2" xfId="343"/>
    <cellStyle name="Heading 1 2 2" xfId="344"/>
    <cellStyle name="Heading 1 3" xfId="345"/>
    <cellStyle name="Heading 1 4" xfId="346"/>
    <cellStyle name="Heading 1 4 2" xfId="347"/>
    <cellStyle name="Heading 1 4_Copy of SANTEQNIKA" xfId="348"/>
    <cellStyle name="Heading 1 5" xfId="349"/>
    <cellStyle name="Heading 1 6" xfId="350"/>
    <cellStyle name="Heading 1 7" xfId="351"/>
    <cellStyle name="Heading 2" xfId="352"/>
    <cellStyle name="Heading 2 2" xfId="353"/>
    <cellStyle name="Heading 2 2 2" xfId="354"/>
    <cellStyle name="Heading 2 3" xfId="355"/>
    <cellStyle name="Heading 2 4" xfId="356"/>
    <cellStyle name="Heading 2 4 2" xfId="357"/>
    <cellStyle name="Heading 2 4_Copy of SANTEQNIKA" xfId="358"/>
    <cellStyle name="Heading 2 5" xfId="359"/>
    <cellStyle name="Heading 2 6" xfId="360"/>
    <cellStyle name="Heading 2 7" xfId="361"/>
    <cellStyle name="Heading 3" xfId="362"/>
    <cellStyle name="Heading 3 2" xfId="363"/>
    <cellStyle name="Heading 3 2 2" xfId="364"/>
    <cellStyle name="Heading 3 3" xfId="365"/>
    <cellStyle name="Heading 3 4" xfId="366"/>
    <cellStyle name="Heading 3 4 2" xfId="367"/>
    <cellStyle name="Heading 3 4_Copy of SANTEQNIKA" xfId="368"/>
    <cellStyle name="Heading 3 5" xfId="369"/>
    <cellStyle name="Heading 3 6" xfId="370"/>
    <cellStyle name="Heading 3 7" xfId="371"/>
    <cellStyle name="Heading 4" xfId="372"/>
    <cellStyle name="Heading 4 2" xfId="373"/>
    <cellStyle name="Heading 4 2 2" xfId="374"/>
    <cellStyle name="Heading 4 3" xfId="375"/>
    <cellStyle name="Heading 4 4" xfId="376"/>
    <cellStyle name="Heading 4 4 2" xfId="377"/>
    <cellStyle name="Heading 4 5" xfId="378"/>
    <cellStyle name="Heading 4 6" xfId="379"/>
    <cellStyle name="Heading 4 7" xfId="380"/>
    <cellStyle name="Hyperlink" xfId="381"/>
    <cellStyle name="Input" xfId="382"/>
    <cellStyle name="Input 2" xfId="383"/>
    <cellStyle name="Input 2 2" xfId="384"/>
    <cellStyle name="Input 3" xfId="385"/>
    <cellStyle name="Input 4" xfId="386"/>
    <cellStyle name="Input 4 2" xfId="387"/>
    <cellStyle name="Input 4_Copy of SANTEQNIKA" xfId="388"/>
    <cellStyle name="Input 5" xfId="389"/>
    <cellStyle name="Input 6" xfId="390"/>
    <cellStyle name="Input 7" xfId="391"/>
    <cellStyle name="Linked Cell" xfId="392"/>
    <cellStyle name="Linked Cell 2" xfId="393"/>
    <cellStyle name="Linked Cell 2 2" xfId="394"/>
    <cellStyle name="Linked Cell 3" xfId="395"/>
    <cellStyle name="Linked Cell 4" xfId="396"/>
    <cellStyle name="Linked Cell 4 2" xfId="397"/>
    <cellStyle name="Linked Cell 4_Copy of SANTEQNIKA" xfId="398"/>
    <cellStyle name="Linked Cell 5" xfId="399"/>
    <cellStyle name="Linked Cell 6" xfId="400"/>
    <cellStyle name="Linked Cell 7" xfId="401"/>
    <cellStyle name="Neutral" xfId="402"/>
    <cellStyle name="Neutral 2" xfId="403"/>
    <cellStyle name="Neutral 2 2" xfId="404"/>
    <cellStyle name="Neutral 3" xfId="405"/>
    <cellStyle name="Neutral 4" xfId="406"/>
    <cellStyle name="Neutral 4 2" xfId="407"/>
    <cellStyle name="Neutral 5" xfId="408"/>
    <cellStyle name="Neutral 6" xfId="409"/>
    <cellStyle name="Neutral 7" xfId="410"/>
    <cellStyle name="Normal 10" xfId="411"/>
    <cellStyle name="Normal 10 2" xfId="412"/>
    <cellStyle name="Normal 10 2 2" xfId="413"/>
    <cellStyle name="Normal 10 2 3" xfId="414"/>
    <cellStyle name="Normal 11" xfId="415"/>
    <cellStyle name="Normal 11 2" xfId="416"/>
    <cellStyle name="Normal 12" xfId="417"/>
    <cellStyle name="Normal 12 2" xfId="418"/>
    <cellStyle name="Normal 13" xfId="419"/>
    <cellStyle name="Normal 14" xfId="420"/>
    <cellStyle name="Normal 14 2" xfId="421"/>
    <cellStyle name="Normal 14 3" xfId="422"/>
    <cellStyle name="Normal 14 4" xfId="423"/>
    <cellStyle name="Normal 14_anakia II etapi.xls sm. defeqturi" xfId="424"/>
    <cellStyle name="Normal 15" xfId="425"/>
    <cellStyle name="Normal 16" xfId="426"/>
    <cellStyle name="Normal 2" xfId="427"/>
    <cellStyle name="Normal 2 10" xfId="428"/>
    <cellStyle name="Normal 2 11" xfId="429"/>
    <cellStyle name="Normal 2 2" xfId="430"/>
    <cellStyle name="Normal 2 2 2" xfId="431"/>
    <cellStyle name="Normal 2 2 3" xfId="432"/>
    <cellStyle name="Normal 2 2 4" xfId="433"/>
    <cellStyle name="Normal 2 2 5" xfId="434"/>
    <cellStyle name="Normal 2 2 6" xfId="435"/>
    <cellStyle name="Normal 2 2_Copy of SANTEQNIKA" xfId="436"/>
    <cellStyle name="Normal 2 3" xfId="437"/>
    <cellStyle name="Normal 2 4" xfId="438"/>
    <cellStyle name="Normal 2 5" xfId="439"/>
    <cellStyle name="Normal 2 6" xfId="440"/>
    <cellStyle name="Normal 2 7" xfId="441"/>
    <cellStyle name="Normal 2 7 2" xfId="442"/>
    <cellStyle name="Normal 2 8" xfId="443"/>
    <cellStyle name="Normal 2_ELEQTRO" xfId="444"/>
    <cellStyle name="Normal 26" xfId="445"/>
    <cellStyle name="Normal 27" xfId="446"/>
    <cellStyle name="Normal 3" xfId="447"/>
    <cellStyle name="Normal 3 2" xfId="448"/>
    <cellStyle name="Normal 3 3" xfId="449"/>
    <cellStyle name="Normal 31" xfId="450"/>
    <cellStyle name="Normal 32 2" xfId="451"/>
    <cellStyle name="Normal 33 2" xfId="452"/>
    <cellStyle name="Normal 38 3" xfId="453"/>
    <cellStyle name="Normal 4" xfId="454"/>
    <cellStyle name="Normal 4 2" xfId="455"/>
    <cellStyle name="Normal 42" xfId="456"/>
    <cellStyle name="Normal 49" xfId="457"/>
    <cellStyle name="Normal 5" xfId="458"/>
    <cellStyle name="Normal 6" xfId="459"/>
    <cellStyle name="Normal 7" xfId="460"/>
    <cellStyle name="Normal 8" xfId="461"/>
    <cellStyle name="Normal 8 2" xfId="462"/>
    <cellStyle name="Normal 8_Copy of SANTEQNIKA" xfId="463"/>
    <cellStyle name="Normal 9" xfId="464"/>
    <cellStyle name="Normal 9 2" xfId="465"/>
    <cellStyle name="Normal 9 2 2" xfId="466"/>
    <cellStyle name="Normal 9_Copy of SANTEQNIKA" xfId="467"/>
    <cellStyle name="Normal_gare wyalsadfenigagarini 10" xfId="468"/>
    <cellStyle name="Normal_gare wyalsadfenigagarini 2 2" xfId="469"/>
    <cellStyle name="Normal_gare wyalsadfenigagarini 2_SMSH2008-IIkv ." xfId="470"/>
    <cellStyle name="Normal_SMETA 3" xfId="471"/>
    <cellStyle name="Note" xfId="472"/>
    <cellStyle name="Note 2" xfId="473"/>
    <cellStyle name="Note 3" xfId="474"/>
    <cellStyle name="Note 4" xfId="475"/>
    <cellStyle name="Note 4 2" xfId="476"/>
    <cellStyle name="Note 4_Copy of SANTEQNIKA" xfId="477"/>
    <cellStyle name="Note 5" xfId="478"/>
    <cellStyle name="Note 6" xfId="479"/>
    <cellStyle name="Note 7" xfId="480"/>
    <cellStyle name="Note 8" xfId="481"/>
    <cellStyle name="Output" xfId="482"/>
    <cellStyle name="Output 2" xfId="483"/>
    <cellStyle name="Output 2 2" xfId="484"/>
    <cellStyle name="Output 3" xfId="485"/>
    <cellStyle name="Output 4" xfId="486"/>
    <cellStyle name="Output 4 2" xfId="487"/>
    <cellStyle name="Output 4_Copy of SANTEQNIKA" xfId="488"/>
    <cellStyle name="Output 5" xfId="489"/>
    <cellStyle name="Output 6" xfId="490"/>
    <cellStyle name="Output 7" xfId="491"/>
    <cellStyle name="Percent" xfId="492"/>
    <cellStyle name="Percent 2" xfId="493"/>
    <cellStyle name="Style 1" xfId="494"/>
    <cellStyle name="Title" xfId="495"/>
    <cellStyle name="Title 2" xfId="496"/>
    <cellStyle name="Title 2 2" xfId="497"/>
    <cellStyle name="Title 3" xfId="498"/>
    <cellStyle name="Title 4" xfId="499"/>
    <cellStyle name="Title 4 2" xfId="500"/>
    <cellStyle name="Title 5" xfId="501"/>
    <cellStyle name="Title 6" xfId="502"/>
    <cellStyle name="Title 7" xfId="503"/>
    <cellStyle name="Total" xfId="504"/>
    <cellStyle name="Total 2" xfId="505"/>
    <cellStyle name="Total 2 2" xfId="506"/>
    <cellStyle name="Total 3" xfId="507"/>
    <cellStyle name="Total 4" xfId="508"/>
    <cellStyle name="Total 4 2" xfId="509"/>
    <cellStyle name="Total 4_Copy of SANTEQNIKA" xfId="510"/>
    <cellStyle name="Total 5" xfId="511"/>
    <cellStyle name="Total 6" xfId="512"/>
    <cellStyle name="Total 7" xfId="513"/>
    <cellStyle name="Warning Text" xfId="514"/>
    <cellStyle name="Warning Text 2" xfId="515"/>
    <cellStyle name="Warning Text 2 2" xfId="516"/>
    <cellStyle name="Warning Text 3" xfId="517"/>
    <cellStyle name="Warning Text 4" xfId="518"/>
    <cellStyle name="Warning Text 4 2" xfId="519"/>
    <cellStyle name="Warning Text 5" xfId="520"/>
    <cellStyle name="Warning Text 6" xfId="521"/>
    <cellStyle name="Warning Text 7" xfId="522"/>
    <cellStyle name="Акцент1" xfId="523"/>
    <cellStyle name="Акцент1 2" xfId="524"/>
    <cellStyle name="Акцент1 3" xfId="525"/>
    <cellStyle name="Акцент2" xfId="526"/>
    <cellStyle name="Акцент2 2" xfId="527"/>
    <cellStyle name="Акцент2 3" xfId="528"/>
    <cellStyle name="Акцент3" xfId="529"/>
    <cellStyle name="Акцент3 2" xfId="530"/>
    <cellStyle name="Акцент3 3" xfId="531"/>
    <cellStyle name="Акцент4" xfId="532"/>
    <cellStyle name="Акцент4 2" xfId="533"/>
    <cellStyle name="Акцент4 3" xfId="534"/>
    <cellStyle name="Акцент5" xfId="535"/>
    <cellStyle name="Акцент5 2" xfId="536"/>
    <cellStyle name="Акцент5 3" xfId="537"/>
    <cellStyle name="Акцент6" xfId="538"/>
    <cellStyle name="Акцент6 2" xfId="539"/>
    <cellStyle name="Акцент6 3" xfId="540"/>
    <cellStyle name="Ввод " xfId="541"/>
    <cellStyle name="Ввод  2" xfId="542"/>
    <cellStyle name="Ввод  3" xfId="543"/>
    <cellStyle name="Вывод" xfId="544"/>
    <cellStyle name="Вывод 2" xfId="545"/>
    <cellStyle name="Вывод 3" xfId="546"/>
    <cellStyle name="Вычисление" xfId="547"/>
    <cellStyle name="Вычисление 2" xfId="548"/>
    <cellStyle name="Вычисление 3" xfId="549"/>
    <cellStyle name="Заголовок 1" xfId="550"/>
    <cellStyle name="Заголовок 1 2" xfId="551"/>
    <cellStyle name="Заголовок 1 3" xfId="552"/>
    <cellStyle name="Заголовок 2" xfId="553"/>
    <cellStyle name="Заголовок 2 2" xfId="554"/>
    <cellStyle name="Заголовок 2 3" xfId="555"/>
    <cellStyle name="Заголовок 3" xfId="556"/>
    <cellStyle name="Заголовок 3 2" xfId="557"/>
    <cellStyle name="Заголовок 3 3" xfId="558"/>
    <cellStyle name="Заголовок 4" xfId="559"/>
    <cellStyle name="Заголовок 4 2" xfId="560"/>
    <cellStyle name="Заголовок 4 3" xfId="561"/>
    <cellStyle name="Итог" xfId="562"/>
    <cellStyle name="Итог 2" xfId="563"/>
    <cellStyle name="Итог 3" xfId="564"/>
    <cellStyle name="Контрольная ячейка" xfId="565"/>
    <cellStyle name="Контрольная ячейка 2" xfId="566"/>
    <cellStyle name="Контрольная ячейка 3" xfId="567"/>
    <cellStyle name="Название" xfId="568"/>
    <cellStyle name="Название 2" xfId="569"/>
    <cellStyle name="Название 3" xfId="570"/>
    <cellStyle name="Нейтральный" xfId="571"/>
    <cellStyle name="Нейтральный 2" xfId="572"/>
    <cellStyle name="Нейтральный 3" xfId="573"/>
    <cellStyle name="Обычный 2" xfId="574"/>
    <cellStyle name="Обычный 2 2" xfId="575"/>
    <cellStyle name="Обычный 2 2 2" xfId="576"/>
    <cellStyle name="Обычный 2 2 2 2" xfId="577"/>
    <cellStyle name="Обычный 2 3" xfId="578"/>
    <cellStyle name="Обычный 2 3 2" xfId="579"/>
    <cellStyle name="Обычный 2 4" xfId="580"/>
    <cellStyle name="Обычный 3" xfId="581"/>
    <cellStyle name="Обычный 3 2" xfId="582"/>
    <cellStyle name="Обычный 3 2 2" xfId="583"/>
    <cellStyle name="Обычный 4" xfId="584"/>
    <cellStyle name="Обычный 4 2" xfId="585"/>
    <cellStyle name="Обычный 4 3" xfId="586"/>
    <cellStyle name="Обычный 5" xfId="587"/>
    <cellStyle name="Обычный 5 2" xfId="588"/>
    <cellStyle name="Обычный 5 2 2" xfId="589"/>
    <cellStyle name="Обычный 5 2 3" xfId="590"/>
    <cellStyle name="Обычный 5 3" xfId="591"/>
    <cellStyle name="Обычный 5 4" xfId="592"/>
    <cellStyle name="Обычный 6" xfId="593"/>
    <cellStyle name="Обычный 7" xfId="594"/>
    <cellStyle name="Обычный_დემონტაჟი" xfId="595"/>
    <cellStyle name="Плохой" xfId="596"/>
    <cellStyle name="Плохой 2" xfId="597"/>
    <cellStyle name="Плохой 3" xfId="598"/>
    <cellStyle name="Пояснение" xfId="599"/>
    <cellStyle name="Пояснение 2" xfId="600"/>
    <cellStyle name="Пояснение 3" xfId="601"/>
    <cellStyle name="Примечание" xfId="602"/>
    <cellStyle name="Примечание 2" xfId="603"/>
    <cellStyle name="Примечание 3" xfId="604"/>
    <cellStyle name="Примечание 4" xfId="605"/>
    <cellStyle name="Процентный 2" xfId="606"/>
    <cellStyle name="Процентный 3" xfId="607"/>
    <cellStyle name="Связанная ячейка" xfId="608"/>
    <cellStyle name="Связанная ячейка 2" xfId="609"/>
    <cellStyle name="Связанная ячейка 3" xfId="610"/>
    <cellStyle name="Текст предупреждения" xfId="611"/>
    <cellStyle name="Текст предупреждения 2" xfId="612"/>
    <cellStyle name="Текст предупреждения 3" xfId="613"/>
    <cellStyle name="Финансовый 2" xfId="614"/>
    <cellStyle name="Финансовый 2 2" xfId="615"/>
    <cellStyle name="Финансовый 2 2 2" xfId="616"/>
    <cellStyle name="Финансовый 2 2 2 2" xfId="617"/>
    <cellStyle name="Финансовый 2 2 3" xfId="618"/>
    <cellStyle name="Финансовый 2 3" xfId="619"/>
    <cellStyle name="Финансовый 2 3 2" xfId="620"/>
    <cellStyle name="Финансовый 2 4" xfId="621"/>
    <cellStyle name="Финансовый 2 5" xfId="622"/>
    <cellStyle name="Финансовый 3" xfId="623"/>
    <cellStyle name="Финансовый 3 2" xfId="624"/>
    <cellStyle name="Финансовый 3 2 2" xfId="625"/>
    <cellStyle name="Финансовый 3 2 3" xfId="626"/>
    <cellStyle name="Финансовый 3 3" xfId="627"/>
    <cellStyle name="Финансовый 3 4" xfId="628"/>
    <cellStyle name="Финансовый 3 5" xfId="629"/>
    <cellStyle name="Финансовый 4" xfId="630"/>
    <cellStyle name="Финансовый 4 2" xfId="631"/>
    <cellStyle name="Хороший" xfId="632"/>
    <cellStyle name="Хороший 2" xfId="633"/>
    <cellStyle name="Хороший 3" xfId="634"/>
    <cellStyle name="სათაური3" xfId="6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H23"/>
  <sheetViews>
    <sheetView tabSelected="1" zoomScalePageLayoutView="0" workbookViewId="0" topLeftCell="A1">
      <selection activeCell="C5" sqref="C5:D5"/>
    </sheetView>
  </sheetViews>
  <sheetFormatPr defaultColWidth="9.140625" defaultRowHeight="12.75"/>
  <cols>
    <col min="1" max="1" width="3.140625" style="127" customWidth="1"/>
    <col min="2" max="2" width="21.57421875" style="128" customWidth="1"/>
    <col min="3" max="3" width="27.00390625" style="95" customWidth="1"/>
    <col min="4" max="4" width="13.00390625" style="95" customWidth="1"/>
    <col min="5" max="5" width="20.28125" style="95" customWidth="1"/>
    <col min="6" max="6" width="10.57421875" style="95" customWidth="1"/>
    <col min="7" max="7" width="12.00390625" style="95" customWidth="1"/>
    <col min="8" max="8" width="9.57421875" style="95" customWidth="1"/>
    <col min="9" max="16384" width="9.140625" style="95" customWidth="1"/>
  </cols>
  <sheetData>
    <row r="1" spans="1:5" s="63" customFormat="1" ht="27" customHeight="1">
      <c r="A1" s="642" t="s">
        <v>26</v>
      </c>
      <c r="B1" s="642"/>
      <c r="C1" s="642"/>
      <c r="D1" s="642"/>
      <c r="E1" s="642"/>
    </row>
    <row r="2" spans="1:5" s="63" customFormat="1" ht="37.5" customHeight="1">
      <c r="A2" s="642" t="s">
        <v>1604</v>
      </c>
      <c r="B2" s="642"/>
      <c r="C2" s="642"/>
      <c r="D2" s="642"/>
      <c r="E2" s="642"/>
    </row>
    <row r="3" spans="1:5" ht="35.25" customHeight="1">
      <c r="A3" s="651" t="s">
        <v>7</v>
      </c>
      <c r="B3" s="648" t="s">
        <v>40</v>
      </c>
      <c r="C3" s="641" t="s">
        <v>27</v>
      </c>
      <c r="D3" s="641"/>
      <c r="E3" s="617" t="s">
        <v>28</v>
      </c>
    </row>
    <row r="4" spans="1:5" ht="42" customHeight="1">
      <c r="A4" s="651"/>
      <c r="B4" s="648"/>
      <c r="C4" s="641"/>
      <c r="D4" s="641"/>
      <c r="E4" s="129" t="s">
        <v>29</v>
      </c>
    </row>
    <row r="5" spans="1:7" ht="42.75" customHeight="1">
      <c r="A5" s="82" t="s">
        <v>13</v>
      </c>
      <c r="B5" s="46" t="s">
        <v>293</v>
      </c>
      <c r="C5" s="641" t="s">
        <v>427</v>
      </c>
      <c r="D5" s="641"/>
      <c r="E5" s="47">
        <f>'ობ.ხ.№1'!D15</f>
        <v>0</v>
      </c>
      <c r="G5" s="289"/>
    </row>
    <row r="6" spans="1:7" ht="36.75" customHeight="1">
      <c r="A6" s="82" t="s">
        <v>37</v>
      </c>
      <c r="B6" s="46" t="s">
        <v>595</v>
      </c>
      <c r="C6" s="641" t="s">
        <v>596</v>
      </c>
      <c r="D6" s="641"/>
      <c r="E6" s="47">
        <f>'ობ.ხ. #2'!D10</f>
        <v>0</v>
      </c>
      <c r="G6" s="289"/>
    </row>
    <row r="7" spans="1:7" ht="33.75" customHeight="1">
      <c r="A7" s="82" t="s">
        <v>63</v>
      </c>
      <c r="B7" s="46" t="s">
        <v>294</v>
      </c>
      <c r="C7" s="641" t="s">
        <v>581</v>
      </c>
      <c r="D7" s="641"/>
      <c r="E7" s="47">
        <f>'ლხ.3'!H60</f>
        <v>0</v>
      </c>
      <c r="G7" s="289"/>
    </row>
    <row r="8" spans="1:7" ht="36" customHeight="1">
      <c r="A8" s="82" t="s">
        <v>64</v>
      </c>
      <c r="B8" s="46" t="s">
        <v>0</v>
      </c>
      <c r="C8" s="641" t="s">
        <v>519</v>
      </c>
      <c r="D8" s="641"/>
      <c r="E8" s="47">
        <f>'ლხ-4'!H37</f>
        <v>0</v>
      </c>
      <c r="G8" s="289"/>
    </row>
    <row r="9" spans="1:7" ht="35.25" customHeight="1">
      <c r="A9" s="82" t="s">
        <v>41</v>
      </c>
      <c r="B9" s="46" t="s">
        <v>220</v>
      </c>
      <c r="C9" s="641" t="s">
        <v>1220</v>
      </c>
      <c r="D9" s="641"/>
      <c r="E9" s="47">
        <f>'ლხ-5'!H48</f>
        <v>0</v>
      </c>
      <c r="G9" s="289"/>
    </row>
    <row r="10" spans="1:7" ht="36.75" customHeight="1">
      <c r="A10" s="82" t="s">
        <v>44</v>
      </c>
      <c r="B10" s="46" t="s">
        <v>150</v>
      </c>
      <c r="C10" s="641" t="s">
        <v>335</v>
      </c>
      <c r="D10" s="641"/>
      <c r="E10" s="47">
        <f>ლხ–6!H86</f>
        <v>0</v>
      </c>
      <c r="G10" s="289"/>
    </row>
    <row r="11" spans="1:7" ht="46.5" customHeight="1">
      <c r="A11" s="82" t="s">
        <v>45</v>
      </c>
      <c r="B11" s="46" t="s">
        <v>151</v>
      </c>
      <c r="C11" s="652" t="s">
        <v>1272</v>
      </c>
      <c r="D11" s="653"/>
      <c r="E11" s="47">
        <f>'ლხ.#7'!H162</f>
        <v>0</v>
      </c>
      <c r="G11" s="289"/>
    </row>
    <row r="12" spans="1:7" ht="43.5" customHeight="1">
      <c r="A12" s="82" t="s">
        <v>71</v>
      </c>
      <c r="B12" s="46" t="s">
        <v>282</v>
      </c>
      <c r="C12" s="654" t="s">
        <v>342</v>
      </c>
      <c r="D12" s="654"/>
      <c r="E12" s="102">
        <f>'ლხ.#8'!H108</f>
        <v>0</v>
      </c>
      <c r="G12" s="289"/>
    </row>
    <row r="13" spans="1:8" ht="34.5" customHeight="1">
      <c r="A13" s="82"/>
      <c r="B13" s="46"/>
      <c r="C13" s="646" t="s">
        <v>33</v>
      </c>
      <c r="D13" s="646"/>
      <c r="E13" s="70">
        <f>SUM(E5:E12)</f>
        <v>0</v>
      </c>
      <c r="G13" s="289"/>
      <c r="H13" s="289"/>
    </row>
    <row r="14" spans="1:5" ht="50.25" customHeight="1">
      <c r="A14" s="82"/>
      <c r="B14" s="46"/>
      <c r="C14" s="46" t="s">
        <v>32</v>
      </c>
      <c r="D14" s="162">
        <v>0.05</v>
      </c>
      <c r="E14" s="47">
        <f>E13*D14</f>
        <v>0</v>
      </c>
    </row>
    <row r="15" spans="1:7" ht="34.5" customHeight="1">
      <c r="A15" s="81"/>
      <c r="B15" s="55"/>
      <c r="C15" s="646" t="s">
        <v>33</v>
      </c>
      <c r="D15" s="646"/>
      <c r="E15" s="70">
        <f>SUM(E13:E14)</f>
        <v>0</v>
      </c>
      <c r="G15" s="289"/>
    </row>
    <row r="16" spans="1:7" ht="33.75" customHeight="1">
      <c r="A16" s="82"/>
      <c r="B16" s="46"/>
      <c r="C16" s="46" t="s">
        <v>34</v>
      </c>
      <c r="D16" s="162">
        <v>0.18</v>
      </c>
      <c r="E16" s="47">
        <f>E15*D16</f>
        <v>0</v>
      </c>
      <c r="G16" s="289"/>
    </row>
    <row r="17" spans="1:7" ht="31.5" customHeight="1">
      <c r="A17" s="81"/>
      <c r="B17" s="55"/>
      <c r="C17" s="643" t="s">
        <v>1162</v>
      </c>
      <c r="D17" s="644"/>
      <c r="E17" s="70">
        <f>E15+E16</f>
        <v>0</v>
      </c>
      <c r="G17" s="289"/>
    </row>
    <row r="18" spans="1:7" ht="113.25" customHeight="1">
      <c r="A18" s="407" t="s">
        <v>13</v>
      </c>
      <c r="B18" s="224" t="s">
        <v>1163</v>
      </c>
      <c r="C18" s="649" t="s">
        <v>1618</v>
      </c>
      <c r="D18" s="650"/>
      <c r="E18" s="406">
        <v>10000</v>
      </c>
      <c r="G18" s="289"/>
    </row>
    <row r="19" spans="1:7" ht="75.75" customHeight="1">
      <c r="A19" s="407" t="s">
        <v>37</v>
      </c>
      <c r="B19" s="224" t="s">
        <v>1164</v>
      </c>
      <c r="C19" s="649" t="s">
        <v>1619</v>
      </c>
      <c r="D19" s="650"/>
      <c r="E19" s="406">
        <v>7000</v>
      </c>
      <c r="G19" s="289"/>
    </row>
    <row r="20" spans="1:6" ht="42" customHeight="1">
      <c r="A20" s="82"/>
      <c r="B20" s="46"/>
      <c r="C20" s="646" t="s">
        <v>35</v>
      </c>
      <c r="D20" s="646"/>
      <c r="E20" s="70">
        <f>SUM(E17:E19)</f>
        <v>17000</v>
      </c>
      <c r="F20" s="126"/>
    </row>
    <row r="21" spans="1:5" ht="18" customHeight="1">
      <c r="A21" s="130"/>
      <c r="B21" s="131"/>
      <c r="C21" s="122"/>
      <c r="D21" s="122"/>
      <c r="E21" s="132"/>
    </row>
    <row r="22" spans="1:5" ht="23.25" customHeight="1">
      <c r="A22" s="130"/>
      <c r="B22" s="121"/>
      <c r="C22" s="647"/>
      <c r="D22" s="647"/>
      <c r="E22" s="58"/>
    </row>
    <row r="23" spans="2:5" ht="31.5" customHeight="1">
      <c r="B23" s="95"/>
      <c r="C23" s="645"/>
      <c r="D23" s="645"/>
      <c r="E23" s="645"/>
    </row>
    <row r="28" ht="16.5" customHeight="1"/>
  </sheetData>
  <sheetProtection/>
  <mergeCells count="21">
    <mergeCell ref="C7:D7"/>
    <mergeCell ref="C10:D10"/>
    <mergeCell ref="C18:D18"/>
    <mergeCell ref="C19:D19"/>
    <mergeCell ref="A3:A4"/>
    <mergeCell ref="C11:D11"/>
    <mergeCell ref="C5:D5"/>
    <mergeCell ref="C3:D4"/>
    <mergeCell ref="C6:D6"/>
    <mergeCell ref="C12:D12"/>
    <mergeCell ref="C8:D8"/>
    <mergeCell ref="C9:D9"/>
    <mergeCell ref="A2:E2"/>
    <mergeCell ref="A1:E1"/>
    <mergeCell ref="C17:D17"/>
    <mergeCell ref="C23:E23"/>
    <mergeCell ref="C15:D15"/>
    <mergeCell ref="C13:D13"/>
    <mergeCell ref="C22:D22"/>
    <mergeCell ref="C20:D20"/>
    <mergeCell ref="B3:B4"/>
  </mergeCells>
  <printOptions/>
  <pageMargins left="0.5511811023622047" right="0" top="0" bottom="0.3937007874015748" header="0" footer="0"/>
  <pageSetup horizontalDpi="600" verticalDpi="600" orientation="portrait" paperSize="9" r:id="rId1"/>
  <headerFooter>
    <oddFooter>&amp;L&amp;8&amp;A&amp;R&amp;8=&amp;P=</oddFooter>
  </headerFooter>
</worksheet>
</file>

<file path=xl/worksheets/sheet10.xml><?xml version="1.0" encoding="utf-8"?>
<worksheet xmlns="http://schemas.openxmlformats.org/spreadsheetml/2006/main" xmlns:r="http://schemas.openxmlformats.org/officeDocument/2006/relationships">
  <sheetPr>
    <tabColor rgb="FFFFFF00"/>
  </sheetPr>
  <dimension ref="A1:H23"/>
  <sheetViews>
    <sheetView zoomScalePageLayoutView="0" workbookViewId="0" topLeftCell="A1">
      <selection activeCell="J10" sqref="J10"/>
    </sheetView>
  </sheetViews>
  <sheetFormatPr defaultColWidth="9.140625" defaultRowHeight="12.75"/>
  <cols>
    <col min="1" max="1" width="4.00390625" style="271" customWidth="1"/>
    <col min="2" max="2" width="10.421875" style="271" customWidth="1"/>
    <col min="3" max="3" width="29.57421875" style="271" customWidth="1"/>
    <col min="4" max="4" width="7.140625" style="271" customWidth="1"/>
    <col min="5" max="5" width="7.7109375" style="271" customWidth="1"/>
    <col min="6" max="6" width="10.8515625" style="271" customWidth="1"/>
    <col min="7" max="7" width="8.00390625" style="271" customWidth="1"/>
    <col min="8" max="8" width="10.8515625" style="271" customWidth="1"/>
    <col min="9" max="16384" width="9.140625" style="271" customWidth="1"/>
  </cols>
  <sheetData>
    <row r="1" spans="1:8" ht="42.75" customHeight="1">
      <c r="A1" s="642" t="str">
        <f>'ლ.რ №1-5'!A1:H1</f>
        <v>qobuleTis municipalitetis sofel xucubanSi sajaro skolis Zveli korpusebis demontaJi da axali skolis Senobis mSenebloba</v>
      </c>
      <c r="B1" s="642"/>
      <c r="C1" s="642"/>
      <c r="D1" s="642"/>
      <c r="E1" s="642"/>
      <c r="F1" s="642"/>
      <c r="G1" s="642"/>
      <c r="H1" s="642"/>
    </row>
    <row r="2" spans="1:8" ht="26.25" customHeight="1">
      <c r="A2" s="661" t="s">
        <v>886</v>
      </c>
      <c r="B2" s="661"/>
      <c r="C2" s="661"/>
      <c r="D2" s="661"/>
      <c r="E2" s="661"/>
      <c r="F2" s="661"/>
      <c r="G2" s="661"/>
      <c r="H2" s="661"/>
    </row>
    <row r="3" spans="1:8" ht="43.5" customHeight="1">
      <c r="A3" s="662" t="s">
        <v>1441</v>
      </c>
      <c r="B3" s="662"/>
      <c r="C3" s="662"/>
      <c r="D3" s="662"/>
      <c r="E3" s="662"/>
      <c r="F3" s="662"/>
      <c r="G3" s="662"/>
      <c r="H3" s="662"/>
    </row>
    <row r="4" spans="1:8" ht="32.25" customHeight="1">
      <c r="A4" s="680" t="s">
        <v>7</v>
      </c>
      <c r="B4" s="668" t="s">
        <v>8</v>
      </c>
      <c r="C4" s="681" t="s">
        <v>9</v>
      </c>
      <c r="D4" s="678" t="s">
        <v>6</v>
      </c>
      <c r="E4" s="679" t="s">
        <v>10</v>
      </c>
      <c r="F4" s="679"/>
      <c r="G4" s="679" t="s">
        <v>1</v>
      </c>
      <c r="H4" s="679"/>
    </row>
    <row r="5" spans="1:8" ht="50.25" customHeight="1">
      <c r="A5" s="680"/>
      <c r="B5" s="668"/>
      <c r="C5" s="681"/>
      <c r="D5" s="678"/>
      <c r="E5" s="184" t="s">
        <v>11</v>
      </c>
      <c r="F5" s="184" t="s">
        <v>12</v>
      </c>
      <c r="G5" s="184" t="s">
        <v>11</v>
      </c>
      <c r="H5" s="185" t="s">
        <v>12</v>
      </c>
    </row>
    <row r="6" spans="1:8" ht="21" customHeight="1">
      <c r="A6" s="376" t="s">
        <v>13</v>
      </c>
      <c r="B6" s="376">
        <v>2</v>
      </c>
      <c r="C6" s="375">
        <v>3</v>
      </c>
      <c r="D6" s="375">
        <v>4</v>
      </c>
      <c r="E6" s="375">
        <v>5</v>
      </c>
      <c r="F6" s="375">
        <v>6</v>
      </c>
      <c r="G6" s="375">
        <v>7</v>
      </c>
      <c r="H6" s="221">
        <v>8</v>
      </c>
    </row>
    <row r="7" spans="1:8" ht="31.5" customHeight="1">
      <c r="A7" s="364"/>
      <c r="B7" s="364"/>
      <c r="C7" s="365" t="s">
        <v>1136</v>
      </c>
      <c r="D7" s="364"/>
      <c r="E7" s="364"/>
      <c r="F7" s="364"/>
      <c r="G7" s="364"/>
      <c r="H7" s="364"/>
    </row>
    <row r="8" spans="1:8" ht="71.25" customHeight="1">
      <c r="A8" s="517">
        <v>1</v>
      </c>
      <c r="B8" s="81" t="s">
        <v>1140</v>
      </c>
      <c r="C8" s="518" t="s">
        <v>1442</v>
      </c>
      <c r="D8" s="519" t="s">
        <v>54</v>
      </c>
      <c r="E8" s="517"/>
      <c r="F8" s="520">
        <v>1</v>
      </c>
      <c r="G8" s="521"/>
      <c r="H8" s="522">
        <f>SUM(H9:H11)</f>
        <v>0</v>
      </c>
    </row>
    <row r="9" spans="1:8" ht="32.25" customHeight="1">
      <c r="A9" s="523"/>
      <c r="B9" s="523" t="s">
        <v>4</v>
      </c>
      <c r="C9" s="524" t="s">
        <v>1141</v>
      </c>
      <c r="D9" s="523" t="s">
        <v>105</v>
      </c>
      <c r="E9" s="319">
        <f>(802-6*73-18*11)</f>
        <v>166</v>
      </c>
      <c r="F9" s="523">
        <f>E9*F8</f>
        <v>166</v>
      </c>
      <c r="G9" s="366"/>
      <c r="H9" s="222">
        <f>ROUND(F9*G9,2)</f>
        <v>0</v>
      </c>
    </row>
    <row r="10" spans="1:8" ht="29.25" customHeight="1">
      <c r="A10" s="523"/>
      <c r="B10" s="523" t="s">
        <v>4</v>
      </c>
      <c r="C10" s="524" t="s">
        <v>1142</v>
      </c>
      <c r="D10" s="523" t="s">
        <v>16</v>
      </c>
      <c r="E10" s="319">
        <f>(186-6*17.4-18*2.78)</f>
        <v>31.56000000000001</v>
      </c>
      <c r="F10" s="523">
        <f>E10*F8</f>
        <v>31.56000000000001</v>
      </c>
      <c r="G10" s="366"/>
      <c r="H10" s="222">
        <f>ROUND(F10*G10,2)</f>
        <v>0</v>
      </c>
    </row>
    <row r="11" spans="1:8" ht="30.75" customHeight="1">
      <c r="A11" s="523"/>
      <c r="B11" s="523" t="s">
        <v>4</v>
      </c>
      <c r="C11" s="524" t="s">
        <v>1143</v>
      </c>
      <c r="D11" s="523" t="s">
        <v>16</v>
      </c>
      <c r="E11" s="319">
        <f>(71-6*3.2-18*0.33)</f>
        <v>45.86</v>
      </c>
      <c r="F11" s="523">
        <f>E11*F8</f>
        <v>45.86</v>
      </c>
      <c r="G11" s="366"/>
      <c r="H11" s="222">
        <f>ROUND(F11*G11,2)</f>
        <v>0</v>
      </c>
    </row>
    <row r="12" spans="1:8" ht="30" customHeight="1">
      <c r="A12" s="525"/>
      <c r="B12" s="525"/>
      <c r="C12" s="517" t="s">
        <v>104</v>
      </c>
      <c r="D12" s="525" t="s">
        <v>16</v>
      </c>
      <c r="E12" s="525"/>
      <c r="F12" s="525"/>
      <c r="G12" s="525"/>
      <c r="H12" s="526">
        <f>H8</f>
        <v>0</v>
      </c>
    </row>
    <row r="13" spans="1:8" ht="30" customHeight="1">
      <c r="A13" s="527"/>
      <c r="B13" s="528"/>
      <c r="C13" s="528" t="s">
        <v>254</v>
      </c>
      <c r="D13" s="523" t="s">
        <v>16</v>
      </c>
      <c r="E13" s="528"/>
      <c r="F13" s="528"/>
      <c r="G13" s="528"/>
      <c r="H13" s="290">
        <f>H9</f>
        <v>0</v>
      </c>
    </row>
    <row r="14" spans="1:8" ht="33" customHeight="1">
      <c r="A14" s="528"/>
      <c r="B14" s="528"/>
      <c r="C14" s="528" t="s">
        <v>888</v>
      </c>
      <c r="D14" s="523" t="s">
        <v>16</v>
      </c>
      <c r="E14" s="528"/>
      <c r="F14" s="529">
        <v>0.68</v>
      </c>
      <c r="G14" s="528"/>
      <c r="H14" s="530">
        <f>H13*F14</f>
        <v>0</v>
      </c>
    </row>
    <row r="15" spans="1:8" ht="28.5" customHeight="1">
      <c r="A15" s="523"/>
      <c r="B15" s="523"/>
      <c r="C15" s="525" t="s">
        <v>104</v>
      </c>
      <c r="D15" s="525" t="s">
        <v>16</v>
      </c>
      <c r="E15" s="525"/>
      <c r="F15" s="525"/>
      <c r="G15" s="526"/>
      <c r="H15" s="531">
        <f>SUM(H14,H12)</f>
        <v>0</v>
      </c>
    </row>
    <row r="16" spans="1:8" ht="27.75" customHeight="1">
      <c r="A16" s="523"/>
      <c r="B16" s="523"/>
      <c r="C16" s="523" t="s">
        <v>119</v>
      </c>
      <c r="D16" s="523" t="s">
        <v>16</v>
      </c>
      <c r="E16" s="523"/>
      <c r="F16" s="532">
        <v>0.08</v>
      </c>
      <c r="G16" s="533"/>
      <c r="H16" s="534">
        <f>H15*F16</f>
        <v>0</v>
      </c>
    </row>
    <row r="17" spans="1:8" ht="32.25" customHeight="1">
      <c r="A17" s="523"/>
      <c r="B17" s="523"/>
      <c r="C17" s="525" t="s">
        <v>1139</v>
      </c>
      <c r="D17" s="525" t="s">
        <v>16</v>
      </c>
      <c r="E17" s="525"/>
      <c r="F17" s="525"/>
      <c r="G17" s="526"/>
      <c r="H17" s="531">
        <f>SUM(H15:H16)</f>
        <v>0</v>
      </c>
    </row>
    <row r="18" spans="1:8" ht="27" customHeight="1">
      <c r="A18" s="364"/>
      <c r="B18" s="364"/>
      <c r="C18" s="365" t="s">
        <v>1137</v>
      </c>
      <c r="D18" s="525"/>
      <c r="E18" s="364"/>
      <c r="F18" s="364"/>
      <c r="G18" s="364"/>
      <c r="H18" s="364"/>
    </row>
    <row r="19" spans="1:8" ht="88.5" customHeight="1">
      <c r="A19" s="518">
        <v>1</v>
      </c>
      <c r="B19" s="709" t="s">
        <v>890</v>
      </c>
      <c r="C19" s="709" t="s">
        <v>1661</v>
      </c>
      <c r="D19" s="525" t="s">
        <v>16</v>
      </c>
      <c r="E19" s="710"/>
      <c r="F19" s="711">
        <v>1</v>
      </c>
      <c r="G19" s="712"/>
      <c r="H19" s="226">
        <f>ROUND(F19*G19,2)</f>
        <v>0</v>
      </c>
    </row>
    <row r="20" spans="1:8" ht="28.5" customHeight="1">
      <c r="A20" s="523"/>
      <c r="B20" s="523"/>
      <c r="C20" s="525" t="s">
        <v>889</v>
      </c>
      <c r="D20" s="525" t="s">
        <v>16</v>
      </c>
      <c r="E20" s="525"/>
      <c r="F20" s="520"/>
      <c r="G20" s="531"/>
      <c r="H20" s="531">
        <f>SUM(H19:H19)</f>
        <v>0</v>
      </c>
    </row>
    <row r="21" spans="1:8" ht="51" customHeight="1">
      <c r="A21" s="527"/>
      <c r="B21" s="527"/>
      <c r="C21" s="527" t="s">
        <v>1138</v>
      </c>
      <c r="D21" s="525" t="s">
        <v>16</v>
      </c>
      <c r="E21" s="528"/>
      <c r="F21" s="528"/>
      <c r="G21" s="528"/>
      <c r="H21" s="535">
        <f>H20+H17</f>
        <v>0</v>
      </c>
    </row>
    <row r="22" spans="1:7" ht="13.5">
      <c r="A22" s="96"/>
      <c r="B22" s="96"/>
      <c r="C22" s="96"/>
      <c r="D22" s="96"/>
      <c r="E22" s="96"/>
      <c r="F22" s="96"/>
      <c r="G22" s="96"/>
    </row>
    <row r="23" spans="1:8" ht="45" customHeight="1">
      <c r="A23" s="686" t="s">
        <v>1662</v>
      </c>
      <c r="B23" s="687"/>
      <c r="C23" s="687"/>
      <c r="D23" s="687"/>
      <c r="E23" s="687"/>
      <c r="F23" s="687"/>
      <c r="G23" s="687"/>
      <c r="H23" s="687"/>
    </row>
  </sheetData>
  <sheetProtection/>
  <protectedRanges>
    <protectedRange sqref="G7:G8 G19" name="Range1"/>
    <protectedRange sqref="G9:G11" name="Range1_2"/>
  </protectedRanges>
  <mergeCells count="10">
    <mergeCell ref="A23:H23"/>
    <mergeCell ref="A1:H1"/>
    <mergeCell ref="A2:H2"/>
    <mergeCell ref="A3:H3"/>
    <mergeCell ref="A4:A5"/>
    <mergeCell ref="B4:B5"/>
    <mergeCell ref="C4:C5"/>
    <mergeCell ref="D4:D5"/>
    <mergeCell ref="E4:F4"/>
    <mergeCell ref="G4:H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D17"/>
  <sheetViews>
    <sheetView zoomScalePageLayoutView="0" workbookViewId="0" topLeftCell="A1">
      <selection activeCell="K9" sqref="K9"/>
    </sheetView>
  </sheetViews>
  <sheetFormatPr defaultColWidth="9.140625" defaultRowHeight="12.75"/>
  <cols>
    <col min="1" max="1" width="3.8515625" style="35" customWidth="1"/>
    <col min="2" max="2" width="26.28125" style="35" customWidth="1"/>
    <col min="3" max="3" width="32.7109375" style="35" customWidth="1"/>
    <col min="4" max="4" width="20.57421875" style="35" customWidth="1"/>
    <col min="5" max="16384" width="9.140625" style="35" customWidth="1"/>
  </cols>
  <sheetData>
    <row r="1" spans="1:4" ht="36.75" customHeight="1">
      <c r="A1" s="660" t="str">
        <f>'ლრ.ხ.#1-7'!A1:H1</f>
        <v>qobuleTis municipalitetis sofel xucubanSi sajaro skolis Zveli korpusebis demontaJi da axali skolis Senobis mSenebloba</v>
      </c>
      <c r="B1" s="660"/>
      <c r="C1" s="660"/>
      <c r="D1" s="660"/>
    </row>
    <row r="2" spans="1:4" ht="24.75" customHeight="1">
      <c r="A2" s="656" t="s">
        <v>593</v>
      </c>
      <c r="B2" s="656"/>
      <c r="C2" s="656"/>
      <c r="D2" s="656"/>
    </row>
    <row r="3" spans="1:4" ht="21" customHeight="1">
      <c r="A3" s="642" t="s">
        <v>589</v>
      </c>
      <c r="B3" s="642"/>
      <c r="C3" s="642"/>
      <c r="D3" s="642"/>
    </row>
    <row r="4" spans="1:4" ht="8.25" customHeight="1">
      <c r="A4" s="283"/>
      <c r="B4" s="283"/>
      <c r="C4" s="283"/>
      <c r="D4" s="283"/>
    </row>
    <row r="5" spans="1:4" ht="24" customHeight="1">
      <c r="A5" s="657" t="s">
        <v>7</v>
      </c>
      <c r="B5" s="658" t="s">
        <v>591</v>
      </c>
      <c r="C5" s="658" t="s">
        <v>93</v>
      </c>
      <c r="D5" s="617" t="s">
        <v>100</v>
      </c>
    </row>
    <row r="6" spans="1:4" ht="75" customHeight="1">
      <c r="A6" s="657"/>
      <c r="B6" s="658"/>
      <c r="C6" s="658"/>
      <c r="D6" s="154" t="s">
        <v>592</v>
      </c>
    </row>
    <row r="7" spans="1:4" ht="62.25" customHeight="1">
      <c r="A7" s="46">
        <v>1</v>
      </c>
      <c r="B7" s="46" t="s">
        <v>590</v>
      </c>
      <c r="C7" s="46" t="s">
        <v>19</v>
      </c>
      <c r="D7" s="47">
        <f>'ლრ.ხ#2-1'!H183</f>
        <v>0</v>
      </c>
    </row>
    <row r="8" spans="1:4" s="2" customFormat="1" ht="64.5" customHeight="1">
      <c r="A8" s="46">
        <v>2</v>
      </c>
      <c r="B8" s="46" t="s">
        <v>588</v>
      </c>
      <c r="C8" s="46" t="s">
        <v>1210</v>
      </c>
      <c r="D8" s="47">
        <f>'ლრ.ხ #2-2'!H192</f>
        <v>0</v>
      </c>
    </row>
    <row r="9" spans="1:4" s="2" customFormat="1" ht="66.75" customHeight="1">
      <c r="A9" s="46">
        <v>3</v>
      </c>
      <c r="B9" s="46" t="s">
        <v>720</v>
      </c>
      <c r="C9" s="46" t="s">
        <v>950</v>
      </c>
      <c r="D9" s="47">
        <f>'ლრ.ხ#2-3'!H90</f>
        <v>0</v>
      </c>
    </row>
    <row r="10" spans="1:4" s="6" customFormat="1" ht="44.25" customHeight="1">
      <c r="A10" s="55"/>
      <c r="B10" s="55"/>
      <c r="C10" s="55" t="s">
        <v>94</v>
      </c>
      <c r="D10" s="70">
        <f>SUM(D7:D9)</f>
        <v>0</v>
      </c>
    </row>
    <row r="11" spans="1:4" ht="8.25" customHeight="1">
      <c r="A11" s="284"/>
      <c r="B11" s="284"/>
      <c r="C11" s="284"/>
      <c r="D11" s="285"/>
    </row>
    <row r="12" spans="1:4" ht="2.25" customHeight="1">
      <c r="A12" s="133"/>
      <c r="B12" s="133"/>
      <c r="C12" s="133"/>
      <c r="D12" s="134"/>
    </row>
    <row r="13" spans="1:4" ht="17.25" customHeight="1">
      <c r="A13" s="133"/>
      <c r="B13" s="133"/>
      <c r="C13" s="133"/>
      <c r="D13" s="134"/>
    </row>
    <row r="14" spans="1:4" s="3" customFormat="1" ht="18.75" customHeight="1">
      <c r="A14" s="66"/>
      <c r="B14" s="66"/>
      <c r="C14" s="66"/>
      <c r="D14" s="135"/>
    </row>
    <row r="15" spans="1:4" s="3" customFormat="1" ht="10.5" customHeight="1">
      <c r="A15" s="66"/>
      <c r="B15" s="66"/>
      <c r="C15" s="66"/>
      <c r="D15" s="135"/>
    </row>
    <row r="16" spans="1:4" s="3" customFormat="1" ht="12" customHeight="1">
      <c r="A16" s="66"/>
      <c r="B16" s="66"/>
      <c r="C16" s="66"/>
      <c r="D16" s="135"/>
    </row>
    <row r="17" spans="1:4" s="3" customFormat="1" ht="26.25" customHeight="1">
      <c r="A17" s="66"/>
      <c r="B17" s="66"/>
      <c r="C17" s="66"/>
      <c r="D17" s="135"/>
    </row>
    <row r="18" ht="18.75" customHeight="1"/>
  </sheetData>
  <sheetProtection/>
  <mergeCells count="6">
    <mergeCell ref="A2:D2"/>
    <mergeCell ref="A1:D1"/>
    <mergeCell ref="A5:A6"/>
    <mergeCell ref="B5:B6"/>
    <mergeCell ref="C5:C6"/>
    <mergeCell ref="A3:D3"/>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FFFF00"/>
  </sheetPr>
  <dimension ref="A1:AQ186"/>
  <sheetViews>
    <sheetView zoomScalePageLayoutView="0" workbookViewId="0" topLeftCell="A178">
      <selection activeCell="J14" sqref="J14"/>
    </sheetView>
  </sheetViews>
  <sheetFormatPr defaultColWidth="9.140625" defaultRowHeight="12.75"/>
  <cols>
    <col min="1" max="1" width="5.140625" style="24" customWidth="1"/>
    <col min="2" max="2" width="12.8515625" style="24" customWidth="1"/>
    <col min="3" max="3" width="30.28125" style="359" customWidth="1"/>
    <col min="4" max="4" width="7.57421875" style="24" customWidth="1"/>
    <col min="5" max="5" width="8.140625" style="24" customWidth="1"/>
    <col min="6" max="6" width="7.7109375" style="24" customWidth="1"/>
    <col min="7" max="7" width="6.8515625" style="24" customWidth="1"/>
    <col min="8" max="8" width="10.421875" style="209" customWidth="1"/>
    <col min="9" max="9" width="9.140625" style="24" customWidth="1"/>
    <col min="10" max="10" width="11.421875" style="24" customWidth="1"/>
    <col min="11" max="16384" width="9.140625" style="24" customWidth="1"/>
  </cols>
  <sheetData>
    <row r="1" spans="1:8" ht="33" customHeight="1">
      <c r="A1" s="660" t="str">
        <f>'ლ.რ. №1-1'!A1:H1</f>
        <v>qobuleTis municipalitetis sofel xucubanSi sajaro skolis Zveli korpusebis demontaJi da axali skolis Senobis mSenebloba</v>
      </c>
      <c r="B1" s="642"/>
      <c r="C1" s="642"/>
      <c r="D1" s="642"/>
      <c r="E1" s="642"/>
      <c r="F1" s="642"/>
      <c r="G1" s="642"/>
      <c r="H1" s="642"/>
    </row>
    <row r="2" spans="1:8" ht="18" customHeight="1">
      <c r="A2" s="661" t="s">
        <v>590</v>
      </c>
      <c r="B2" s="661"/>
      <c r="C2" s="661"/>
      <c r="D2" s="661"/>
      <c r="E2" s="661"/>
      <c r="F2" s="661"/>
      <c r="G2" s="661"/>
      <c r="H2" s="661"/>
    </row>
    <row r="3" spans="1:8" ht="15">
      <c r="A3" s="661" t="s">
        <v>589</v>
      </c>
      <c r="B3" s="661"/>
      <c r="C3" s="661"/>
      <c r="D3" s="661"/>
      <c r="E3" s="661"/>
      <c r="F3" s="661"/>
      <c r="G3" s="661"/>
      <c r="H3" s="661"/>
    </row>
    <row r="4" spans="1:8" ht="15">
      <c r="A4" s="662" t="s">
        <v>19</v>
      </c>
      <c r="B4" s="662"/>
      <c r="C4" s="662"/>
      <c r="D4" s="662"/>
      <c r="E4" s="662"/>
      <c r="F4" s="662"/>
      <c r="G4" s="662"/>
      <c r="H4" s="662"/>
    </row>
    <row r="5" spans="1:8" ht="30" customHeight="1">
      <c r="A5" s="651" t="s">
        <v>7</v>
      </c>
      <c r="B5" s="692" t="s">
        <v>8</v>
      </c>
      <c r="C5" s="681" t="s">
        <v>9</v>
      </c>
      <c r="D5" s="667" t="s">
        <v>6</v>
      </c>
      <c r="E5" s="654" t="s">
        <v>10</v>
      </c>
      <c r="F5" s="654"/>
      <c r="G5" s="654" t="s">
        <v>1</v>
      </c>
      <c r="H5" s="654"/>
    </row>
    <row r="6" spans="1:8" ht="59.25" customHeight="1">
      <c r="A6" s="651"/>
      <c r="B6" s="692"/>
      <c r="C6" s="681"/>
      <c r="D6" s="667"/>
      <c r="E6" s="44" t="s">
        <v>11</v>
      </c>
      <c r="F6" s="44" t="s">
        <v>12</v>
      </c>
      <c r="G6" s="44" t="s">
        <v>11</v>
      </c>
      <c r="H6" s="185" t="s">
        <v>12</v>
      </c>
    </row>
    <row r="7" spans="1:8" ht="13.5">
      <c r="A7" s="81" t="s">
        <v>13</v>
      </c>
      <c r="B7" s="54">
        <v>2</v>
      </c>
      <c r="C7" s="375">
        <v>3</v>
      </c>
      <c r="D7" s="101">
        <v>4</v>
      </c>
      <c r="E7" s="101">
        <v>5</v>
      </c>
      <c r="F7" s="101">
        <v>6</v>
      </c>
      <c r="G7" s="101">
        <v>7</v>
      </c>
      <c r="H7" s="221">
        <v>8</v>
      </c>
    </row>
    <row r="8" spans="1:8" ht="78" customHeight="1">
      <c r="A8" s="71">
        <v>1</v>
      </c>
      <c r="B8" s="378" t="s">
        <v>2</v>
      </c>
      <c r="C8" s="55" t="s">
        <v>1663</v>
      </c>
      <c r="D8" s="68" t="s">
        <v>107</v>
      </c>
      <c r="E8" s="158"/>
      <c r="F8" s="192">
        <v>1</v>
      </c>
      <c r="G8" s="158"/>
      <c r="H8" s="190">
        <f>SUM(H9:H10)</f>
        <v>0</v>
      </c>
    </row>
    <row r="9" spans="1:8" ht="24.75" customHeight="1">
      <c r="A9" s="48"/>
      <c r="B9" s="224" t="s">
        <v>2</v>
      </c>
      <c r="C9" s="496" t="s">
        <v>201</v>
      </c>
      <c r="D9" s="46" t="s">
        <v>107</v>
      </c>
      <c r="E9" s="52">
        <v>1</v>
      </c>
      <c r="F9" s="52">
        <f>E9*F8</f>
        <v>1</v>
      </c>
      <c r="G9" s="52"/>
      <c r="H9" s="124">
        <f>F9*G9</f>
        <v>0</v>
      </c>
    </row>
    <row r="10" spans="1:8" ht="28.5" customHeight="1">
      <c r="A10" s="48"/>
      <c r="B10" s="224" t="s">
        <v>2</v>
      </c>
      <c r="C10" s="496" t="s">
        <v>1145</v>
      </c>
      <c r="D10" s="46" t="s">
        <v>107</v>
      </c>
      <c r="E10" s="52">
        <v>1</v>
      </c>
      <c r="F10" s="52">
        <f>E10*F8</f>
        <v>1</v>
      </c>
      <c r="G10" s="52"/>
      <c r="H10" s="292">
        <f>F10*G10</f>
        <v>0</v>
      </c>
    </row>
    <row r="11" spans="1:8" ht="46.5" customHeight="1">
      <c r="A11" s="71">
        <v>2</v>
      </c>
      <c r="B11" s="54" t="s">
        <v>36</v>
      </c>
      <c r="C11" s="375" t="s">
        <v>121</v>
      </c>
      <c r="D11" s="55" t="s">
        <v>20</v>
      </c>
      <c r="E11" s="156"/>
      <c r="F11" s="80">
        <v>9.5</v>
      </c>
      <c r="G11" s="70"/>
      <c r="H11" s="380">
        <f>H12</f>
        <v>0</v>
      </c>
    </row>
    <row r="12" spans="1:8" ht="27.75" customHeight="1">
      <c r="A12" s="82"/>
      <c r="B12" s="48" t="s">
        <v>4</v>
      </c>
      <c r="C12" s="496" t="s">
        <v>136</v>
      </c>
      <c r="D12" s="46" t="s">
        <v>5</v>
      </c>
      <c r="E12" s="46">
        <v>2.06</v>
      </c>
      <c r="F12" s="47">
        <f>F11*E12</f>
        <v>19.57</v>
      </c>
      <c r="G12" s="47"/>
      <c r="H12" s="222">
        <f>G12*F12</f>
        <v>0</v>
      </c>
    </row>
    <row r="13" spans="1:8" ht="52.5" customHeight="1">
      <c r="A13" s="81" t="s">
        <v>63</v>
      </c>
      <c r="B13" s="79" t="s">
        <v>721</v>
      </c>
      <c r="C13" s="375" t="s">
        <v>722</v>
      </c>
      <c r="D13" s="55" t="s">
        <v>20</v>
      </c>
      <c r="E13" s="55"/>
      <c r="F13" s="70">
        <v>6.1</v>
      </c>
      <c r="G13" s="70"/>
      <c r="H13" s="380">
        <f>SUM(H14:H19)</f>
        <v>0</v>
      </c>
    </row>
    <row r="14" spans="1:8" ht="30.75" customHeight="1">
      <c r="A14" s="82"/>
      <c r="B14" s="48" t="s">
        <v>4</v>
      </c>
      <c r="C14" s="496" t="s">
        <v>136</v>
      </c>
      <c r="D14" s="496" t="s">
        <v>5</v>
      </c>
      <c r="E14" s="46">
        <v>2.86</v>
      </c>
      <c r="F14" s="47">
        <f>E14*F13</f>
        <v>17.445999999999998</v>
      </c>
      <c r="G14" s="52"/>
      <c r="H14" s="222">
        <f aca="true" t="shared" si="0" ref="H14:H19">G14*F14</f>
        <v>0</v>
      </c>
    </row>
    <row r="15" spans="1:8" ht="29.25" customHeight="1">
      <c r="A15" s="82"/>
      <c r="B15" s="48" t="s">
        <v>4</v>
      </c>
      <c r="C15" s="496" t="s">
        <v>137</v>
      </c>
      <c r="D15" s="46" t="s">
        <v>16</v>
      </c>
      <c r="E15" s="46">
        <v>0.76</v>
      </c>
      <c r="F15" s="47">
        <f>F13*E15</f>
        <v>4.636</v>
      </c>
      <c r="G15" s="47"/>
      <c r="H15" s="222">
        <f t="shared" si="0"/>
        <v>0</v>
      </c>
    </row>
    <row r="16" spans="1:8" ht="30" customHeight="1">
      <c r="A16" s="82"/>
      <c r="B16" s="340" t="s">
        <v>1556</v>
      </c>
      <c r="C16" s="496" t="s">
        <v>723</v>
      </c>
      <c r="D16" s="46" t="s">
        <v>14</v>
      </c>
      <c r="E16" s="46">
        <v>1.02</v>
      </c>
      <c r="F16" s="47">
        <f>E16*F13</f>
        <v>6.2219999999999995</v>
      </c>
      <c r="G16" s="47"/>
      <c r="H16" s="222">
        <f t="shared" si="0"/>
        <v>0</v>
      </c>
    </row>
    <row r="17" spans="1:8" ht="27" customHeight="1">
      <c r="A17" s="82"/>
      <c r="B17" s="496" t="s">
        <v>1346</v>
      </c>
      <c r="C17" s="496" t="s">
        <v>202</v>
      </c>
      <c r="D17" s="46" t="s">
        <v>48</v>
      </c>
      <c r="E17" s="46">
        <v>0.803</v>
      </c>
      <c r="F17" s="47">
        <f>F13*E17</f>
        <v>4.8983</v>
      </c>
      <c r="G17" s="47"/>
      <c r="H17" s="222">
        <f t="shared" si="0"/>
        <v>0</v>
      </c>
    </row>
    <row r="18" spans="1:8" ht="26.25" customHeight="1">
      <c r="A18" s="82"/>
      <c r="B18" s="497" t="s">
        <v>1558</v>
      </c>
      <c r="C18" s="496" t="s">
        <v>138</v>
      </c>
      <c r="D18" s="46" t="s">
        <v>14</v>
      </c>
      <c r="E18" s="46">
        <v>0.0039</v>
      </c>
      <c r="F18" s="47">
        <f>F13*E18</f>
        <v>0.02379</v>
      </c>
      <c r="G18" s="47"/>
      <c r="H18" s="222">
        <f t="shared" si="0"/>
        <v>0</v>
      </c>
    </row>
    <row r="19" spans="1:8" ht="24.75" customHeight="1">
      <c r="A19" s="82"/>
      <c r="B19" s="45" t="s">
        <v>4</v>
      </c>
      <c r="C19" s="496" t="s">
        <v>24</v>
      </c>
      <c r="D19" s="46" t="s">
        <v>16</v>
      </c>
      <c r="E19" s="46">
        <v>0.13</v>
      </c>
      <c r="F19" s="47">
        <f>E19*F13</f>
        <v>0.7929999999999999</v>
      </c>
      <c r="G19" s="47"/>
      <c r="H19" s="222">
        <f t="shared" si="0"/>
        <v>0</v>
      </c>
    </row>
    <row r="20" spans="1:8" ht="47.25" customHeight="1">
      <c r="A20" s="81" t="s">
        <v>64</v>
      </c>
      <c r="B20" s="54" t="s">
        <v>73</v>
      </c>
      <c r="C20" s="375" t="s">
        <v>126</v>
      </c>
      <c r="D20" s="55" t="s">
        <v>20</v>
      </c>
      <c r="E20" s="156"/>
      <c r="F20" s="70">
        <f>F11</f>
        <v>9.5</v>
      </c>
      <c r="G20" s="70"/>
      <c r="H20" s="380">
        <f>H21</f>
        <v>0</v>
      </c>
    </row>
    <row r="21" spans="1:8" ht="28.5" customHeight="1">
      <c r="A21" s="82"/>
      <c r="B21" s="48" t="s">
        <v>4</v>
      </c>
      <c r="C21" s="496" t="s">
        <v>136</v>
      </c>
      <c r="D21" s="46" t="s">
        <v>5</v>
      </c>
      <c r="E21" s="46">
        <v>1.21</v>
      </c>
      <c r="F21" s="47">
        <f>F20*E21</f>
        <v>11.495</v>
      </c>
      <c r="G21" s="47"/>
      <c r="H21" s="222">
        <f>G21*F21</f>
        <v>0</v>
      </c>
    </row>
    <row r="22" spans="1:15" ht="40.5">
      <c r="A22" s="320">
        <v>5</v>
      </c>
      <c r="B22" s="378" t="s">
        <v>655</v>
      </c>
      <c r="C22" s="321" t="s">
        <v>656</v>
      </c>
      <c r="D22" s="321" t="s">
        <v>20</v>
      </c>
      <c r="E22" s="321"/>
      <c r="F22" s="321">
        <f>F20</f>
        <v>9.5</v>
      </c>
      <c r="G22" s="464"/>
      <c r="H22" s="334">
        <f>H23+H24</f>
        <v>0</v>
      </c>
      <c r="I22" s="691"/>
      <c r="J22" s="691"/>
      <c r="K22" s="691"/>
      <c r="L22" s="691"/>
      <c r="M22" s="691"/>
      <c r="N22" s="691"/>
      <c r="O22" s="691"/>
    </row>
    <row r="23" spans="1:15" ht="22.5" customHeight="1">
      <c r="A23" s="497"/>
      <c r="B23" s="48" t="s">
        <v>4</v>
      </c>
      <c r="C23" s="496" t="s">
        <v>136</v>
      </c>
      <c r="D23" s="46" t="s">
        <v>5</v>
      </c>
      <c r="E23" s="46">
        <v>0.134</v>
      </c>
      <c r="F23" s="47">
        <f>F22*E23</f>
        <v>1.2730000000000001</v>
      </c>
      <c r="G23" s="47"/>
      <c r="H23" s="222">
        <f>G23*F23</f>
        <v>0</v>
      </c>
      <c r="I23" s="18"/>
      <c r="J23" s="18"/>
      <c r="K23" s="18"/>
      <c r="L23" s="18"/>
      <c r="M23" s="18"/>
      <c r="N23" s="18"/>
      <c r="O23" s="18"/>
    </row>
    <row r="24" spans="1:15" ht="28.5" customHeight="1">
      <c r="A24" s="317"/>
      <c r="B24" s="317" t="s">
        <v>657</v>
      </c>
      <c r="C24" s="317" t="s">
        <v>658</v>
      </c>
      <c r="D24" s="317" t="s">
        <v>23</v>
      </c>
      <c r="E24" s="317">
        <v>0.13</v>
      </c>
      <c r="F24" s="317">
        <f>E24*F22</f>
        <v>1.235</v>
      </c>
      <c r="G24" s="460"/>
      <c r="H24" s="317">
        <f>F24*G24</f>
        <v>0</v>
      </c>
      <c r="I24" s="18"/>
      <c r="J24" s="18"/>
      <c r="K24" s="18"/>
      <c r="L24" s="18"/>
      <c r="M24" s="18"/>
      <c r="N24" s="18"/>
      <c r="O24" s="18"/>
    </row>
    <row r="25" spans="1:15" s="4" customFormat="1" ht="57.75" customHeight="1">
      <c r="A25" s="81" t="s">
        <v>44</v>
      </c>
      <c r="B25" s="68" t="s">
        <v>152</v>
      </c>
      <c r="C25" s="375" t="s">
        <v>724</v>
      </c>
      <c r="D25" s="55" t="s">
        <v>20</v>
      </c>
      <c r="E25" s="55"/>
      <c r="F25" s="226">
        <v>0.75</v>
      </c>
      <c r="G25" s="70"/>
      <c r="H25" s="228">
        <f>SUM(H26:H33)</f>
        <v>0</v>
      </c>
      <c r="I25" s="691"/>
      <c r="J25" s="691"/>
      <c r="K25" s="691"/>
      <c r="L25" s="691"/>
      <c r="M25" s="691"/>
      <c r="N25" s="691"/>
      <c r="O25" s="691"/>
    </row>
    <row r="26" spans="1:15" s="4" customFormat="1" ht="32.25" customHeight="1">
      <c r="A26" s="82"/>
      <c r="B26" s="45" t="s">
        <v>4</v>
      </c>
      <c r="C26" s="496" t="s">
        <v>136</v>
      </c>
      <c r="D26" s="496" t="s">
        <v>5</v>
      </c>
      <c r="E26" s="46">
        <v>13.3</v>
      </c>
      <c r="F26" s="157">
        <f>E26*F25</f>
        <v>9.975000000000001</v>
      </c>
      <c r="G26" s="47"/>
      <c r="H26" s="377">
        <f aca="true" t="shared" si="1" ref="H26:H33">G26*F26</f>
        <v>0</v>
      </c>
      <c r="I26" s="18"/>
      <c r="J26" s="18"/>
      <c r="K26" s="18"/>
      <c r="L26" s="18"/>
      <c r="M26" s="18"/>
      <c r="N26" s="5"/>
      <c r="O26" s="5"/>
    </row>
    <row r="27" spans="1:8" s="4" customFormat="1" ht="21.75" customHeight="1">
      <c r="A27" s="82"/>
      <c r="B27" s="48" t="s">
        <v>4</v>
      </c>
      <c r="C27" s="496" t="s">
        <v>137</v>
      </c>
      <c r="D27" s="46" t="s">
        <v>16</v>
      </c>
      <c r="E27" s="46">
        <v>3.36</v>
      </c>
      <c r="F27" s="157">
        <f>E27*F25</f>
        <v>2.52</v>
      </c>
      <c r="G27" s="47"/>
      <c r="H27" s="377">
        <f t="shared" si="1"/>
        <v>0</v>
      </c>
    </row>
    <row r="28" spans="1:15" s="4" customFormat="1" ht="21.75" customHeight="1">
      <c r="A28" s="82"/>
      <c r="B28" s="336" t="s">
        <v>1334</v>
      </c>
      <c r="C28" s="496" t="s">
        <v>725</v>
      </c>
      <c r="D28" s="46" t="s">
        <v>14</v>
      </c>
      <c r="E28" s="46">
        <v>1.015</v>
      </c>
      <c r="F28" s="157">
        <f>E28*F25</f>
        <v>0.76125</v>
      </c>
      <c r="G28" s="222"/>
      <c r="H28" s="222">
        <f t="shared" si="1"/>
        <v>0</v>
      </c>
      <c r="I28" s="41"/>
      <c r="J28" s="17"/>
      <c r="K28" s="17"/>
      <c r="L28" s="17"/>
      <c r="M28" s="17"/>
      <c r="N28" s="17"/>
      <c r="O28" s="17"/>
    </row>
    <row r="29" spans="1:15" s="4" customFormat="1" ht="21.75" customHeight="1">
      <c r="A29" s="48"/>
      <c r="B29" s="336" t="s">
        <v>1339</v>
      </c>
      <c r="C29" s="496" t="s">
        <v>935</v>
      </c>
      <c r="D29" s="46" t="s">
        <v>42</v>
      </c>
      <c r="E29" s="46"/>
      <c r="F29" s="51">
        <v>0.011</v>
      </c>
      <c r="G29" s="222"/>
      <c r="H29" s="222">
        <f>F29*G29</f>
        <v>0</v>
      </c>
      <c r="I29" s="41"/>
      <c r="J29" s="17"/>
      <c r="K29" s="17"/>
      <c r="L29" s="17"/>
      <c r="M29" s="17"/>
      <c r="N29" s="17"/>
      <c r="O29" s="17"/>
    </row>
    <row r="30" spans="1:15" s="4" customFormat="1" ht="23.25" customHeight="1">
      <c r="A30" s="48"/>
      <c r="B30" s="336" t="s">
        <v>1519</v>
      </c>
      <c r="C30" s="496" t="s">
        <v>726</v>
      </c>
      <c r="D30" s="46" t="s">
        <v>42</v>
      </c>
      <c r="E30" s="46"/>
      <c r="F30" s="51">
        <v>0.054</v>
      </c>
      <c r="G30" s="222"/>
      <c r="H30" s="222">
        <f>F30*G30</f>
        <v>0</v>
      </c>
      <c r="I30" s="41"/>
      <c r="J30" s="17"/>
      <c r="K30" s="17"/>
      <c r="L30" s="17"/>
      <c r="M30" s="17"/>
      <c r="N30" s="17"/>
      <c r="O30" s="17"/>
    </row>
    <row r="31" spans="1:15" s="3" customFormat="1" ht="26.25" customHeight="1">
      <c r="A31" s="82"/>
      <c r="B31" s="496" t="s">
        <v>1346</v>
      </c>
      <c r="C31" s="496" t="s">
        <v>200</v>
      </c>
      <c r="D31" s="46" t="s">
        <v>48</v>
      </c>
      <c r="E31" s="46">
        <v>2.42</v>
      </c>
      <c r="F31" s="157">
        <f>E31*F25</f>
        <v>1.815</v>
      </c>
      <c r="G31" s="47"/>
      <c r="H31" s="377">
        <f t="shared" si="1"/>
        <v>0</v>
      </c>
      <c r="I31" s="41"/>
      <c r="J31" s="17"/>
      <c r="K31" s="17"/>
      <c r="L31" s="17"/>
      <c r="M31" s="17"/>
      <c r="N31" s="17"/>
      <c r="O31" s="17"/>
    </row>
    <row r="32" spans="1:15" s="3" customFormat="1" ht="30.75" customHeight="1">
      <c r="A32" s="82"/>
      <c r="B32" s="497" t="s">
        <v>1558</v>
      </c>
      <c r="C32" s="496" t="s">
        <v>213</v>
      </c>
      <c r="D32" s="46" t="s">
        <v>14</v>
      </c>
      <c r="E32" s="46">
        <f>(5.81+0.67)/100</f>
        <v>0.0648</v>
      </c>
      <c r="F32" s="157">
        <f>E32*F25</f>
        <v>0.0486</v>
      </c>
      <c r="G32" s="47"/>
      <c r="H32" s="377">
        <f t="shared" si="1"/>
        <v>0</v>
      </c>
      <c r="I32" s="41"/>
      <c r="J32" s="17"/>
      <c r="K32" s="17"/>
      <c r="L32" s="17"/>
      <c r="M32" s="17"/>
      <c r="N32" s="17"/>
      <c r="O32" s="17"/>
    </row>
    <row r="33" spans="1:15" s="3" customFormat="1" ht="24.75" customHeight="1">
      <c r="A33" s="82"/>
      <c r="B33" s="45" t="s">
        <v>4</v>
      </c>
      <c r="C33" s="496" t="s">
        <v>18</v>
      </c>
      <c r="D33" s="46" t="s">
        <v>16</v>
      </c>
      <c r="E33" s="46">
        <v>0.6</v>
      </c>
      <c r="F33" s="47">
        <f>E33*F25</f>
        <v>0.44999999999999996</v>
      </c>
      <c r="G33" s="47"/>
      <c r="H33" s="377">
        <f t="shared" si="1"/>
        <v>0</v>
      </c>
      <c r="I33" s="8"/>
      <c r="J33" s="2"/>
      <c r="K33" s="6"/>
      <c r="L33" s="2"/>
      <c r="M33" s="2"/>
      <c r="N33" s="2"/>
      <c r="O33" s="2"/>
    </row>
    <row r="34" spans="1:15" ht="56.25" customHeight="1">
      <c r="A34" s="71">
        <v>7</v>
      </c>
      <c r="B34" s="54" t="s">
        <v>727</v>
      </c>
      <c r="C34" s="375" t="s">
        <v>728</v>
      </c>
      <c r="D34" s="55" t="s">
        <v>48</v>
      </c>
      <c r="E34" s="55"/>
      <c r="F34" s="80">
        <v>5.2</v>
      </c>
      <c r="G34" s="70"/>
      <c r="H34" s="380">
        <f>SUM(H35:H38)</f>
        <v>0</v>
      </c>
      <c r="I34" s="691"/>
      <c r="J34" s="691"/>
      <c r="K34" s="691"/>
      <c r="L34" s="691"/>
      <c r="M34" s="691"/>
      <c r="N34" s="691"/>
      <c r="O34" s="691"/>
    </row>
    <row r="35" spans="1:8" ht="27" customHeight="1">
      <c r="A35" s="48"/>
      <c r="B35" s="48" t="s">
        <v>4</v>
      </c>
      <c r="C35" s="496" t="s">
        <v>136</v>
      </c>
      <c r="D35" s="496" t="s">
        <v>5</v>
      </c>
      <c r="E35" s="46">
        <v>0.381</v>
      </c>
      <c r="F35" s="47">
        <f>E35*F34</f>
        <v>1.9812</v>
      </c>
      <c r="G35" s="52"/>
      <c r="H35" s="222">
        <f>G35*F35</f>
        <v>0</v>
      </c>
    </row>
    <row r="36" spans="1:8" ht="23.25" customHeight="1">
      <c r="A36" s="48"/>
      <c r="B36" s="48" t="s">
        <v>4</v>
      </c>
      <c r="C36" s="496" t="s">
        <v>137</v>
      </c>
      <c r="D36" s="46" t="s">
        <v>16</v>
      </c>
      <c r="E36" s="46">
        <v>0.015</v>
      </c>
      <c r="F36" s="47">
        <f>F34*E36</f>
        <v>0.078</v>
      </c>
      <c r="G36" s="47"/>
      <c r="H36" s="222">
        <f>G36*F36</f>
        <v>0</v>
      </c>
    </row>
    <row r="37" spans="1:8" ht="26.25" customHeight="1">
      <c r="A37" s="48"/>
      <c r="B37" s="336" t="s">
        <v>1348</v>
      </c>
      <c r="C37" s="496" t="s">
        <v>729</v>
      </c>
      <c r="D37" s="46" t="s">
        <v>14</v>
      </c>
      <c r="E37" s="46">
        <v>0.031</v>
      </c>
      <c r="F37" s="47">
        <f>E37*F34</f>
        <v>0.1612</v>
      </c>
      <c r="G37" s="47"/>
      <c r="H37" s="222">
        <f>G37*F37</f>
        <v>0</v>
      </c>
    </row>
    <row r="38" spans="1:8" ht="26.25" customHeight="1">
      <c r="A38" s="48"/>
      <c r="B38" s="45" t="s">
        <v>4</v>
      </c>
      <c r="C38" s="496" t="s">
        <v>24</v>
      </c>
      <c r="D38" s="46" t="s">
        <v>16</v>
      </c>
      <c r="E38" s="46">
        <v>0.0036</v>
      </c>
      <c r="F38" s="47">
        <f>F34*E38</f>
        <v>0.01872</v>
      </c>
      <c r="G38" s="47"/>
      <c r="H38" s="222">
        <f>G38*F38</f>
        <v>0</v>
      </c>
    </row>
    <row r="39" spans="1:8" ht="48" customHeight="1">
      <c r="A39" s="81" t="s">
        <v>71</v>
      </c>
      <c r="B39" s="54" t="s">
        <v>56</v>
      </c>
      <c r="C39" s="375" t="s">
        <v>730</v>
      </c>
      <c r="D39" s="55" t="s">
        <v>20</v>
      </c>
      <c r="E39" s="55"/>
      <c r="F39" s="226">
        <v>7</v>
      </c>
      <c r="G39" s="70"/>
      <c r="H39" s="380">
        <f>SUM(H40:H44)</f>
        <v>0</v>
      </c>
    </row>
    <row r="40" spans="1:8" ht="26.25" customHeight="1">
      <c r="A40" s="48"/>
      <c r="B40" s="48" t="s">
        <v>4</v>
      </c>
      <c r="C40" s="496" t="s">
        <v>148</v>
      </c>
      <c r="D40" s="46" t="s">
        <v>5</v>
      </c>
      <c r="E40" s="46">
        <v>3.36</v>
      </c>
      <c r="F40" s="157">
        <f>E40*F39</f>
        <v>23.52</v>
      </c>
      <c r="G40" s="52"/>
      <c r="H40" s="222">
        <f>G40*F40</f>
        <v>0</v>
      </c>
    </row>
    <row r="41" spans="1:8" ht="22.5" customHeight="1">
      <c r="A41" s="48"/>
      <c r="B41" s="45" t="s">
        <v>4</v>
      </c>
      <c r="C41" s="496" t="s">
        <v>153</v>
      </c>
      <c r="D41" s="46" t="s">
        <v>16</v>
      </c>
      <c r="E41" s="46">
        <v>0.92</v>
      </c>
      <c r="F41" s="157">
        <f>E41*F39</f>
        <v>6.44</v>
      </c>
      <c r="G41" s="47"/>
      <c r="H41" s="222">
        <f>G41*F41</f>
        <v>0</v>
      </c>
    </row>
    <row r="42" spans="1:8" ht="32.25" customHeight="1">
      <c r="A42" s="48"/>
      <c r="B42" s="336" t="s">
        <v>1559</v>
      </c>
      <c r="C42" s="496" t="s">
        <v>57</v>
      </c>
      <c r="D42" s="46" t="s">
        <v>14</v>
      </c>
      <c r="E42" s="46">
        <v>0.11</v>
      </c>
      <c r="F42" s="157">
        <f>E42*F39</f>
        <v>0.77</v>
      </c>
      <c r="G42" s="47"/>
      <c r="H42" s="222">
        <f>G42*F42</f>
        <v>0</v>
      </c>
    </row>
    <row r="43" spans="1:8" ht="37.5" customHeight="1">
      <c r="A43" s="48"/>
      <c r="B43" s="496" t="s">
        <v>1562</v>
      </c>
      <c r="C43" s="496" t="s">
        <v>731</v>
      </c>
      <c r="D43" s="373" t="s">
        <v>15</v>
      </c>
      <c r="E43" s="377">
        <f>0.92/(0.39*0.19*0.188)</f>
        <v>66.04071553679617</v>
      </c>
      <c r="F43" s="47">
        <f>E43*F39</f>
        <v>462.2850087575732</v>
      </c>
      <c r="G43" s="47"/>
      <c r="H43" s="222">
        <f>G43*F43</f>
        <v>0</v>
      </c>
    </row>
    <row r="44" spans="1:8" ht="30.75" customHeight="1">
      <c r="A44" s="48"/>
      <c r="B44" s="45" t="s">
        <v>4</v>
      </c>
      <c r="C44" s="496" t="s">
        <v>18</v>
      </c>
      <c r="D44" s="46" t="s">
        <v>16</v>
      </c>
      <c r="E44" s="46">
        <v>0.16</v>
      </c>
      <c r="F44" s="157">
        <f>E44*F39</f>
        <v>1.12</v>
      </c>
      <c r="G44" s="47"/>
      <c r="H44" s="222">
        <f>G44*F44</f>
        <v>0</v>
      </c>
    </row>
    <row r="45" spans="1:8" ht="48" customHeight="1">
      <c r="A45" s="71">
        <v>9</v>
      </c>
      <c r="B45" s="79" t="s">
        <v>927</v>
      </c>
      <c r="C45" s="55" t="s">
        <v>928</v>
      </c>
      <c r="D45" s="55" t="s">
        <v>20</v>
      </c>
      <c r="E45" s="55"/>
      <c r="F45" s="80">
        <v>0.7</v>
      </c>
      <c r="G45" s="70"/>
      <c r="H45" s="190">
        <f>SUM(H46:H53)</f>
        <v>0</v>
      </c>
    </row>
    <row r="46" spans="1:8" ht="30.75" customHeight="1">
      <c r="A46" s="48"/>
      <c r="B46" s="224" t="s">
        <v>4</v>
      </c>
      <c r="C46" s="46" t="s">
        <v>136</v>
      </c>
      <c r="D46" s="46" t="s">
        <v>5</v>
      </c>
      <c r="E46" s="46">
        <v>8.54</v>
      </c>
      <c r="F46" s="157">
        <f>E46*F45</f>
        <v>5.977999999999999</v>
      </c>
      <c r="G46" s="47"/>
      <c r="H46" s="124">
        <f aca="true" t="shared" si="2" ref="H46:H53">G46*F46</f>
        <v>0</v>
      </c>
    </row>
    <row r="47" spans="1:8" ht="30.75" customHeight="1">
      <c r="A47" s="48"/>
      <c r="B47" s="224" t="s">
        <v>4</v>
      </c>
      <c r="C47" s="46" t="s">
        <v>153</v>
      </c>
      <c r="D47" s="46" t="s">
        <v>16</v>
      </c>
      <c r="E47" s="46">
        <v>1.06</v>
      </c>
      <c r="F47" s="157">
        <f>E47*F45</f>
        <v>0.742</v>
      </c>
      <c r="G47" s="47"/>
      <c r="H47" s="124">
        <f t="shared" si="2"/>
        <v>0</v>
      </c>
    </row>
    <row r="48" spans="1:8" ht="30.75" customHeight="1">
      <c r="A48" s="48"/>
      <c r="B48" s="224" t="s">
        <v>1334</v>
      </c>
      <c r="C48" s="46" t="s">
        <v>929</v>
      </c>
      <c r="D48" s="46" t="s">
        <v>14</v>
      </c>
      <c r="E48" s="46">
        <v>1.015</v>
      </c>
      <c r="F48" s="157">
        <f>E48*F45</f>
        <v>0.7104999999999999</v>
      </c>
      <c r="G48" s="47"/>
      <c r="H48" s="73">
        <f t="shared" si="2"/>
        <v>0</v>
      </c>
    </row>
    <row r="49" spans="1:8" ht="30.75" customHeight="1">
      <c r="A49" s="48"/>
      <c r="B49" s="336" t="s">
        <v>1339</v>
      </c>
      <c r="C49" s="496" t="s">
        <v>935</v>
      </c>
      <c r="D49" s="46" t="s">
        <v>42</v>
      </c>
      <c r="E49" s="46"/>
      <c r="F49" s="51">
        <v>0.02</v>
      </c>
      <c r="G49" s="222"/>
      <c r="H49" s="222">
        <f>F49*G49</f>
        <v>0</v>
      </c>
    </row>
    <row r="50" spans="1:8" ht="31.5" customHeight="1">
      <c r="A50" s="48"/>
      <c r="B50" s="336" t="s">
        <v>1519</v>
      </c>
      <c r="C50" s="496" t="s">
        <v>726</v>
      </c>
      <c r="D50" s="46" t="s">
        <v>42</v>
      </c>
      <c r="E50" s="46"/>
      <c r="F50" s="51">
        <v>0.065</v>
      </c>
      <c r="G50" s="222"/>
      <c r="H50" s="222">
        <f>F50*G50</f>
        <v>0</v>
      </c>
    </row>
    <row r="51" spans="1:8" ht="30.75" customHeight="1">
      <c r="A51" s="48"/>
      <c r="B51" s="496" t="s">
        <v>1346</v>
      </c>
      <c r="C51" s="46" t="s">
        <v>930</v>
      </c>
      <c r="D51" s="46" t="s">
        <v>48</v>
      </c>
      <c r="E51" s="46">
        <v>1.4</v>
      </c>
      <c r="F51" s="157">
        <f>E51*F45</f>
        <v>0.9799999999999999</v>
      </c>
      <c r="G51" s="47"/>
      <c r="H51" s="124">
        <f t="shared" si="2"/>
        <v>0</v>
      </c>
    </row>
    <row r="52" spans="1:8" ht="30.75" customHeight="1">
      <c r="A52" s="48"/>
      <c r="B52" s="497" t="s">
        <v>1558</v>
      </c>
      <c r="C52" s="46" t="s">
        <v>931</v>
      </c>
      <c r="D52" s="46" t="s">
        <v>14</v>
      </c>
      <c r="E52" s="46">
        <v>0.0145</v>
      </c>
      <c r="F52" s="157">
        <f>F45*E52</f>
        <v>0.01015</v>
      </c>
      <c r="G52" s="47"/>
      <c r="H52" s="124">
        <f t="shared" si="2"/>
        <v>0</v>
      </c>
    </row>
    <row r="53" spans="1:8" ht="30.75" customHeight="1">
      <c r="A53" s="48"/>
      <c r="B53" s="223" t="s">
        <v>4</v>
      </c>
      <c r="C53" s="46" t="s">
        <v>18</v>
      </c>
      <c r="D53" s="46" t="s">
        <v>16</v>
      </c>
      <c r="E53" s="46">
        <v>0.74</v>
      </c>
      <c r="F53" s="157">
        <f>E53*F45</f>
        <v>0.518</v>
      </c>
      <c r="G53" s="47"/>
      <c r="H53" s="124">
        <f t="shared" si="2"/>
        <v>0</v>
      </c>
    </row>
    <row r="54" spans="1:8" ht="56.25" customHeight="1">
      <c r="A54" s="81" t="s">
        <v>67</v>
      </c>
      <c r="B54" s="79" t="s">
        <v>732</v>
      </c>
      <c r="C54" s="375" t="s">
        <v>893</v>
      </c>
      <c r="D54" s="55" t="s">
        <v>20</v>
      </c>
      <c r="E54" s="55"/>
      <c r="F54" s="226">
        <v>3.4</v>
      </c>
      <c r="G54" s="70"/>
      <c r="H54" s="228">
        <f>SUM(H55:H62)</f>
        <v>0</v>
      </c>
    </row>
    <row r="55" spans="1:8" ht="25.5" customHeight="1">
      <c r="A55" s="82"/>
      <c r="B55" s="48" t="s">
        <v>4</v>
      </c>
      <c r="C55" s="496" t="s">
        <v>201</v>
      </c>
      <c r="D55" s="496" t="s">
        <v>5</v>
      </c>
      <c r="E55" s="51">
        <v>8.4</v>
      </c>
      <c r="F55" s="157">
        <f>E55*F54</f>
        <v>28.56</v>
      </c>
      <c r="G55" s="47"/>
      <c r="H55" s="377">
        <f aca="true" t="shared" si="3" ref="H55:H62">G55*F55</f>
        <v>0</v>
      </c>
    </row>
    <row r="56" spans="1:8" ht="27" customHeight="1">
      <c r="A56" s="82"/>
      <c r="B56" s="48" t="s">
        <v>4</v>
      </c>
      <c r="C56" s="496" t="s">
        <v>137</v>
      </c>
      <c r="D56" s="46" t="s">
        <v>16</v>
      </c>
      <c r="E56" s="51">
        <v>0.81</v>
      </c>
      <c r="F56" s="157">
        <f>E56*F54</f>
        <v>2.754</v>
      </c>
      <c r="G56" s="47"/>
      <c r="H56" s="377">
        <f t="shared" si="3"/>
        <v>0</v>
      </c>
    </row>
    <row r="57" spans="1:8" ht="27" customHeight="1">
      <c r="A57" s="82"/>
      <c r="B57" s="341" t="s">
        <v>1334</v>
      </c>
      <c r="C57" s="496" t="s">
        <v>725</v>
      </c>
      <c r="D57" s="46" t="s">
        <v>14</v>
      </c>
      <c r="E57" s="51">
        <v>1.015</v>
      </c>
      <c r="F57" s="157">
        <f>E57*F54</f>
        <v>3.4509999999999996</v>
      </c>
      <c r="G57" s="222"/>
      <c r="H57" s="222">
        <f t="shared" si="3"/>
        <v>0</v>
      </c>
    </row>
    <row r="58" spans="1:8" ht="30" customHeight="1">
      <c r="A58" s="48"/>
      <c r="B58" s="336" t="s">
        <v>1339</v>
      </c>
      <c r="C58" s="496" t="s">
        <v>935</v>
      </c>
      <c r="D58" s="46" t="s">
        <v>42</v>
      </c>
      <c r="E58" s="46"/>
      <c r="F58" s="51">
        <v>0.017</v>
      </c>
      <c r="G58" s="222"/>
      <c r="H58" s="222">
        <f>F58*G58</f>
        <v>0</v>
      </c>
    </row>
    <row r="59" spans="1:10" ht="25.5" customHeight="1">
      <c r="A59" s="48"/>
      <c r="B59" s="336" t="s">
        <v>1519</v>
      </c>
      <c r="C59" s="496" t="s">
        <v>726</v>
      </c>
      <c r="D59" s="46" t="s">
        <v>42</v>
      </c>
      <c r="E59" s="46"/>
      <c r="F59" s="51">
        <v>0.238</v>
      </c>
      <c r="G59" s="222"/>
      <c r="H59" s="222">
        <f>F59*G59</f>
        <v>0</v>
      </c>
      <c r="J59" s="367"/>
    </row>
    <row r="60" spans="1:10" ht="29.25" customHeight="1">
      <c r="A60" s="82"/>
      <c r="B60" s="496" t="s">
        <v>1346</v>
      </c>
      <c r="C60" s="496" t="s">
        <v>202</v>
      </c>
      <c r="D60" s="46" t="s">
        <v>48</v>
      </c>
      <c r="E60" s="51">
        <v>1.37</v>
      </c>
      <c r="F60" s="157">
        <f>E60*F54</f>
        <v>4.658</v>
      </c>
      <c r="G60" s="47"/>
      <c r="H60" s="377">
        <f t="shared" si="3"/>
        <v>0</v>
      </c>
      <c r="J60" s="367"/>
    </row>
    <row r="61" spans="1:8" ht="29.25" customHeight="1">
      <c r="A61" s="82"/>
      <c r="B61" s="497" t="s">
        <v>1558</v>
      </c>
      <c r="C61" s="496" t="s">
        <v>733</v>
      </c>
      <c r="D61" s="46" t="s">
        <v>14</v>
      </c>
      <c r="E61" s="157">
        <f>(0.84+2.56+0.26)/100</f>
        <v>0.0366</v>
      </c>
      <c r="F61" s="157">
        <f>F54*E61</f>
        <v>0.12444</v>
      </c>
      <c r="G61" s="47"/>
      <c r="H61" s="377">
        <f t="shared" si="3"/>
        <v>0</v>
      </c>
    </row>
    <row r="62" spans="1:8" ht="29.25" customHeight="1">
      <c r="A62" s="82"/>
      <c r="B62" s="45" t="s">
        <v>4</v>
      </c>
      <c r="C62" s="496" t="s">
        <v>18</v>
      </c>
      <c r="D62" s="46" t="s">
        <v>16</v>
      </c>
      <c r="E62" s="157">
        <v>0.39</v>
      </c>
      <c r="F62" s="157">
        <f>E62*F54</f>
        <v>1.326</v>
      </c>
      <c r="G62" s="47"/>
      <c r="H62" s="377">
        <f t="shared" si="3"/>
        <v>0</v>
      </c>
    </row>
    <row r="63" spans="1:15" ht="66" customHeight="1">
      <c r="A63" s="81" t="s">
        <v>81</v>
      </c>
      <c r="B63" s="378" t="s">
        <v>734</v>
      </c>
      <c r="C63" s="375" t="s">
        <v>735</v>
      </c>
      <c r="D63" s="297" t="s">
        <v>46</v>
      </c>
      <c r="E63" s="158"/>
      <c r="F63" s="137">
        <v>24</v>
      </c>
      <c r="G63" s="160"/>
      <c r="H63" s="228">
        <f>SUM(H64:H67)</f>
        <v>0</v>
      </c>
      <c r="I63" s="691"/>
      <c r="J63" s="691"/>
      <c r="K63" s="691"/>
      <c r="L63" s="691"/>
      <c r="M63" s="691"/>
      <c r="N63" s="691"/>
      <c r="O63" s="691"/>
    </row>
    <row r="64" spans="1:8" ht="31.5" customHeight="1">
      <c r="A64" s="82"/>
      <c r="B64" s="82" t="s">
        <v>4</v>
      </c>
      <c r="C64" s="496" t="s">
        <v>736</v>
      </c>
      <c r="D64" s="49" t="s">
        <v>5</v>
      </c>
      <c r="E64" s="49">
        <f>(14.3+35*0.07)/100</f>
        <v>0.1675</v>
      </c>
      <c r="F64" s="52">
        <f>E64*F63</f>
        <v>4.0200000000000005</v>
      </c>
      <c r="G64" s="52"/>
      <c r="H64" s="377">
        <f>G64*F64</f>
        <v>0</v>
      </c>
    </row>
    <row r="65" spans="1:8" ht="27" customHeight="1">
      <c r="A65" s="82"/>
      <c r="B65" s="82" t="s">
        <v>4</v>
      </c>
      <c r="C65" s="496" t="s">
        <v>737</v>
      </c>
      <c r="D65" s="49" t="s">
        <v>16</v>
      </c>
      <c r="E65" s="49">
        <f>(0.74+35*0.05)/100</f>
        <v>0.024900000000000002</v>
      </c>
      <c r="F65" s="52">
        <f>E65*F63</f>
        <v>0.5976</v>
      </c>
      <c r="G65" s="47"/>
      <c r="H65" s="377">
        <f>G65*F65</f>
        <v>0</v>
      </c>
    </row>
    <row r="66" spans="1:8" ht="29.25" customHeight="1">
      <c r="A66" s="82"/>
      <c r="B66" s="341" t="s">
        <v>1559</v>
      </c>
      <c r="C66" s="496" t="s">
        <v>738</v>
      </c>
      <c r="D66" s="49" t="s">
        <v>14</v>
      </c>
      <c r="E66" s="167">
        <f>(1.58+35*0.105)/100</f>
        <v>0.05255</v>
      </c>
      <c r="F66" s="52">
        <f>E66*F63</f>
        <v>1.2612</v>
      </c>
      <c r="G66" s="52"/>
      <c r="H66" s="377">
        <f>G66*F66</f>
        <v>0</v>
      </c>
    </row>
    <row r="67" spans="1:8" ht="27" customHeight="1">
      <c r="A67" s="82"/>
      <c r="B67" s="82" t="s">
        <v>4</v>
      </c>
      <c r="C67" s="496" t="s">
        <v>18</v>
      </c>
      <c r="D67" s="49" t="s">
        <v>16</v>
      </c>
      <c r="E67" s="49">
        <v>0.064</v>
      </c>
      <c r="F67" s="52">
        <f>E67*F63</f>
        <v>1.536</v>
      </c>
      <c r="G67" s="47"/>
      <c r="H67" s="377">
        <f>G67*F67</f>
        <v>0</v>
      </c>
    </row>
    <row r="68" spans="1:15" ht="59.25" customHeight="1">
      <c r="A68" s="81" t="s">
        <v>88</v>
      </c>
      <c r="B68" s="79" t="s">
        <v>739</v>
      </c>
      <c r="C68" s="375" t="s">
        <v>740</v>
      </c>
      <c r="D68" s="158" t="s">
        <v>43</v>
      </c>
      <c r="E68" s="158"/>
      <c r="F68" s="192">
        <v>27.5</v>
      </c>
      <c r="G68" s="160"/>
      <c r="H68" s="228">
        <f>SUM(H69:H76)</f>
        <v>0</v>
      </c>
      <c r="I68" s="691"/>
      <c r="J68" s="691"/>
      <c r="K68" s="691"/>
      <c r="L68" s="691"/>
      <c r="M68" s="691"/>
      <c r="N68" s="691"/>
      <c r="O68" s="691"/>
    </row>
    <row r="69" spans="1:8" ht="22.5" customHeight="1">
      <c r="A69" s="82"/>
      <c r="B69" s="110" t="s">
        <v>4</v>
      </c>
      <c r="C69" s="373" t="s">
        <v>136</v>
      </c>
      <c r="D69" s="49" t="s">
        <v>5</v>
      </c>
      <c r="E69" s="49">
        <v>0.277</v>
      </c>
      <c r="F69" s="117">
        <f>E69*F68</f>
        <v>7.617500000000001</v>
      </c>
      <c r="G69" s="52"/>
      <c r="H69" s="377">
        <f aca="true" t="shared" si="4" ref="H69:H76">G69*F69</f>
        <v>0</v>
      </c>
    </row>
    <row r="70" spans="1:8" ht="25.5" customHeight="1">
      <c r="A70" s="82"/>
      <c r="B70" s="110" t="s">
        <v>4</v>
      </c>
      <c r="C70" s="373" t="s">
        <v>137</v>
      </c>
      <c r="D70" s="49" t="s">
        <v>16</v>
      </c>
      <c r="E70" s="49">
        <v>0.0532</v>
      </c>
      <c r="F70" s="117">
        <f>F68*E70</f>
        <v>1.4629999999999999</v>
      </c>
      <c r="G70" s="47"/>
      <c r="H70" s="377">
        <f t="shared" si="4"/>
        <v>0</v>
      </c>
    </row>
    <row r="71" spans="1:8" ht="25.5" customHeight="1">
      <c r="A71" s="82"/>
      <c r="B71" s="223" t="s">
        <v>1391</v>
      </c>
      <c r="C71" s="373" t="s">
        <v>741</v>
      </c>
      <c r="D71" s="49" t="s">
        <v>48</v>
      </c>
      <c r="E71" s="49">
        <v>2.5</v>
      </c>
      <c r="F71" s="117">
        <f>F68*E71</f>
        <v>68.75</v>
      </c>
      <c r="G71" s="52"/>
      <c r="H71" s="377">
        <f t="shared" si="4"/>
        <v>0</v>
      </c>
    </row>
    <row r="72" spans="1:8" ht="24" customHeight="1">
      <c r="A72" s="82"/>
      <c r="B72" s="223" t="s">
        <v>1565</v>
      </c>
      <c r="C72" s="373" t="s">
        <v>742</v>
      </c>
      <c r="D72" s="49" t="s">
        <v>48</v>
      </c>
      <c r="E72" s="49">
        <v>1.26</v>
      </c>
      <c r="F72" s="117">
        <f>F69*E72</f>
        <v>9.59805</v>
      </c>
      <c r="G72" s="52"/>
      <c r="H72" s="377">
        <f t="shared" si="4"/>
        <v>0</v>
      </c>
    </row>
    <row r="73" spans="1:8" ht="27" customHeight="1">
      <c r="A73" s="82"/>
      <c r="B73" s="223" t="s">
        <v>1432</v>
      </c>
      <c r="C73" s="373" t="s">
        <v>743</v>
      </c>
      <c r="D73" s="49" t="s">
        <v>42</v>
      </c>
      <c r="E73" s="49">
        <v>0.0004</v>
      </c>
      <c r="F73" s="117">
        <f>E73*F68</f>
        <v>0.011000000000000001</v>
      </c>
      <c r="G73" s="52"/>
      <c r="H73" s="377">
        <f t="shared" si="4"/>
        <v>0</v>
      </c>
    </row>
    <row r="74" spans="1:8" ht="27" customHeight="1">
      <c r="A74" s="82"/>
      <c r="B74" s="342" t="s">
        <v>1557</v>
      </c>
      <c r="C74" s="222" t="s">
        <v>745</v>
      </c>
      <c r="D74" s="49" t="s">
        <v>20</v>
      </c>
      <c r="E74" s="49">
        <v>0.0016</v>
      </c>
      <c r="F74" s="117">
        <f>E74*F68</f>
        <v>0.044000000000000004</v>
      </c>
      <c r="G74" s="52"/>
      <c r="H74" s="377">
        <f t="shared" si="4"/>
        <v>0</v>
      </c>
    </row>
    <row r="75" spans="1:8" ht="30" customHeight="1">
      <c r="A75" s="82"/>
      <c r="B75" s="223" t="s">
        <v>1564</v>
      </c>
      <c r="C75" s="496" t="s">
        <v>1563</v>
      </c>
      <c r="D75" s="49" t="s">
        <v>42</v>
      </c>
      <c r="E75" s="49">
        <v>0.0003</v>
      </c>
      <c r="F75" s="117">
        <f>E75*F68</f>
        <v>0.008249999999999999</v>
      </c>
      <c r="G75" s="52"/>
      <c r="H75" s="377">
        <f t="shared" si="4"/>
        <v>0</v>
      </c>
    </row>
    <row r="76" spans="1:8" ht="27.75" customHeight="1">
      <c r="A76" s="82"/>
      <c r="B76" s="110" t="s">
        <v>4</v>
      </c>
      <c r="C76" s="373" t="s">
        <v>18</v>
      </c>
      <c r="D76" s="49" t="s">
        <v>16</v>
      </c>
      <c r="E76" s="49">
        <v>0.061</v>
      </c>
      <c r="F76" s="117">
        <f>F68*E76</f>
        <v>1.6775</v>
      </c>
      <c r="G76" s="47"/>
      <c r="H76" s="377">
        <f t="shared" si="4"/>
        <v>0</v>
      </c>
    </row>
    <row r="77" spans="1:8" s="104" customFormat="1" ht="48.75" customHeight="1">
      <c r="A77" s="163">
        <v>13</v>
      </c>
      <c r="B77" s="376" t="s">
        <v>363</v>
      </c>
      <c r="C77" s="219" t="s">
        <v>746</v>
      </c>
      <c r="D77" s="163" t="s">
        <v>194</v>
      </c>
      <c r="E77" s="163"/>
      <c r="F77" s="226">
        <v>1</v>
      </c>
      <c r="G77" s="226"/>
      <c r="H77" s="380">
        <f>H78+H79+H80+H81</f>
        <v>0</v>
      </c>
    </row>
    <row r="78" spans="1:8" s="104" customFormat="1" ht="33" customHeight="1">
      <c r="A78" s="181"/>
      <c r="B78" s="252" t="s">
        <v>4</v>
      </c>
      <c r="C78" s="373" t="s">
        <v>136</v>
      </c>
      <c r="D78" s="182" t="s">
        <v>105</v>
      </c>
      <c r="E78" s="182">
        <v>1.12</v>
      </c>
      <c r="F78" s="182">
        <f>F77*E78</f>
        <v>1.12</v>
      </c>
      <c r="G78" s="183"/>
      <c r="H78" s="183">
        <f>F78*G78</f>
        <v>0</v>
      </c>
    </row>
    <row r="79" spans="1:8" s="104" customFormat="1" ht="29.25" customHeight="1">
      <c r="A79" s="181"/>
      <c r="B79" s="252" t="s">
        <v>4</v>
      </c>
      <c r="C79" s="182" t="s">
        <v>106</v>
      </c>
      <c r="D79" s="182" t="s">
        <v>16</v>
      </c>
      <c r="E79" s="182">
        <v>0.528</v>
      </c>
      <c r="F79" s="182">
        <f>F77*E79</f>
        <v>0.528</v>
      </c>
      <c r="G79" s="47"/>
      <c r="H79" s="183">
        <f>F79*G79</f>
        <v>0</v>
      </c>
    </row>
    <row r="80" spans="1:8" s="104" customFormat="1" ht="32.25" customHeight="1">
      <c r="A80" s="181"/>
      <c r="B80" s="298" t="s">
        <v>489</v>
      </c>
      <c r="C80" s="182" t="s">
        <v>494</v>
      </c>
      <c r="D80" s="182" t="s">
        <v>194</v>
      </c>
      <c r="E80" s="182">
        <v>1</v>
      </c>
      <c r="F80" s="182">
        <f>F77*E80</f>
        <v>1</v>
      </c>
      <c r="G80" s="462"/>
      <c r="H80" s="183">
        <f>F80*G80</f>
        <v>0</v>
      </c>
    </row>
    <row r="81" spans="1:8" s="104" customFormat="1" ht="28.5" customHeight="1">
      <c r="A81" s="181"/>
      <c r="B81" s="252" t="s">
        <v>4</v>
      </c>
      <c r="C81" s="46" t="s">
        <v>38</v>
      </c>
      <c r="D81" s="182" t="s">
        <v>16</v>
      </c>
      <c r="E81" s="182">
        <v>0.054</v>
      </c>
      <c r="F81" s="182">
        <f>F77*E81</f>
        <v>0.054</v>
      </c>
      <c r="G81" s="47"/>
      <c r="H81" s="183">
        <f>F81*G81</f>
        <v>0</v>
      </c>
    </row>
    <row r="82" spans="1:8" s="104" customFormat="1" ht="43.5" customHeight="1">
      <c r="A82" s="71">
        <v>14</v>
      </c>
      <c r="B82" s="360" t="s">
        <v>747</v>
      </c>
      <c r="C82" s="375" t="s">
        <v>748</v>
      </c>
      <c r="D82" s="55" t="s">
        <v>43</v>
      </c>
      <c r="E82" s="55"/>
      <c r="F82" s="70">
        <v>5.3</v>
      </c>
      <c r="G82" s="70"/>
      <c r="H82" s="380">
        <f>H83+H84+H85+H86+H87</f>
        <v>0</v>
      </c>
    </row>
    <row r="83" spans="1:8" s="104" customFormat="1" ht="31.5" customHeight="1">
      <c r="A83" s="224"/>
      <c r="B83" s="223" t="s">
        <v>4</v>
      </c>
      <c r="C83" s="496" t="s">
        <v>148</v>
      </c>
      <c r="D83" s="373" t="s">
        <v>5</v>
      </c>
      <c r="E83" s="296">
        <v>1.11</v>
      </c>
      <c r="F83" s="377">
        <f>E83*F82</f>
        <v>5.883</v>
      </c>
      <c r="G83" s="377"/>
      <c r="H83" s="124">
        <f>G83*F83</f>
        <v>0</v>
      </c>
    </row>
    <row r="84" spans="1:8" s="104" customFormat="1" ht="33.75" customHeight="1">
      <c r="A84" s="224"/>
      <c r="B84" s="223" t="s">
        <v>4</v>
      </c>
      <c r="C84" s="496" t="s">
        <v>153</v>
      </c>
      <c r="D84" s="373" t="s">
        <v>16</v>
      </c>
      <c r="E84" s="296">
        <v>0.516</v>
      </c>
      <c r="F84" s="377">
        <f>E84*F82</f>
        <v>2.7348</v>
      </c>
      <c r="G84" s="47"/>
      <c r="H84" s="124">
        <f>G84*F84</f>
        <v>0</v>
      </c>
    </row>
    <row r="85" spans="1:8" s="104" customFormat="1" ht="38.25" customHeight="1">
      <c r="A85" s="224"/>
      <c r="B85" s="496" t="s">
        <v>1566</v>
      </c>
      <c r="C85" s="496" t="s">
        <v>749</v>
      </c>
      <c r="D85" s="373" t="s">
        <v>48</v>
      </c>
      <c r="E85" s="377">
        <v>1</v>
      </c>
      <c r="F85" s="377">
        <f>E85*F82</f>
        <v>5.3</v>
      </c>
      <c r="G85" s="377"/>
      <c r="H85" s="124">
        <f>G85*F85</f>
        <v>0</v>
      </c>
    </row>
    <row r="86" spans="1:8" s="104" customFormat="1" ht="33.75" customHeight="1">
      <c r="A86" s="224"/>
      <c r="B86" s="496" t="s">
        <v>360</v>
      </c>
      <c r="C86" s="496" t="s">
        <v>562</v>
      </c>
      <c r="D86" s="373" t="s">
        <v>53</v>
      </c>
      <c r="E86" s="377">
        <v>1.56</v>
      </c>
      <c r="F86" s="377">
        <f>F82*E86</f>
        <v>8.268</v>
      </c>
      <c r="G86" s="377"/>
      <c r="H86" s="124">
        <f>G86*F86</f>
        <v>0</v>
      </c>
    </row>
    <row r="87" spans="1:8" s="104" customFormat="1" ht="35.25" customHeight="1">
      <c r="A87" s="224"/>
      <c r="B87" s="223" t="s">
        <v>4</v>
      </c>
      <c r="C87" s="496" t="s">
        <v>18</v>
      </c>
      <c r="D87" s="373" t="s">
        <v>16</v>
      </c>
      <c r="E87" s="296">
        <v>0.054</v>
      </c>
      <c r="F87" s="377">
        <f>F82*E87</f>
        <v>0.2862</v>
      </c>
      <c r="G87" s="47"/>
      <c r="H87" s="124">
        <f>G87*F87</f>
        <v>0</v>
      </c>
    </row>
    <row r="88" spans="1:18" s="104" customFormat="1" ht="51" customHeight="1">
      <c r="A88" s="81" t="s">
        <v>55</v>
      </c>
      <c r="B88" s="378" t="s">
        <v>139</v>
      </c>
      <c r="C88" s="375" t="s">
        <v>218</v>
      </c>
      <c r="D88" s="158" t="s">
        <v>22</v>
      </c>
      <c r="E88" s="158"/>
      <c r="F88" s="192">
        <v>22.4</v>
      </c>
      <c r="G88" s="160"/>
      <c r="H88" s="228">
        <f>SUM(H89:H91)</f>
        <v>0</v>
      </c>
      <c r="I88" s="688"/>
      <c r="J88" s="688"/>
      <c r="K88" s="688"/>
      <c r="L88" s="688"/>
      <c r="M88" s="688"/>
      <c r="N88" s="688"/>
      <c r="O88" s="688"/>
      <c r="P88" s="688"/>
      <c r="Q88" s="688"/>
      <c r="R88" s="688"/>
    </row>
    <row r="89" spans="1:8" s="104" customFormat="1" ht="27.75" customHeight="1">
      <c r="A89" s="82"/>
      <c r="B89" s="48" t="s">
        <v>4</v>
      </c>
      <c r="C89" s="496" t="s">
        <v>136</v>
      </c>
      <c r="D89" s="49" t="s">
        <v>5</v>
      </c>
      <c r="E89" s="49">
        <v>0.3</v>
      </c>
      <c r="F89" s="167">
        <f>F88*E89</f>
        <v>6.72</v>
      </c>
      <c r="G89" s="52"/>
      <c r="H89" s="377">
        <f>G89*F89</f>
        <v>0</v>
      </c>
    </row>
    <row r="90" spans="1:8" s="104" customFormat="1" ht="22.5" customHeight="1">
      <c r="A90" s="82"/>
      <c r="B90" s="48" t="s">
        <v>4</v>
      </c>
      <c r="C90" s="496" t="s">
        <v>129</v>
      </c>
      <c r="D90" s="49" t="s">
        <v>16</v>
      </c>
      <c r="E90" s="49">
        <v>0.011</v>
      </c>
      <c r="F90" s="167">
        <f>E90*F88</f>
        <v>0.24639999999999998</v>
      </c>
      <c r="G90" s="47"/>
      <c r="H90" s="377">
        <f>G90*F90</f>
        <v>0</v>
      </c>
    </row>
    <row r="91" spans="1:8" s="104" customFormat="1" ht="25.5" customHeight="1">
      <c r="A91" s="82"/>
      <c r="B91" s="341" t="s">
        <v>1348</v>
      </c>
      <c r="C91" s="496" t="s">
        <v>1561</v>
      </c>
      <c r="D91" s="49" t="s">
        <v>14</v>
      </c>
      <c r="E91" s="49">
        <v>0.0067</v>
      </c>
      <c r="F91" s="167">
        <f>E91*F88</f>
        <v>0.15008</v>
      </c>
      <c r="G91" s="52"/>
      <c r="H91" s="377">
        <f>G91*F91</f>
        <v>0</v>
      </c>
    </row>
    <row r="92" spans="1:18" s="66" customFormat="1" ht="50.25" customHeight="1">
      <c r="A92" s="81" t="s">
        <v>51</v>
      </c>
      <c r="B92" s="54" t="s">
        <v>500</v>
      </c>
      <c r="C92" s="375" t="s">
        <v>750</v>
      </c>
      <c r="D92" s="55" t="s">
        <v>43</v>
      </c>
      <c r="E92" s="55"/>
      <c r="F92" s="226">
        <v>12.7</v>
      </c>
      <c r="G92" s="70"/>
      <c r="H92" s="380">
        <f>H93+H94+H95+H96</f>
        <v>0</v>
      </c>
      <c r="I92" s="688"/>
      <c r="J92" s="688"/>
      <c r="K92" s="688"/>
      <c r="L92" s="688"/>
      <c r="M92" s="688"/>
      <c r="N92" s="688"/>
      <c r="O92" s="688"/>
      <c r="P92" s="688"/>
      <c r="Q92" s="688"/>
      <c r="R92" s="688"/>
    </row>
    <row r="93" spans="1:8" s="66" customFormat="1" ht="29.25" customHeight="1">
      <c r="A93" s="244"/>
      <c r="B93" s="245" t="s">
        <v>4</v>
      </c>
      <c r="C93" s="208" t="s">
        <v>136</v>
      </c>
      <c r="D93" s="208" t="s">
        <v>5</v>
      </c>
      <c r="E93" s="208">
        <v>0.0238</v>
      </c>
      <c r="F93" s="157">
        <f>E93*F92</f>
        <v>0.30226000000000003</v>
      </c>
      <c r="G93" s="286"/>
      <c r="H93" s="222">
        <f>G93*F93</f>
        <v>0</v>
      </c>
    </row>
    <row r="94" spans="1:9" s="95" customFormat="1" ht="27" customHeight="1">
      <c r="A94" s="244"/>
      <c r="B94" s="245" t="s">
        <v>4</v>
      </c>
      <c r="C94" s="208" t="s">
        <v>137</v>
      </c>
      <c r="D94" s="208" t="s">
        <v>16</v>
      </c>
      <c r="E94" s="208">
        <v>0.0026</v>
      </c>
      <c r="F94" s="157">
        <f>E94*F92</f>
        <v>0.033019999999999994</v>
      </c>
      <c r="G94" s="52"/>
      <c r="H94" s="47">
        <f>G94*F94</f>
        <v>0</v>
      </c>
      <c r="I94" s="343"/>
    </row>
    <row r="95" spans="1:9" s="98" customFormat="1" ht="28.5" customHeight="1">
      <c r="A95" s="244"/>
      <c r="B95" s="245" t="s">
        <v>777</v>
      </c>
      <c r="C95" s="208" t="s">
        <v>229</v>
      </c>
      <c r="D95" s="208" t="s">
        <v>53</v>
      </c>
      <c r="E95" s="208">
        <v>0.146</v>
      </c>
      <c r="F95" s="157">
        <f>E95*F92</f>
        <v>1.8541999999999998</v>
      </c>
      <c r="G95" s="183"/>
      <c r="H95" s="47">
        <f>G95*F95</f>
        <v>0</v>
      </c>
      <c r="I95" s="343"/>
    </row>
    <row r="96" spans="1:9" s="98" customFormat="1" ht="26.25" customHeight="1">
      <c r="A96" s="244"/>
      <c r="B96" s="245" t="s">
        <v>617</v>
      </c>
      <c r="C96" s="208" t="s">
        <v>230</v>
      </c>
      <c r="D96" s="208" t="s">
        <v>16</v>
      </c>
      <c r="E96" s="208">
        <v>0.0219</v>
      </c>
      <c r="F96" s="157">
        <f>E96*F92</f>
        <v>0.27813</v>
      </c>
      <c r="G96" s="183"/>
      <c r="H96" s="47">
        <f>G96*F96</f>
        <v>0</v>
      </c>
      <c r="I96" s="343"/>
    </row>
    <row r="97" spans="1:9" s="98" customFormat="1" ht="56.25" customHeight="1">
      <c r="A97" s="376" t="s">
        <v>49</v>
      </c>
      <c r="B97" s="378" t="s">
        <v>751</v>
      </c>
      <c r="C97" s="375" t="s">
        <v>752</v>
      </c>
      <c r="D97" s="375" t="s">
        <v>43</v>
      </c>
      <c r="E97" s="375"/>
      <c r="F97" s="226">
        <f>F92</f>
        <v>12.7</v>
      </c>
      <c r="G97" s="70"/>
      <c r="H97" s="380">
        <f>SUM(H98:H102)</f>
        <v>0</v>
      </c>
      <c r="I97" s="343"/>
    </row>
    <row r="98" spans="1:9" s="98" customFormat="1" ht="29.25" customHeight="1">
      <c r="A98" s="497"/>
      <c r="B98" s="245" t="s">
        <v>4</v>
      </c>
      <c r="C98" s="496" t="s">
        <v>136</v>
      </c>
      <c r="D98" s="496" t="s">
        <v>5</v>
      </c>
      <c r="E98" s="496">
        <v>0.68</v>
      </c>
      <c r="F98" s="372">
        <f>E98*F97</f>
        <v>8.636000000000001</v>
      </c>
      <c r="G98" s="183"/>
      <c r="H98" s="222">
        <f>G98*F98</f>
        <v>0</v>
      </c>
      <c r="I98" s="343"/>
    </row>
    <row r="99" spans="1:9" s="344" customFormat="1" ht="26.25" customHeight="1">
      <c r="A99" s="497"/>
      <c r="B99" s="245" t="s">
        <v>4</v>
      </c>
      <c r="C99" s="496" t="s">
        <v>137</v>
      </c>
      <c r="D99" s="496" t="s">
        <v>16</v>
      </c>
      <c r="E99" s="496">
        <v>0.0003</v>
      </c>
      <c r="F99" s="225">
        <f>E99*F97</f>
        <v>0.0038099999999999996</v>
      </c>
      <c r="G99" s="52"/>
      <c r="H99" s="222">
        <f>G99*F99</f>
        <v>0</v>
      </c>
      <c r="I99" s="343"/>
    </row>
    <row r="100" spans="1:9" s="345" customFormat="1" ht="32.25" customHeight="1">
      <c r="A100" s="497"/>
      <c r="B100" s="251" t="s">
        <v>1357</v>
      </c>
      <c r="C100" s="496" t="s">
        <v>753</v>
      </c>
      <c r="D100" s="496" t="s">
        <v>53</v>
      </c>
      <c r="E100" s="496">
        <v>0.24600000000000002</v>
      </c>
      <c r="F100" s="372">
        <f>E100*F97</f>
        <v>3.1242</v>
      </c>
      <c r="G100" s="183"/>
      <c r="H100" s="222">
        <f>G100*F100</f>
        <v>0</v>
      </c>
      <c r="I100" s="282"/>
    </row>
    <row r="101" spans="1:9" s="345" customFormat="1" ht="29.25" customHeight="1">
      <c r="A101" s="497"/>
      <c r="B101" s="48" t="s">
        <v>1353</v>
      </c>
      <c r="C101" s="496" t="s">
        <v>754</v>
      </c>
      <c r="D101" s="373" t="s">
        <v>53</v>
      </c>
      <c r="E101" s="373">
        <v>0.027</v>
      </c>
      <c r="F101" s="377">
        <f>F97*E101</f>
        <v>0.3429</v>
      </c>
      <c r="G101" s="183"/>
      <c r="H101" s="124">
        <f>G101*F101</f>
        <v>0</v>
      </c>
      <c r="I101" s="282"/>
    </row>
    <row r="102" spans="1:9" s="493" customFormat="1" ht="28.5" customHeight="1">
      <c r="A102" s="497"/>
      <c r="B102" s="245" t="s">
        <v>4</v>
      </c>
      <c r="C102" s="496" t="s">
        <v>18</v>
      </c>
      <c r="D102" s="496" t="s">
        <v>16</v>
      </c>
      <c r="E102" s="496">
        <v>0.0019</v>
      </c>
      <c r="F102" s="225">
        <f>E102*F97</f>
        <v>0.02413</v>
      </c>
      <c r="G102" s="52"/>
      <c r="H102" s="222">
        <f>G102*F102</f>
        <v>0</v>
      </c>
      <c r="I102" s="282"/>
    </row>
    <row r="103" spans="1:43" s="202" customFormat="1" ht="46.5" customHeight="1">
      <c r="A103" s="81" t="s">
        <v>82</v>
      </c>
      <c r="B103" s="79" t="s">
        <v>140</v>
      </c>
      <c r="C103" s="375" t="s">
        <v>755</v>
      </c>
      <c r="D103" s="55" t="s">
        <v>14</v>
      </c>
      <c r="E103" s="55"/>
      <c r="F103" s="70">
        <v>0.83</v>
      </c>
      <c r="G103" s="70"/>
      <c r="H103" s="380">
        <f>SUM(H104:H107)</f>
        <v>0</v>
      </c>
      <c r="I103" s="688"/>
      <c r="J103" s="688"/>
      <c r="K103" s="688"/>
      <c r="L103" s="688"/>
      <c r="M103" s="688"/>
      <c r="N103" s="688"/>
      <c r="O103" s="688"/>
      <c r="P103" s="688"/>
      <c r="Q103" s="688"/>
      <c r="R103" s="688"/>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row>
    <row r="104" spans="1:43" s="202" customFormat="1" ht="27" customHeight="1">
      <c r="A104" s="82"/>
      <c r="B104" s="48" t="s">
        <v>4</v>
      </c>
      <c r="C104" s="496" t="s">
        <v>136</v>
      </c>
      <c r="D104" s="496" t="s">
        <v>5</v>
      </c>
      <c r="E104" s="46">
        <v>3.52</v>
      </c>
      <c r="F104" s="47">
        <f>E104*F103</f>
        <v>2.9215999999999998</v>
      </c>
      <c r="G104" s="52"/>
      <c r="H104" s="222">
        <f>G104*F104</f>
        <v>0</v>
      </c>
      <c r="I104" s="125"/>
      <c r="J104" s="204"/>
      <c r="K104" s="204"/>
      <c r="L104" s="204"/>
      <c r="M104" s="204"/>
      <c r="N104" s="204"/>
      <c r="O104" s="204"/>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row>
    <row r="105" spans="1:43" s="202" customFormat="1" ht="27" customHeight="1">
      <c r="A105" s="82"/>
      <c r="B105" s="48" t="s">
        <v>4</v>
      </c>
      <c r="C105" s="496" t="s">
        <v>153</v>
      </c>
      <c r="D105" s="46" t="s">
        <v>16</v>
      </c>
      <c r="E105" s="46">
        <v>1.06</v>
      </c>
      <c r="F105" s="47">
        <f>E105*F103</f>
        <v>0.8798</v>
      </c>
      <c r="G105" s="47"/>
      <c r="H105" s="222">
        <f>G105*F105</f>
        <v>0</v>
      </c>
      <c r="I105" s="125"/>
      <c r="J105" s="204"/>
      <c r="K105" s="204"/>
      <c r="L105" s="204"/>
      <c r="M105" s="204"/>
      <c r="N105" s="204"/>
      <c r="O105" s="204"/>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row>
    <row r="106" spans="1:43" s="202" customFormat="1" ht="25.5" customHeight="1">
      <c r="A106" s="82"/>
      <c r="B106" s="341" t="s">
        <v>1567</v>
      </c>
      <c r="C106" s="496" t="s">
        <v>141</v>
      </c>
      <c r="D106" s="46" t="s">
        <v>14</v>
      </c>
      <c r="E106" s="46">
        <v>1.24</v>
      </c>
      <c r="F106" s="47">
        <f>E106*F103</f>
        <v>1.0292</v>
      </c>
      <c r="G106" s="222"/>
      <c r="H106" s="222">
        <f>G106*F106</f>
        <v>0</v>
      </c>
      <c r="I106" s="125"/>
      <c r="J106" s="204"/>
      <c r="K106" s="204"/>
      <c r="L106" s="204"/>
      <c r="M106" s="204"/>
      <c r="N106" s="204"/>
      <c r="O106" s="204"/>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row>
    <row r="107" spans="1:43" s="202" customFormat="1" ht="28.5" customHeight="1">
      <c r="A107" s="82"/>
      <c r="B107" s="48" t="s">
        <v>4</v>
      </c>
      <c r="C107" s="496" t="s">
        <v>24</v>
      </c>
      <c r="D107" s="46" t="s">
        <v>16</v>
      </c>
      <c r="E107" s="46">
        <v>0.02</v>
      </c>
      <c r="F107" s="47">
        <f>E107*F103</f>
        <v>0.0166</v>
      </c>
      <c r="G107" s="47"/>
      <c r="H107" s="222">
        <f>G107*F107</f>
        <v>0</v>
      </c>
      <c r="I107" s="125"/>
      <c r="J107" s="204"/>
      <c r="K107" s="204"/>
      <c r="L107" s="204"/>
      <c r="M107" s="204"/>
      <c r="N107" s="204"/>
      <c r="O107" s="204"/>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row>
    <row r="108" spans="1:18" s="104" customFormat="1" ht="54.75" customHeight="1">
      <c r="A108" s="81" t="s">
        <v>95</v>
      </c>
      <c r="B108" s="79" t="s">
        <v>98</v>
      </c>
      <c r="C108" s="375" t="s">
        <v>756</v>
      </c>
      <c r="D108" s="55" t="s">
        <v>14</v>
      </c>
      <c r="E108" s="55"/>
      <c r="F108" s="70">
        <v>1.7</v>
      </c>
      <c r="G108" s="70"/>
      <c r="H108" s="380">
        <f>SUM(H109:H111)</f>
        <v>0</v>
      </c>
      <c r="I108" s="688"/>
      <c r="J108" s="688"/>
      <c r="K108" s="688"/>
      <c r="L108" s="688"/>
      <c r="M108" s="688"/>
      <c r="N108" s="688"/>
      <c r="O108" s="688"/>
      <c r="P108" s="688"/>
      <c r="Q108" s="688"/>
      <c r="R108" s="688"/>
    </row>
    <row r="109" spans="1:8" s="104" customFormat="1" ht="29.25" customHeight="1">
      <c r="A109" s="82"/>
      <c r="B109" s="48" t="s">
        <v>4</v>
      </c>
      <c r="C109" s="496" t="s">
        <v>136</v>
      </c>
      <c r="D109" s="496" t="s">
        <v>5</v>
      </c>
      <c r="E109" s="46">
        <v>2.9</v>
      </c>
      <c r="F109" s="47">
        <f>E109*F108</f>
        <v>4.93</v>
      </c>
      <c r="G109" s="52"/>
      <c r="H109" s="222">
        <f>G109*F109</f>
        <v>0</v>
      </c>
    </row>
    <row r="110" spans="1:8" s="104" customFormat="1" ht="26.25" customHeight="1">
      <c r="A110" s="82"/>
      <c r="B110" s="341" t="s">
        <v>1556</v>
      </c>
      <c r="C110" s="496" t="s">
        <v>757</v>
      </c>
      <c r="D110" s="46" t="s">
        <v>14</v>
      </c>
      <c r="E110" s="46">
        <v>1.02</v>
      </c>
      <c r="F110" s="47">
        <f>F108*E110</f>
        <v>1.734</v>
      </c>
      <c r="G110" s="47"/>
      <c r="H110" s="222">
        <f>G110*F110</f>
        <v>0</v>
      </c>
    </row>
    <row r="111" spans="1:8" s="104" customFormat="1" ht="27.75" customHeight="1">
      <c r="A111" s="82"/>
      <c r="B111" s="48" t="s">
        <v>4</v>
      </c>
      <c r="C111" s="496" t="s">
        <v>24</v>
      </c>
      <c r="D111" s="46" t="s">
        <v>16</v>
      </c>
      <c r="E111" s="46">
        <v>0.88</v>
      </c>
      <c r="F111" s="47">
        <f>E111*F108</f>
        <v>1.496</v>
      </c>
      <c r="G111" s="47"/>
      <c r="H111" s="222">
        <f>G111*F111</f>
        <v>0</v>
      </c>
    </row>
    <row r="112" spans="1:10" s="43" customFormat="1" ht="57.75" customHeight="1">
      <c r="A112" s="376" t="s">
        <v>96</v>
      </c>
      <c r="B112" s="378" t="s">
        <v>59</v>
      </c>
      <c r="C112" s="375" t="s">
        <v>758</v>
      </c>
      <c r="D112" s="193" t="s">
        <v>46</v>
      </c>
      <c r="E112" s="375"/>
      <c r="F112" s="379">
        <v>16.8</v>
      </c>
      <c r="G112" s="226"/>
      <c r="H112" s="380">
        <f>SUM(H113:H116)</f>
        <v>0</v>
      </c>
      <c r="I112" s="5"/>
      <c r="J112" s="5"/>
    </row>
    <row r="113" spans="1:8" s="4" customFormat="1" ht="33" customHeight="1">
      <c r="A113" s="497"/>
      <c r="B113" s="224" t="s">
        <v>4</v>
      </c>
      <c r="C113" s="496" t="s">
        <v>195</v>
      </c>
      <c r="D113" s="496" t="s">
        <v>5</v>
      </c>
      <c r="E113" s="496">
        <f>2*0.0034+0.188</f>
        <v>0.1948</v>
      </c>
      <c r="F113" s="225">
        <f>E113*F112</f>
        <v>3.27264</v>
      </c>
      <c r="G113" s="222"/>
      <c r="H113" s="222">
        <f>G113*F113</f>
        <v>0</v>
      </c>
    </row>
    <row r="114" spans="1:10" s="4" customFormat="1" ht="27.75" customHeight="1">
      <c r="A114" s="497"/>
      <c r="B114" s="224" t="s">
        <v>4</v>
      </c>
      <c r="C114" s="496" t="s">
        <v>196</v>
      </c>
      <c r="D114" s="496" t="s">
        <v>16</v>
      </c>
      <c r="E114" s="496">
        <f>2*0.0023+0.0095</f>
        <v>0.0141</v>
      </c>
      <c r="F114" s="225">
        <f>E114*F112</f>
        <v>0.23688</v>
      </c>
      <c r="G114" s="47"/>
      <c r="H114" s="222">
        <f>G114*F114</f>
        <v>0</v>
      </c>
      <c r="I114" s="346"/>
      <c r="J114" s="2"/>
    </row>
    <row r="115" spans="1:10" s="5" customFormat="1" ht="33.75" customHeight="1">
      <c r="A115" s="497"/>
      <c r="B115" s="341" t="s">
        <v>1559</v>
      </c>
      <c r="C115" s="496" t="s">
        <v>759</v>
      </c>
      <c r="D115" s="496" t="s">
        <v>20</v>
      </c>
      <c r="E115" s="496">
        <f>(2.04+0.51*2)*0.01</f>
        <v>0.030600000000000002</v>
      </c>
      <c r="F115" s="225">
        <f>E115*F112</f>
        <v>0.5140800000000001</v>
      </c>
      <c r="G115" s="222"/>
      <c r="H115" s="222">
        <f>G115*F115</f>
        <v>0</v>
      </c>
      <c r="I115" s="346"/>
      <c r="J115" s="2"/>
    </row>
    <row r="116" spans="1:10" s="4" customFormat="1" ht="26.25" customHeight="1">
      <c r="A116" s="497"/>
      <c r="B116" s="224" t="s">
        <v>4</v>
      </c>
      <c r="C116" s="496" t="s">
        <v>18</v>
      </c>
      <c r="D116" s="496" t="s">
        <v>16</v>
      </c>
      <c r="E116" s="496">
        <v>0.0636</v>
      </c>
      <c r="F116" s="225">
        <f>E116*F112</f>
        <v>1.06848</v>
      </c>
      <c r="G116" s="47"/>
      <c r="H116" s="222">
        <f>G116*F116</f>
        <v>0</v>
      </c>
      <c r="I116" s="1"/>
      <c r="J116" s="1"/>
    </row>
    <row r="117" spans="1:18" s="1" customFormat="1" ht="54.75" customHeight="1">
      <c r="A117" s="376" t="s">
        <v>69</v>
      </c>
      <c r="B117" s="378" t="s">
        <v>760</v>
      </c>
      <c r="C117" s="375" t="s">
        <v>761</v>
      </c>
      <c r="D117" s="374" t="s">
        <v>43</v>
      </c>
      <c r="E117" s="374"/>
      <c r="F117" s="192">
        <v>16.8</v>
      </c>
      <c r="G117" s="137"/>
      <c r="H117" s="190">
        <f>SUM(H118:H122)</f>
        <v>0</v>
      </c>
      <c r="I117" s="688"/>
      <c r="J117" s="688"/>
      <c r="K117" s="688"/>
      <c r="L117" s="688"/>
      <c r="M117" s="688"/>
      <c r="N117" s="688"/>
      <c r="O117" s="688"/>
      <c r="P117" s="688"/>
      <c r="Q117" s="688"/>
      <c r="R117" s="688"/>
    </row>
    <row r="118" spans="1:12" s="1" customFormat="1" ht="33.75" customHeight="1">
      <c r="A118" s="497"/>
      <c r="B118" s="373" t="s">
        <v>4</v>
      </c>
      <c r="C118" s="496" t="s">
        <v>148</v>
      </c>
      <c r="D118" s="373" t="s">
        <v>5</v>
      </c>
      <c r="E118" s="373">
        <v>1.08</v>
      </c>
      <c r="F118" s="295">
        <f>E118*F117</f>
        <v>18.144000000000002</v>
      </c>
      <c r="G118" s="377"/>
      <c r="H118" s="124">
        <f>G118*F118</f>
        <v>0</v>
      </c>
      <c r="I118" s="3"/>
      <c r="J118" s="3"/>
      <c r="K118" s="3"/>
      <c r="L118" s="3"/>
    </row>
    <row r="119" spans="1:12" s="1" customFormat="1" ht="27.75" customHeight="1">
      <c r="A119" s="497"/>
      <c r="B119" s="223" t="s">
        <v>4</v>
      </c>
      <c r="C119" s="496" t="s">
        <v>137</v>
      </c>
      <c r="D119" s="373" t="s">
        <v>16</v>
      </c>
      <c r="E119" s="373">
        <f>0.0452</f>
        <v>0.0452</v>
      </c>
      <c r="F119" s="206">
        <f>E119*F117</f>
        <v>0.75936</v>
      </c>
      <c r="G119" s="47"/>
      <c r="H119" s="124">
        <f>G119*F119</f>
        <v>0</v>
      </c>
      <c r="I119" s="3"/>
      <c r="J119" s="3"/>
      <c r="K119" s="3"/>
      <c r="L119" s="3"/>
    </row>
    <row r="120" spans="1:12" s="1" customFormat="1" ht="29.25" customHeight="1">
      <c r="A120" s="497"/>
      <c r="B120" s="496" t="s">
        <v>1401</v>
      </c>
      <c r="C120" s="496" t="s">
        <v>762</v>
      </c>
      <c r="D120" s="373" t="s">
        <v>48</v>
      </c>
      <c r="E120" s="373">
        <v>1.02</v>
      </c>
      <c r="F120" s="206">
        <f>E120*F117</f>
        <v>17.136000000000003</v>
      </c>
      <c r="G120" s="377"/>
      <c r="H120" s="124">
        <f>G120*F120</f>
        <v>0</v>
      </c>
      <c r="I120" s="3"/>
      <c r="J120" s="3"/>
      <c r="K120" s="3"/>
      <c r="L120" s="3"/>
    </row>
    <row r="121" spans="1:12" s="1" customFormat="1" ht="27" customHeight="1">
      <c r="A121" s="497"/>
      <c r="B121" s="496" t="s">
        <v>1361</v>
      </c>
      <c r="C121" s="496" t="s">
        <v>1560</v>
      </c>
      <c r="D121" s="373" t="s">
        <v>20</v>
      </c>
      <c r="E121" s="373">
        <v>0.0223</v>
      </c>
      <c r="F121" s="377">
        <f>E121*F117</f>
        <v>0.37464000000000003</v>
      </c>
      <c r="G121" s="377"/>
      <c r="H121" s="124">
        <f>G121*F121</f>
        <v>0</v>
      </c>
      <c r="I121" s="3"/>
      <c r="J121" s="3"/>
      <c r="K121" s="3"/>
      <c r="L121" s="3"/>
    </row>
    <row r="122" spans="1:12" s="1" customFormat="1" ht="29.25" customHeight="1">
      <c r="A122" s="497"/>
      <c r="B122" s="224" t="s">
        <v>4</v>
      </c>
      <c r="C122" s="496" t="s">
        <v>18</v>
      </c>
      <c r="D122" s="373" t="s">
        <v>16</v>
      </c>
      <c r="E122" s="373">
        <v>0.0466</v>
      </c>
      <c r="F122" s="206">
        <f>E122*F117</f>
        <v>0.78288</v>
      </c>
      <c r="G122" s="47"/>
      <c r="H122" s="124">
        <f>G122*F122</f>
        <v>0</v>
      </c>
      <c r="I122" s="3"/>
      <c r="J122" s="3"/>
      <c r="K122" s="3"/>
      <c r="L122" s="3"/>
    </row>
    <row r="123" spans="1:12" s="1" customFormat="1" ht="57.75" customHeight="1">
      <c r="A123" s="71">
        <v>22</v>
      </c>
      <c r="B123" s="378" t="s">
        <v>375</v>
      </c>
      <c r="C123" s="375" t="s">
        <v>763</v>
      </c>
      <c r="D123" s="293" t="s">
        <v>22</v>
      </c>
      <c r="E123" s="55"/>
      <c r="F123" s="379">
        <v>14</v>
      </c>
      <c r="G123" s="70"/>
      <c r="H123" s="380">
        <f>SUM(H124:H127)</f>
        <v>0</v>
      </c>
      <c r="I123" s="3"/>
      <c r="J123" s="3"/>
      <c r="K123" s="3"/>
      <c r="L123" s="3"/>
    </row>
    <row r="124" spans="1:12" s="1" customFormat="1" ht="29.25" customHeight="1">
      <c r="A124" s="48"/>
      <c r="B124" s="223" t="s">
        <v>4</v>
      </c>
      <c r="C124" s="496" t="s">
        <v>136</v>
      </c>
      <c r="D124" s="46" t="s">
        <v>5</v>
      </c>
      <c r="E124" s="46">
        <v>0.269</v>
      </c>
      <c r="F124" s="225">
        <f>E124*F123</f>
        <v>3.766</v>
      </c>
      <c r="G124" s="47"/>
      <c r="H124" s="222">
        <f>G124*F124</f>
        <v>0</v>
      </c>
      <c r="I124" s="3"/>
      <c r="J124" s="3"/>
      <c r="K124" s="3"/>
      <c r="L124" s="3"/>
    </row>
    <row r="125" spans="1:12" s="1" customFormat="1" ht="29.25" customHeight="1">
      <c r="A125" s="48"/>
      <c r="B125" s="223" t="s">
        <v>4</v>
      </c>
      <c r="C125" s="496" t="s">
        <v>137</v>
      </c>
      <c r="D125" s="46" t="s">
        <v>16</v>
      </c>
      <c r="E125" s="46">
        <v>0.0116</v>
      </c>
      <c r="F125" s="225">
        <f>E125*F123</f>
        <v>0.1624</v>
      </c>
      <c r="G125" s="47"/>
      <c r="H125" s="222">
        <f>G125*F125</f>
        <v>0</v>
      </c>
      <c r="I125" s="3"/>
      <c r="J125" s="3"/>
      <c r="K125" s="3"/>
      <c r="L125" s="3"/>
    </row>
    <row r="126" spans="1:12" s="1" customFormat="1" ht="29.25" customHeight="1">
      <c r="A126" s="48"/>
      <c r="B126" s="496" t="s">
        <v>1571</v>
      </c>
      <c r="C126" s="496" t="s">
        <v>764</v>
      </c>
      <c r="D126" s="46" t="s">
        <v>43</v>
      </c>
      <c r="E126" s="46">
        <v>0.157</v>
      </c>
      <c r="F126" s="225">
        <f>E126*F123</f>
        <v>2.198</v>
      </c>
      <c r="G126" s="222"/>
      <c r="H126" s="222">
        <f>G126*F126</f>
        <v>0</v>
      </c>
      <c r="I126" s="3"/>
      <c r="J126" s="3"/>
      <c r="K126" s="3"/>
      <c r="L126" s="3"/>
    </row>
    <row r="127" spans="1:12" s="1" customFormat="1" ht="27.75" customHeight="1">
      <c r="A127" s="48"/>
      <c r="B127" s="496" t="s">
        <v>1361</v>
      </c>
      <c r="C127" s="496" t="s">
        <v>1560</v>
      </c>
      <c r="D127" s="373" t="s">
        <v>20</v>
      </c>
      <c r="E127" s="373">
        <v>0.0018</v>
      </c>
      <c r="F127" s="377">
        <f>E127*F123</f>
        <v>0.0252</v>
      </c>
      <c r="G127" s="377"/>
      <c r="H127" s="124">
        <f>G127*F127</f>
        <v>0</v>
      </c>
      <c r="I127" s="3"/>
      <c r="J127" s="3"/>
      <c r="K127" s="3"/>
      <c r="L127" s="3"/>
    </row>
    <row r="128" spans="1:18" s="104" customFormat="1" ht="63" customHeight="1">
      <c r="A128" s="376" t="s">
        <v>83</v>
      </c>
      <c r="B128" s="378" t="s">
        <v>765</v>
      </c>
      <c r="C128" s="375" t="s">
        <v>766</v>
      </c>
      <c r="D128" s="374" t="s">
        <v>46</v>
      </c>
      <c r="E128" s="374"/>
      <c r="F128" s="192">
        <v>35</v>
      </c>
      <c r="G128" s="137"/>
      <c r="H128" s="190">
        <f>SUM(H129:H133)</f>
        <v>0</v>
      </c>
      <c r="I128" s="689"/>
      <c r="J128" s="689"/>
      <c r="K128" s="689"/>
      <c r="L128" s="689"/>
      <c r="M128" s="689"/>
      <c r="N128" s="689"/>
      <c r="O128" s="689"/>
      <c r="P128" s="689"/>
      <c r="Q128" s="689"/>
      <c r="R128" s="689"/>
    </row>
    <row r="129" spans="1:8" s="104" customFormat="1" ht="27.75" customHeight="1">
      <c r="A129" s="497"/>
      <c r="B129" s="224" t="s">
        <v>4</v>
      </c>
      <c r="C129" s="496" t="s">
        <v>767</v>
      </c>
      <c r="D129" s="373" t="s">
        <v>5</v>
      </c>
      <c r="E129" s="373">
        <f>1.16*1.01</f>
        <v>1.1716</v>
      </c>
      <c r="F129" s="377">
        <f>F128*E129</f>
        <v>41.006</v>
      </c>
      <c r="G129" s="377"/>
      <c r="H129" s="124">
        <f>G129*F129</f>
        <v>0</v>
      </c>
    </row>
    <row r="130" spans="1:8" s="104" customFormat="1" ht="25.5" customHeight="1">
      <c r="A130" s="497"/>
      <c r="B130" s="496" t="s">
        <v>768</v>
      </c>
      <c r="C130" s="496" t="s">
        <v>769</v>
      </c>
      <c r="D130" s="168" t="s">
        <v>23</v>
      </c>
      <c r="E130" s="373">
        <f>0.041</f>
        <v>0.041</v>
      </c>
      <c r="F130" s="377">
        <f>F128*E130</f>
        <v>1.435</v>
      </c>
      <c r="G130" s="377"/>
      <c r="H130" s="124">
        <f>G130*F130</f>
        <v>0</v>
      </c>
    </row>
    <row r="131" spans="1:8" s="104" customFormat="1" ht="30" customHeight="1">
      <c r="A131" s="497"/>
      <c r="B131" s="224" t="s">
        <v>4</v>
      </c>
      <c r="C131" s="496" t="s">
        <v>770</v>
      </c>
      <c r="D131" s="373" t="s">
        <v>16</v>
      </c>
      <c r="E131" s="373">
        <v>0.027</v>
      </c>
      <c r="F131" s="377">
        <f>E131*F128</f>
        <v>0.945</v>
      </c>
      <c r="G131" s="47"/>
      <c r="H131" s="124">
        <f>G131*F131</f>
        <v>0</v>
      </c>
    </row>
    <row r="132" spans="1:8" s="104" customFormat="1" ht="24.75" customHeight="1">
      <c r="A132" s="497"/>
      <c r="B132" s="496" t="s">
        <v>1361</v>
      </c>
      <c r="C132" s="496" t="s">
        <v>1560</v>
      </c>
      <c r="D132" s="373" t="s">
        <v>14</v>
      </c>
      <c r="E132" s="373">
        <v>0.0238</v>
      </c>
      <c r="F132" s="377">
        <f>E132*F128</f>
        <v>0.8330000000000001</v>
      </c>
      <c r="G132" s="377"/>
      <c r="H132" s="124">
        <f>G132*F132</f>
        <v>0</v>
      </c>
    </row>
    <row r="133" spans="1:8" s="104" customFormat="1" ht="28.5" customHeight="1">
      <c r="A133" s="497"/>
      <c r="B133" s="224" t="s">
        <v>4</v>
      </c>
      <c r="C133" s="496" t="s">
        <v>18</v>
      </c>
      <c r="D133" s="373" t="s">
        <v>16</v>
      </c>
      <c r="E133" s="373">
        <v>0.003</v>
      </c>
      <c r="F133" s="377">
        <f>E133*F128</f>
        <v>0.105</v>
      </c>
      <c r="G133" s="47"/>
      <c r="H133" s="124">
        <f>G133*F133</f>
        <v>0</v>
      </c>
    </row>
    <row r="134" spans="1:11" s="104" customFormat="1" ht="54.75" customHeight="1">
      <c r="A134" s="376" t="s">
        <v>70</v>
      </c>
      <c r="B134" s="378" t="s">
        <v>771</v>
      </c>
      <c r="C134" s="375" t="s">
        <v>772</v>
      </c>
      <c r="D134" s="374" t="s">
        <v>46</v>
      </c>
      <c r="E134" s="374"/>
      <c r="F134" s="192">
        <v>16.6</v>
      </c>
      <c r="G134" s="137"/>
      <c r="H134" s="190">
        <f>SUM(H135:H137)</f>
        <v>0</v>
      </c>
      <c r="K134" s="369"/>
    </row>
    <row r="135" spans="1:8" s="104" customFormat="1" ht="27.75" customHeight="1">
      <c r="A135" s="497"/>
      <c r="B135" s="224" t="s">
        <v>4</v>
      </c>
      <c r="C135" s="496" t="s">
        <v>148</v>
      </c>
      <c r="D135" s="373" t="s">
        <v>5</v>
      </c>
      <c r="E135" s="373">
        <v>0.45</v>
      </c>
      <c r="F135" s="377">
        <f>F134*E135</f>
        <v>7.470000000000001</v>
      </c>
      <c r="G135" s="377"/>
      <c r="H135" s="124">
        <f>G135*F135</f>
        <v>0</v>
      </c>
    </row>
    <row r="136" spans="1:8" s="104" customFormat="1" ht="27.75" customHeight="1">
      <c r="A136" s="497"/>
      <c r="B136" s="224" t="s">
        <v>4</v>
      </c>
      <c r="C136" s="496" t="s">
        <v>129</v>
      </c>
      <c r="D136" s="373" t="s">
        <v>16</v>
      </c>
      <c r="E136" s="373">
        <v>0.011</v>
      </c>
      <c r="F136" s="377">
        <f>E136*F134</f>
        <v>0.1826</v>
      </c>
      <c r="G136" s="47"/>
      <c r="H136" s="124">
        <f>G136*F136</f>
        <v>0</v>
      </c>
    </row>
    <row r="137" spans="1:8" s="104" customFormat="1" ht="27.75" customHeight="1">
      <c r="A137" s="497"/>
      <c r="B137" s="496" t="s">
        <v>1361</v>
      </c>
      <c r="C137" s="496" t="s">
        <v>58</v>
      </c>
      <c r="D137" s="373" t="s">
        <v>20</v>
      </c>
      <c r="E137" s="373">
        <v>0.007</v>
      </c>
      <c r="F137" s="377">
        <f>F134*E137</f>
        <v>0.11620000000000001</v>
      </c>
      <c r="G137" s="377"/>
      <c r="H137" s="124">
        <f>G137*F137</f>
        <v>0</v>
      </c>
    </row>
    <row r="138" spans="1:8" s="104" customFormat="1" ht="55.5" customHeight="1">
      <c r="A138" s="163">
        <v>25</v>
      </c>
      <c r="B138" s="378" t="s">
        <v>773</v>
      </c>
      <c r="C138" s="219" t="s">
        <v>774</v>
      </c>
      <c r="D138" s="299" t="s">
        <v>194</v>
      </c>
      <c r="E138" s="163"/>
      <c r="F138" s="226">
        <v>37.2</v>
      </c>
      <c r="G138" s="226"/>
      <c r="H138" s="380">
        <f>H139+H140+H141+H142+H143</f>
        <v>0</v>
      </c>
    </row>
    <row r="139" spans="1:8" s="104" customFormat="1" ht="30.75" customHeight="1">
      <c r="A139" s="163"/>
      <c r="B139" s="169" t="s">
        <v>4</v>
      </c>
      <c r="C139" s="198" t="s">
        <v>128</v>
      </c>
      <c r="D139" s="182" t="s">
        <v>105</v>
      </c>
      <c r="E139" s="169">
        <v>0.658</v>
      </c>
      <c r="F139" s="51">
        <f>F138*E139</f>
        <v>24.477600000000002</v>
      </c>
      <c r="G139" s="47"/>
      <c r="H139" s="222">
        <f>F139*G139</f>
        <v>0</v>
      </c>
    </row>
    <row r="140" spans="1:8" s="104" customFormat="1" ht="23.25" customHeight="1">
      <c r="A140" s="163"/>
      <c r="B140" s="169" t="s">
        <v>4</v>
      </c>
      <c r="C140" s="198" t="s">
        <v>106</v>
      </c>
      <c r="D140" s="169" t="s">
        <v>16</v>
      </c>
      <c r="E140" s="169">
        <v>0.01</v>
      </c>
      <c r="F140" s="51">
        <f>F138*E140</f>
        <v>0.37200000000000005</v>
      </c>
      <c r="G140" s="47"/>
      <c r="H140" s="222">
        <f>F140*G140</f>
        <v>0</v>
      </c>
    </row>
    <row r="141" spans="1:8" s="104" customFormat="1" ht="26.25" customHeight="1">
      <c r="A141" s="163"/>
      <c r="B141" s="341" t="s">
        <v>775</v>
      </c>
      <c r="C141" s="198" t="s">
        <v>776</v>
      </c>
      <c r="D141" s="169" t="s">
        <v>53</v>
      </c>
      <c r="E141" s="169">
        <v>0.63</v>
      </c>
      <c r="F141" s="51">
        <f>F138*E141</f>
        <v>23.436000000000003</v>
      </c>
      <c r="G141" s="463"/>
      <c r="H141" s="222">
        <f>F141*G141</f>
        <v>0</v>
      </c>
    </row>
    <row r="142" spans="1:8" s="104" customFormat="1" ht="22.5" customHeight="1">
      <c r="A142" s="163"/>
      <c r="B142" s="341" t="s">
        <v>1398</v>
      </c>
      <c r="C142" s="198" t="s">
        <v>219</v>
      </c>
      <c r="D142" s="169" t="s">
        <v>53</v>
      </c>
      <c r="E142" s="169">
        <v>0.79</v>
      </c>
      <c r="F142" s="51">
        <f>F138*E142</f>
        <v>29.388000000000005</v>
      </c>
      <c r="G142" s="463"/>
      <c r="H142" s="222">
        <f>F142*G142</f>
        <v>0</v>
      </c>
    </row>
    <row r="143" spans="1:8" s="104" customFormat="1" ht="26.25" customHeight="1">
      <c r="A143" s="163"/>
      <c r="B143" s="169" t="s">
        <v>4</v>
      </c>
      <c r="C143" s="496" t="s">
        <v>18</v>
      </c>
      <c r="D143" s="169" t="s">
        <v>16</v>
      </c>
      <c r="E143" s="169">
        <v>0.016</v>
      </c>
      <c r="F143" s="51">
        <f>F138*E143</f>
        <v>0.5952000000000001</v>
      </c>
      <c r="G143" s="47"/>
      <c r="H143" s="222">
        <f>F143*G143</f>
        <v>0</v>
      </c>
    </row>
    <row r="144" spans="1:8" s="104" customFormat="1" ht="53.25" customHeight="1">
      <c r="A144" s="376" t="s">
        <v>784</v>
      </c>
      <c r="B144" s="348" t="s">
        <v>778</v>
      </c>
      <c r="C144" s="375" t="s">
        <v>779</v>
      </c>
      <c r="D144" s="374" t="s">
        <v>43</v>
      </c>
      <c r="E144" s="374"/>
      <c r="F144" s="349">
        <v>16.6</v>
      </c>
      <c r="G144" s="137"/>
      <c r="H144" s="190">
        <f>SUM(H145:H149)</f>
        <v>0</v>
      </c>
    </row>
    <row r="145" spans="1:8" s="104" customFormat="1" ht="26.25" customHeight="1">
      <c r="A145" s="497"/>
      <c r="B145" s="224" t="s">
        <v>4</v>
      </c>
      <c r="C145" s="496" t="s">
        <v>136</v>
      </c>
      <c r="D145" s="373" t="s">
        <v>5</v>
      </c>
      <c r="E145" s="373">
        <v>0.856</v>
      </c>
      <c r="F145" s="377">
        <f>E145*F144</f>
        <v>14.209600000000002</v>
      </c>
      <c r="G145" s="377"/>
      <c r="H145" s="124">
        <f>F145*G145</f>
        <v>0</v>
      </c>
    </row>
    <row r="146" spans="1:8" s="104" customFormat="1" ht="26.25" customHeight="1">
      <c r="A146" s="497"/>
      <c r="B146" s="224" t="s">
        <v>4</v>
      </c>
      <c r="C146" s="496" t="s">
        <v>137</v>
      </c>
      <c r="D146" s="373" t="s">
        <v>16</v>
      </c>
      <c r="E146" s="373">
        <v>0.012</v>
      </c>
      <c r="F146" s="377">
        <f>E146*F144</f>
        <v>0.19920000000000002</v>
      </c>
      <c r="G146" s="47"/>
      <c r="H146" s="124">
        <f>F146*G146</f>
        <v>0</v>
      </c>
    </row>
    <row r="147" spans="1:8" s="104" customFormat="1" ht="26.25" customHeight="1">
      <c r="A147" s="177"/>
      <c r="B147" s="341" t="s">
        <v>775</v>
      </c>
      <c r="C147" s="198" t="s">
        <v>776</v>
      </c>
      <c r="D147" s="198" t="s">
        <v>53</v>
      </c>
      <c r="E147" s="198">
        <v>0.63</v>
      </c>
      <c r="F147" s="372">
        <f>F144*E147</f>
        <v>10.458</v>
      </c>
      <c r="G147" s="462"/>
      <c r="H147" s="222">
        <f>F147*G147</f>
        <v>0</v>
      </c>
    </row>
    <row r="148" spans="1:8" s="104" customFormat="1" ht="24" customHeight="1">
      <c r="A148" s="497"/>
      <c r="B148" s="496" t="s">
        <v>1570</v>
      </c>
      <c r="C148" s="496" t="s">
        <v>780</v>
      </c>
      <c r="D148" s="373" t="s">
        <v>53</v>
      </c>
      <c r="E148" s="373">
        <v>0.92</v>
      </c>
      <c r="F148" s="295">
        <f>F144*E148</f>
        <v>15.272000000000002</v>
      </c>
      <c r="G148" s="377"/>
      <c r="H148" s="124">
        <f>G148*F148</f>
        <v>0</v>
      </c>
    </row>
    <row r="149" spans="1:8" s="104" customFormat="1" ht="29.25" customHeight="1">
      <c r="A149" s="497"/>
      <c r="B149" s="224" t="s">
        <v>4</v>
      </c>
      <c r="C149" s="496" t="s">
        <v>184</v>
      </c>
      <c r="D149" s="373" t="s">
        <v>16</v>
      </c>
      <c r="E149" s="373">
        <v>0.018</v>
      </c>
      <c r="F149" s="377">
        <f>E149*F144</f>
        <v>0.2988</v>
      </c>
      <c r="G149" s="47"/>
      <c r="H149" s="124">
        <f>G149*F149</f>
        <v>0</v>
      </c>
    </row>
    <row r="150" spans="1:18" s="104" customFormat="1" ht="46.5" customHeight="1">
      <c r="A150" s="219">
        <v>27</v>
      </c>
      <c r="B150" s="378" t="s">
        <v>781</v>
      </c>
      <c r="C150" s="219" t="s">
        <v>782</v>
      </c>
      <c r="D150" s="186" t="s">
        <v>194</v>
      </c>
      <c r="E150" s="219"/>
      <c r="F150" s="226">
        <v>41</v>
      </c>
      <c r="G150" s="226"/>
      <c r="H150" s="380">
        <f>H151+H152+H153+H154</f>
        <v>0</v>
      </c>
      <c r="I150" s="689"/>
      <c r="J150" s="689"/>
      <c r="K150" s="689"/>
      <c r="L150" s="689"/>
      <c r="M150" s="689"/>
      <c r="N150" s="689"/>
      <c r="O150" s="689"/>
      <c r="P150" s="689"/>
      <c r="Q150" s="689"/>
      <c r="R150" s="689"/>
    </row>
    <row r="151" spans="1:8" s="104" customFormat="1" ht="31.5" customHeight="1">
      <c r="A151" s="187"/>
      <c r="B151" s="224" t="s">
        <v>4</v>
      </c>
      <c r="C151" s="496" t="s">
        <v>783</v>
      </c>
      <c r="D151" s="373" t="s">
        <v>5</v>
      </c>
      <c r="E151" s="373">
        <f>0.93*1.05</f>
        <v>0.9765000000000001</v>
      </c>
      <c r="F151" s="188">
        <f>F150*E151</f>
        <v>40.036500000000004</v>
      </c>
      <c r="G151" s="183"/>
      <c r="H151" s="286">
        <f>F151*G151</f>
        <v>0</v>
      </c>
    </row>
    <row r="152" spans="1:8" s="104" customFormat="1" ht="26.25" customHeight="1">
      <c r="A152" s="187"/>
      <c r="B152" s="182" t="s">
        <v>4</v>
      </c>
      <c r="C152" s="252" t="s">
        <v>106</v>
      </c>
      <c r="D152" s="182" t="s">
        <v>16</v>
      </c>
      <c r="E152" s="182">
        <v>0.026</v>
      </c>
      <c r="F152" s="188">
        <f>F150*E152</f>
        <v>1.066</v>
      </c>
      <c r="G152" s="47"/>
      <c r="H152" s="286">
        <f>F152*G152</f>
        <v>0</v>
      </c>
    </row>
    <row r="153" spans="1:8" s="104" customFormat="1" ht="28.5" customHeight="1">
      <c r="A153" s="187"/>
      <c r="B153" s="223" t="s">
        <v>446</v>
      </c>
      <c r="C153" s="252" t="s">
        <v>198</v>
      </c>
      <c r="D153" s="182" t="s">
        <v>143</v>
      </c>
      <c r="E153" s="182">
        <v>0.024</v>
      </c>
      <c r="F153" s="188">
        <f>F150*E153</f>
        <v>0.984</v>
      </c>
      <c r="G153" s="290"/>
      <c r="H153" s="286">
        <f>F153*G153</f>
        <v>0</v>
      </c>
    </row>
    <row r="154" spans="1:8" s="104" customFormat="1" ht="27.75" customHeight="1">
      <c r="A154" s="187"/>
      <c r="B154" s="341" t="s">
        <v>1348</v>
      </c>
      <c r="C154" s="252" t="s">
        <v>203</v>
      </c>
      <c r="D154" s="182" t="s">
        <v>197</v>
      </c>
      <c r="E154" s="182">
        <v>0.0255</v>
      </c>
      <c r="F154" s="188">
        <f>F150*E154</f>
        <v>1.0454999999999999</v>
      </c>
      <c r="G154" s="290"/>
      <c r="H154" s="286">
        <f>F154*G154</f>
        <v>0</v>
      </c>
    </row>
    <row r="155" spans="1:8" s="104" customFormat="1" ht="60.75" customHeight="1">
      <c r="A155" s="81" t="s">
        <v>944</v>
      </c>
      <c r="B155" s="376" t="s">
        <v>785</v>
      </c>
      <c r="C155" s="255" t="s">
        <v>786</v>
      </c>
      <c r="D155" s="350" t="s">
        <v>194</v>
      </c>
      <c r="E155" s="350"/>
      <c r="F155" s="351">
        <v>43.2</v>
      </c>
      <c r="G155" s="226"/>
      <c r="H155" s="380">
        <f>H156+H157+H158+H160+H161+H162+H159</f>
        <v>0</v>
      </c>
    </row>
    <row r="156" spans="1:8" s="104" customFormat="1" ht="33" customHeight="1">
      <c r="A156" s="82"/>
      <c r="B156" s="182" t="s">
        <v>4</v>
      </c>
      <c r="C156" s="252" t="s">
        <v>135</v>
      </c>
      <c r="D156" s="352" t="s">
        <v>105</v>
      </c>
      <c r="E156" s="352">
        <v>0.139</v>
      </c>
      <c r="F156" s="353">
        <f>F155*E156</f>
        <v>6.004800000000001</v>
      </c>
      <c r="G156" s="470"/>
      <c r="H156" s="355">
        <f aca="true" t="shared" si="5" ref="H156:H162">F156*G156</f>
        <v>0</v>
      </c>
    </row>
    <row r="157" spans="1:8" s="104" customFormat="1" ht="30" customHeight="1">
      <c r="A157" s="82"/>
      <c r="B157" s="182" t="s">
        <v>4</v>
      </c>
      <c r="C157" s="252" t="s">
        <v>106</v>
      </c>
      <c r="D157" s="354" t="s">
        <v>16</v>
      </c>
      <c r="E157" s="354">
        <v>0.007</v>
      </c>
      <c r="F157" s="353">
        <f>F155*E157</f>
        <v>0.3024</v>
      </c>
      <c r="G157" s="47"/>
      <c r="H157" s="355">
        <f t="shared" si="5"/>
        <v>0</v>
      </c>
    </row>
    <row r="158" spans="1:8" s="104" customFormat="1" ht="29.25" customHeight="1">
      <c r="A158" s="82"/>
      <c r="B158" s="82" t="s">
        <v>1569</v>
      </c>
      <c r="C158" s="252" t="s">
        <v>1568</v>
      </c>
      <c r="D158" s="354" t="s">
        <v>53</v>
      </c>
      <c r="E158" s="354">
        <v>0.59</v>
      </c>
      <c r="F158" s="353">
        <f>F155*E158</f>
        <v>25.488</v>
      </c>
      <c r="G158" s="470"/>
      <c r="H158" s="355">
        <f t="shared" si="5"/>
        <v>0</v>
      </c>
    </row>
    <row r="159" spans="1:8" s="104" customFormat="1" ht="25.5" customHeight="1">
      <c r="A159" s="260"/>
      <c r="B159" s="370" t="s">
        <v>1418</v>
      </c>
      <c r="C159" s="241" t="s">
        <v>502</v>
      </c>
      <c r="D159" s="241" t="s">
        <v>53</v>
      </c>
      <c r="E159" s="241">
        <v>0.1</v>
      </c>
      <c r="F159" s="117">
        <f>E159*F155</f>
        <v>4.32</v>
      </c>
      <c r="G159" s="465"/>
      <c r="H159" s="287">
        <f t="shared" si="5"/>
        <v>0</v>
      </c>
    </row>
    <row r="160" spans="1:8" s="104" customFormat="1" ht="26.25" customHeight="1">
      <c r="A160" s="82"/>
      <c r="B160" s="341" t="s">
        <v>1400</v>
      </c>
      <c r="C160" s="198" t="s">
        <v>787</v>
      </c>
      <c r="D160" s="352" t="s">
        <v>53</v>
      </c>
      <c r="E160" s="352">
        <v>0.12</v>
      </c>
      <c r="F160" s="167">
        <f>F155*E160</f>
        <v>5.184</v>
      </c>
      <c r="G160" s="471"/>
      <c r="H160" s="355">
        <f t="shared" si="5"/>
        <v>0</v>
      </c>
    </row>
    <row r="161" spans="1:8" s="104" customFormat="1" ht="28.5" customHeight="1">
      <c r="A161" s="81"/>
      <c r="B161" s="341" t="s">
        <v>538</v>
      </c>
      <c r="C161" s="252" t="s">
        <v>788</v>
      </c>
      <c r="D161" s="354" t="s">
        <v>53</v>
      </c>
      <c r="E161" s="354">
        <v>0.15</v>
      </c>
      <c r="F161" s="353">
        <f>F155*E161</f>
        <v>6.48</v>
      </c>
      <c r="G161" s="471"/>
      <c r="H161" s="355">
        <f t="shared" si="5"/>
        <v>0</v>
      </c>
    </row>
    <row r="162" spans="1:8" s="104" customFormat="1" ht="27.75" customHeight="1">
      <c r="A162" s="82"/>
      <c r="B162" s="182" t="s">
        <v>4</v>
      </c>
      <c r="C162" s="252" t="s">
        <v>30</v>
      </c>
      <c r="D162" s="354" t="s">
        <v>16</v>
      </c>
      <c r="E162" s="354">
        <v>0.0034</v>
      </c>
      <c r="F162" s="353">
        <f>F155*E162</f>
        <v>0.14688</v>
      </c>
      <c r="G162" s="47"/>
      <c r="H162" s="355">
        <f t="shared" si="5"/>
        <v>0</v>
      </c>
    </row>
    <row r="163" spans="1:8" s="104" customFormat="1" ht="55.5" customHeight="1">
      <c r="A163" s="71">
        <v>29</v>
      </c>
      <c r="B163" s="54" t="s">
        <v>140</v>
      </c>
      <c r="C163" s="375" t="s">
        <v>789</v>
      </c>
      <c r="D163" s="68" t="s">
        <v>20</v>
      </c>
      <c r="E163" s="158"/>
      <c r="F163" s="347">
        <v>0.75</v>
      </c>
      <c r="G163" s="160"/>
      <c r="H163" s="228">
        <f>SUM(H164:H167)</f>
        <v>0</v>
      </c>
    </row>
    <row r="164" spans="1:8" s="104" customFormat="1" ht="27.75" customHeight="1">
      <c r="A164" s="82"/>
      <c r="B164" s="48" t="s">
        <v>4</v>
      </c>
      <c r="C164" s="496" t="s">
        <v>136</v>
      </c>
      <c r="D164" s="223" t="s">
        <v>5</v>
      </c>
      <c r="E164" s="49">
        <v>3.52</v>
      </c>
      <c r="F164" s="52">
        <f>E164*F163</f>
        <v>2.64</v>
      </c>
      <c r="G164" s="52"/>
      <c r="H164" s="377">
        <f>G164*F164</f>
        <v>0</v>
      </c>
    </row>
    <row r="165" spans="1:8" s="104" customFormat="1" ht="27.75" customHeight="1">
      <c r="A165" s="82"/>
      <c r="B165" s="48" t="s">
        <v>4</v>
      </c>
      <c r="C165" s="496" t="s">
        <v>106</v>
      </c>
      <c r="D165" s="223" t="s">
        <v>16</v>
      </c>
      <c r="E165" s="49">
        <v>1.06</v>
      </c>
      <c r="F165" s="52">
        <f>F163*E165</f>
        <v>0.795</v>
      </c>
      <c r="G165" s="47"/>
      <c r="H165" s="377">
        <f>G165*F165</f>
        <v>0</v>
      </c>
    </row>
    <row r="166" spans="1:8" s="104" customFormat="1" ht="26.25" customHeight="1">
      <c r="A166" s="82"/>
      <c r="B166" s="223" t="s">
        <v>1567</v>
      </c>
      <c r="C166" s="496" t="s">
        <v>790</v>
      </c>
      <c r="D166" s="45" t="s">
        <v>14</v>
      </c>
      <c r="E166" s="49">
        <v>1.25</v>
      </c>
      <c r="F166" s="52">
        <f>E166*F163</f>
        <v>0.9375</v>
      </c>
      <c r="G166" s="52"/>
      <c r="H166" s="377">
        <f>G166*F166</f>
        <v>0</v>
      </c>
    </row>
    <row r="167" spans="1:8" s="104" customFormat="1" ht="30" customHeight="1">
      <c r="A167" s="82"/>
      <c r="B167" s="48" t="s">
        <v>4</v>
      </c>
      <c r="C167" s="496" t="s">
        <v>24</v>
      </c>
      <c r="D167" s="45" t="s">
        <v>16</v>
      </c>
      <c r="E167" s="49">
        <v>0.02</v>
      </c>
      <c r="F167" s="52">
        <f>E167*F163</f>
        <v>0.015</v>
      </c>
      <c r="G167" s="47"/>
      <c r="H167" s="377">
        <f>G167*F167</f>
        <v>0</v>
      </c>
    </row>
    <row r="168" spans="1:8" s="104" customFormat="1" ht="64.5" customHeight="1">
      <c r="A168" s="71">
        <v>30</v>
      </c>
      <c r="B168" s="79" t="s">
        <v>791</v>
      </c>
      <c r="C168" s="375" t="s">
        <v>792</v>
      </c>
      <c r="D168" s="55" t="s">
        <v>43</v>
      </c>
      <c r="E168" s="55"/>
      <c r="F168" s="379">
        <v>14.6</v>
      </c>
      <c r="G168" s="70"/>
      <c r="H168" s="380">
        <f>SUM(H169:H178)</f>
        <v>0</v>
      </c>
    </row>
    <row r="169" spans="1:8" s="104" customFormat="1" ht="29.25" customHeight="1">
      <c r="A169" s="48"/>
      <c r="B169" s="48" t="s">
        <v>4</v>
      </c>
      <c r="C169" s="496" t="s">
        <v>793</v>
      </c>
      <c r="D169" s="496" t="s">
        <v>5</v>
      </c>
      <c r="E169" s="46">
        <f>(405-10*4.64)/1000</f>
        <v>0.35860000000000003</v>
      </c>
      <c r="F169" s="157">
        <f>E169*F168</f>
        <v>5.23556</v>
      </c>
      <c r="G169" s="52"/>
      <c r="H169" s="222">
        <f aca="true" t="shared" si="6" ref="H169:H176">G169*F169</f>
        <v>0</v>
      </c>
    </row>
    <row r="170" spans="1:8" s="104" customFormat="1" ht="27.75" customHeight="1">
      <c r="A170" s="48"/>
      <c r="B170" s="48" t="s">
        <v>794</v>
      </c>
      <c r="C170" s="496" t="s">
        <v>795</v>
      </c>
      <c r="D170" s="496" t="s">
        <v>796</v>
      </c>
      <c r="E170" s="46">
        <v>0.0226</v>
      </c>
      <c r="F170" s="157">
        <f>E170*F168</f>
        <v>0.32996</v>
      </c>
      <c r="G170" s="52"/>
      <c r="H170" s="222">
        <f t="shared" si="6"/>
        <v>0</v>
      </c>
    </row>
    <row r="171" spans="1:8" s="104" customFormat="1" ht="24" customHeight="1">
      <c r="A171" s="48"/>
      <c r="B171" s="48" t="s">
        <v>4</v>
      </c>
      <c r="C171" s="496" t="s">
        <v>797</v>
      </c>
      <c r="D171" s="46" t="s">
        <v>16</v>
      </c>
      <c r="E171" s="46">
        <f>(13.5-10*0.1)/1000</f>
        <v>0.0125</v>
      </c>
      <c r="F171" s="157">
        <f>F168*E171</f>
        <v>0.1825</v>
      </c>
      <c r="G171" s="47"/>
      <c r="H171" s="222">
        <f t="shared" si="6"/>
        <v>0</v>
      </c>
    </row>
    <row r="172" spans="1:8" s="104" customFormat="1" ht="25.5" customHeight="1">
      <c r="A172" s="48"/>
      <c r="B172" s="341" t="s">
        <v>1334</v>
      </c>
      <c r="C172" s="496" t="s">
        <v>798</v>
      </c>
      <c r="D172" s="46" t="s">
        <v>14</v>
      </c>
      <c r="E172" s="46">
        <f>(204-10*10.2)/1000</f>
        <v>0.102</v>
      </c>
      <c r="F172" s="157">
        <f>F168*E172</f>
        <v>1.4891999999999999</v>
      </c>
      <c r="G172" s="47"/>
      <c r="H172" s="222">
        <f t="shared" si="6"/>
        <v>0</v>
      </c>
    </row>
    <row r="173" spans="1:8" s="104" customFormat="1" ht="24.75" customHeight="1">
      <c r="A173" s="48"/>
      <c r="B173" s="496" t="s">
        <v>1346</v>
      </c>
      <c r="C173" s="496" t="s">
        <v>799</v>
      </c>
      <c r="D173" s="46" t="s">
        <v>48</v>
      </c>
      <c r="E173" s="46">
        <f>(11.7-10*0.59)/1000</f>
        <v>0.0058</v>
      </c>
      <c r="F173" s="157">
        <f>E173*F168</f>
        <v>0.08467999999999999</v>
      </c>
      <c r="G173" s="47"/>
      <c r="H173" s="377">
        <f t="shared" si="6"/>
        <v>0</v>
      </c>
    </row>
    <row r="174" spans="1:8" s="104" customFormat="1" ht="24.75" customHeight="1">
      <c r="A174" s="48"/>
      <c r="B174" s="223" t="s">
        <v>1432</v>
      </c>
      <c r="C174" s="496" t="s">
        <v>896</v>
      </c>
      <c r="D174" s="46" t="s">
        <v>42</v>
      </c>
      <c r="E174" s="46">
        <f>(0.23-10*0.01)/1000</f>
        <v>0.00013000000000000002</v>
      </c>
      <c r="F174" s="157">
        <f>E174*F168</f>
        <v>0.0018980000000000002</v>
      </c>
      <c r="G174" s="47"/>
      <c r="H174" s="377">
        <f t="shared" si="6"/>
        <v>0</v>
      </c>
    </row>
    <row r="175" spans="1:8" s="104" customFormat="1" ht="25.5" customHeight="1">
      <c r="A175" s="224"/>
      <c r="B175" s="223" t="s">
        <v>2</v>
      </c>
      <c r="C175" s="496" t="s">
        <v>894</v>
      </c>
      <c r="D175" s="496" t="s">
        <v>895</v>
      </c>
      <c r="E175" s="496">
        <v>0.11</v>
      </c>
      <c r="F175" s="225">
        <f>E175*F168</f>
        <v>1.6059999999999999</v>
      </c>
      <c r="G175" s="222"/>
      <c r="H175" s="377">
        <f t="shared" si="6"/>
        <v>0</v>
      </c>
    </row>
    <row r="176" spans="1:8" s="104" customFormat="1" ht="24.75" customHeight="1">
      <c r="A176" s="48"/>
      <c r="B176" s="223" t="s">
        <v>542</v>
      </c>
      <c r="C176" s="496" t="s">
        <v>125</v>
      </c>
      <c r="D176" s="46" t="s">
        <v>20</v>
      </c>
      <c r="E176" s="46">
        <v>0.04</v>
      </c>
      <c r="F176" s="157">
        <f>E176*F168</f>
        <v>0.584</v>
      </c>
      <c r="G176" s="47"/>
      <c r="H176" s="377">
        <f t="shared" si="6"/>
        <v>0</v>
      </c>
    </row>
    <row r="177" spans="1:8" s="104" customFormat="1" ht="22.5" customHeight="1">
      <c r="A177" s="82"/>
      <c r="B177" s="300" t="s">
        <v>800</v>
      </c>
      <c r="C177" s="356" t="s">
        <v>337</v>
      </c>
      <c r="D177" s="357" t="s">
        <v>317</v>
      </c>
      <c r="E177" s="358">
        <v>0.178</v>
      </c>
      <c r="F177" s="372">
        <f>E177*F168</f>
        <v>2.5987999999999998</v>
      </c>
      <c r="G177" s="468"/>
      <c r="H177" s="222">
        <f>F177*G177</f>
        <v>0</v>
      </c>
    </row>
    <row r="178" spans="1:8" s="104" customFormat="1" ht="32.25" customHeight="1">
      <c r="A178" s="48"/>
      <c r="B178" s="48" t="s">
        <v>4</v>
      </c>
      <c r="C178" s="496" t="s">
        <v>801</v>
      </c>
      <c r="D178" s="46" t="s">
        <v>16</v>
      </c>
      <c r="E178" s="46">
        <f>(6.4-10*0.19)/1000</f>
        <v>0.0045</v>
      </c>
      <c r="F178" s="157">
        <f>E178*F168</f>
        <v>0.0657</v>
      </c>
      <c r="G178" s="47"/>
      <c r="H178" s="222">
        <f>G178*F178</f>
        <v>0</v>
      </c>
    </row>
    <row r="179" spans="1:10" ht="33" customHeight="1">
      <c r="A179" s="72"/>
      <c r="B179" s="48"/>
      <c r="C179" s="375" t="s">
        <v>802</v>
      </c>
      <c r="D179" s="55" t="s">
        <v>16</v>
      </c>
      <c r="E179" s="46"/>
      <c r="F179" s="47"/>
      <c r="G179" s="46"/>
      <c r="H179" s="190">
        <f>H11+H13+H20+H34+H39+H77+H82+H88+H92+H97+H103+H108+H112+H117+H128+H138+H150+H155+H25+H63+H68+H163+H168+H22+H54+H123+H134+H144+H8+H45</f>
        <v>0</v>
      </c>
      <c r="I179" s="368"/>
      <c r="J179" s="368"/>
    </row>
    <row r="180" spans="1:8" ht="34.5" customHeight="1">
      <c r="A180" s="82"/>
      <c r="B180" s="48"/>
      <c r="C180" s="496" t="s">
        <v>227</v>
      </c>
      <c r="D180" s="46" t="s">
        <v>16</v>
      </c>
      <c r="E180" s="46"/>
      <c r="F180" s="53">
        <v>0.1</v>
      </c>
      <c r="G180" s="46"/>
      <c r="H180" s="377">
        <f>H179*F180</f>
        <v>0</v>
      </c>
    </row>
    <row r="181" spans="1:8" ht="31.5" customHeight="1">
      <c r="A181" s="82"/>
      <c r="B181" s="54"/>
      <c r="C181" s="375" t="s">
        <v>127</v>
      </c>
      <c r="D181" s="55" t="s">
        <v>16</v>
      </c>
      <c r="E181" s="55"/>
      <c r="F181" s="55"/>
      <c r="G181" s="55"/>
      <c r="H181" s="137">
        <f>H179+H180</f>
        <v>0</v>
      </c>
    </row>
    <row r="182" spans="1:8" ht="36" customHeight="1">
      <c r="A182" s="82"/>
      <c r="B182" s="48"/>
      <c r="C182" s="496" t="s">
        <v>39</v>
      </c>
      <c r="D182" s="46" t="s">
        <v>16</v>
      </c>
      <c r="E182" s="46"/>
      <c r="F182" s="53">
        <v>0.08</v>
      </c>
      <c r="G182" s="46"/>
      <c r="H182" s="377">
        <f>H181*F182</f>
        <v>0</v>
      </c>
    </row>
    <row r="183" spans="1:8" ht="50.25" customHeight="1">
      <c r="A183" s="72"/>
      <c r="B183" s="54"/>
      <c r="C183" s="363" t="s">
        <v>1606</v>
      </c>
      <c r="D183" s="55" t="s">
        <v>16</v>
      </c>
      <c r="E183" s="55"/>
      <c r="F183" s="162"/>
      <c r="G183" s="55"/>
      <c r="H183" s="137">
        <f>SUM(H181:H182)</f>
        <v>0</v>
      </c>
    </row>
    <row r="184" spans="1:8" ht="21.75" customHeight="1">
      <c r="A184" s="56"/>
      <c r="B184" s="57"/>
      <c r="C184" s="327"/>
      <c r="D184" s="59"/>
      <c r="E184" s="60"/>
      <c r="F184" s="60"/>
      <c r="G184" s="60"/>
      <c r="H184" s="144"/>
    </row>
    <row r="185" spans="1:8" ht="45.75" customHeight="1">
      <c r="A185" s="690" t="s">
        <v>1672</v>
      </c>
      <c r="B185" s="690"/>
      <c r="C185" s="690"/>
      <c r="D185" s="690"/>
      <c r="E185" s="690"/>
      <c r="F185" s="690"/>
      <c r="G185" s="690"/>
      <c r="H185" s="690"/>
    </row>
    <row r="186" spans="1:8" ht="15">
      <c r="A186" s="335"/>
      <c r="B186" s="57"/>
      <c r="C186" s="210"/>
      <c r="D186" s="59"/>
      <c r="E186" s="59"/>
      <c r="F186" s="59"/>
      <c r="G186" s="59"/>
      <c r="H186" s="144"/>
    </row>
  </sheetData>
  <sheetProtection/>
  <protectedRanges>
    <protectedRange sqref="G138:G139 G147 G141:G142" name="Range2_4_1"/>
    <protectedRange sqref="G150:G151 G153:G154" name="Range2_5_1_1"/>
    <protectedRange sqref="G155:G156 G160:G161 G158" name="Range1_1_1"/>
    <protectedRange sqref="G78 G80" name="Range2_1"/>
  </protectedRanges>
  <autoFilter ref="A7:AQ183"/>
  <mergeCells count="23">
    <mergeCell ref="D5:D6"/>
    <mergeCell ref="E5:F5"/>
    <mergeCell ref="G5:H5"/>
    <mergeCell ref="I92:R92"/>
    <mergeCell ref="I103:R103"/>
    <mergeCell ref="I108:R108"/>
    <mergeCell ref="A1:H1"/>
    <mergeCell ref="A2:H2"/>
    <mergeCell ref="A3:H3"/>
    <mergeCell ref="A4:H4"/>
    <mergeCell ref="A5:A6"/>
    <mergeCell ref="B5:B6"/>
    <mergeCell ref="C5:C6"/>
    <mergeCell ref="I117:R117"/>
    <mergeCell ref="I128:R128"/>
    <mergeCell ref="I150:R150"/>
    <mergeCell ref="A185:H185"/>
    <mergeCell ref="I22:O22"/>
    <mergeCell ref="I25:O25"/>
    <mergeCell ref="I34:O34"/>
    <mergeCell ref="I63:O63"/>
    <mergeCell ref="I68:O68"/>
    <mergeCell ref="I88:R8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K204"/>
  <sheetViews>
    <sheetView zoomScalePageLayoutView="0" workbookViewId="0" topLeftCell="A190">
      <selection activeCell="A3" sqref="A3:H3"/>
    </sheetView>
  </sheetViews>
  <sheetFormatPr defaultColWidth="9.140625" defaultRowHeight="12.75"/>
  <cols>
    <col min="1" max="1" width="5.00390625" style="24" customWidth="1"/>
    <col min="2" max="2" width="10.28125" style="24" customWidth="1"/>
    <col min="3" max="3" width="33.140625" style="24" customWidth="1"/>
    <col min="4" max="4" width="9.140625" style="24" customWidth="1"/>
    <col min="5" max="5" width="6.7109375" style="24" customWidth="1"/>
    <col min="6" max="6" width="8.28125" style="24" customWidth="1"/>
    <col min="7" max="7" width="8.140625" style="24" customWidth="1"/>
    <col min="8" max="8" width="11.421875" style="24" customWidth="1"/>
    <col min="9" max="9" width="9.57421875" style="24" customWidth="1"/>
    <col min="10" max="16384" width="9.140625" style="24" customWidth="1"/>
  </cols>
  <sheetData>
    <row r="1" spans="1:8" ht="35.25" customHeight="1">
      <c r="A1" s="660" t="str">
        <f>'ლხ-4'!A1:H1</f>
        <v>qobuleTis municipalitetis sofel xucubanSi sajaro skolis Zveli korpusebis demontaJi da axali skolis Senobis mSenebloba</v>
      </c>
      <c r="B1" s="642"/>
      <c r="C1" s="642"/>
      <c r="D1" s="642"/>
      <c r="E1" s="642"/>
      <c r="F1" s="642"/>
      <c r="G1" s="642"/>
      <c r="H1" s="642"/>
    </row>
    <row r="2" spans="1:8" ht="25.5" customHeight="1">
      <c r="A2" s="661" t="s">
        <v>588</v>
      </c>
      <c r="B2" s="661"/>
      <c r="C2" s="661"/>
      <c r="D2" s="661"/>
      <c r="E2" s="661"/>
      <c r="F2" s="661"/>
      <c r="G2" s="661"/>
      <c r="H2" s="661"/>
    </row>
    <row r="3" spans="1:8" ht="27.75" customHeight="1">
      <c r="A3" s="662" t="s">
        <v>1209</v>
      </c>
      <c r="B3" s="662"/>
      <c r="C3" s="662"/>
      <c r="D3" s="662"/>
      <c r="E3" s="662"/>
      <c r="F3" s="662"/>
      <c r="G3" s="662"/>
      <c r="H3" s="662"/>
    </row>
    <row r="4" spans="1:8" ht="23.25" customHeight="1">
      <c r="A4" s="651" t="s">
        <v>7</v>
      </c>
      <c r="B4" s="692" t="s">
        <v>8</v>
      </c>
      <c r="C4" s="666" t="s">
        <v>9</v>
      </c>
      <c r="D4" s="667" t="s">
        <v>6</v>
      </c>
      <c r="E4" s="654" t="s">
        <v>10</v>
      </c>
      <c r="F4" s="654"/>
      <c r="G4" s="654" t="s">
        <v>1</v>
      </c>
      <c r="H4" s="654"/>
    </row>
    <row r="5" spans="1:8" ht="52.5" customHeight="1">
      <c r="A5" s="651"/>
      <c r="B5" s="692"/>
      <c r="C5" s="666"/>
      <c r="D5" s="667"/>
      <c r="E5" s="44" t="s">
        <v>11</v>
      </c>
      <c r="F5" s="44" t="s">
        <v>12</v>
      </c>
      <c r="G5" s="44" t="s">
        <v>11</v>
      </c>
      <c r="H5" s="155" t="s">
        <v>12</v>
      </c>
    </row>
    <row r="6" spans="1:8" ht="23.25" customHeight="1">
      <c r="A6" s="81" t="s">
        <v>13</v>
      </c>
      <c r="B6" s="81">
        <v>2</v>
      </c>
      <c r="C6" s="101">
        <v>3</v>
      </c>
      <c r="D6" s="101">
        <v>4</v>
      </c>
      <c r="E6" s="101">
        <v>5</v>
      </c>
      <c r="F6" s="101">
        <v>6</v>
      </c>
      <c r="G6" s="101">
        <v>7</v>
      </c>
      <c r="H6" s="71">
        <v>8</v>
      </c>
    </row>
    <row r="7" spans="1:8" ht="24.75" customHeight="1">
      <c r="A7" s="81"/>
      <c r="B7" s="81"/>
      <c r="C7" s="238" t="s">
        <v>823</v>
      </c>
      <c r="D7" s="101"/>
      <c r="E7" s="101"/>
      <c r="F7" s="101"/>
      <c r="G7" s="101"/>
      <c r="H7" s="71"/>
    </row>
    <row r="8" spans="1:8" ht="48.75" customHeight="1">
      <c r="A8" s="221">
        <v>1</v>
      </c>
      <c r="B8" s="378" t="s">
        <v>552</v>
      </c>
      <c r="C8" s="375" t="s">
        <v>553</v>
      </c>
      <c r="D8" s="375" t="s">
        <v>20</v>
      </c>
      <c r="E8" s="229"/>
      <c r="F8" s="379">
        <v>0.8</v>
      </c>
      <c r="G8" s="226"/>
      <c r="H8" s="380">
        <f>H9</f>
        <v>0</v>
      </c>
    </row>
    <row r="9" spans="1:8" ht="27.75" customHeight="1">
      <c r="A9" s="497"/>
      <c r="B9" s="224" t="s">
        <v>4</v>
      </c>
      <c r="C9" s="496" t="s">
        <v>136</v>
      </c>
      <c r="D9" s="496" t="s">
        <v>5</v>
      </c>
      <c r="E9" s="496">
        <v>3.88</v>
      </c>
      <c r="F9" s="222">
        <f>F8*E9</f>
        <v>3.104</v>
      </c>
      <c r="G9" s="222"/>
      <c r="H9" s="222">
        <f>G9*F9</f>
        <v>0</v>
      </c>
    </row>
    <row r="10" spans="1:8" ht="48" customHeight="1">
      <c r="A10" s="71">
        <v>2</v>
      </c>
      <c r="B10" s="68" t="s">
        <v>554</v>
      </c>
      <c r="C10" s="55" t="s">
        <v>623</v>
      </c>
      <c r="D10" s="55" t="s">
        <v>20</v>
      </c>
      <c r="E10" s="55"/>
      <c r="F10" s="379">
        <v>0.5</v>
      </c>
      <c r="G10" s="70"/>
      <c r="H10" s="380">
        <f>SUM(H11:H16)</f>
        <v>0</v>
      </c>
    </row>
    <row r="11" spans="1:8" ht="32.25" customHeight="1">
      <c r="A11" s="48"/>
      <c r="B11" s="48" t="s">
        <v>4</v>
      </c>
      <c r="C11" s="46" t="s">
        <v>136</v>
      </c>
      <c r="D11" s="496" t="s">
        <v>5</v>
      </c>
      <c r="E11" s="46">
        <v>4.12</v>
      </c>
      <c r="F11" s="47">
        <f>E11*F10</f>
        <v>2.06</v>
      </c>
      <c r="G11" s="52"/>
      <c r="H11" s="222">
        <f aca="true" t="shared" si="0" ref="H11:H16">G11*F11</f>
        <v>0</v>
      </c>
    </row>
    <row r="12" spans="1:8" ht="30" customHeight="1">
      <c r="A12" s="48"/>
      <c r="B12" s="48" t="s">
        <v>4</v>
      </c>
      <c r="C12" s="91" t="s">
        <v>129</v>
      </c>
      <c r="D12" s="46" t="s">
        <v>16</v>
      </c>
      <c r="E12" s="46">
        <v>0.49</v>
      </c>
      <c r="F12" s="91">
        <f>F10*E12</f>
        <v>0.245</v>
      </c>
      <c r="G12" s="102"/>
      <c r="H12" s="47">
        <f t="shared" si="0"/>
        <v>0</v>
      </c>
    </row>
    <row r="13" spans="1:8" ht="24" customHeight="1">
      <c r="A13" s="48"/>
      <c r="B13" s="50" t="s">
        <v>1334</v>
      </c>
      <c r="C13" s="46" t="s">
        <v>624</v>
      </c>
      <c r="D13" s="46" t="s">
        <v>14</v>
      </c>
      <c r="E13" s="46">
        <v>1.02</v>
      </c>
      <c r="F13" s="47">
        <f>E13*F10</f>
        <v>0.51</v>
      </c>
      <c r="G13" s="47"/>
      <c r="H13" s="47">
        <f t="shared" si="0"/>
        <v>0</v>
      </c>
    </row>
    <row r="14" spans="1:8" ht="30" customHeight="1">
      <c r="A14" s="48"/>
      <c r="B14" s="48" t="s">
        <v>1531</v>
      </c>
      <c r="C14" s="46" t="s">
        <v>555</v>
      </c>
      <c r="D14" s="46" t="s">
        <v>43</v>
      </c>
      <c r="E14" s="46">
        <v>0.0568</v>
      </c>
      <c r="F14" s="47">
        <f>F10*E14</f>
        <v>0.0284</v>
      </c>
      <c r="G14" s="47"/>
      <c r="H14" s="47">
        <f t="shared" si="0"/>
        <v>0</v>
      </c>
    </row>
    <row r="15" spans="1:8" ht="30" customHeight="1">
      <c r="A15" s="48"/>
      <c r="B15" s="48" t="s">
        <v>1532</v>
      </c>
      <c r="C15" s="46" t="s">
        <v>556</v>
      </c>
      <c r="D15" s="46" t="s">
        <v>20</v>
      </c>
      <c r="E15" s="46">
        <v>0.0432</v>
      </c>
      <c r="F15" s="47">
        <f>E15*F10</f>
        <v>0.0216</v>
      </c>
      <c r="G15" s="47"/>
      <c r="H15" s="47">
        <f t="shared" si="0"/>
        <v>0</v>
      </c>
    </row>
    <row r="16" spans="1:8" ht="30" customHeight="1">
      <c r="A16" s="48"/>
      <c r="B16" s="48" t="s">
        <v>4</v>
      </c>
      <c r="C16" s="496" t="s">
        <v>24</v>
      </c>
      <c r="D16" s="46" t="s">
        <v>16</v>
      </c>
      <c r="E16" s="46">
        <v>0.16</v>
      </c>
      <c r="F16" s="47">
        <f>E16*F10</f>
        <v>0.08</v>
      </c>
      <c r="G16" s="102"/>
      <c r="H16" s="47">
        <f t="shared" si="0"/>
        <v>0</v>
      </c>
    </row>
    <row r="17" spans="1:8" ht="51" customHeight="1">
      <c r="A17" s="376" t="s">
        <v>63</v>
      </c>
      <c r="B17" s="79" t="s">
        <v>557</v>
      </c>
      <c r="C17" s="375" t="s">
        <v>558</v>
      </c>
      <c r="D17" s="375" t="s">
        <v>42</v>
      </c>
      <c r="E17" s="374"/>
      <c r="F17" s="191">
        <v>0.05</v>
      </c>
      <c r="G17" s="137"/>
      <c r="H17" s="190">
        <f>SUM(H18:H21)</f>
        <v>0</v>
      </c>
    </row>
    <row r="18" spans="1:8" ht="30" customHeight="1">
      <c r="A18" s="497"/>
      <c r="B18" s="224" t="s">
        <v>4</v>
      </c>
      <c r="C18" s="496" t="s">
        <v>136</v>
      </c>
      <c r="D18" s="496" t="s">
        <v>5</v>
      </c>
      <c r="E18" s="377">
        <v>21.1</v>
      </c>
      <c r="F18" s="206">
        <f>E18*F17</f>
        <v>1.0550000000000002</v>
      </c>
      <c r="G18" s="377"/>
      <c r="H18" s="124">
        <f>G18*F18</f>
        <v>0</v>
      </c>
    </row>
    <row r="19" spans="1:8" ht="30" customHeight="1">
      <c r="A19" s="497"/>
      <c r="B19" s="224" t="s">
        <v>4</v>
      </c>
      <c r="C19" s="496" t="s">
        <v>137</v>
      </c>
      <c r="D19" s="496" t="s">
        <v>16</v>
      </c>
      <c r="E19" s="377">
        <v>1.3</v>
      </c>
      <c r="F19" s="206">
        <f>F17*E19</f>
        <v>0.065</v>
      </c>
      <c r="G19" s="102"/>
      <c r="H19" s="124">
        <f>G19*F19</f>
        <v>0</v>
      </c>
    </row>
    <row r="20" spans="1:8" ht="30" customHeight="1">
      <c r="A20" s="497"/>
      <c r="B20" s="227" t="s">
        <v>2</v>
      </c>
      <c r="C20" s="496" t="s">
        <v>559</v>
      </c>
      <c r="D20" s="496" t="s">
        <v>42</v>
      </c>
      <c r="E20" s="377">
        <v>1</v>
      </c>
      <c r="F20" s="206">
        <f>F17*E20</f>
        <v>0.05</v>
      </c>
      <c r="G20" s="377"/>
      <c r="H20" s="124">
        <f>G20*F20</f>
        <v>0</v>
      </c>
    </row>
    <row r="21" spans="1:8" ht="30" customHeight="1">
      <c r="A21" s="301"/>
      <c r="B21" s="302" t="s">
        <v>4</v>
      </c>
      <c r="C21" s="272" t="s">
        <v>18</v>
      </c>
      <c r="D21" s="272" t="s">
        <v>16</v>
      </c>
      <c r="E21" s="303">
        <v>1.3</v>
      </c>
      <c r="F21" s="304">
        <f>E21*F17</f>
        <v>0.065</v>
      </c>
      <c r="G21" s="102"/>
      <c r="H21" s="306">
        <f>G21*F21</f>
        <v>0</v>
      </c>
    </row>
    <row r="22" spans="1:8" ht="48" customHeight="1">
      <c r="A22" s="54" t="s">
        <v>64</v>
      </c>
      <c r="B22" s="54" t="s">
        <v>73</v>
      </c>
      <c r="C22" s="55" t="s">
        <v>1664</v>
      </c>
      <c r="D22" s="55" t="s">
        <v>20</v>
      </c>
      <c r="E22" s="55"/>
      <c r="F22" s="226">
        <f>F10</f>
        <v>0.5</v>
      </c>
      <c r="G22" s="70"/>
      <c r="H22" s="380">
        <f>H23+0</f>
        <v>0</v>
      </c>
    </row>
    <row r="23" spans="1:8" ht="30" customHeight="1">
      <c r="A23" s="48"/>
      <c r="B23" s="50" t="s">
        <v>4</v>
      </c>
      <c r="C23" s="46" t="s">
        <v>136</v>
      </c>
      <c r="D23" s="46" t="s">
        <v>5</v>
      </c>
      <c r="E23" s="157">
        <v>1.21</v>
      </c>
      <c r="F23" s="222">
        <f>F22*E23</f>
        <v>0.605</v>
      </c>
      <c r="G23" s="47"/>
      <c r="H23" s="222">
        <f>G23*F23</f>
        <v>0</v>
      </c>
    </row>
    <row r="24" spans="1:8" ht="40.5" customHeight="1">
      <c r="A24" s="320">
        <v>5</v>
      </c>
      <c r="B24" s="378" t="s">
        <v>655</v>
      </c>
      <c r="C24" s="321" t="s">
        <v>656</v>
      </c>
      <c r="D24" s="321"/>
      <c r="E24" s="321"/>
      <c r="F24" s="321">
        <f>F22</f>
        <v>0.5</v>
      </c>
      <c r="G24" s="464"/>
      <c r="H24" s="334">
        <f>H25+H26</f>
        <v>0</v>
      </c>
    </row>
    <row r="25" spans="1:8" ht="30" customHeight="1">
      <c r="A25" s="82"/>
      <c r="B25" s="48" t="s">
        <v>4</v>
      </c>
      <c r="C25" s="46" t="s">
        <v>136</v>
      </c>
      <c r="D25" s="46" t="s">
        <v>5</v>
      </c>
      <c r="E25" s="46">
        <v>0.134</v>
      </c>
      <c r="F25" s="47">
        <f>F24*E25</f>
        <v>0.067</v>
      </c>
      <c r="G25" s="47"/>
      <c r="H25" s="222">
        <f>G25*F25</f>
        <v>0</v>
      </c>
    </row>
    <row r="26" spans="1:8" ht="27" customHeight="1">
      <c r="A26" s="317"/>
      <c r="B26" s="317" t="s">
        <v>657</v>
      </c>
      <c r="C26" s="317" t="s">
        <v>658</v>
      </c>
      <c r="D26" s="317" t="s">
        <v>23</v>
      </c>
      <c r="E26" s="317">
        <v>0.13</v>
      </c>
      <c r="F26" s="317">
        <f>E26*F24</f>
        <v>0.065</v>
      </c>
      <c r="G26" s="460"/>
      <c r="H26" s="317">
        <f>F26*G26</f>
        <v>0</v>
      </c>
    </row>
    <row r="27" spans="1:8" ht="70.5" customHeight="1">
      <c r="A27" s="215" t="s">
        <v>44</v>
      </c>
      <c r="B27" s="307" t="s">
        <v>560</v>
      </c>
      <c r="C27" s="308" t="s">
        <v>937</v>
      </c>
      <c r="D27" s="309" t="s">
        <v>42</v>
      </c>
      <c r="E27" s="309"/>
      <c r="F27" s="338">
        <v>0.206</v>
      </c>
      <c r="G27" s="472"/>
      <c r="H27" s="310">
        <f>H28+H29+H30+H31+H32+H33+H34+H35</f>
        <v>0</v>
      </c>
    </row>
    <row r="28" spans="1:8" ht="27.75" customHeight="1">
      <c r="A28" s="216"/>
      <c r="B28" s="217" t="s">
        <v>4</v>
      </c>
      <c r="C28" s="311" t="s">
        <v>135</v>
      </c>
      <c r="D28" s="311" t="s">
        <v>105</v>
      </c>
      <c r="E28" s="311">
        <v>52.2</v>
      </c>
      <c r="F28" s="312">
        <f>F27*E28</f>
        <v>10.7532</v>
      </c>
      <c r="G28" s="473"/>
      <c r="H28" s="218">
        <f aca="true" t="shared" si="1" ref="H28:H35">ROUND(F28*G28,2)</f>
        <v>0</v>
      </c>
    </row>
    <row r="29" spans="1:8" ht="27.75" customHeight="1">
      <c r="A29" s="216"/>
      <c r="B29" s="217" t="s">
        <v>4</v>
      </c>
      <c r="C29" s="311" t="s">
        <v>106</v>
      </c>
      <c r="D29" s="311" t="s">
        <v>16</v>
      </c>
      <c r="E29" s="311">
        <v>8.29</v>
      </c>
      <c r="F29" s="312">
        <f>F27*E29</f>
        <v>1.7077399999999998</v>
      </c>
      <c r="G29" s="390"/>
      <c r="H29" s="218">
        <f t="shared" si="1"/>
        <v>0</v>
      </c>
    </row>
    <row r="30" spans="1:8" ht="27.75" customHeight="1">
      <c r="A30" s="339"/>
      <c r="B30" s="217" t="s">
        <v>1533</v>
      </c>
      <c r="C30" s="371" t="s">
        <v>936</v>
      </c>
      <c r="D30" s="311" t="s">
        <v>178</v>
      </c>
      <c r="E30" s="311" t="s">
        <v>179</v>
      </c>
      <c r="F30" s="312">
        <v>12</v>
      </c>
      <c r="G30" s="473"/>
      <c r="H30" s="218">
        <f t="shared" si="1"/>
        <v>0</v>
      </c>
    </row>
    <row r="31" spans="1:8" ht="36" customHeight="1">
      <c r="A31" s="216"/>
      <c r="B31" s="217" t="s">
        <v>2</v>
      </c>
      <c r="C31" s="218" t="s">
        <v>561</v>
      </c>
      <c r="D31" s="311" t="s">
        <v>15</v>
      </c>
      <c r="E31" s="311" t="s">
        <v>179</v>
      </c>
      <c r="F31" s="312">
        <v>1</v>
      </c>
      <c r="G31" s="473"/>
      <c r="H31" s="218">
        <f t="shared" si="1"/>
        <v>0</v>
      </c>
    </row>
    <row r="32" spans="1:8" ht="27.75" customHeight="1">
      <c r="A32" s="216"/>
      <c r="B32" s="217" t="s">
        <v>2</v>
      </c>
      <c r="C32" s="311" t="s">
        <v>562</v>
      </c>
      <c r="D32" s="311" t="s">
        <v>53</v>
      </c>
      <c r="E32" s="311">
        <v>10.5</v>
      </c>
      <c r="F32" s="312">
        <f>F27*E32</f>
        <v>2.163</v>
      </c>
      <c r="G32" s="473"/>
      <c r="H32" s="218">
        <f t="shared" si="1"/>
        <v>0</v>
      </c>
    </row>
    <row r="33" spans="1:8" ht="27.75" customHeight="1">
      <c r="A33" s="216"/>
      <c r="B33" s="217" t="s">
        <v>425</v>
      </c>
      <c r="C33" s="311" t="s">
        <v>97</v>
      </c>
      <c r="D33" s="311" t="s">
        <v>53</v>
      </c>
      <c r="E33" s="311">
        <v>20.7</v>
      </c>
      <c r="F33" s="312">
        <f>F27*E33</f>
        <v>4.2642</v>
      </c>
      <c r="G33" s="473"/>
      <c r="H33" s="218">
        <f t="shared" si="1"/>
        <v>0</v>
      </c>
    </row>
    <row r="34" spans="1:8" ht="27.75" customHeight="1">
      <c r="A34" s="216"/>
      <c r="B34" s="217" t="s">
        <v>564</v>
      </c>
      <c r="C34" s="311" t="s">
        <v>499</v>
      </c>
      <c r="D34" s="311" t="s">
        <v>53</v>
      </c>
      <c r="E34" s="311">
        <v>2.53</v>
      </c>
      <c r="F34" s="312">
        <f>F27*E34</f>
        <v>0.52118</v>
      </c>
      <c r="G34" s="473"/>
      <c r="H34" s="218">
        <f t="shared" si="1"/>
        <v>0</v>
      </c>
    </row>
    <row r="35" spans="1:8" ht="27.75" customHeight="1">
      <c r="A35" s="216"/>
      <c r="B35" s="217" t="s">
        <v>4</v>
      </c>
      <c r="C35" s="503" t="s">
        <v>18</v>
      </c>
      <c r="D35" s="311" t="s">
        <v>16</v>
      </c>
      <c r="E35" s="311">
        <v>2.78</v>
      </c>
      <c r="F35" s="312">
        <f>F27*E35</f>
        <v>0.57268</v>
      </c>
      <c r="G35" s="390"/>
      <c r="H35" s="218">
        <f t="shared" si="1"/>
        <v>0</v>
      </c>
    </row>
    <row r="36" spans="1:8" ht="46.5" customHeight="1">
      <c r="A36" s="376" t="s">
        <v>45</v>
      </c>
      <c r="B36" s="378" t="s">
        <v>500</v>
      </c>
      <c r="C36" s="375" t="s">
        <v>820</v>
      </c>
      <c r="D36" s="375" t="s">
        <v>43</v>
      </c>
      <c r="E36" s="375"/>
      <c r="F36" s="379">
        <v>6</v>
      </c>
      <c r="G36" s="70"/>
      <c r="H36" s="380">
        <f>SUM(H37:H40)</f>
        <v>0</v>
      </c>
    </row>
    <row r="37" spans="1:8" ht="31.5" customHeight="1">
      <c r="A37" s="244"/>
      <c r="B37" s="286">
        <v>6</v>
      </c>
      <c r="C37" s="46" t="s">
        <v>148</v>
      </c>
      <c r="D37" s="208" t="s">
        <v>5</v>
      </c>
      <c r="E37" s="208">
        <v>0.0238</v>
      </c>
      <c r="F37" s="157">
        <f>E37*F36</f>
        <v>0.1428</v>
      </c>
      <c r="G37" s="286"/>
      <c r="H37" s="222">
        <f>G37*F37</f>
        <v>0</v>
      </c>
    </row>
    <row r="38" spans="1:8" ht="28.5" customHeight="1">
      <c r="A38" s="244"/>
      <c r="B38" s="52">
        <v>4</v>
      </c>
      <c r="C38" s="208" t="s">
        <v>137</v>
      </c>
      <c r="D38" s="208" t="s">
        <v>16</v>
      </c>
      <c r="E38" s="208">
        <v>0.0026</v>
      </c>
      <c r="F38" s="157">
        <f>E38*F36</f>
        <v>0.0156</v>
      </c>
      <c r="G38" s="52"/>
      <c r="H38" s="47">
        <f>G38*F38</f>
        <v>0</v>
      </c>
    </row>
    <row r="39" spans="1:11" ht="25.5" customHeight="1">
      <c r="A39" s="244"/>
      <c r="B39" s="183">
        <v>5.6</v>
      </c>
      <c r="C39" s="208" t="s">
        <v>229</v>
      </c>
      <c r="D39" s="208" t="s">
        <v>53</v>
      </c>
      <c r="E39" s="208">
        <v>0.146</v>
      </c>
      <c r="F39" s="157">
        <f>E39*F36</f>
        <v>0.8759999999999999</v>
      </c>
      <c r="G39" s="183"/>
      <c r="H39" s="47">
        <f>G39*F39</f>
        <v>0</v>
      </c>
      <c r="K39" s="24" t="s">
        <v>102</v>
      </c>
    </row>
    <row r="40" spans="1:8" ht="31.5" customHeight="1">
      <c r="A40" s="244"/>
      <c r="B40" s="183">
        <v>4.2</v>
      </c>
      <c r="C40" s="208" t="s">
        <v>230</v>
      </c>
      <c r="D40" s="208" t="s">
        <v>16</v>
      </c>
      <c r="E40" s="208">
        <v>0.0219</v>
      </c>
      <c r="F40" s="157">
        <f>E40*F36</f>
        <v>0.1314</v>
      </c>
      <c r="G40" s="183"/>
      <c r="H40" s="47">
        <f>G40*F40</f>
        <v>0</v>
      </c>
    </row>
    <row r="41" spans="1:8" ht="53.25" customHeight="1">
      <c r="A41" s="376" t="s">
        <v>71</v>
      </c>
      <c r="B41" s="378" t="s">
        <v>231</v>
      </c>
      <c r="C41" s="375" t="s">
        <v>563</v>
      </c>
      <c r="D41" s="375" t="s">
        <v>43</v>
      </c>
      <c r="E41" s="375"/>
      <c r="F41" s="379">
        <f>F36</f>
        <v>6</v>
      </c>
      <c r="G41" s="70"/>
      <c r="H41" s="380">
        <f>SUM(H42:H46)</f>
        <v>0</v>
      </c>
    </row>
    <row r="42" spans="1:8" ht="31.5" customHeight="1">
      <c r="A42" s="244"/>
      <c r="B42" s="245" t="s">
        <v>4</v>
      </c>
      <c r="C42" s="46" t="s">
        <v>148</v>
      </c>
      <c r="D42" s="208" t="s">
        <v>5</v>
      </c>
      <c r="E42" s="208">
        <v>0.68</v>
      </c>
      <c r="F42" s="225">
        <f>E42*F41</f>
        <v>4.08</v>
      </c>
      <c r="G42" s="183"/>
      <c r="H42" s="222">
        <f>G42*F42</f>
        <v>0</v>
      </c>
    </row>
    <row r="43" spans="1:8" ht="30.75" customHeight="1">
      <c r="A43" s="244"/>
      <c r="B43" s="245" t="s">
        <v>4</v>
      </c>
      <c r="C43" s="208" t="s">
        <v>137</v>
      </c>
      <c r="D43" s="208" t="s">
        <v>16</v>
      </c>
      <c r="E43" s="208">
        <v>0.0003</v>
      </c>
      <c r="F43" s="225">
        <f>E43*F41</f>
        <v>0.0018</v>
      </c>
      <c r="G43" s="52"/>
      <c r="H43" s="222">
        <f>G43*F43</f>
        <v>0</v>
      </c>
    </row>
    <row r="44" spans="1:8" ht="32.25" customHeight="1">
      <c r="A44" s="244"/>
      <c r="B44" s="251" t="s">
        <v>1357</v>
      </c>
      <c r="C44" s="208" t="s">
        <v>326</v>
      </c>
      <c r="D44" s="208" t="s">
        <v>53</v>
      </c>
      <c r="E44" s="208">
        <v>0.246</v>
      </c>
      <c r="F44" s="225">
        <f>E44*F41</f>
        <v>1.476</v>
      </c>
      <c r="G44" s="183"/>
      <c r="H44" s="222">
        <f>G44*F44</f>
        <v>0</v>
      </c>
    </row>
    <row r="45" spans="1:8" ht="26.25" customHeight="1">
      <c r="A45" s="244"/>
      <c r="B45" s="48" t="s">
        <v>1353</v>
      </c>
      <c r="C45" s="208" t="s">
        <v>232</v>
      </c>
      <c r="D45" s="208" t="s">
        <v>53</v>
      </c>
      <c r="E45" s="208">
        <v>0.027</v>
      </c>
      <c r="F45" s="225">
        <f>E45*F41</f>
        <v>0.162</v>
      </c>
      <c r="G45" s="183"/>
      <c r="H45" s="222">
        <f>G45*F45</f>
        <v>0</v>
      </c>
    </row>
    <row r="46" spans="1:8" ht="24" customHeight="1">
      <c r="A46" s="244"/>
      <c r="B46" s="245" t="s">
        <v>4</v>
      </c>
      <c r="C46" s="207" t="s">
        <v>38</v>
      </c>
      <c r="D46" s="208" t="s">
        <v>16</v>
      </c>
      <c r="E46" s="208">
        <v>0.0019</v>
      </c>
      <c r="F46" s="225">
        <f>E46*F41</f>
        <v>0.0114</v>
      </c>
      <c r="G46" s="52"/>
      <c r="H46" s="222">
        <f>G46*F46</f>
        <v>0</v>
      </c>
    </row>
    <row r="47" spans="1:8" ht="29.25" customHeight="1">
      <c r="A47" s="72"/>
      <c r="B47" s="48"/>
      <c r="C47" s="55" t="s">
        <v>89</v>
      </c>
      <c r="D47" s="55" t="s">
        <v>16</v>
      </c>
      <c r="E47" s="46"/>
      <c r="F47" s="47"/>
      <c r="G47" s="47"/>
      <c r="H47" s="160">
        <f>H8+H10+H17+H22+H24+H27+H36+H41</f>
        <v>0</v>
      </c>
    </row>
    <row r="48" spans="1:8" ht="27" customHeight="1">
      <c r="A48" s="82"/>
      <c r="B48" s="48"/>
      <c r="C48" s="46" t="s">
        <v>227</v>
      </c>
      <c r="D48" s="46" t="s">
        <v>16</v>
      </c>
      <c r="E48" s="46"/>
      <c r="F48" s="53">
        <v>0.1</v>
      </c>
      <c r="G48" s="47"/>
      <c r="H48" s="52">
        <f>H47*F48</f>
        <v>0</v>
      </c>
    </row>
    <row r="49" spans="1:8" ht="27.75" customHeight="1">
      <c r="A49" s="82"/>
      <c r="B49" s="54"/>
      <c r="C49" s="55" t="s">
        <v>127</v>
      </c>
      <c r="D49" s="55" t="s">
        <v>16</v>
      </c>
      <c r="E49" s="55"/>
      <c r="F49" s="55"/>
      <c r="G49" s="70"/>
      <c r="H49" s="160">
        <f>H47+H48</f>
        <v>0</v>
      </c>
    </row>
    <row r="50" spans="1:8" ht="27" customHeight="1">
      <c r="A50" s="82"/>
      <c r="B50" s="48"/>
      <c r="C50" s="46" t="s">
        <v>39</v>
      </c>
      <c r="D50" s="46" t="s">
        <v>16</v>
      </c>
      <c r="E50" s="46"/>
      <c r="F50" s="53">
        <v>0.08</v>
      </c>
      <c r="G50" s="47"/>
      <c r="H50" s="52">
        <f>H49*F50</f>
        <v>0</v>
      </c>
    </row>
    <row r="51" spans="1:8" ht="28.5" customHeight="1">
      <c r="A51" s="81"/>
      <c r="B51" s="54"/>
      <c r="C51" s="55" t="s">
        <v>821</v>
      </c>
      <c r="D51" s="55" t="s">
        <v>16</v>
      </c>
      <c r="E51" s="55"/>
      <c r="F51" s="162"/>
      <c r="G51" s="70"/>
      <c r="H51" s="160">
        <f>SUM(H49:H50)</f>
        <v>0</v>
      </c>
    </row>
    <row r="52" spans="1:8" ht="31.5" customHeight="1">
      <c r="A52" s="81"/>
      <c r="B52" s="694" t="s">
        <v>822</v>
      </c>
      <c r="C52" s="695"/>
      <c r="D52" s="696"/>
      <c r="E52" s="55"/>
      <c r="F52" s="162"/>
      <c r="G52" s="70"/>
      <c r="H52" s="160"/>
    </row>
    <row r="53" spans="1:8" ht="51.75" customHeight="1">
      <c r="A53" s="376" t="s">
        <v>13</v>
      </c>
      <c r="B53" s="54" t="s">
        <v>938</v>
      </c>
      <c r="C53" s="55" t="s">
        <v>1094</v>
      </c>
      <c r="D53" s="158" t="s">
        <v>54</v>
      </c>
      <c r="E53" s="158"/>
      <c r="F53" s="160">
        <v>1</v>
      </c>
      <c r="G53" s="160"/>
      <c r="H53" s="228">
        <f>SUM(H54:H57)</f>
        <v>0</v>
      </c>
    </row>
    <row r="54" spans="1:8" ht="28.5" customHeight="1">
      <c r="A54" s="82"/>
      <c r="B54" s="45" t="s">
        <v>4</v>
      </c>
      <c r="C54" s="46" t="s">
        <v>148</v>
      </c>
      <c r="D54" s="49" t="s">
        <v>5</v>
      </c>
      <c r="E54" s="49">
        <v>51.9</v>
      </c>
      <c r="F54" s="52">
        <f>F53*E54</f>
        <v>51.9</v>
      </c>
      <c r="G54" s="52"/>
      <c r="H54" s="377">
        <f>F54*G54</f>
        <v>0</v>
      </c>
    </row>
    <row r="55" spans="1:8" ht="26.25" customHeight="1">
      <c r="A55" s="82"/>
      <c r="B55" s="45" t="s">
        <v>4</v>
      </c>
      <c r="C55" s="46" t="s">
        <v>137</v>
      </c>
      <c r="D55" s="49" t="s">
        <v>16</v>
      </c>
      <c r="E55" s="52">
        <v>7.75</v>
      </c>
      <c r="F55" s="52">
        <f>F53*E55</f>
        <v>7.75</v>
      </c>
      <c r="G55" s="102"/>
      <c r="H55" s="377">
        <f>F55*G55</f>
        <v>0</v>
      </c>
    </row>
    <row r="56" spans="1:8" ht="30.75" customHeight="1">
      <c r="A56" s="82"/>
      <c r="B56" s="224" t="s">
        <v>1545</v>
      </c>
      <c r="C56" s="496" t="s">
        <v>1095</v>
      </c>
      <c r="D56" s="373" t="s">
        <v>54</v>
      </c>
      <c r="E56" s="377">
        <v>1</v>
      </c>
      <c r="F56" s="377">
        <f>F53*E56</f>
        <v>1</v>
      </c>
      <c r="G56" s="377"/>
      <c r="H56" s="377">
        <f>F56*G56</f>
        <v>0</v>
      </c>
    </row>
    <row r="57" spans="1:8" ht="29.25" customHeight="1">
      <c r="A57" s="165"/>
      <c r="B57" s="409" t="s">
        <v>4</v>
      </c>
      <c r="C57" s="410" t="s">
        <v>72</v>
      </c>
      <c r="D57" s="411" t="s">
        <v>16</v>
      </c>
      <c r="E57" s="411">
        <v>4.5</v>
      </c>
      <c r="F57" s="412">
        <f>F53*E57</f>
        <v>4.5</v>
      </c>
      <c r="G57" s="102"/>
      <c r="H57" s="377">
        <f>F57*G57</f>
        <v>0</v>
      </c>
    </row>
    <row r="58" spans="1:8" ht="47.25" customHeight="1">
      <c r="A58" s="376" t="s">
        <v>37</v>
      </c>
      <c r="B58" s="54" t="s">
        <v>535</v>
      </c>
      <c r="C58" s="55" t="s">
        <v>1665</v>
      </c>
      <c r="D58" s="55" t="s">
        <v>54</v>
      </c>
      <c r="E58" s="55"/>
      <c r="F58" s="70">
        <v>1</v>
      </c>
      <c r="G58" s="70"/>
      <c r="H58" s="380">
        <f>SUM(H59:H62)</f>
        <v>0</v>
      </c>
    </row>
    <row r="59" spans="1:8" ht="25.5" customHeight="1">
      <c r="A59" s="82"/>
      <c r="B59" s="45" t="s">
        <v>4</v>
      </c>
      <c r="C59" s="46" t="s">
        <v>136</v>
      </c>
      <c r="D59" s="46" t="s">
        <v>5</v>
      </c>
      <c r="E59" s="46">
        <v>7.03</v>
      </c>
      <c r="F59" s="52">
        <f>F58*E59</f>
        <v>7.03</v>
      </c>
      <c r="G59" s="52"/>
      <c r="H59" s="377">
        <f>F59*G59</f>
        <v>0</v>
      </c>
    </row>
    <row r="60" spans="1:8" ht="25.5" customHeight="1">
      <c r="A60" s="82"/>
      <c r="B60" s="45" t="s">
        <v>4</v>
      </c>
      <c r="C60" s="46" t="s">
        <v>137</v>
      </c>
      <c r="D60" s="46" t="s">
        <v>16</v>
      </c>
      <c r="E60" s="47">
        <v>0.06</v>
      </c>
      <c r="F60" s="52">
        <f>F58*E60</f>
        <v>0.06</v>
      </c>
      <c r="G60" s="102"/>
      <c r="H60" s="52">
        <f>F60*G60</f>
        <v>0</v>
      </c>
    </row>
    <row r="61" spans="1:8" ht="35.25" customHeight="1">
      <c r="A61" s="82"/>
      <c r="B61" s="361" t="s">
        <v>1546</v>
      </c>
      <c r="C61" s="46" t="s">
        <v>1666</v>
      </c>
      <c r="D61" s="49" t="s">
        <v>130</v>
      </c>
      <c r="E61" s="49">
        <v>1</v>
      </c>
      <c r="F61" s="52">
        <f>F58*E61</f>
        <v>1</v>
      </c>
      <c r="G61" s="52"/>
      <c r="H61" s="52">
        <f>F61*G61</f>
        <v>0</v>
      </c>
    </row>
    <row r="62" spans="1:8" ht="27" customHeight="1">
      <c r="A62" s="82"/>
      <c r="B62" s="45" t="s">
        <v>4</v>
      </c>
      <c r="C62" s="46" t="s">
        <v>72</v>
      </c>
      <c r="D62" s="46" t="s">
        <v>16</v>
      </c>
      <c r="E62" s="49">
        <v>0.16</v>
      </c>
      <c r="F62" s="52">
        <f>F58*E62</f>
        <v>0.16</v>
      </c>
      <c r="G62" s="102"/>
      <c r="H62" s="52">
        <f>F62*G62</f>
        <v>0</v>
      </c>
    </row>
    <row r="63" spans="1:8" ht="54" customHeight="1">
      <c r="A63" s="376" t="s">
        <v>63</v>
      </c>
      <c r="B63" s="378" t="s">
        <v>1009</v>
      </c>
      <c r="C63" s="375" t="s">
        <v>1311</v>
      </c>
      <c r="D63" s="374" t="s">
        <v>54</v>
      </c>
      <c r="E63" s="374"/>
      <c r="F63" s="137">
        <v>1</v>
      </c>
      <c r="G63" s="137"/>
      <c r="H63" s="228">
        <f>SUM(H64:H68)</f>
        <v>0</v>
      </c>
    </row>
    <row r="64" spans="1:8" ht="27" customHeight="1">
      <c r="A64" s="82"/>
      <c r="B64" s="45" t="s">
        <v>4</v>
      </c>
      <c r="C64" s="46" t="s">
        <v>148</v>
      </c>
      <c r="D64" s="49" t="s">
        <v>5</v>
      </c>
      <c r="E64" s="49">
        <v>13.7</v>
      </c>
      <c r="F64" s="52">
        <f>F63*E64</f>
        <v>13.7</v>
      </c>
      <c r="G64" s="52"/>
      <c r="H64" s="377">
        <f>F64*G64</f>
        <v>0</v>
      </c>
    </row>
    <row r="65" spans="1:8" ht="30" customHeight="1">
      <c r="A65" s="82"/>
      <c r="B65" s="45" t="s">
        <v>4</v>
      </c>
      <c r="C65" s="46" t="s">
        <v>137</v>
      </c>
      <c r="D65" s="49" t="s">
        <v>16</v>
      </c>
      <c r="E65" s="52">
        <v>1.3</v>
      </c>
      <c r="F65" s="52">
        <f>F63*E65</f>
        <v>1.3</v>
      </c>
      <c r="G65" s="102"/>
      <c r="H65" s="377">
        <f>F65*G65</f>
        <v>0</v>
      </c>
    </row>
    <row r="66" spans="1:8" ht="33.75" customHeight="1">
      <c r="A66" s="492"/>
      <c r="B66" s="300" t="s">
        <v>1549</v>
      </c>
      <c r="C66" s="496" t="s">
        <v>1015</v>
      </c>
      <c r="D66" s="413" t="s">
        <v>130</v>
      </c>
      <c r="E66" s="416">
        <v>1</v>
      </c>
      <c r="F66" s="416">
        <f>F63*E66</f>
        <v>1</v>
      </c>
      <c r="G66" s="416"/>
      <c r="H66" s="377">
        <f>F66*G66</f>
        <v>0</v>
      </c>
    </row>
    <row r="67" spans="1:8" ht="27" customHeight="1">
      <c r="A67" s="492"/>
      <c r="B67" s="414" t="s">
        <v>1547</v>
      </c>
      <c r="C67" s="496" t="s">
        <v>1010</v>
      </c>
      <c r="D67" s="413" t="s">
        <v>15</v>
      </c>
      <c r="E67" s="416">
        <v>5</v>
      </c>
      <c r="F67" s="416">
        <f>E67*F63</f>
        <v>5</v>
      </c>
      <c r="G67" s="416"/>
      <c r="H67" s="377">
        <f>F67*G67</f>
        <v>0</v>
      </c>
    </row>
    <row r="68" spans="1:8" ht="27" customHeight="1">
      <c r="A68" s="165"/>
      <c r="B68" s="409" t="s">
        <v>4</v>
      </c>
      <c r="C68" s="410" t="s">
        <v>72</v>
      </c>
      <c r="D68" s="411" t="s">
        <v>16</v>
      </c>
      <c r="E68" s="411">
        <v>3.24</v>
      </c>
      <c r="F68" s="412">
        <f>F63*E68</f>
        <v>3.24</v>
      </c>
      <c r="G68" s="102"/>
      <c r="H68" s="377">
        <f>F68*G68</f>
        <v>0</v>
      </c>
    </row>
    <row r="69" spans="1:8" ht="49.5" customHeight="1">
      <c r="A69" s="376" t="s">
        <v>64</v>
      </c>
      <c r="B69" s="54" t="s">
        <v>1011</v>
      </c>
      <c r="C69" s="375" t="s">
        <v>1012</v>
      </c>
      <c r="D69" s="374" t="s">
        <v>1013</v>
      </c>
      <c r="E69" s="374"/>
      <c r="F69" s="137">
        <v>2</v>
      </c>
      <c r="G69" s="137"/>
      <c r="H69" s="228">
        <f>SUM(H70:H73)</f>
        <v>0</v>
      </c>
    </row>
    <row r="70" spans="1:8" ht="27" customHeight="1">
      <c r="A70" s="82"/>
      <c r="B70" s="45" t="s">
        <v>4</v>
      </c>
      <c r="C70" s="46" t="s">
        <v>148</v>
      </c>
      <c r="D70" s="49" t="s">
        <v>5</v>
      </c>
      <c r="E70" s="49">
        <v>9.17</v>
      </c>
      <c r="F70" s="52">
        <f>F69*E70</f>
        <v>18.34</v>
      </c>
      <c r="G70" s="52"/>
      <c r="H70" s="377">
        <f>F70*G70</f>
        <v>0</v>
      </c>
    </row>
    <row r="71" spans="1:8" ht="27" customHeight="1">
      <c r="A71" s="82"/>
      <c r="B71" s="45" t="s">
        <v>4</v>
      </c>
      <c r="C71" s="46" t="s">
        <v>137</v>
      </c>
      <c r="D71" s="49" t="s">
        <v>16</v>
      </c>
      <c r="E71" s="52">
        <v>0.22</v>
      </c>
      <c r="F71" s="52">
        <f>F69*E71</f>
        <v>0.44</v>
      </c>
      <c r="G71" s="102"/>
      <c r="H71" s="377">
        <f>F71*G71</f>
        <v>0</v>
      </c>
    </row>
    <row r="72" spans="1:8" ht="27" customHeight="1">
      <c r="A72" s="82"/>
      <c r="B72" s="414" t="s">
        <v>2</v>
      </c>
      <c r="C72" s="46" t="s">
        <v>1014</v>
      </c>
      <c r="D72" s="49" t="s">
        <v>1013</v>
      </c>
      <c r="E72" s="52">
        <v>1</v>
      </c>
      <c r="F72" s="52">
        <f>F69*E72</f>
        <v>2</v>
      </c>
      <c r="G72" s="377"/>
      <c r="H72" s="377">
        <f>F72*G72</f>
        <v>0</v>
      </c>
    </row>
    <row r="73" spans="1:8" ht="27" customHeight="1">
      <c r="A73" s="165"/>
      <c r="B73" s="45" t="s">
        <v>4</v>
      </c>
      <c r="C73" s="46" t="s">
        <v>72</v>
      </c>
      <c r="D73" s="46" t="s">
        <v>16</v>
      </c>
      <c r="E73" s="49">
        <v>0.2</v>
      </c>
      <c r="F73" s="52">
        <f>F69*E73</f>
        <v>0.4</v>
      </c>
      <c r="G73" s="102"/>
      <c r="H73" s="377">
        <f>F73*G73</f>
        <v>0</v>
      </c>
    </row>
    <row r="74" spans="1:8" ht="60" customHeight="1">
      <c r="A74" s="376" t="s">
        <v>41</v>
      </c>
      <c r="B74" s="54" t="s">
        <v>523</v>
      </c>
      <c r="C74" s="375" t="s">
        <v>1213</v>
      </c>
      <c r="D74" s="158" t="s">
        <v>54</v>
      </c>
      <c r="E74" s="158"/>
      <c r="F74" s="160">
        <v>1</v>
      </c>
      <c r="G74" s="160"/>
      <c r="H74" s="228">
        <f>SUM(H75:H78)</f>
        <v>0</v>
      </c>
    </row>
    <row r="75" spans="1:8" ht="24.75" customHeight="1">
      <c r="A75" s="82"/>
      <c r="B75" s="45" t="s">
        <v>4</v>
      </c>
      <c r="C75" s="46" t="s">
        <v>148</v>
      </c>
      <c r="D75" s="49" t="s">
        <v>5</v>
      </c>
      <c r="E75" s="49">
        <v>3.8</v>
      </c>
      <c r="F75" s="52">
        <f>F74*E75</f>
        <v>3.8</v>
      </c>
      <c r="G75" s="52"/>
      <c r="H75" s="377">
        <f>F75*G75</f>
        <v>0</v>
      </c>
    </row>
    <row r="76" spans="1:8" ht="26.25" customHeight="1">
      <c r="A76" s="82"/>
      <c r="B76" s="45" t="s">
        <v>4</v>
      </c>
      <c r="C76" s="46" t="s">
        <v>137</v>
      </c>
      <c r="D76" s="49" t="s">
        <v>16</v>
      </c>
      <c r="E76" s="52">
        <v>0.22</v>
      </c>
      <c r="F76" s="52">
        <f>F74*E76</f>
        <v>0.22</v>
      </c>
      <c r="G76" s="102"/>
      <c r="H76" s="52">
        <f>F76*G76</f>
        <v>0</v>
      </c>
    </row>
    <row r="77" spans="1:8" ht="30" customHeight="1">
      <c r="A77" s="82"/>
      <c r="B77" s="415" t="s">
        <v>1548</v>
      </c>
      <c r="C77" s="496" t="s">
        <v>1211</v>
      </c>
      <c r="D77" s="373" t="s">
        <v>130</v>
      </c>
      <c r="E77" s="373">
        <v>1</v>
      </c>
      <c r="F77" s="377">
        <f>F74*E77</f>
        <v>1</v>
      </c>
      <c r="G77" s="377"/>
      <c r="H77" s="52">
        <f>F77*G77</f>
        <v>0</v>
      </c>
    </row>
    <row r="78" spans="1:8" ht="24" customHeight="1">
      <c r="A78" s="165"/>
      <c r="B78" s="45" t="s">
        <v>4</v>
      </c>
      <c r="C78" s="46" t="s">
        <v>18</v>
      </c>
      <c r="D78" s="49" t="s">
        <v>16</v>
      </c>
      <c r="E78" s="49">
        <v>0.22</v>
      </c>
      <c r="F78" s="52">
        <f>F74*E78</f>
        <v>0.22</v>
      </c>
      <c r="G78" s="102"/>
      <c r="H78" s="52">
        <f>F78*G78</f>
        <v>0</v>
      </c>
    </row>
    <row r="79" spans="1:8" ht="76.5" customHeight="1">
      <c r="A79" s="376" t="s">
        <v>44</v>
      </c>
      <c r="B79" s="54" t="s">
        <v>524</v>
      </c>
      <c r="C79" s="55" t="s">
        <v>1667</v>
      </c>
      <c r="D79" s="158" t="s">
        <v>54</v>
      </c>
      <c r="E79" s="158"/>
      <c r="F79" s="160">
        <v>1</v>
      </c>
      <c r="G79" s="160"/>
      <c r="H79" s="228">
        <f>SUM(H80:H83)</f>
        <v>0</v>
      </c>
    </row>
    <row r="80" spans="1:8" ht="24" customHeight="1">
      <c r="A80" s="82"/>
      <c r="B80" s="45" t="s">
        <v>4</v>
      </c>
      <c r="C80" s="46" t="s">
        <v>136</v>
      </c>
      <c r="D80" s="49" t="s">
        <v>5</v>
      </c>
      <c r="E80" s="49">
        <v>13.3</v>
      </c>
      <c r="F80" s="52">
        <f>F79*E80</f>
        <v>13.3</v>
      </c>
      <c r="G80" s="52"/>
      <c r="H80" s="377">
        <f>F80*G80</f>
        <v>0</v>
      </c>
    </row>
    <row r="81" spans="1:8" ht="30" customHeight="1">
      <c r="A81" s="82"/>
      <c r="B81" s="223" t="s">
        <v>4</v>
      </c>
      <c r="C81" s="46" t="s">
        <v>137</v>
      </c>
      <c r="D81" s="49" t="s">
        <v>16</v>
      </c>
      <c r="E81" s="52">
        <v>0.39</v>
      </c>
      <c r="F81" s="52">
        <f>F79*E81</f>
        <v>0.39</v>
      </c>
      <c r="G81" s="102"/>
      <c r="H81" s="377">
        <f>F81*G81</f>
        <v>0</v>
      </c>
    </row>
    <row r="82" spans="1:8" ht="39" customHeight="1">
      <c r="A82" s="82"/>
      <c r="B82" s="227" t="s">
        <v>1550</v>
      </c>
      <c r="C82" s="496" t="s">
        <v>1668</v>
      </c>
      <c r="D82" s="49" t="s">
        <v>54</v>
      </c>
      <c r="E82" s="49">
        <v>1</v>
      </c>
      <c r="F82" s="52">
        <f>F79*E82</f>
        <v>1</v>
      </c>
      <c r="G82" s="377"/>
      <c r="H82" s="377">
        <f>F82*G82</f>
        <v>0</v>
      </c>
    </row>
    <row r="83" spans="1:8" ht="26.25" customHeight="1">
      <c r="A83" s="165"/>
      <c r="B83" s="409" t="s">
        <v>4</v>
      </c>
      <c r="C83" s="410" t="s">
        <v>18</v>
      </c>
      <c r="D83" s="411" t="s">
        <v>16</v>
      </c>
      <c r="E83" s="411">
        <v>1.58</v>
      </c>
      <c r="F83" s="412">
        <f>F79*E83</f>
        <v>1.58</v>
      </c>
      <c r="G83" s="102"/>
      <c r="H83" s="416">
        <f>F83*G83</f>
        <v>0</v>
      </c>
    </row>
    <row r="84" spans="1:8" ht="66.75" customHeight="1">
      <c r="A84" s="376" t="s">
        <v>45</v>
      </c>
      <c r="B84" s="54" t="s">
        <v>524</v>
      </c>
      <c r="C84" s="55" t="s">
        <v>1667</v>
      </c>
      <c r="D84" s="158" t="s">
        <v>54</v>
      </c>
      <c r="E84" s="158"/>
      <c r="F84" s="160">
        <v>1</v>
      </c>
      <c r="G84" s="160"/>
      <c r="H84" s="228">
        <f>SUM(H85:H88)</f>
        <v>0</v>
      </c>
    </row>
    <row r="85" spans="1:8" ht="28.5" customHeight="1">
      <c r="A85" s="82"/>
      <c r="B85" s="45" t="s">
        <v>4</v>
      </c>
      <c r="C85" s="46" t="s">
        <v>136</v>
      </c>
      <c r="D85" s="49" t="s">
        <v>5</v>
      </c>
      <c r="E85" s="49">
        <v>13.3</v>
      </c>
      <c r="F85" s="52">
        <f>F84*E85</f>
        <v>13.3</v>
      </c>
      <c r="G85" s="52"/>
      <c r="H85" s="377">
        <f>F85*G85</f>
        <v>0</v>
      </c>
    </row>
    <row r="86" spans="1:8" ht="28.5" customHeight="1">
      <c r="A86" s="82"/>
      <c r="B86" s="45" t="s">
        <v>4</v>
      </c>
      <c r="C86" s="46" t="s">
        <v>137</v>
      </c>
      <c r="D86" s="49" t="s">
        <v>16</v>
      </c>
      <c r="E86" s="52">
        <v>0.39</v>
      </c>
      <c r="F86" s="52">
        <f>F84*E86</f>
        <v>0.39</v>
      </c>
      <c r="G86" s="102"/>
      <c r="H86" s="377">
        <f>F86*G86</f>
        <v>0</v>
      </c>
    </row>
    <row r="87" spans="1:8" ht="42.75" customHeight="1">
      <c r="A87" s="82"/>
      <c r="B87" s="417" t="s">
        <v>1552</v>
      </c>
      <c r="C87" s="496" t="s">
        <v>1668</v>
      </c>
      <c r="D87" s="49" t="s">
        <v>54</v>
      </c>
      <c r="E87" s="49">
        <v>1</v>
      </c>
      <c r="F87" s="52">
        <f>F84*E87</f>
        <v>1</v>
      </c>
      <c r="G87" s="377"/>
      <c r="H87" s="377">
        <f>F87*G87</f>
        <v>0</v>
      </c>
    </row>
    <row r="88" spans="1:8" ht="24" customHeight="1">
      <c r="A88" s="165"/>
      <c r="B88" s="409" t="s">
        <v>4</v>
      </c>
      <c r="C88" s="410" t="s">
        <v>18</v>
      </c>
      <c r="D88" s="411" t="s">
        <v>16</v>
      </c>
      <c r="E88" s="411">
        <v>1.58</v>
      </c>
      <c r="F88" s="412">
        <f>F84*E88</f>
        <v>1.58</v>
      </c>
      <c r="G88" s="102"/>
      <c r="H88" s="416">
        <f>F88*G88</f>
        <v>0</v>
      </c>
    </row>
    <row r="89" spans="1:8" ht="54" customHeight="1">
      <c r="A89" s="376" t="s">
        <v>71</v>
      </c>
      <c r="B89" s="54" t="s">
        <v>524</v>
      </c>
      <c r="C89" s="55" t="s">
        <v>1669</v>
      </c>
      <c r="D89" s="158" t="s">
        <v>54</v>
      </c>
      <c r="E89" s="158"/>
      <c r="F89" s="160">
        <v>1</v>
      </c>
      <c r="G89" s="160"/>
      <c r="H89" s="228">
        <f>SUM(H90:H93)</f>
        <v>0</v>
      </c>
    </row>
    <row r="90" spans="1:8" ht="25.5" customHeight="1">
      <c r="A90" s="82"/>
      <c r="B90" s="45" t="s">
        <v>4</v>
      </c>
      <c r="C90" s="46" t="s">
        <v>136</v>
      </c>
      <c r="D90" s="49" t="s">
        <v>5</v>
      </c>
      <c r="E90" s="49">
        <v>13.3</v>
      </c>
      <c r="F90" s="52">
        <f>F89*E90</f>
        <v>13.3</v>
      </c>
      <c r="G90" s="52"/>
      <c r="H90" s="377">
        <f>F90*G90</f>
        <v>0</v>
      </c>
    </row>
    <row r="91" spans="1:8" ht="28.5" customHeight="1">
      <c r="A91" s="82"/>
      <c r="B91" s="223" t="s">
        <v>4</v>
      </c>
      <c r="C91" s="46" t="s">
        <v>137</v>
      </c>
      <c r="D91" s="49" t="s">
        <v>16</v>
      </c>
      <c r="E91" s="52">
        <v>0.39</v>
      </c>
      <c r="F91" s="52">
        <f>F89*E91</f>
        <v>0.39</v>
      </c>
      <c r="G91" s="102"/>
      <c r="H91" s="377">
        <f>F91*G91</f>
        <v>0</v>
      </c>
    </row>
    <row r="92" spans="1:8" ht="33" customHeight="1">
      <c r="A92" s="82"/>
      <c r="B92" s="227" t="s">
        <v>1551</v>
      </c>
      <c r="C92" s="496" t="s">
        <v>1670</v>
      </c>
      <c r="D92" s="373" t="s">
        <v>54</v>
      </c>
      <c r="E92" s="373">
        <v>1</v>
      </c>
      <c r="F92" s="377">
        <f>F89*E92</f>
        <v>1</v>
      </c>
      <c r="G92" s="377"/>
      <c r="H92" s="52">
        <f>F92*G92</f>
        <v>0</v>
      </c>
    </row>
    <row r="93" spans="1:8" ht="28.5" customHeight="1">
      <c r="A93" s="82"/>
      <c r="B93" s="409" t="s">
        <v>4</v>
      </c>
      <c r="C93" s="410" t="s">
        <v>18</v>
      </c>
      <c r="D93" s="411" t="s">
        <v>16</v>
      </c>
      <c r="E93" s="411">
        <v>1.58</v>
      </c>
      <c r="F93" s="412">
        <f>F89*E93</f>
        <v>1.58</v>
      </c>
      <c r="G93" s="102"/>
      <c r="H93" s="416">
        <f>F93*G93</f>
        <v>0</v>
      </c>
    </row>
    <row r="94" spans="1:8" ht="87" customHeight="1">
      <c r="A94" s="376" t="s">
        <v>66</v>
      </c>
      <c r="B94" s="54" t="s">
        <v>165</v>
      </c>
      <c r="C94" s="55" t="s">
        <v>525</v>
      </c>
      <c r="D94" s="55" t="s">
        <v>22</v>
      </c>
      <c r="E94" s="55"/>
      <c r="F94" s="70">
        <v>4</v>
      </c>
      <c r="G94" s="70"/>
      <c r="H94" s="380">
        <f>H95+H96+H97+H98+H99+H100+H101+H102+H103</f>
        <v>0</v>
      </c>
    </row>
    <row r="95" spans="1:8" ht="25.5" customHeight="1">
      <c r="A95" s="82"/>
      <c r="B95" s="82" t="s">
        <v>4</v>
      </c>
      <c r="C95" s="46" t="s">
        <v>136</v>
      </c>
      <c r="D95" s="46" t="s">
        <v>5</v>
      </c>
      <c r="E95" s="157">
        <v>1.17</v>
      </c>
      <c r="F95" s="52">
        <f>F94*E95</f>
        <v>4.68</v>
      </c>
      <c r="G95" s="47"/>
      <c r="H95" s="377">
        <f aca="true" t="shared" si="2" ref="H95:H103">F95*G95</f>
        <v>0</v>
      </c>
    </row>
    <row r="96" spans="1:8" ht="23.25" customHeight="1">
      <c r="A96" s="82"/>
      <c r="B96" s="82" t="s">
        <v>4</v>
      </c>
      <c r="C96" s="46" t="s">
        <v>137</v>
      </c>
      <c r="D96" s="46" t="s">
        <v>16</v>
      </c>
      <c r="E96" s="157">
        <v>0.0172</v>
      </c>
      <c r="F96" s="52">
        <f>F94*E96</f>
        <v>0.0688</v>
      </c>
      <c r="G96" s="102"/>
      <c r="H96" s="377">
        <f t="shared" si="2"/>
        <v>0</v>
      </c>
    </row>
    <row r="97" spans="1:8" ht="30.75" customHeight="1">
      <c r="A97" s="82"/>
      <c r="B97" s="316" t="s">
        <v>467</v>
      </c>
      <c r="C97" s="46" t="s">
        <v>1002</v>
      </c>
      <c r="D97" s="46" t="s">
        <v>22</v>
      </c>
      <c r="E97" s="337">
        <v>0.939</v>
      </c>
      <c r="F97" s="52">
        <f>E97*F94</f>
        <v>3.756</v>
      </c>
      <c r="G97" s="52"/>
      <c r="H97" s="377">
        <f t="shared" si="2"/>
        <v>0</v>
      </c>
    </row>
    <row r="98" spans="1:8" ht="30" customHeight="1">
      <c r="A98" s="319"/>
      <c r="B98" s="319" t="s">
        <v>1473</v>
      </c>
      <c r="C98" s="317" t="s">
        <v>683</v>
      </c>
      <c r="D98" s="317" t="s">
        <v>15</v>
      </c>
      <c r="E98" s="319">
        <v>0.16</v>
      </c>
      <c r="F98" s="317">
        <f>E98*F94</f>
        <v>0.64</v>
      </c>
      <c r="G98" s="469"/>
      <c r="H98" s="317">
        <f t="shared" si="2"/>
        <v>0</v>
      </c>
    </row>
    <row r="99" spans="1:8" ht="30.75" customHeight="1">
      <c r="A99" s="82"/>
      <c r="B99" s="336" t="s">
        <v>1476</v>
      </c>
      <c r="C99" s="46" t="s">
        <v>684</v>
      </c>
      <c r="D99" s="46" t="s">
        <v>15</v>
      </c>
      <c r="E99" s="319">
        <v>0.08</v>
      </c>
      <c r="F99" s="52">
        <f>E99*F94</f>
        <v>0.32</v>
      </c>
      <c r="G99" s="52"/>
      <c r="H99" s="317">
        <f t="shared" si="2"/>
        <v>0</v>
      </c>
    </row>
    <row r="100" spans="1:8" ht="30.75" customHeight="1">
      <c r="A100" s="82"/>
      <c r="B100" s="316" t="s">
        <v>1481</v>
      </c>
      <c r="C100" s="46" t="s">
        <v>682</v>
      </c>
      <c r="D100" s="46" t="s">
        <v>15</v>
      </c>
      <c r="E100" s="319">
        <v>0.04</v>
      </c>
      <c r="F100" s="52">
        <f>E100*F94</f>
        <v>0.16</v>
      </c>
      <c r="G100" s="52"/>
      <c r="H100" s="317">
        <f t="shared" si="2"/>
        <v>0</v>
      </c>
    </row>
    <row r="101" spans="1:8" ht="30.75" customHeight="1">
      <c r="A101" s="82"/>
      <c r="B101" s="316" t="s">
        <v>1478</v>
      </c>
      <c r="C101" s="46" t="s">
        <v>685</v>
      </c>
      <c r="D101" s="46" t="s">
        <v>15</v>
      </c>
      <c r="E101" s="319">
        <v>0.17</v>
      </c>
      <c r="F101" s="52">
        <f>E101*F94</f>
        <v>0.68</v>
      </c>
      <c r="G101" s="52"/>
      <c r="H101" s="317">
        <f t="shared" si="2"/>
        <v>0</v>
      </c>
    </row>
    <row r="102" spans="1:8" ht="25.5" customHeight="1">
      <c r="A102" s="82"/>
      <c r="B102" s="49" t="s">
        <v>4</v>
      </c>
      <c r="C102" s="46" t="s">
        <v>18</v>
      </c>
      <c r="D102" s="46" t="s">
        <v>16</v>
      </c>
      <c r="E102" s="167">
        <v>0.0393</v>
      </c>
      <c r="F102" s="52">
        <f>F94*E102</f>
        <v>0.1572</v>
      </c>
      <c r="G102" s="52"/>
      <c r="H102" s="377">
        <f t="shared" si="2"/>
        <v>0</v>
      </c>
    </row>
    <row r="103" spans="1:8" ht="31.5" customHeight="1">
      <c r="A103" s="317"/>
      <c r="B103" s="317" t="s">
        <v>1538</v>
      </c>
      <c r="C103" s="317" t="s">
        <v>712</v>
      </c>
      <c r="D103" s="317" t="s">
        <v>15</v>
      </c>
      <c r="E103" s="317">
        <v>0.28</v>
      </c>
      <c r="F103" s="460">
        <v>1</v>
      </c>
      <c r="G103" s="460"/>
      <c r="H103" s="377">
        <f t="shared" si="2"/>
        <v>0</v>
      </c>
    </row>
    <row r="104" spans="1:8" ht="93.75" customHeight="1">
      <c r="A104" s="376" t="s">
        <v>67</v>
      </c>
      <c r="B104" s="54" t="s">
        <v>166</v>
      </c>
      <c r="C104" s="55" t="s">
        <v>526</v>
      </c>
      <c r="D104" s="55" t="s">
        <v>22</v>
      </c>
      <c r="E104" s="55"/>
      <c r="F104" s="70">
        <v>8</v>
      </c>
      <c r="G104" s="70"/>
      <c r="H104" s="380">
        <f>H105+H106+H107+H108+H109+H110+H111+H112+H113</f>
        <v>0</v>
      </c>
    </row>
    <row r="105" spans="1:8" ht="24.75" customHeight="1">
      <c r="A105" s="82"/>
      <c r="B105" s="82" t="s">
        <v>4</v>
      </c>
      <c r="C105" s="46" t="s">
        <v>136</v>
      </c>
      <c r="D105" s="46" t="s">
        <v>5</v>
      </c>
      <c r="E105" s="157">
        <v>1.56</v>
      </c>
      <c r="F105" s="52">
        <f>F104*E105</f>
        <v>12.48</v>
      </c>
      <c r="G105" s="47"/>
      <c r="H105" s="377">
        <f aca="true" t="shared" si="3" ref="H105:H112">F105*G105</f>
        <v>0</v>
      </c>
    </row>
    <row r="106" spans="1:8" ht="24.75" customHeight="1">
      <c r="A106" s="82"/>
      <c r="B106" s="82" t="s">
        <v>4</v>
      </c>
      <c r="C106" s="46" t="s">
        <v>137</v>
      </c>
      <c r="D106" s="46" t="s">
        <v>16</v>
      </c>
      <c r="E106" s="157">
        <v>0.0217</v>
      </c>
      <c r="F106" s="52">
        <f>F104*E106</f>
        <v>0.1736</v>
      </c>
      <c r="G106" s="102"/>
      <c r="H106" s="377">
        <f t="shared" si="3"/>
        <v>0</v>
      </c>
    </row>
    <row r="107" spans="1:8" ht="24.75" customHeight="1">
      <c r="A107" s="82"/>
      <c r="B107" s="316" t="s">
        <v>1501</v>
      </c>
      <c r="C107" s="46" t="s">
        <v>686</v>
      </c>
      <c r="D107" s="46" t="s">
        <v>22</v>
      </c>
      <c r="E107" s="337">
        <v>0.937</v>
      </c>
      <c r="F107" s="52">
        <f>E107*F104</f>
        <v>7.496</v>
      </c>
      <c r="G107" s="52"/>
      <c r="H107" s="377">
        <f t="shared" si="3"/>
        <v>0</v>
      </c>
    </row>
    <row r="108" spans="1:8" ht="24.75" customHeight="1">
      <c r="A108" s="319"/>
      <c r="B108" s="319" t="s">
        <v>1474</v>
      </c>
      <c r="C108" s="317" t="s">
        <v>687</v>
      </c>
      <c r="D108" s="317" t="s">
        <v>15</v>
      </c>
      <c r="E108" s="319">
        <v>0.16</v>
      </c>
      <c r="F108" s="317">
        <f>E108*F104</f>
        <v>1.28</v>
      </c>
      <c r="G108" s="469"/>
      <c r="H108" s="317">
        <f t="shared" si="3"/>
        <v>0</v>
      </c>
    </row>
    <row r="109" spans="1:8" ht="24.75" customHeight="1">
      <c r="A109" s="82"/>
      <c r="B109" s="336" t="s">
        <v>1477</v>
      </c>
      <c r="C109" s="46" t="s">
        <v>688</v>
      </c>
      <c r="D109" s="46" t="s">
        <v>15</v>
      </c>
      <c r="E109" s="319">
        <v>0.07</v>
      </c>
      <c r="F109" s="52">
        <f>E109*F104</f>
        <v>0.56</v>
      </c>
      <c r="G109" s="377"/>
      <c r="H109" s="317">
        <f t="shared" si="3"/>
        <v>0</v>
      </c>
    </row>
    <row r="110" spans="1:8" ht="24.75" customHeight="1">
      <c r="A110" s="82"/>
      <c r="B110" s="316" t="s">
        <v>1482</v>
      </c>
      <c r="C110" s="46" t="s">
        <v>682</v>
      </c>
      <c r="D110" s="46" t="s">
        <v>15</v>
      </c>
      <c r="E110" s="319">
        <v>0.04</v>
      </c>
      <c r="F110" s="52">
        <f>E110*F104</f>
        <v>0.32</v>
      </c>
      <c r="G110" s="377"/>
      <c r="H110" s="317">
        <f t="shared" si="3"/>
        <v>0</v>
      </c>
    </row>
    <row r="111" spans="1:8" ht="28.5" customHeight="1">
      <c r="A111" s="82"/>
      <c r="B111" s="316" t="s">
        <v>1479</v>
      </c>
      <c r="C111" s="46" t="s">
        <v>689</v>
      </c>
      <c r="D111" s="46" t="s">
        <v>15</v>
      </c>
      <c r="E111" s="319">
        <v>0.14</v>
      </c>
      <c r="F111" s="52">
        <f>E111*F104</f>
        <v>1.12</v>
      </c>
      <c r="G111" s="377"/>
      <c r="H111" s="317">
        <f t="shared" si="3"/>
        <v>0</v>
      </c>
    </row>
    <row r="112" spans="1:8" ht="30" customHeight="1">
      <c r="A112" s="82"/>
      <c r="B112" s="49" t="s">
        <v>4</v>
      </c>
      <c r="C112" s="46" t="s">
        <v>18</v>
      </c>
      <c r="D112" s="46" t="s">
        <v>16</v>
      </c>
      <c r="E112" s="167">
        <v>0.0708</v>
      </c>
      <c r="F112" s="52">
        <f>F104*E112</f>
        <v>0.5664</v>
      </c>
      <c r="G112" s="52"/>
      <c r="H112" s="377">
        <f t="shared" si="3"/>
        <v>0</v>
      </c>
    </row>
    <row r="113" spans="1:8" ht="30.75" customHeight="1">
      <c r="A113" s="317"/>
      <c r="B113" s="317" t="s">
        <v>1536</v>
      </c>
      <c r="C113" s="317" t="s">
        <v>713</v>
      </c>
      <c r="D113" s="317" t="s">
        <v>15</v>
      </c>
      <c r="E113" s="317">
        <v>0.24</v>
      </c>
      <c r="F113" s="460">
        <v>1</v>
      </c>
      <c r="G113" s="460"/>
      <c r="H113" s="377">
        <f>F113*G113</f>
        <v>0</v>
      </c>
    </row>
    <row r="114" spans="1:8" ht="75" customHeight="1">
      <c r="A114" s="418" t="s">
        <v>81</v>
      </c>
      <c r="B114" s="419" t="s">
        <v>174</v>
      </c>
      <c r="C114" s="420" t="s">
        <v>289</v>
      </c>
      <c r="D114" s="420" t="s">
        <v>22</v>
      </c>
      <c r="E114" s="420"/>
      <c r="F114" s="474">
        <v>8</v>
      </c>
      <c r="G114" s="474"/>
      <c r="H114" s="507">
        <f>H115+H116+H117+H118+H119+H120+H121+H122+H123</f>
        <v>0</v>
      </c>
    </row>
    <row r="115" spans="1:8" ht="30" customHeight="1">
      <c r="A115" s="421"/>
      <c r="B115" s="451" t="s">
        <v>4</v>
      </c>
      <c r="C115" s="508" t="s">
        <v>136</v>
      </c>
      <c r="D115" s="508" t="s">
        <v>5</v>
      </c>
      <c r="E115" s="509">
        <v>1.35</v>
      </c>
      <c r="F115" s="52">
        <f>F114*E115</f>
        <v>10.8</v>
      </c>
      <c r="G115" s="510"/>
      <c r="H115" s="377">
        <f aca="true" t="shared" si="4" ref="H115:H122">F115*G115</f>
        <v>0</v>
      </c>
    </row>
    <row r="116" spans="1:8" ht="32.25" customHeight="1">
      <c r="A116" s="421"/>
      <c r="B116" s="421" t="s">
        <v>4</v>
      </c>
      <c r="C116" s="422" t="s">
        <v>137</v>
      </c>
      <c r="D116" s="422" t="s">
        <v>16</v>
      </c>
      <c r="E116" s="423">
        <v>0.0314</v>
      </c>
      <c r="F116" s="52">
        <f>F114*E116</f>
        <v>0.2512</v>
      </c>
      <c r="G116" s="102"/>
      <c r="H116" s="377">
        <f t="shared" si="4"/>
        <v>0</v>
      </c>
    </row>
    <row r="117" spans="1:8" ht="35.25" customHeight="1">
      <c r="A117" s="82"/>
      <c r="B117" s="316" t="s">
        <v>701</v>
      </c>
      <c r="C117" s="46" t="s">
        <v>690</v>
      </c>
      <c r="D117" s="46" t="s">
        <v>22</v>
      </c>
      <c r="E117" s="337">
        <v>0.946</v>
      </c>
      <c r="F117" s="52">
        <f>E117*F114</f>
        <v>7.568</v>
      </c>
      <c r="G117" s="52"/>
      <c r="H117" s="377">
        <f t="shared" si="4"/>
        <v>0</v>
      </c>
    </row>
    <row r="118" spans="1:8" ht="30.75" customHeight="1">
      <c r="A118" s="319"/>
      <c r="B118" s="319" t="s">
        <v>1503</v>
      </c>
      <c r="C118" s="317" t="s">
        <v>691</v>
      </c>
      <c r="D118" s="317" t="s">
        <v>15</v>
      </c>
      <c r="E118" s="319">
        <v>0.16</v>
      </c>
      <c r="F118" s="317">
        <f>E118*F114</f>
        <v>1.28</v>
      </c>
      <c r="G118" s="469"/>
      <c r="H118" s="460">
        <f t="shared" si="4"/>
        <v>0</v>
      </c>
    </row>
    <row r="119" spans="1:8" ht="30.75" customHeight="1">
      <c r="A119" s="82"/>
      <c r="B119" s="316" t="s">
        <v>1505</v>
      </c>
      <c r="C119" s="46" t="s">
        <v>692</v>
      </c>
      <c r="D119" s="46" t="s">
        <v>15</v>
      </c>
      <c r="E119" s="319">
        <v>0.05</v>
      </c>
      <c r="F119" s="377">
        <f>E119*F114</f>
        <v>0.4</v>
      </c>
      <c r="G119" s="377"/>
      <c r="H119" s="460">
        <f t="shared" si="4"/>
        <v>0</v>
      </c>
    </row>
    <row r="120" spans="1:8" ht="35.25" customHeight="1">
      <c r="A120" s="82"/>
      <c r="B120" s="316" t="s">
        <v>1507</v>
      </c>
      <c r="C120" s="46" t="s">
        <v>682</v>
      </c>
      <c r="D120" s="46" t="s">
        <v>15</v>
      </c>
      <c r="E120" s="319">
        <v>0.04</v>
      </c>
      <c r="F120" s="377">
        <f>E120*F114</f>
        <v>0.32</v>
      </c>
      <c r="G120" s="377"/>
      <c r="H120" s="460">
        <f t="shared" si="4"/>
        <v>0</v>
      </c>
    </row>
    <row r="121" spans="1:8" ht="39.75" customHeight="1">
      <c r="A121" s="82"/>
      <c r="B121" s="316" t="s">
        <v>1511</v>
      </c>
      <c r="C121" s="46" t="s">
        <v>693</v>
      </c>
      <c r="D121" s="46" t="s">
        <v>15</v>
      </c>
      <c r="E121" s="319">
        <v>0.08</v>
      </c>
      <c r="F121" s="377">
        <f>E121*F114</f>
        <v>0.64</v>
      </c>
      <c r="G121" s="377"/>
      <c r="H121" s="460">
        <f t="shared" si="4"/>
        <v>0</v>
      </c>
    </row>
    <row r="122" spans="1:8" ht="33" customHeight="1">
      <c r="A122" s="82"/>
      <c r="B122" s="49" t="s">
        <v>4</v>
      </c>
      <c r="C122" s="46" t="s">
        <v>18</v>
      </c>
      <c r="D122" s="46" t="s">
        <v>16</v>
      </c>
      <c r="E122" s="167">
        <v>0.0652</v>
      </c>
      <c r="F122" s="52">
        <f>F114*E122</f>
        <v>0.5216</v>
      </c>
      <c r="G122" s="52"/>
      <c r="H122" s="377">
        <f t="shared" si="4"/>
        <v>0</v>
      </c>
    </row>
    <row r="123" spans="1:8" s="209" customFormat="1" ht="35.25" customHeight="1">
      <c r="A123" s="317"/>
      <c r="B123" s="317" t="s">
        <v>1537</v>
      </c>
      <c r="C123" s="317" t="s">
        <v>1212</v>
      </c>
      <c r="D123" s="317" t="s">
        <v>15</v>
      </c>
      <c r="E123" s="317">
        <v>0.18</v>
      </c>
      <c r="F123" s="460">
        <v>1</v>
      </c>
      <c r="G123" s="460"/>
      <c r="H123" s="377">
        <f>F123*G123</f>
        <v>0</v>
      </c>
    </row>
    <row r="124" spans="1:8" ht="84.75" customHeight="1">
      <c r="A124" s="376" t="s">
        <v>88</v>
      </c>
      <c r="B124" s="54" t="s">
        <v>715</v>
      </c>
      <c r="C124" s="55" t="s">
        <v>716</v>
      </c>
      <c r="D124" s="55" t="s">
        <v>22</v>
      </c>
      <c r="E124" s="55"/>
      <c r="F124" s="226">
        <v>12</v>
      </c>
      <c r="G124" s="70"/>
      <c r="H124" s="380">
        <f>H125+H126+H127+H128+H129+H130+H131</f>
        <v>0</v>
      </c>
    </row>
    <row r="125" spans="1:8" ht="30" customHeight="1">
      <c r="A125" s="82"/>
      <c r="B125" s="82" t="s">
        <v>4</v>
      </c>
      <c r="C125" s="46" t="s">
        <v>136</v>
      </c>
      <c r="D125" s="46" t="s">
        <v>5</v>
      </c>
      <c r="E125" s="157">
        <v>1.4</v>
      </c>
      <c r="F125" s="52">
        <f>F124*E125</f>
        <v>16.799999999999997</v>
      </c>
      <c r="G125" s="47"/>
      <c r="H125" s="377">
        <f aca="true" t="shared" si="5" ref="H125:H130">F125*G125</f>
        <v>0</v>
      </c>
    </row>
    <row r="126" spans="1:8" ht="24.75" customHeight="1">
      <c r="A126" s="82"/>
      <c r="B126" s="82" t="s">
        <v>4</v>
      </c>
      <c r="C126" s="46" t="s">
        <v>137</v>
      </c>
      <c r="D126" s="46" t="s">
        <v>16</v>
      </c>
      <c r="E126" s="157">
        <v>0.0472</v>
      </c>
      <c r="F126" s="52">
        <f>F124*E126</f>
        <v>0.5664</v>
      </c>
      <c r="G126" s="102"/>
      <c r="H126" s="377">
        <f t="shared" si="5"/>
        <v>0</v>
      </c>
    </row>
    <row r="127" spans="1:8" ht="30" customHeight="1">
      <c r="A127" s="82"/>
      <c r="B127" s="316" t="s">
        <v>1502</v>
      </c>
      <c r="C127" s="46" t="s">
        <v>717</v>
      </c>
      <c r="D127" s="46" t="s">
        <v>22</v>
      </c>
      <c r="E127" s="337">
        <v>0.974</v>
      </c>
      <c r="F127" s="52">
        <f>E127*F124</f>
        <v>11.687999999999999</v>
      </c>
      <c r="G127" s="52"/>
      <c r="H127" s="377">
        <f t="shared" si="5"/>
        <v>0</v>
      </c>
    </row>
    <row r="128" spans="1:8" ht="30" customHeight="1">
      <c r="A128" s="82"/>
      <c r="B128" s="316" t="s">
        <v>1510</v>
      </c>
      <c r="C128" s="46" t="s">
        <v>682</v>
      </c>
      <c r="D128" s="46" t="s">
        <v>15</v>
      </c>
      <c r="E128" s="319">
        <v>0.03</v>
      </c>
      <c r="F128" s="377">
        <v>1</v>
      </c>
      <c r="G128" s="377"/>
      <c r="H128" s="317">
        <f t="shared" si="5"/>
        <v>0</v>
      </c>
    </row>
    <row r="129" spans="1:8" ht="30" customHeight="1">
      <c r="A129" s="82"/>
      <c r="B129" s="314" t="s">
        <v>1514</v>
      </c>
      <c r="C129" s="46" t="s">
        <v>718</v>
      </c>
      <c r="D129" s="46" t="s">
        <v>15</v>
      </c>
      <c r="E129" s="319">
        <v>0.06</v>
      </c>
      <c r="F129" s="377">
        <v>1</v>
      </c>
      <c r="G129" s="377"/>
      <c r="H129" s="317">
        <f t="shared" si="5"/>
        <v>0</v>
      </c>
    </row>
    <row r="130" spans="1:8" ht="30" customHeight="1">
      <c r="A130" s="82"/>
      <c r="B130" s="49" t="s">
        <v>4</v>
      </c>
      <c r="C130" s="46" t="s">
        <v>18</v>
      </c>
      <c r="D130" s="46" t="s">
        <v>16</v>
      </c>
      <c r="E130" s="167">
        <v>0.0425</v>
      </c>
      <c r="F130" s="52">
        <f>F124*E130</f>
        <v>0.51</v>
      </c>
      <c r="G130" s="52"/>
      <c r="H130" s="377">
        <f t="shared" si="5"/>
        <v>0</v>
      </c>
    </row>
    <row r="131" spans="1:8" ht="30" customHeight="1">
      <c r="A131" s="317"/>
      <c r="B131" s="317" t="s">
        <v>714</v>
      </c>
      <c r="C131" s="317" t="s">
        <v>719</v>
      </c>
      <c r="D131" s="317" t="s">
        <v>15</v>
      </c>
      <c r="E131" s="317">
        <v>0.08</v>
      </c>
      <c r="F131" s="460">
        <v>1</v>
      </c>
      <c r="G131" s="460"/>
      <c r="H131" s="377">
        <f>F131*G131</f>
        <v>0</v>
      </c>
    </row>
    <row r="132" spans="1:8" ht="51.75" customHeight="1">
      <c r="A132" s="376" t="s">
        <v>74</v>
      </c>
      <c r="B132" s="378" t="s">
        <v>142</v>
      </c>
      <c r="C132" s="375" t="s">
        <v>482</v>
      </c>
      <c r="D132" s="374" t="s">
        <v>15</v>
      </c>
      <c r="E132" s="375"/>
      <c r="F132" s="226">
        <v>2</v>
      </c>
      <c r="G132" s="226"/>
      <c r="H132" s="380">
        <f>SUM(H133:H136)</f>
        <v>0</v>
      </c>
    </row>
    <row r="133" spans="1:8" ht="30" customHeight="1">
      <c r="A133" s="497"/>
      <c r="B133" s="497" t="s">
        <v>4</v>
      </c>
      <c r="C133" s="496" t="s">
        <v>136</v>
      </c>
      <c r="D133" s="496" t="s">
        <v>5</v>
      </c>
      <c r="E133" s="496">
        <v>1.51</v>
      </c>
      <c r="F133" s="377">
        <f>F132*E133</f>
        <v>3.02</v>
      </c>
      <c r="G133" s="222"/>
      <c r="H133" s="377">
        <f>F133*G133</f>
        <v>0</v>
      </c>
    </row>
    <row r="134" spans="1:8" ht="30" customHeight="1">
      <c r="A134" s="497"/>
      <c r="B134" s="497" t="s">
        <v>4</v>
      </c>
      <c r="C134" s="496" t="s">
        <v>137</v>
      </c>
      <c r="D134" s="496" t="s">
        <v>16</v>
      </c>
      <c r="E134" s="372">
        <v>0.13</v>
      </c>
      <c r="F134" s="377">
        <f>F132*E134</f>
        <v>0.26</v>
      </c>
      <c r="G134" s="102"/>
      <c r="H134" s="377">
        <f>F134*G134</f>
        <v>0</v>
      </c>
    </row>
    <row r="135" spans="1:8" ht="30" customHeight="1">
      <c r="A135" s="497"/>
      <c r="B135" s="497" t="s">
        <v>572</v>
      </c>
      <c r="C135" s="496" t="s">
        <v>483</v>
      </c>
      <c r="D135" s="496" t="s">
        <v>15</v>
      </c>
      <c r="E135" s="381">
        <v>1</v>
      </c>
      <c r="F135" s="377">
        <f>E135*F132</f>
        <v>2</v>
      </c>
      <c r="G135" s="377"/>
      <c r="H135" s="377">
        <f>F135*G135</f>
        <v>0</v>
      </c>
    </row>
    <row r="136" spans="1:8" ht="30" customHeight="1">
      <c r="A136" s="497"/>
      <c r="B136" s="373" t="s">
        <v>4</v>
      </c>
      <c r="C136" s="496" t="s">
        <v>18</v>
      </c>
      <c r="D136" s="496" t="s">
        <v>16</v>
      </c>
      <c r="E136" s="373">
        <v>0.07</v>
      </c>
      <c r="F136" s="377">
        <f>F132*E136</f>
        <v>0.14</v>
      </c>
      <c r="G136" s="102"/>
      <c r="H136" s="377">
        <f>F136*G136</f>
        <v>0</v>
      </c>
    </row>
    <row r="137" spans="1:8" ht="50.25" customHeight="1">
      <c r="A137" s="376" t="s">
        <v>55</v>
      </c>
      <c r="B137" s="378" t="s">
        <v>142</v>
      </c>
      <c r="C137" s="375" t="s">
        <v>484</v>
      </c>
      <c r="D137" s="374" t="s">
        <v>15</v>
      </c>
      <c r="E137" s="375"/>
      <c r="F137" s="226">
        <v>3</v>
      </c>
      <c r="G137" s="226"/>
      <c r="H137" s="380">
        <f>SUM(H138:H141)</f>
        <v>0</v>
      </c>
    </row>
    <row r="138" spans="1:8" ht="27.75" customHeight="1">
      <c r="A138" s="497"/>
      <c r="B138" s="497" t="s">
        <v>4</v>
      </c>
      <c r="C138" s="496" t="s">
        <v>136</v>
      </c>
      <c r="D138" s="496" t="s">
        <v>5</v>
      </c>
      <c r="E138" s="496">
        <v>1.51</v>
      </c>
      <c r="F138" s="377">
        <f>F137*E138</f>
        <v>4.53</v>
      </c>
      <c r="G138" s="222"/>
      <c r="H138" s="377">
        <f>F138*G138</f>
        <v>0</v>
      </c>
    </row>
    <row r="139" spans="1:8" ht="29.25" customHeight="1">
      <c r="A139" s="497"/>
      <c r="B139" s="497" t="s">
        <v>4</v>
      </c>
      <c r="C139" s="496" t="s">
        <v>137</v>
      </c>
      <c r="D139" s="496" t="s">
        <v>16</v>
      </c>
      <c r="E139" s="372">
        <v>0.13</v>
      </c>
      <c r="F139" s="377">
        <f>F137*E139</f>
        <v>0.39</v>
      </c>
      <c r="G139" s="102"/>
      <c r="H139" s="377">
        <f>F139*G139</f>
        <v>0</v>
      </c>
    </row>
    <row r="140" spans="1:8" ht="25.5" customHeight="1">
      <c r="A140" s="497"/>
      <c r="B140" s="497" t="s">
        <v>507</v>
      </c>
      <c r="C140" s="496" t="s">
        <v>275</v>
      </c>
      <c r="D140" s="496" t="s">
        <v>15</v>
      </c>
      <c r="E140" s="381">
        <v>1</v>
      </c>
      <c r="F140" s="377">
        <f>E140*F137</f>
        <v>3</v>
      </c>
      <c r="G140" s="377"/>
      <c r="H140" s="377">
        <f>F140*G140</f>
        <v>0</v>
      </c>
    </row>
    <row r="141" spans="1:8" ht="29.25" customHeight="1">
      <c r="A141" s="497"/>
      <c r="B141" s="373" t="s">
        <v>4</v>
      </c>
      <c r="C141" s="496" t="s">
        <v>18</v>
      </c>
      <c r="D141" s="496" t="s">
        <v>16</v>
      </c>
      <c r="E141" s="373">
        <v>0.07</v>
      </c>
      <c r="F141" s="377">
        <f>F137*E141</f>
        <v>0.21000000000000002</v>
      </c>
      <c r="G141" s="102"/>
      <c r="H141" s="377">
        <f>F141*G141</f>
        <v>0</v>
      </c>
    </row>
    <row r="142" spans="1:8" ht="60" customHeight="1">
      <c r="A142" s="376" t="s">
        <v>51</v>
      </c>
      <c r="B142" s="378" t="s">
        <v>142</v>
      </c>
      <c r="C142" s="375" t="s">
        <v>506</v>
      </c>
      <c r="D142" s="374" t="s">
        <v>15</v>
      </c>
      <c r="E142" s="375"/>
      <c r="F142" s="226">
        <v>10</v>
      </c>
      <c r="G142" s="226"/>
      <c r="H142" s="380">
        <f>SUM(H143:H146)</f>
        <v>0</v>
      </c>
    </row>
    <row r="143" spans="1:8" ht="24.75" customHeight="1">
      <c r="A143" s="497"/>
      <c r="B143" s="497" t="s">
        <v>4</v>
      </c>
      <c r="C143" s="496" t="s">
        <v>136</v>
      </c>
      <c r="D143" s="496" t="s">
        <v>5</v>
      </c>
      <c r="E143" s="496">
        <v>1.51</v>
      </c>
      <c r="F143" s="377">
        <f>F142*E143</f>
        <v>15.1</v>
      </c>
      <c r="G143" s="222"/>
      <c r="H143" s="377">
        <f>F143*G143</f>
        <v>0</v>
      </c>
    </row>
    <row r="144" spans="1:8" ht="29.25" customHeight="1">
      <c r="A144" s="497"/>
      <c r="B144" s="497" t="s">
        <v>4</v>
      </c>
      <c r="C144" s="496" t="s">
        <v>137</v>
      </c>
      <c r="D144" s="496" t="s">
        <v>16</v>
      </c>
      <c r="E144" s="372">
        <v>0.13</v>
      </c>
      <c r="F144" s="377">
        <f>F142*E144</f>
        <v>1.3</v>
      </c>
      <c r="G144" s="102"/>
      <c r="H144" s="377">
        <f>F144*G144</f>
        <v>0</v>
      </c>
    </row>
    <row r="145" spans="1:8" ht="34.5" customHeight="1">
      <c r="A145" s="497"/>
      <c r="B145" s="497" t="s">
        <v>472</v>
      </c>
      <c r="C145" s="496" t="s">
        <v>481</v>
      </c>
      <c r="D145" s="496" t="s">
        <v>15</v>
      </c>
      <c r="E145" s="381">
        <v>1</v>
      </c>
      <c r="F145" s="377">
        <f>E145*F142</f>
        <v>10</v>
      </c>
      <c r="G145" s="377"/>
      <c r="H145" s="377">
        <f>F145*G145</f>
        <v>0</v>
      </c>
    </row>
    <row r="146" spans="1:8" ht="32.25" customHeight="1">
      <c r="A146" s="497"/>
      <c r="B146" s="373" t="s">
        <v>4</v>
      </c>
      <c r="C146" s="496" t="s">
        <v>18</v>
      </c>
      <c r="D146" s="496" t="s">
        <v>16</v>
      </c>
      <c r="E146" s="373">
        <v>0.07</v>
      </c>
      <c r="F146" s="377">
        <f>F142*E146</f>
        <v>0.7000000000000001</v>
      </c>
      <c r="G146" s="102"/>
      <c r="H146" s="377">
        <f>F146*G146</f>
        <v>0</v>
      </c>
    </row>
    <row r="147" spans="1:8" ht="54.75" customHeight="1">
      <c r="A147" s="376" t="s">
        <v>49</v>
      </c>
      <c r="B147" s="378" t="s">
        <v>142</v>
      </c>
      <c r="C147" s="375" t="s">
        <v>1320</v>
      </c>
      <c r="D147" s="374" t="s">
        <v>15</v>
      </c>
      <c r="E147" s="375"/>
      <c r="F147" s="226">
        <v>4</v>
      </c>
      <c r="G147" s="226"/>
      <c r="H147" s="380">
        <f>SUM(H148:H151)</f>
        <v>0</v>
      </c>
    </row>
    <row r="148" spans="1:8" ht="33.75" customHeight="1">
      <c r="A148" s="497"/>
      <c r="B148" s="497" t="s">
        <v>4</v>
      </c>
      <c r="C148" s="496" t="s">
        <v>136</v>
      </c>
      <c r="D148" s="496" t="s">
        <v>5</v>
      </c>
      <c r="E148" s="496">
        <v>1.51</v>
      </c>
      <c r="F148" s="377">
        <f>F147*E148</f>
        <v>6.04</v>
      </c>
      <c r="G148" s="222"/>
      <c r="H148" s="377">
        <f>F148*G148</f>
        <v>0</v>
      </c>
    </row>
    <row r="149" spans="1:8" ht="29.25" customHeight="1">
      <c r="A149" s="497"/>
      <c r="B149" s="497" t="s">
        <v>4</v>
      </c>
      <c r="C149" s="496" t="s">
        <v>137</v>
      </c>
      <c r="D149" s="496" t="s">
        <v>16</v>
      </c>
      <c r="E149" s="372">
        <v>0.13</v>
      </c>
      <c r="F149" s="377">
        <f>F147*E149</f>
        <v>0.52</v>
      </c>
      <c r="G149" s="102"/>
      <c r="H149" s="377">
        <f>F149*G149</f>
        <v>0</v>
      </c>
    </row>
    <row r="150" spans="1:8" ht="29.25" customHeight="1">
      <c r="A150" s="497"/>
      <c r="B150" s="497" t="s">
        <v>631</v>
      </c>
      <c r="C150" s="496" t="s">
        <v>1321</v>
      </c>
      <c r="D150" s="496" t="s">
        <v>15</v>
      </c>
      <c r="E150" s="381">
        <v>1</v>
      </c>
      <c r="F150" s="377">
        <f>E150*F147</f>
        <v>4</v>
      </c>
      <c r="G150" s="377"/>
      <c r="H150" s="377">
        <f>F150*G150</f>
        <v>0</v>
      </c>
    </row>
    <row r="151" spans="1:8" ht="34.5" customHeight="1">
      <c r="A151" s="497"/>
      <c r="B151" s="373" t="s">
        <v>4</v>
      </c>
      <c r="C151" s="496" t="s">
        <v>18</v>
      </c>
      <c r="D151" s="496" t="s">
        <v>16</v>
      </c>
      <c r="E151" s="373">
        <v>0.07</v>
      </c>
      <c r="F151" s="377">
        <f>F147*E151</f>
        <v>0.28</v>
      </c>
      <c r="G151" s="102"/>
      <c r="H151" s="377">
        <f>F151*G151</f>
        <v>0</v>
      </c>
    </row>
    <row r="152" spans="1:8" ht="52.5" customHeight="1">
      <c r="A152" s="376" t="s">
        <v>82</v>
      </c>
      <c r="B152" s="378" t="s">
        <v>527</v>
      </c>
      <c r="C152" s="375" t="s">
        <v>1017</v>
      </c>
      <c r="D152" s="374" t="s">
        <v>15</v>
      </c>
      <c r="E152" s="375"/>
      <c r="F152" s="226">
        <v>6</v>
      </c>
      <c r="G152" s="226"/>
      <c r="H152" s="380">
        <f>SUM(H153:H156)</f>
        <v>0</v>
      </c>
    </row>
    <row r="153" spans="1:8" ht="28.5" customHeight="1">
      <c r="A153" s="497"/>
      <c r="B153" s="497" t="s">
        <v>4</v>
      </c>
      <c r="C153" s="496" t="s">
        <v>136</v>
      </c>
      <c r="D153" s="496" t="s">
        <v>5</v>
      </c>
      <c r="E153" s="496">
        <v>2.67</v>
      </c>
      <c r="F153" s="377">
        <f>F152*E153</f>
        <v>16.02</v>
      </c>
      <c r="G153" s="222"/>
      <c r="H153" s="377">
        <f>F153*G153</f>
        <v>0</v>
      </c>
    </row>
    <row r="154" spans="1:8" ht="28.5" customHeight="1">
      <c r="A154" s="497"/>
      <c r="B154" s="497" t="s">
        <v>4</v>
      </c>
      <c r="C154" s="496" t="s">
        <v>137</v>
      </c>
      <c r="D154" s="496" t="s">
        <v>16</v>
      </c>
      <c r="E154" s="372">
        <v>0.29</v>
      </c>
      <c r="F154" s="377">
        <f>F152*E154</f>
        <v>1.7399999999999998</v>
      </c>
      <c r="G154" s="102"/>
      <c r="H154" s="377">
        <f>F154*G154</f>
        <v>0</v>
      </c>
    </row>
    <row r="155" spans="1:8" ht="29.25" customHeight="1">
      <c r="A155" s="497"/>
      <c r="B155" s="497" t="s">
        <v>1539</v>
      </c>
      <c r="C155" s="496" t="s">
        <v>1018</v>
      </c>
      <c r="D155" s="496" t="s">
        <v>15</v>
      </c>
      <c r="E155" s="381">
        <v>1</v>
      </c>
      <c r="F155" s="377">
        <f>E155*F152</f>
        <v>6</v>
      </c>
      <c r="G155" s="377"/>
      <c r="H155" s="377">
        <f>F155*G155</f>
        <v>0</v>
      </c>
    </row>
    <row r="156" spans="1:8" ht="30" customHeight="1">
      <c r="A156" s="497"/>
      <c r="B156" s="373" t="s">
        <v>4</v>
      </c>
      <c r="C156" s="496" t="s">
        <v>18</v>
      </c>
      <c r="D156" s="496" t="s">
        <v>16</v>
      </c>
      <c r="E156" s="373">
        <v>0.2</v>
      </c>
      <c r="F156" s="377">
        <f>F152*E156</f>
        <v>1.2000000000000002</v>
      </c>
      <c r="G156" s="102"/>
      <c r="H156" s="377">
        <f>F156*G156</f>
        <v>0</v>
      </c>
    </row>
    <row r="157" spans="1:8" ht="43.5" customHeight="1">
      <c r="A157" s="376" t="s">
        <v>95</v>
      </c>
      <c r="B157" s="54" t="s">
        <v>142</v>
      </c>
      <c r="C157" s="55" t="s">
        <v>1016</v>
      </c>
      <c r="D157" s="158" t="s">
        <v>15</v>
      </c>
      <c r="E157" s="158"/>
      <c r="F157" s="160">
        <v>1</v>
      </c>
      <c r="G157" s="160"/>
      <c r="H157" s="228">
        <f>SUM(H158:H161)</f>
        <v>0</v>
      </c>
    </row>
    <row r="158" spans="1:8" ht="30" customHeight="1">
      <c r="A158" s="82"/>
      <c r="B158" s="48" t="s">
        <v>4</v>
      </c>
      <c r="C158" s="46" t="s">
        <v>136</v>
      </c>
      <c r="D158" s="49" t="s">
        <v>5</v>
      </c>
      <c r="E158" s="49">
        <v>1.51</v>
      </c>
      <c r="F158" s="52">
        <f>F157*E158</f>
        <v>1.51</v>
      </c>
      <c r="G158" s="52"/>
      <c r="H158" s="377">
        <f>F158*G158</f>
        <v>0</v>
      </c>
    </row>
    <row r="159" spans="1:8" ht="30" customHeight="1">
      <c r="A159" s="82"/>
      <c r="B159" s="48" t="s">
        <v>4</v>
      </c>
      <c r="C159" s="46" t="s">
        <v>137</v>
      </c>
      <c r="D159" s="49" t="s">
        <v>16</v>
      </c>
      <c r="E159" s="117">
        <v>0.13</v>
      </c>
      <c r="F159" s="52">
        <f>F157*E159</f>
        <v>0.13</v>
      </c>
      <c r="G159" s="102"/>
      <c r="H159" s="52">
        <f>F159*G159</f>
        <v>0</v>
      </c>
    </row>
    <row r="160" spans="1:8" ht="30" customHeight="1">
      <c r="A160" s="82"/>
      <c r="B160" s="50" t="s">
        <v>1541</v>
      </c>
      <c r="C160" s="46" t="s">
        <v>1540</v>
      </c>
      <c r="D160" s="49" t="s">
        <v>15</v>
      </c>
      <c r="E160" s="49">
        <v>1</v>
      </c>
      <c r="F160" s="52">
        <f>F157*E160</f>
        <v>1</v>
      </c>
      <c r="G160" s="377"/>
      <c r="H160" s="52">
        <f>F160*G160</f>
        <v>0</v>
      </c>
    </row>
    <row r="161" spans="1:8" ht="30" customHeight="1">
      <c r="A161" s="82"/>
      <c r="B161" s="110" t="s">
        <v>4</v>
      </c>
      <c r="C161" s="46" t="s">
        <v>72</v>
      </c>
      <c r="D161" s="49" t="s">
        <v>16</v>
      </c>
      <c r="E161" s="49">
        <v>0.07</v>
      </c>
      <c r="F161" s="52">
        <f>F157*E161</f>
        <v>0.07</v>
      </c>
      <c r="G161" s="102"/>
      <c r="H161" s="52">
        <f>F161*G161</f>
        <v>0</v>
      </c>
    </row>
    <row r="162" spans="1:8" ht="45.75" customHeight="1">
      <c r="A162" s="376" t="s">
        <v>96</v>
      </c>
      <c r="B162" s="54" t="s">
        <v>142</v>
      </c>
      <c r="C162" s="55" t="s">
        <v>530</v>
      </c>
      <c r="D162" s="158" t="s">
        <v>15</v>
      </c>
      <c r="E162" s="158"/>
      <c r="F162" s="160">
        <v>2</v>
      </c>
      <c r="G162" s="160"/>
      <c r="H162" s="228">
        <f>SUM(H163:H166)</f>
        <v>0</v>
      </c>
    </row>
    <row r="163" spans="1:8" s="5" customFormat="1" ht="30" customHeight="1">
      <c r="A163" s="82"/>
      <c r="B163" s="48" t="s">
        <v>4</v>
      </c>
      <c r="C163" s="46" t="s">
        <v>136</v>
      </c>
      <c r="D163" s="49" t="s">
        <v>5</v>
      </c>
      <c r="E163" s="49">
        <v>1.51</v>
      </c>
      <c r="F163" s="52">
        <f>F162*E163</f>
        <v>3.02</v>
      </c>
      <c r="G163" s="52"/>
      <c r="H163" s="377">
        <f>F163*G163</f>
        <v>0</v>
      </c>
    </row>
    <row r="164" spans="1:8" ht="30" customHeight="1">
      <c r="A164" s="82"/>
      <c r="B164" s="48" t="s">
        <v>4</v>
      </c>
      <c r="C164" s="46" t="s">
        <v>137</v>
      </c>
      <c r="D164" s="49" t="s">
        <v>16</v>
      </c>
      <c r="E164" s="117">
        <v>0.13</v>
      </c>
      <c r="F164" s="52">
        <f>F162*E164</f>
        <v>0.26</v>
      </c>
      <c r="G164" s="102"/>
      <c r="H164" s="52">
        <f>F164*G164</f>
        <v>0</v>
      </c>
    </row>
    <row r="165" spans="1:8" ht="29.25" customHeight="1">
      <c r="A165" s="82"/>
      <c r="B165" s="50" t="s">
        <v>1542</v>
      </c>
      <c r="C165" s="46" t="s">
        <v>531</v>
      </c>
      <c r="D165" s="49" t="s">
        <v>15</v>
      </c>
      <c r="E165" s="49">
        <v>1</v>
      </c>
      <c r="F165" s="52">
        <f>F162*E165</f>
        <v>2</v>
      </c>
      <c r="G165" s="377"/>
      <c r="H165" s="52">
        <f>F165*G165</f>
        <v>0</v>
      </c>
    </row>
    <row r="166" spans="1:8" s="26" customFormat="1" ht="33.75" customHeight="1">
      <c r="A166" s="82"/>
      <c r="B166" s="110" t="s">
        <v>4</v>
      </c>
      <c r="C166" s="46" t="s">
        <v>72</v>
      </c>
      <c r="D166" s="49" t="s">
        <v>16</v>
      </c>
      <c r="E166" s="49">
        <v>0.07</v>
      </c>
      <c r="F166" s="52">
        <f>F162*E166</f>
        <v>0.14</v>
      </c>
      <c r="G166" s="102"/>
      <c r="H166" s="52">
        <f>F166*G166</f>
        <v>0</v>
      </c>
    </row>
    <row r="167" spans="1:8" ht="48" customHeight="1">
      <c r="A167" s="376" t="s">
        <v>69</v>
      </c>
      <c r="B167" s="54" t="s">
        <v>142</v>
      </c>
      <c r="C167" s="55" t="s">
        <v>528</v>
      </c>
      <c r="D167" s="158" t="s">
        <v>15</v>
      </c>
      <c r="E167" s="158"/>
      <c r="F167" s="160">
        <v>1</v>
      </c>
      <c r="G167" s="160"/>
      <c r="H167" s="228">
        <f>SUM(H168:H171)</f>
        <v>0</v>
      </c>
    </row>
    <row r="168" spans="1:8" ht="24.75" customHeight="1">
      <c r="A168" s="82"/>
      <c r="B168" s="48" t="s">
        <v>4</v>
      </c>
      <c r="C168" s="46" t="s">
        <v>136</v>
      </c>
      <c r="D168" s="49" t="s">
        <v>5</v>
      </c>
      <c r="E168" s="49">
        <v>1.51</v>
      </c>
      <c r="F168" s="52">
        <f>F167*E168</f>
        <v>1.51</v>
      </c>
      <c r="G168" s="52"/>
      <c r="H168" s="377">
        <f>F168*G168</f>
        <v>0</v>
      </c>
    </row>
    <row r="169" spans="1:8" ht="26.25" customHeight="1">
      <c r="A169" s="82"/>
      <c r="B169" s="48" t="s">
        <v>4</v>
      </c>
      <c r="C169" s="46" t="s">
        <v>137</v>
      </c>
      <c r="D169" s="49" t="s">
        <v>16</v>
      </c>
      <c r="E169" s="117">
        <v>0.13</v>
      </c>
      <c r="F169" s="52">
        <f>F167*E169</f>
        <v>0.13</v>
      </c>
      <c r="G169" s="102"/>
      <c r="H169" s="52">
        <f>F169*G169</f>
        <v>0</v>
      </c>
    </row>
    <row r="170" spans="1:8" ht="33.75" customHeight="1">
      <c r="A170" s="497"/>
      <c r="B170" s="227" t="s">
        <v>2</v>
      </c>
      <c r="C170" s="496" t="s">
        <v>529</v>
      </c>
      <c r="D170" s="373" t="s">
        <v>15</v>
      </c>
      <c r="E170" s="373">
        <v>1</v>
      </c>
      <c r="F170" s="377">
        <v>1</v>
      </c>
      <c r="G170" s="377"/>
      <c r="H170" s="377">
        <f>F170*G170</f>
        <v>0</v>
      </c>
    </row>
    <row r="171" spans="1:8" ht="26.25" customHeight="1">
      <c r="A171" s="82"/>
      <c r="B171" s="110" t="s">
        <v>4</v>
      </c>
      <c r="C171" s="46" t="s">
        <v>72</v>
      </c>
      <c r="D171" s="49" t="s">
        <v>16</v>
      </c>
      <c r="E171" s="49">
        <v>0.07</v>
      </c>
      <c r="F171" s="52">
        <f>F167*E171</f>
        <v>0.07</v>
      </c>
      <c r="G171" s="102"/>
      <c r="H171" s="52">
        <f>F171*G171</f>
        <v>0</v>
      </c>
    </row>
    <row r="172" spans="1:8" ht="50.25" customHeight="1">
      <c r="A172" s="376" t="s">
        <v>52</v>
      </c>
      <c r="B172" s="54" t="s">
        <v>532</v>
      </c>
      <c r="C172" s="55" t="s">
        <v>533</v>
      </c>
      <c r="D172" s="158" t="s">
        <v>15</v>
      </c>
      <c r="E172" s="158"/>
      <c r="F172" s="160">
        <v>3</v>
      </c>
      <c r="G172" s="160"/>
      <c r="H172" s="228">
        <f>SUM(H173:H176)</f>
        <v>0</v>
      </c>
    </row>
    <row r="173" spans="1:8" ht="36" customHeight="1">
      <c r="A173" s="82"/>
      <c r="B173" s="45" t="s">
        <v>4</v>
      </c>
      <c r="C173" s="46" t="s">
        <v>136</v>
      </c>
      <c r="D173" s="49" t="s">
        <v>5</v>
      </c>
      <c r="E173" s="49">
        <v>1.59</v>
      </c>
      <c r="F173" s="52">
        <f>F172*E173</f>
        <v>4.7700000000000005</v>
      </c>
      <c r="G173" s="52"/>
      <c r="H173" s="377">
        <f>F173*G173</f>
        <v>0</v>
      </c>
    </row>
    <row r="174" spans="1:8" ht="29.25" customHeight="1">
      <c r="A174" s="82"/>
      <c r="B174" s="45" t="s">
        <v>4</v>
      </c>
      <c r="C174" s="46" t="s">
        <v>153</v>
      </c>
      <c r="D174" s="49" t="s">
        <v>16</v>
      </c>
      <c r="E174" s="52">
        <v>0.06</v>
      </c>
      <c r="F174" s="52">
        <f>F172*E174</f>
        <v>0.18</v>
      </c>
      <c r="G174" s="102"/>
      <c r="H174" s="52">
        <f>F174*G174</f>
        <v>0</v>
      </c>
    </row>
    <row r="175" spans="1:8" ht="25.5" customHeight="1">
      <c r="A175" s="82"/>
      <c r="B175" s="50" t="s">
        <v>1543</v>
      </c>
      <c r="C175" s="46" t="s">
        <v>534</v>
      </c>
      <c r="D175" s="49" t="s">
        <v>15</v>
      </c>
      <c r="E175" s="49">
        <v>1</v>
      </c>
      <c r="F175" s="52">
        <f>F172*E175</f>
        <v>3</v>
      </c>
      <c r="G175" s="52"/>
      <c r="H175" s="377">
        <f>F175*G175</f>
        <v>0</v>
      </c>
    </row>
    <row r="176" spans="1:8" ht="31.5" customHeight="1">
      <c r="A176" s="82"/>
      <c r="B176" s="45" t="s">
        <v>4</v>
      </c>
      <c r="C176" s="46" t="s">
        <v>24</v>
      </c>
      <c r="D176" s="49" t="s">
        <v>16</v>
      </c>
      <c r="E176" s="49">
        <v>0.66</v>
      </c>
      <c r="F176" s="52">
        <f>F172*E176</f>
        <v>1.98</v>
      </c>
      <c r="G176" s="102"/>
      <c r="H176" s="52">
        <f>F176*G176</f>
        <v>0</v>
      </c>
    </row>
    <row r="177" spans="1:8" ht="53.25" customHeight="1">
      <c r="A177" s="376" t="s">
        <v>83</v>
      </c>
      <c r="B177" s="378" t="s">
        <v>939</v>
      </c>
      <c r="C177" s="375" t="s">
        <v>940</v>
      </c>
      <c r="D177" s="374" t="s">
        <v>54</v>
      </c>
      <c r="E177" s="374"/>
      <c r="F177" s="137">
        <v>2</v>
      </c>
      <c r="G177" s="160"/>
      <c r="H177" s="228">
        <f>SUM(H178:H180)</f>
        <v>0</v>
      </c>
    </row>
    <row r="178" spans="1:8" ht="34.5" customHeight="1">
      <c r="A178" s="82"/>
      <c r="B178" s="45" t="s">
        <v>4</v>
      </c>
      <c r="C178" s="46" t="s">
        <v>136</v>
      </c>
      <c r="D178" s="49" t="s">
        <v>5</v>
      </c>
      <c r="E178" s="49">
        <v>0.31</v>
      </c>
      <c r="F178" s="52">
        <f>F177*E178</f>
        <v>0.62</v>
      </c>
      <c r="G178" s="52"/>
      <c r="H178" s="377">
        <f>F178*G178</f>
        <v>0</v>
      </c>
    </row>
    <row r="179" spans="1:8" ht="27.75" customHeight="1">
      <c r="A179" s="82"/>
      <c r="B179" s="50" t="s">
        <v>1544</v>
      </c>
      <c r="C179" s="46" t="s">
        <v>941</v>
      </c>
      <c r="D179" s="49" t="s">
        <v>130</v>
      </c>
      <c r="E179" s="49">
        <v>1</v>
      </c>
      <c r="F179" s="52">
        <f>F177*E179</f>
        <v>2</v>
      </c>
      <c r="G179" s="52"/>
      <c r="H179" s="52">
        <f>F179*G179</f>
        <v>0</v>
      </c>
    </row>
    <row r="180" spans="1:8" ht="30" customHeight="1">
      <c r="A180" s="82"/>
      <c r="B180" s="45" t="s">
        <v>4</v>
      </c>
      <c r="C180" s="46" t="s">
        <v>24</v>
      </c>
      <c r="D180" s="49" t="s">
        <v>16</v>
      </c>
      <c r="E180" s="49">
        <v>0.04</v>
      </c>
      <c r="F180" s="52">
        <f>F177*E180</f>
        <v>0.08</v>
      </c>
      <c r="G180" s="102"/>
      <c r="H180" s="52">
        <f>F180*G180</f>
        <v>0</v>
      </c>
    </row>
    <row r="181" spans="1:8" ht="53.25" customHeight="1">
      <c r="A181" s="376" t="s">
        <v>70</v>
      </c>
      <c r="B181" s="54" t="s">
        <v>566</v>
      </c>
      <c r="C181" s="55" t="s">
        <v>1534</v>
      </c>
      <c r="D181" s="55" t="s">
        <v>20</v>
      </c>
      <c r="E181" s="46"/>
      <c r="F181" s="70">
        <v>2.4</v>
      </c>
      <c r="G181" s="47"/>
      <c r="H181" s="380">
        <f>SUM(H182:H186)</f>
        <v>0</v>
      </c>
    </row>
    <row r="182" spans="1:8" ht="28.5" customHeight="1">
      <c r="A182" s="82"/>
      <c r="B182" s="45" t="s">
        <v>4</v>
      </c>
      <c r="C182" s="46" t="s">
        <v>136</v>
      </c>
      <c r="D182" s="46" t="s">
        <v>5</v>
      </c>
      <c r="E182" s="46">
        <v>13.8</v>
      </c>
      <c r="F182" s="47">
        <f>E182*F181</f>
        <v>33.12</v>
      </c>
      <c r="G182" s="47"/>
      <c r="H182" s="222">
        <f>F182*G182</f>
        <v>0</v>
      </c>
    </row>
    <row r="183" spans="1:8" ht="26.25" customHeight="1">
      <c r="A183" s="82"/>
      <c r="B183" s="45" t="s">
        <v>4</v>
      </c>
      <c r="C183" s="46" t="s">
        <v>137</v>
      </c>
      <c r="D183" s="46" t="s">
        <v>16</v>
      </c>
      <c r="E183" s="46">
        <v>0.17</v>
      </c>
      <c r="F183" s="47">
        <f>E183*F181</f>
        <v>0.40800000000000003</v>
      </c>
      <c r="G183" s="102"/>
      <c r="H183" s="47">
        <f>F183*G183</f>
        <v>0</v>
      </c>
    </row>
    <row r="184" spans="1:8" ht="28.5" customHeight="1">
      <c r="A184" s="82"/>
      <c r="B184" s="50" t="s">
        <v>1553</v>
      </c>
      <c r="C184" s="46" t="s">
        <v>1535</v>
      </c>
      <c r="D184" s="49" t="s">
        <v>567</v>
      </c>
      <c r="E184" s="49">
        <v>1.25</v>
      </c>
      <c r="F184" s="52">
        <f>F181*E184</f>
        <v>3</v>
      </c>
      <c r="G184" s="52"/>
      <c r="H184" s="52">
        <f>F184*G184</f>
        <v>0</v>
      </c>
    </row>
    <row r="185" spans="1:8" ht="27.75" customHeight="1">
      <c r="A185" s="82"/>
      <c r="B185" s="50" t="s">
        <v>1555</v>
      </c>
      <c r="C185" s="46" t="s">
        <v>1554</v>
      </c>
      <c r="D185" s="46" t="s">
        <v>15</v>
      </c>
      <c r="E185" s="49" t="s">
        <v>179</v>
      </c>
      <c r="F185" s="52">
        <v>3</v>
      </c>
      <c r="G185" s="52"/>
      <c r="H185" s="52">
        <f>F185*G185</f>
        <v>0</v>
      </c>
    </row>
    <row r="186" spans="1:8" ht="26.25" customHeight="1">
      <c r="A186" s="82"/>
      <c r="B186" s="45" t="s">
        <v>4</v>
      </c>
      <c r="C186" s="46" t="s">
        <v>24</v>
      </c>
      <c r="D186" s="46" t="s">
        <v>16</v>
      </c>
      <c r="E186" s="46">
        <v>0.9</v>
      </c>
      <c r="F186" s="47">
        <f>E186*F181</f>
        <v>2.16</v>
      </c>
      <c r="G186" s="102"/>
      <c r="H186" s="47">
        <f>F186*G186</f>
        <v>0</v>
      </c>
    </row>
    <row r="187" spans="1:8" ht="30.75" customHeight="1">
      <c r="A187" s="72"/>
      <c r="B187" s="48"/>
      <c r="C187" s="55" t="s">
        <v>89</v>
      </c>
      <c r="D187" s="55" t="s">
        <v>16</v>
      </c>
      <c r="E187" s="46"/>
      <c r="F187" s="47"/>
      <c r="G187" s="46"/>
      <c r="H187" s="228">
        <f>H53+H58+H63+H69+H74+H79+H84+H89+H94+H104+H114+H124+H132+H137+H142+H147+H152+H157+H162+H167+H172+H177+H181</f>
        <v>0</v>
      </c>
    </row>
    <row r="188" spans="1:8" ht="33" customHeight="1">
      <c r="A188" s="82"/>
      <c r="B188" s="48"/>
      <c r="C188" s="46" t="s">
        <v>227</v>
      </c>
      <c r="D188" s="46" t="s">
        <v>16</v>
      </c>
      <c r="E188" s="46"/>
      <c r="F188" s="53">
        <v>0.12</v>
      </c>
      <c r="G188" s="46"/>
      <c r="H188" s="52">
        <f>H187*F188</f>
        <v>0</v>
      </c>
    </row>
    <row r="189" spans="1:8" ht="25.5" customHeight="1">
      <c r="A189" s="82"/>
      <c r="B189" s="54"/>
      <c r="C189" s="55" t="s">
        <v>127</v>
      </c>
      <c r="D189" s="55" t="s">
        <v>16</v>
      </c>
      <c r="E189" s="55"/>
      <c r="F189" s="55"/>
      <c r="G189" s="55"/>
      <c r="H189" s="160">
        <f>H187+H188</f>
        <v>0</v>
      </c>
    </row>
    <row r="190" spans="1:8" ht="26.25" customHeight="1">
      <c r="A190" s="82"/>
      <c r="B190" s="48"/>
      <c r="C190" s="46" t="s">
        <v>39</v>
      </c>
      <c r="D190" s="46" t="s">
        <v>16</v>
      </c>
      <c r="E190" s="46"/>
      <c r="F190" s="53">
        <v>0.08</v>
      </c>
      <c r="G190" s="46"/>
      <c r="H190" s="52">
        <f>H189*F190</f>
        <v>0</v>
      </c>
    </row>
    <row r="191" spans="1:8" ht="31.5" customHeight="1">
      <c r="A191" s="81"/>
      <c r="B191" s="54"/>
      <c r="C191" s="55" t="s">
        <v>824</v>
      </c>
      <c r="D191" s="55" t="s">
        <v>16</v>
      </c>
      <c r="E191" s="55"/>
      <c r="F191" s="162"/>
      <c r="G191" s="55"/>
      <c r="H191" s="160">
        <f>SUM(H189:H190)</f>
        <v>0</v>
      </c>
    </row>
    <row r="192" spans="1:8" ht="62.25" customHeight="1">
      <c r="A192" s="72"/>
      <c r="B192" s="54"/>
      <c r="C192" s="363" t="s">
        <v>1607</v>
      </c>
      <c r="D192" s="55" t="s">
        <v>16</v>
      </c>
      <c r="E192" s="55"/>
      <c r="F192" s="162"/>
      <c r="G192" s="55"/>
      <c r="H192" s="160">
        <f>H191+H51</f>
        <v>0</v>
      </c>
    </row>
    <row r="193" spans="1:8" ht="15.75">
      <c r="A193" s="14"/>
      <c r="B193" s="15"/>
      <c r="C193" s="1"/>
      <c r="D193" s="1"/>
      <c r="E193" s="1"/>
      <c r="F193" s="1"/>
      <c r="G193" s="1"/>
      <c r="H193" s="11"/>
    </row>
    <row r="194" spans="1:8" ht="160.5" customHeight="1">
      <c r="A194" s="693" t="s">
        <v>1671</v>
      </c>
      <c r="B194" s="693"/>
      <c r="C194" s="693"/>
      <c r="D194" s="693"/>
      <c r="E194" s="693"/>
      <c r="F194" s="693"/>
      <c r="G194" s="693"/>
      <c r="H194" s="693"/>
    </row>
    <row r="195" spans="1:8" ht="13.5">
      <c r="A195" s="13"/>
      <c r="B195" s="15"/>
      <c r="C195" s="63"/>
      <c r="D195" s="659"/>
      <c r="E195" s="659"/>
      <c r="F195" s="659"/>
      <c r="G195" s="34"/>
      <c r="H195" s="7"/>
    </row>
    <row r="196" spans="1:8" ht="15.75">
      <c r="A196" s="14"/>
      <c r="B196" s="15"/>
      <c r="C196" s="1"/>
      <c r="D196" s="1"/>
      <c r="E196" s="1"/>
      <c r="F196" s="1"/>
      <c r="G196" s="1"/>
      <c r="H196" s="11"/>
    </row>
    <row r="197" spans="1:8" ht="15.75">
      <c r="A197" s="14"/>
      <c r="B197" s="15"/>
      <c r="C197" s="1"/>
      <c r="D197" s="1"/>
      <c r="E197" s="1"/>
      <c r="F197" s="1"/>
      <c r="G197" s="1"/>
      <c r="H197" s="11"/>
    </row>
    <row r="198" spans="1:8" ht="15.75">
      <c r="A198" s="14"/>
      <c r="B198" s="15"/>
      <c r="C198" s="1"/>
      <c r="D198" s="1"/>
      <c r="E198" s="1"/>
      <c r="F198" s="1"/>
      <c r="G198" s="1"/>
      <c r="H198" s="11"/>
    </row>
    <row r="199" spans="1:8" ht="15.75">
      <c r="A199" s="14"/>
      <c r="B199" s="15"/>
      <c r="C199" s="1"/>
      <c r="D199" s="1"/>
      <c r="E199" s="1"/>
      <c r="F199" s="1"/>
      <c r="G199" s="1"/>
      <c r="H199" s="11"/>
    </row>
    <row r="200" spans="1:8" ht="15.75">
      <c r="A200" s="14"/>
      <c r="B200" s="15"/>
      <c r="C200" s="1"/>
      <c r="D200" s="1"/>
      <c r="E200" s="1"/>
      <c r="F200" s="1"/>
      <c r="G200" s="1"/>
      <c r="H200" s="11"/>
    </row>
    <row r="201" spans="1:8" ht="15.75">
      <c r="A201" s="14"/>
      <c r="B201" s="15"/>
      <c r="C201" s="1"/>
      <c r="D201" s="1"/>
      <c r="E201" s="1"/>
      <c r="F201" s="1"/>
      <c r="G201" s="1"/>
      <c r="H201" s="11"/>
    </row>
    <row r="202" spans="1:8" ht="15.75">
      <c r="A202" s="14"/>
      <c r="B202" s="15"/>
      <c r="C202" s="1"/>
      <c r="D202" s="1"/>
      <c r="E202" s="1"/>
      <c r="F202" s="1"/>
      <c r="G202" s="1"/>
      <c r="H202" s="11"/>
    </row>
    <row r="203" spans="1:8" ht="15.75">
      <c r="A203" s="14"/>
      <c r="B203" s="15"/>
      <c r="C203" s="1"/>
      <c r="D203" s="1"/>
      <c r="E203" s="1"/>
      <c r="F203" s="1"/>
      <c r="G203" s="1"/>
      <c r="H203" s="11"/>
    </row>
    <row r="204" spans="1:8" ht="15.75">
      <c r="A204" s="14"/>
      <c r="B204" s="15"/>
      <c r="C204" s="1"/>
      <c r="D204" s="1"/>
      <c r="E204" s="1"/>
      <c r="F204" s="1"/>
      <c r="G204" s="1"/>
      <c r="H204" s="11"/>
    </row>
  </sheetData>
  <sheetProtection/>
  <protectedRanges>
    <protectedRange sqref="G27" name="Range1_2_1"/>
    <protectedRange sqref="G28 G30:G34" name="Range1_2_4"/>
  </protectedRanges>
  <autoFilter ref="A6:K192"/>
  <mergeCells count="12">
    <mergeCell ref="E4:F4"/>
    <mergeCell ref="G4:H4"/>
    <mergeCell ref="A194:H194"/>
    <mergeCell ref="D195:F195"/>
    <mergeCell ref="A4:A5"/>
    <mergeCell ref="B4:B5"/>
    <mergeCell ref="B52:D52"/>
    <mergeCell ref="A1:H1"/>
    <mergeCell ref="A2:H2"/>
    <mergeCell ref="A3:H3"/>
    <mergeCell ref="C4:C5"/>
    <mergeCell ref="D4:D5"/>
  </mergeCells>
  <printOptions/>
  <pageMargins left="0.6" right="0.51" top="0.2" bottom="0.49" header="0.16"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K94"/>
  <sheetViews>
    <sheetView zoomScalePageLayoutView="0" workbookViewId="0" topLeftCell="A1">
      <selection activeCell="C5" sqref="C5:C6"/>
    </sheetView>
  </sheetViews>
  <sheetFormatPr defaultColWidth="9.140625" defaultRowHeight="12.75"/>
  <cols>
    <col min="1" max="1" width="4.140625" style="145" customWidth="1"/>
    <col min="2" max="2" width="9.8515625" style="146" customWidth="1"/>
    <col min="3" max="3" width="41.421875" style="204" customWidth="1"/>
    <col min="4" max="4" width="6.7109375" style="204" customWidth="1"/>
    <col min="5" max="5" width="7.140625" style="204" customWidth="1"/>
    <col min="6" max="6" width="6.57421875" style="204" customWidth="1"/>
    <col min="7" max="7" width="6.8515625" style="204" customWidth="1"/>
    <col min="8" max="8" width="9.421875" style="203" customWidth="1"/>
    <col min="9" max="9" width="9.00390625" style="203" hidden="1" customWidth="1"/>
    <col min="10" max="10" width="10.57421875" style="106" hidden="1" customWidth="1"/>
    <col min="11" max="11" width="7.57421875" style="204" hidden="1" customWidth="1"/>
    <col min="12" max="12" width="9.140625" style="204" hidden="1" customWidth="1"/>
    <col min="13" max="14" width="0" style="204" hidden="1" customWidth="1"/>
    <col min="15" max="15" width="14.57421875" style="204" customWidth="1"/>
    <col min="16" max="16384" width="9.140625" style="204" customWidth="1"/>
  </cols>
  <sheetData>
    <row r="1" spans="1:10" ht="31.5" customHeight="1">
      <c r="A1" s="697" t="str">
        <f>'ლრ.ხ #2-2'!A1:H1</f>
        <v>qobuleTis municipalitetis sofel xucubanSi sajaro skolis Zveli korpusebis demontaJi da axali skolis Senobis mSenebloba</v>
      </c>
      <c r="B1" s="662"/>
      <c r="C1" s="662"/>
      <c r="D1" s="662"/>
      <c r="E1" s="662"/>
      <c r="F1" s="662"/>
      <c r="G1" s="662"/>
      <c r="H1" s="662"/>
      <c r="I1" s="204"/>
      <c r="J1" s="202"/>
    </row>
    <row r="2" spans="1:10" ht="18.75" customHeight="1">
      <c r="A2" s="662" t="s">
        <v>720</v>
      </c>
      <c r="B2" s="662"/>
      <c r="C2" s="662"/>
      <c r="D2" s="662"/>
      <c r="E2" s="662"/>
      <c r="F2" s="662"/>
      <c r="G2" s="662"/>
      <c r="H2" s="662"/>
      <c r="I2" s="204"/>
      <c r="J2" s="202"/>
    </row>
    <row r="3" spans="1:10" ht="6.75" customHeight="1">
      <c r="A3" s="662"/>
      <c r="B3" s="662"/>
      <c r="C3" s="662"/>
      <c r="D3" s="662"/>
      <c r="E3" s="662"/>
      <c r="F3" s="662"/>
      <c r="G3" s="662"/>
      <c r="H3" s="662"/>
      <c r="I3" s="204"/>
      <c r="J3" s="202"/>
    </row>
    <row r="4" spans="1:10" ht="30" customHeight="1">
      <c r="A4" s="662" t="s">
        <v>951</v>
      </c>
      <c r="B4" s="662"/>
      <c r="C4" s="662"/>
      <c r="D4" s="662"/>
      <c r="E4" s="662"/>
      <c r="F4" s="662"/>
      <c r="G4" s="662"/>
      <c r="H4" s="662"/>
      <c r="I4" s="204"/>
      <c r="J4" s="202"/>
    </row>
    <row r="5" spans="1:11" ht="31.5" customHeight="1">
      <c r="A5" s="680" t="s">
        <v>7</v>
      </c>
      <c r="B5" s="668" t="s">
        <v>8</v>
      </c>
      <c r="C5" s="681" t="s">
        <v>9</v>
      </c>
      <c r="D5" s="678" t="s">
        <v>6</v>
      </c>
      <c r="E5" s="679" t="s">
        <v>10</v>
      </c>
      <c r="F5" s="679"/>
      <c r="G5" s="679" t="s">
        <v>1</v>
      </c>
      <c r="H5" s="679"/>
      <c r="I5" s="74"/>
      <c r="J5" s="205"/>
      <c r="K5" s="74"/>
    </row>
    <row r="6" spans="1:11" ht="54" customHeight="1">
      <c r="A6" s="680"/>
      <c r="B6" s="668"/>
      <c r="C6" s="681"/>
      <c r="D6" s="678"/>
      <c r="E6" s="184" t="s">
        <v>11</v>
      </c>
      <c r="F6" s="184" t="s">
        <v>12</v>
      </c>
      <c r="G6" s="184" t="s">
        <v>11</v>
      </c>
      <c r="H6" s="185" t="s">
        <v>12</v>
      </c>
      <c r="I6" s="140"/>
      <c r="J6" s="76"/>
      <c r="K6" s="74"/>
    </row>
    <row r="7" spans="1:11" s="141" customFormat="1" ht="24" customHeight="1">
      <c r="A7" s="376" t="s">
        <v>13</v>
      </c>
      <c r="B7" s="376">
        <v>2</v>
      </c>
      <c r="C7" s="375">
        <v>3</v>
      </c>
      <c r="D7" s="375">
        <v>4</v>
      </c>
      <c r="E7" s="375">
        <v>5</v>
      </c>
      <c r="F7" s="375">
        <v>6</v>
      </c>
      <c r="G7" s="375">
        <v>7</v>
      </c>
      <c r="H7" s="221">
        <v>8</v>
      </c>
      <c r="I7" s="75"/>
      <c r="J7" s="75"/>
      <c r="K7" s="65"/>
    </row>
    <row r="8" spans="1:11" s="141" customFormat="1" ht="30.75" customHeight="1">
      <c r="A8" s="497"/>
      <c r="B8" s="224"/>
      <c r="C8" s="318" t="s">
        <v>650</v>
      </c>
      <c r="D8" s="496"/>
      <c r="E8" s="496"/>
      <c r="F8" s="222"/>
      <c r="G8" s="222"/>
      <c r="H8" s="213"/>
      <c r="I8" s="75"/>
      <c r="J8" s="75"/>
      <c r="K8" s="65"/>
    </row>
    <row r="9" spans="1:11" s="141" customFormat="1" ht="35.25" customHeight="1">
      <c r="A9" s="221">
        <v>1</v>
      </c>
      <c r="B9" s="378" t="s">
        <v>36</v>
      </c>
      <c r="C9" s="375" t="s">
        <v>121</v>
      </c>
      <c r="D9" s="375" t="s">
        <v>20</v>
      </c>
      <c r="E9" s="229"/>
      <c r="F9" s="226">
        <v>7.2</v>
      </c>
      <c r="G9" s="226"/>
      <c r="H9" s="380">
        <f>H10</f>
        <v>0</v>
      </c>
      <c r="I9" s="75"/>
      <c r="J9" s="75"/>
      <c r="K9" s="65"/>
    </row>
    <row r="10" spans="1:11" s="141" customFormat="1" ht="36.75" customHeight="1">
      <c r="A10" s="497"/>
      <c r="B10" s="224" t="s">
        <v>4</v>
      </c>
      <c r="C10" s="496" t="s">
        <v>136</v>
      </c>
      <c r="D10" s="496" t="s">
        <v>5</v>
      </c>
      <c r="E10" s="496">
        <v>2.06</v>
      </c>
      <c r="F10" s="222">
        <f>E10*F9</f>
        <v>14.832</v>
      </c>
      <c r="G10" s="222"/>
      <c r="H10" s="222">
        <f>F10*G10</f>
        <v>0</v>
      </c>
      <c r="I10" s="75"/>
      <c r="J10" s="75"/>
      <c r="K10" s="65"/>
    </row>
    <row r="11" spans="1:11" s="141" customFormat="1" ht="48.75" customHeight="1">
      <c r="A11" s="376" t="s">
        <v>41</v>
      </c>
      <c r="B11" s="378" t="s">
        <v>73</v>
      </c>
      <c r="C11" s="375" t="s">
        <v>126</v>
      </c>
      <c r="D11" s="375" t="s">
        <v>20</v>
      </c>
      <c r="E11" s="229"/>
      <c r="F11" s="226">
        <f>F9</f>
        <v>7.2</v>
      </c>
      <c r="G11" s="226"/>
      <c r="H11" s="380">
        <f>H12</f>
        <v>0</v>
      </c>
      <c r="I11" s="75"/>
      <c r="J11" s="75"/>
      <c r="K11" s="65"/>
    </row>
    <row r="12" spans="1:11" s="141" customFormat="1" ht="33.75" customHeight="1">
      <c r="A12" s="497"/>
      <c r="B12" s="224" t="s">
        <v>4</v>
      </c>
      <c r="C12" s="496" t="s">
        <v>148</v>
      </c>
      <c r="D12" s="496" t="s">
        <v>5</v>
      </c>
      <c r="E12" s="496">
        <v>1.21</v>
      </c>
      <c r="F12" s="222">
        <f>E12*F11</f>
        <v>8.712</v>
      </c>
      <c r="G12" s="222"/>
      <c r="H12" s="222">
        <f>F12*G12</f>
        <v>0</v>
      </c>
      <c r="I12" s="75"/>
      <c r="J12" s="75"/>
      <c r="K12" s="65"/>
    </row>
    <row r="13" spans="1:11" s="141" customFormat="1" ht="46.5" customHeight="1">
      <c r="A13" s="320">
        <v>6</v>
      </c>
      <c r="B13" s="378" t="s">
        <v>655</v>
      </c>
      <c r="C13" s="321" t="s">
        <v>656</v>
      </c>
      <c r="D13" s="321" t="s">
        <v>20</v>
      </c>
      <c r="E13" s="321"/>
      <c r="F13" s="464">
        <f>F11</f>
        <v>7.2</v>
      </c>
      <c r="G13" s="464"/>
      <c r="H13" s="334">
        <f>H14+H15</f>
        <v>0</v>
      </c>
      <c r="I13" s="75"/>
      <c r="J13" s="75"/>
      <c r="K13" s="65"/>
    </row>
    <row r="14" spans="1:11" s="141" customFormat="1" ht="33" customHeight="1">
      <c r="A14" s="497"/>
      <c r="B14" s="224" t="s">
        <v>4</v>
      </c>
      <c r="C14" s="496" t="s">
        <v>136</v>
      </c>
      <c r="D14" s="496" t="s">
        <v>5</v>
      </c>
      <c r="E14" s="496">
        <v>0.134</v>
      </c>
      <c r="F14" s="222">
        <f>F13*E14</f>
        <v>0.9648000000000001</v>
      </c>
      <c r="G14" s="222"/>
      <c r="H14" s="222">
        <f>G14*F14</f>
        <v>0</v>
      </c>
      <c r="I14" s="75"/>
      <c r="J14" s="75"/>
      <c r="K14" s="65"/>
    </row>
    <row r="15" spans="1:11" s="141" customFormat="1" ht="33" customHeight="1">
      <c r="A15" s="317"/>
      <c r="B15" s="317" t="s">
        <v>657</v>
      </c>
      <c r="C15" s="317" t="s">
        <v>658</v>
      </c>
      <c r="D15" s="317" t="s">
        <v>23</v>
      </c>
      <c r="E15" s="317">
        <v>0.13</v>
      </c>
      <c r="F15" s="460">
        <f>E15*F13</f>
        <v>0.936</v>
      </c>
      <c r="G15" s="460"/>
      <c r="H15" s="317">
        <f>F15*G15</f>
        <v>0</v>
      </c>
      <c r="I15" s="75"/>
      <c r="J15" s="75"/>
      <c r="K15" s="65"/>
    </row>
    <row r="16" spans="1:11" s="141" customFormat="1" ht="32.25" customHeight="1">
      <c r="A16" s="376"/>
      <c r="B16" s="378"/>
      <c r="C16" s="375" t="s">
        <v>253</v>
      </c>
      <c r="D16" s="375" t="s">
        <v>16</v>
      </c>
      <c r="E16" s="375"/>
      <c r="F16" s="226"/>
      <c r="G16" s="226"/>
      <c r="H16" s="226">
        <f>H9+H11+H13</f>
        <v>0</v>
      </c>
      <c r="I16" s="75"/>
      <c r="J16" s="75"/>
      <c r="K16" s="65"/>
    </row>
    <row r="17" spans="1:11" s="141" customFormat="1" ht="30" customHeight="1">
      <c r="A17" s="82"/>
      <c r="B17" s="48"/>
      <c r="C17" s="46" t="s">
        <v>227</v>
      </c>
      <c r="D17" s="46" t="s">
        <v>16</v>
      </c>
      <c r="E17" s="46"/>
      <c r="F17" s="53">
        <v>0.1</v>
      </c>
      <c r="G17" s="47"/>
      <c r="H17" s="52">
        <f>H16*F17</f>
        <v>0</v>
      </c>
      <c r="I17" s="75"/>
      <c r="J17" s="75"/>
      <c r="K17" s="65"/>
    </row>
    <row r="18" spans="1:11" s="141" customFormat="1" ht="30" customHeight="1">
      <c r="A18" s="82"/>
      <c r="B18" s="54"/>
      <c r="C18" s="55" t="s">
        <v>127</v>
      </c>
      <c r="D18" s="55" t="s">
        <v>16</v>
      </c>
      <c r="E18" s="55"/>
      <c r="F18" s="55"/>
      <c r="G18" s="70"/>
      <c r="H18" s="160">
        <f>H16+H17</f>
        <v>0</v>
      </c>
      <c r="I18" s="75"/>
      <c r="J18" s="75"/>
      <c r="K18" s="65"/>
    </row>
    <row r="19" spans="1:11" s="141" customFormat="1" ht="27" customHeight="1">
      <c r="A19" s="82"/>
      <c r="B19" s="48"/>
      <c r="C19" s="46" t="s">
        <v>39</v>
      </c>
      <c r="D19" s="46" t="s">
        <v>16</v>
      </c>
      <c r="E19" s="46"/>
      <c r="F19" s="53">
        <v>0.08</v>
      </c>
      <c r="G19" s="47"/>
      <c r="H19" s="52">
        <f>H18*F19</f>
        <v>0</v>
      </c>
      <c r="I19" s="75"/>
      <c r="J19" s="75"/>
      <c r="K19" s="65"/>
    </row>
    <row r="20" spans="1:11" s="141" customFormat="1" ht="30.75" customHeight="1">
      <c r="A20" s="497"/>
      <c r="B20" s="224"/>
      <c r="C20" s="375" t="s">
        <v>659</v>
      </c>
      <c r="D20" s="375" t="s">
        <v>16</v>
      </c>
      <c r="E20" s="496"/>
      <c r="F20" s="222"/>
      <c r="G20" s="222"/>
      <c r="H20" s="226">
        <f>SUM(H18:H19)</f>
        <v>0</v>
      </c>
      <c r="I20" s="75"/>
      <c r="J20" s="75"/>
      <c r="K20" s="65"/>
    </row>
    <row r="21" spans="1:11" s="141" customFormat="1" ht="24" customHeight="1">
      <c r="A21" s="226"/>
      <c r="B21" s="378"/>
      <c r="C21" s="375" t="s">
        <v>660</v>
      </c>
      <c r="D21" s="375"/>
      <c r="E21" s="375"/>
      <c r="F21" s="375"/>
      <c r="G21" s="226"/>
      <c r="H21" s="221"/>
      <c r="I21" s="75"/>
      <c r="J21" s="75"/>
      <c r="K21" s="65"/>
    </row>
    <row r="22" spans="1:11" s="141" customFormat="1" ht="47.25" customHeight="1">
      <c r="A22" s="221">
        <v>1</v>
      </c>
      <c r="B22" s="378" t="s">
        <v>124</v>
      </c>
      <c r="C22" s="375" t="s">
        <v>651</v>
      </c>
      <c r="D22" s="375" t="s">
        <v>22</v>
      </c>
      <c r="E22" s="375"/>
      <c r="F22" s="226">
        <v>25</v>
      </c>
      <c r="G22" s="226"/>
      <c r="H22" s="380">
        <f>SUM(H23:H25)</f>
        <v>0</v>
      </c>
      <c r="I22" s="75"/>
      <c r="J22" s="75"/>
      <c r="K22" s="65"/>
    </row>
    <row r="23" spans="1:11" s="141" customFormat="1" ht="24.75" customHeight="1">
      <c r="A23" s="497"/>
      <c r="B23" s="224" t="s">
        <v>4</v>
      </c>
      <c r="C23" s="496" t="s">
        <v>136</v>
      </c>
      <c r="D23" s="496" t="s">
        <v>5</v>
      </c>
      <c r="E23" s="496">
        <v>0.139</v>
      </c>
      <c r="F23" s="222">
        <v>1.3900000000000001</v>
      </c>
      <c r="G23" s="222"/>
      <c r="H23" s="222">
        <f>F23*G23</f>
        <v>0</v>
      </c>
      <c r="I23" s="75"/>
      <c r="J23" s="75"/>
      <c r="K23" s="65"/>
    </row>
    <row r="24" spans="1:11" s="141" customFormat="1" ht="30" customHeight="1">
      <c r="A24" s="497"/>
      <c r="B24" s="227" t="s">
        <v>485</v>
      </c>
      <c r="C24" s="496" t="s">
        <v>652</v>
      </c>
      <c r="D24" s="496" t="s">
        <v>47</v>
      </c>
      <c r="E24" s="319">
        <v>0.99</v>
      </c>
      <c r="F24" s="222">
        <v>10.2</v>
      </c>
      <c r="G24" s="222"/>
      <c r="H24" s="222">
        <f>F24*G24</f>
        <v>0</v>
      </c>
      <c r="I24" s="75"/>
      <c r="J24" s="75"/>
      <c r="K24" s="65"/>
    </row>
    <row r="25" spans="1:11" s="141" customFormat="1" ht="28.5" customHeight="1">
      <c r="A25" s="497"/>
      <c r="B25" s="224" t="s">
        <v>4</v>
      </c>
      <c r="C25" s="496" t="s">
        <v>38</v>
      </c>
      <c r="D25" s="496" t="s">
        <v>16</v>
      </c>
      <c r="E25" s="313">
        <v>0.00365</v>
      </c>
      <c r="F25" s="222">
        <v>0.0365</v>
      </c>
      <c r="G25" s="222"/>
      <c r="H25" s="222">
        <f>F25*G25</f>
        <v>0</v>
      </c>
      <c r="I25" s="75"/>
      <c r="J25" s="75"/>
      <c r="K25" s="65"/>
    </row>
    <row r="26" spans="1:11" s="141" customFormat="1" ht="54" customHeight="1">
      <c r="A26" s="221">
        <v>2</v>
      </c>
      <c r="B26" s="378" t="s">
        <v>302</v>
      </c>
      <c r="C26" s="375" t="s">
        <v>653</v>
      </c>
      <c r="D26" s="375" t="s">
        <v>303</v>
      </c>
      <c r="E26" s="375"/>
      <c r="F26" s="226">
        <v>30</v>
      </c>
      <c r="G26" s="226"/>
      <c r="H26" s="380">
        <f>H27+H28+H29+H30</f>
        <v>0</v>
      </c>
      <c r="I26" s="75"/>
      <c r="J26" s="75"/>
      <c r="K26" s="65"/>
    </row>
    <row r="27" spans="1:11" s="141" customFormat="1" ht="30" customHeight="1">
      <c r="A27" s="497"/>
      <c r="B27" s="224" t="s">
        <v>4</v>
      </c>
      <c r="C27" s="496" t="s">
        <v>136</v>
      </c>
      <c r="D27" s="496" t="s">
        <v>5</v>
      </c>
      <c r="E27" s="496">
        <v>0.05</v>
      </c>
      <c r="F27" s="377">
        <f>F26*E27</f>
        <v>1.5</v>
      </c>
      <c r="G27" s="222"/>
      <c r="H27" s="377">
        <f>G27*F27</f>
        <v>0</v>
      </c>
      <c r="I27" s="75"/>
      <c r="J27" s="75"/>
      <c r="K27" s="65"/>
    </row>
    <row r="28" spans="1:11" s="141" customFormat="1" ht="30.75" customHeight="1">
      <c r="A28" s="497"/>
      <c r="B28" s="224" t="s">
        <v>4</v>
      </c>
      <c r="C28" s="496" t="s">
        <v>106</v>
      </c>
      <c r="D28" s="496" t="s">
        <v>16</v>
      </c>
      <c r="E28" s="496">
        <v>0.0696</v>
      </c>
      <c r="F28" s="377">
        <f>F26*E28</f>
        <v>2.088</v>
      </c>
      <c r="G28" s="222"/>
      <c r="H28" s="377">
        <f>G28*F28</f>
        <v>0</v>
      </c>
      <c r="I28" s="75"/>
      <c r="J28" s="75"/>
      <c r="K28" s="65"/>
    </row>
    <row r="29" spans="1:11" s="141" customFormat="1" ht="29.25" customHeight="1">
      <c r="A29" s="497"/>
      <c r="B29" s="224" t="s">
        <v>542</v>
      </c>
      <c r="C29" s="496" t="s">
        <v>654</v>
      </c>
      <c r="D29" s="496" t="s">
        <v>14</v>
      </c>
      <c r="E29" s="496">
        <v>0.04</v>
      </c>
      <c r="F29" s="377">
        <f>E29*F26</f>
        <v>1.2</v>
      </c>
      <c r="G29" s="222"/>
      <c r="H29" s="377">
        <f>F29*G29</f>
        <v>0</v>
      </c>
      <c r="I29" s="75"/>
      <c r="J29" s="75"/>
      <c r="K29" s="65"/>
    </row>
    <row r="30" spans="1:11" s="141" customFormat="1" ht="27" customHeight="1">
      <c r="A30" s="497"/>
      <c r="B30" s="224" t="s">
        <v>4</v>
      </c>
      <c r="C30" s="496" t="s">
        <v>38</v>
      </c>
      <c r="D30" s="496" t="s">
        <v>16</v>
      </c>
      <c r="E30" s="496">
        <v>0.0005</v>
      </c>
      <c r="F30" s="377">
        <f>F26*E30</f>
        <v>0.015</v>
      </c>
      <c r="G30" s="222"/>
      <c r="H30" s="377">
        <f>G30*F30</f>
        <v>0</v>
      </c>
      <c r="I30" s="75"/>
      <c r="J30" s="75"/>
      <c r="K30" s="65"/>
    </row>
    <row r="31" spans="1:11" s="141" customFormat="1" ht="62.25" customHeight="1">
      <c r="A31" s="221">
        <v>3</v>
      </c>
      <c r="B31" s="378" t="s">
        <v>648</v>
      </c>
      <c r="C31" s="375" t="s">
        <v>649</v>
      </c>
      <c r="D31" s="375" t="s">
        <v>303</v>
      </c>
      <c r="E31" s="375"/>
      <c r="F31" s="226">
        <v>30</v>
      </c>
      <c r="G31" s="226"/>
      <c r="H31" s="380">
        <f>H32+H33+H34+H35</f>
        <v>0</v>
      </c>
      <c r="I31" s="75"/>
      <c r="J31" s="75"/>
      <c r="K31" s="65"/>
    </row>
    <row r="32" spans="1:11" s="141" customFormat="1" ht="30" customHeight="1">
      <c r="A32" s="497"/>
      <c r="B32" s="224" t="s">
        <v>4</v>
      </c>
      <c r="C32" s="496" t="s">
        <v>136</v>
      </c>
      <c r="D32" s="496" t="s">
        <v>5</v>
      </c>
      <c r="E32" s="496">
        <v>0.02</v>
      </c>
      <c r="F32" s="377">
        <f>F31*E32</f>
        <v>0.6</v>
      </c>
      <c r="G32" s="222"/>
      <c r="H32" s="377">
        <f>G32*F32</f>
        <v>0</v>
      </c>
      <c r="I32" s="75"/>
      <c r="J32" s="75"/>
      <c r="K32" s="65"/>
    </row>
    <row r="33" spans="1:11" s="141" customFormat="1" ht="30" customHeight="1">
      <c r="A33" s="497"/>
      <c r="B33" s="224" t="s">
        <v>4</v>
      </c>
      <c r="C33" s="496" t="s">
        <v>106</v>
      </c>
      <c r="D33" s="496" t="s">
        <v>16</v>
      </c>
      <c r="E33" s="496">
        <v>0.0199</v>
      </c>
      <c r="F33" s="377">
        <f>F31*E33</f>
        <v>0.597</v>
      </c>
      <c r="G33" s="222"/>
      <c r="H33" s="377">
        <f>G33*F33</f>
        <v>0</v>
      </c>
      <c r="I33" s="75"/>
      <c r="J33" s="75"/>
      <c r="K33" s="65"/>
    </row>
    <row r="34" spans="1:11" s="141" customFormat="1" ht="30" customHeight="1">
      <c r="A34" s="497"/>
      <c r="B34" s="224" t="s">
        <v>2</v>
      </c>
      <c r="C34" s="496" t="s">
        <v>305</v>
      </c>
      <c r="D34" s="496" t="s">
        <v>22</v>
      </c>
      <c r="E34" s="496">
        <v>1</v>
      </c>
      <c r="F34" s="377">
        <f>F31*E34</f>
        <v>30</v>
      </c>
      <c r="G34" s="222"/>
      <c r="H34" s="377">
        <f>F34*G34</f>
        <v>0</v>
      </c>
      <c r="I34" s="75"/>
      <c r="J34" s="75"/>
      <c r="K34" s="65"/>
    </row>
    <row r="35" spans="1:11" s="141" customFormat="1" ht="30" customHeight="1">
      <c r="A35" s="497"/>
      <c r="B35" s="224" t="s">
        <v>4</v>
      </c>
      <c r="C35" s="496" t="s">
        <v>38</v>
      </c>
      <c r="D35" s="496" t="s">
        <v>16</v>
      </c>
      <c r="E35" s="496">
        <v>0.0002</v>
      </c>
      <c r="F35" s="377">
        <f>F31*E35</f>
        <v>0.006</v>
      </c>
      <c r="G35" s="222"/>
      <c r="H35" s="377">
        <f>G35*F35</f>
        <v>0</v>
      </c>
      <c r="I35" s="75"/>
      <c r="J35" s="75"/>
      <c r="K35" s="65"/>
    </row>
    <row r="36" spans="1:11" s="141" customFormat="1" ht="71.25" customHeight="1">
      <c r="A36" s="322">
        <v>4</v>
      </c>
      <c r="B36" s="378" t="s">
        <v>661</v>
      </c>
      <c r="C36" s="277" t="s">
        <v>662</v>
      </c>
      <c r="D36" s="277" t="s">
        <v>15</v>
      </c>
      <c r="E36" s="277"/>
      <c r="F36" s="323">
        <v>1</v>
      </c>
      <c r="G36" s="323"/>
      <c r="H36" s="333">
        <f>SUM(H37:H40)</f>
        <v>0</v>
      </c>
      <c r="I36" s="75"/>
      <c r="J36" s="75"/>
      <c r="K36" s="65"/>
    </row>
    <row r="37" spans="1:11" s="141" customFormat="1" ht="30" customHeight="1">
      <c r="A37" s="497"/>
      <c r="B37" s="224" t="s">
        <v>4</v>
      </c>
      <c r="C37" s="496" t="s">
        <v>136</v>
      </c>
      <c r="D37" s="496" t="s">
        <v>5</v>
      </c>
      <c r="E37" s="496">
        <v>3.17</v>
      </c>
      <c r="F37" s="222">
        <f>E37*F36</f>
        <v>3.17</v>
      </c>
      <c r="G37" s="222"/>
      <c r="H37" s="222">
        <f>G37*F37</f>
        <v>0</v>
      </c>
      <c r="I37" s="75"/>
      <c r="J37" s="75"/>
      <c r="K37" s="65"/>
    </row>
    <row r="38" spans="1:11" s="141" customFormat="1" ht="27" customHeight="1">
      <c r="A38" s="497"/>
      <c r="B38" s="224" t="s">
        <v>4</v>
      </c>
      <c r="C38" s="496" t="s">
        <v>129</v>
      </c>
      <c r="D38" s="496" t="s">
        <v>16</v>
      </c>
      <c r="E38" s="496">
        <v>0.072</v>
      </c>
      <c r="F38" s="222">
        <f>E38*F36</f>
        <v>0.072</v>
      </c>
      <c r="G38" s="222"/>
      <c r="H38" s="222">
        <f>G38*F38</f>
        <v>0</v>
      </c>
      <c r="I38" s="75"/>
      <c r="J38" s="75"/>
      <c r="K38" s="65"/>
    </row>
    <row r="39" spans="1:11" s="141" customFormat="1" ht="39" customHeight="1">
      <c r="A39" s="497"/>
      <c r="B39" s="224" t="s">
        <v>1527</v>
      </c>
      <c r="C39" s="324" t="s">
        <v>663</v>
      </c>
      <c r="D39" s="496" t="s">
        <v>15</v>
      </c>
      <c r="E39" s="373">
        <v>1</v>
      </c>
      <c r="F39" s="377">
        <v>1</v>
      </c>
      <c r="G39" s="377"/>
      <c r="H39" s="377">
        <f>F39*G39</f>
        <v>0</v>
      </c>
      <c r="I39" s="75"/>
      <c r="J39" s="75"/>
      <c r="K39" s="65"/>
    </row>
    <row r="40" spans="1:11" s="141" customFormat="1" ht="27" customHeight="1">
      <c r="A40" s="497"/>
      <c r="B40" s="224" t="s">
        <v>4</v>
      </c>
      <c r="C40" s="496" t="s">
        <v>18</v>
      </c>
      <c r="D40" s="496" t="s">
        <v>16</v>
      </c>
      <c r="E40" s="496">
        <v>0.238</v>
      </c>
      <c r="F40" s="222">
        <f>F36*E40</f>
        <v>0.238</v>
      </c>
      <c r="G40" s="222"/>
      <c r="H40" s="222">
        <f>G40*F40</f>
        <v>0</v>
      </c>
      <c r="I40" s="75"/>
      <c r="J40" s="75"/>
      <c r="K40" s="65"/>
    </row>
    <row r="41" spans="1:11" s="141" customFormat="1" ht="54" customHeight="1">
      <c r="A41" s="221">
        <v>5</v>
      </c>
      <c r="B41" s="325" t="s">
        <v>664</v>
      </c>
      <c r="C41" s="375" t="s">
        <v>948</v>
      </c>
      <c r="D41" s="375" t="s">
        <v>107</v>
      </c>
      <c r="E41" s="375"/>
      <c r="F41" s="323">
        <v>1</v>
      </c>
      <c r="G41" s="226"/>
      <c r="H41" s="380">
        <f>H42+H44+H45+H43</f>
        <v>0</v>
      </c>
      <c r="I41" s="75"/>
      <c r="J41" s="75"/>
      <c r="K41" s="65"/>
    </row>
    <row r="42" spans="1:11" s="141" customFormat="1" ht="28.5" customHeight="1">
      <c r="A42" s="497"/>
      <c r="B42" s="224" t="s">
        <v>4</v>
      </c>
      <c r="C42" s="496" t="s">
        <v>136</v>
      </c>
      <c r="D42" s="496" t="s">
        <v>5</v>
      </c>
      <c r="E42" s="496">
        <v>1</v>
      </c>
      <c r="F42" s="222">
        <f>E42*F41</f>
        <v>1</v>
      </c>
      <c r="G42" s="222"/>
      <c r="H42" s="222">
        <f>G42*F42</f>
        <v>0</v>
      </c>
      <c r="I42" s="75"/>
      <c r="J42" s="75"/>
      <c r="K42" s="65"/>
    </row>
    <row r="43" spans="1:11" s="141" customFormat="1" ht="33.75" customHeight="1">
      <c r="A43" s="497"/>
      <c r="B43" s="224" t="s">
        <v>4</v>
      </c>
      <c r="C43" s="496" t="s">
        <v>129</v>
      </c>
      <c r="D43" s="496" t="s">
        <v>16</v>
      </c>
      <c r="E43" s="496">
        <v>0.05</v>
      </c>
      <c r="F43" s="222">
        <f>E43*F41</f>
        <v>0.05</v>
      </c>
      <c r="G43" s="222"/>
      <c r="H43" s="222">
        <f>G43*F43</f>
        <v>0</v>
      </c>
      <c r="I43" s="75"/>
      <c r="J43" s="75"/>
      <c r="K43" s="65"/>
    </row>
    <row r="44" spans="1:11" s="141" customFormat="1" ht="28.5" customHeight="1">
      <c r="A44" s="497"/>
      <c r="B44" s="224" t="s">
        <v>665</v>
      </c>
      <c r="C44" s="496" t="s">
        <v>949</v>
      </c>
      <c r="D44" s="496" t="s">
        <v>15</v>
      </c>
      <c r="E44" s="373">
        <v>1</v>
      </c>
      <c r="F44" s="377">
        <f>F41*E44</f>
        <v>1</v>
      </c>
      <c r="G44" s="377"/>
      <c r="H44" s="377">
        <f>F44*G44</f>
        <v>0</v>
      </c>
      <c r="I44" s="75"/>
      <c r="J44" s="75"/>
      <c r="K44" s="65"/>
    </row>
    <row r="45" spans="1:11" s="141" customFormat="1" ht="30" customHeight="1">
      <c r="A45" s="497"/>
      <c r="B45" s="224" t="s">
        <v>4</v>
      </c>
      <c r="C45" s="496" t="s">
        <v>18</v>
      </c>
      <c r="D45" s="496" t="s">
        <v>16</v>
      </c>
      <c r="E45" s="496">
        <v>1.07</v>
      </c>
      <c r="F45" s="222">
        <f>E45*F41</f>
        <v>1.07</v>
      </c>
      <c r="G45" s="222"/>
      <c r="H45" s="222">
        <f>G45*F45</f>
        <v>0</v>
      </c>
      <c r="I45" s="75"/>
      <c r="J45" s="75"/>
      <c r="K45" s="65"/>
    </row>
    <row r="46" spans="1:11" s="141" customFormat="1" ht="53.25" customHeight="1">
      <c r="A46" s="221">
        <v>6</v>
      </c>
      <c r="B46" s="325" t="s">
        <v>664</v>
      </c>
      <c r="C46" s="375" t="s">
        <v>666</v>
      </c>
      <c r="D46" s="375" t="s">
        <v>107</v>
      </c>
      <c r="E46" s="375"/>
      <c r="F46" s="323">
        <v>6</v>
      </c>
      <c r="G46" s="226"/>
      <c r="H46" s="380">
        <f>H47+H49+H50+H48</f>
        <v>0</v>
      </c>
      <c r="I46" s="75"/>
      <c r="J46" s="75"/>
      <c r="K46" s="65"/>
    </row>
    <row r="47" spans="1:11" s="141" customFormat="1" ht="34.5" customHeight="1">
      <c r="A47" s="497"/>
      <c r="B47" s="224" t="s">
        <v>4</v>
      </c>
      <c r="C47" s="496" t="s">
        <v>136</v>
      </c>
      <c r="D47" s="496" t="s">
        <v>5</v>
      </c>
      <c r="E47" s="496">
        <v>1</v>
      </c>
      <c r="F47" s="222">
        <f>E47*F46</f>
        <v>6</v>
      </c>
      <c r="G47" s="222"/>
      <c r="H47" s="222">
        <f>G47*F47</f>
        <v>0</v>
      </c>
      <c r="I47" s="75"/>
      <c r="J47" s="75"/>
      <c r="K47" s="65"/>
    </row>
    <row r="48" spans="1:11" s="141" customFormat="1" ht="24" customHeight="1">
      <c r="A48" s="497"/>
      <c r="B48" s="224" t="s">
        <v>4</v>
      </c>
      <c r="C48" s="496" t="s">
        <v>129</v>
      </c>
      <c r="D48" s="496" t="s">
        <v>16</v>
      </c>
      <c r="E48" s="496">
        <v>0.05</v>
      </c>
      <c r="F48" s="222">
        <f>E48*F46</f>
        <v>0.30000000000000004</v>
      </c>
      <c r="G48" s="222"/>
      <c r="H48" s="222">
        <f>G48*F48</f>
        <v>0</v>
      </c>
      <c r="I48" s="75"/>
      <c r="J48" s="75"/>
      <c r="K48" s="65"/>
    </row>
    <row r="49" spans="1:11" s="141" customFormat="1" ht="28.5" customHeight="1">
      <c r="A49" s="497"/>
      <c r="B49" s="224" t="s">
        <v>1528</v>
      </c>
      <c r="C49" s="496" t="s">
        <v>667</v>
      </c>
      <c r="D49" s="496" t="s">
        <v>15</v>
      </c>
      <c r="E49" s="373">
        <v>1</v>
      </c>
      <c r="F49" s="377">
        <f>F46*E49</f>
        <v>6</v>
      </c>
      <c r="G49" s="377"/>
      <c r="H49" s="377">
        <f>F49*G49</f>
        <v>0</v>
      </c>
      <c r="I49" s="75"/>
      <c r="J49" s="75"/>
      <c r="K49" s="65"/>
    </row>
    <row r="50" spans="1:11" s="141" customFormat="1" ht="30" customHeight="1">
      <c r="A50" s="497"/>
      <c r="B50" s="224" t="s">
        <v>4</v>
      </c>
      <c r="C50" s="496" t="s">
        <v>18</v>
      </c>
      <c r="D50" s="496" t="s">
        <v>16</v>
      </c>
      <c r="E50" s="496">
        <v>1.07</v>
      </c>
      <c r="F50" s="222">
        <f>E50*F46</f>
        <v>6.42</v>
      </c>
      <c r="G50" s="222"/>
      <c r="H50" s="222">
        <f>G50*F50</f>
        <v>0</v>
      </c>
      <c r="I50" s="75"/>
      <c r="J50" s="75"/>
      <c r="K50" s="65"/>
    </row>
    <row r="51" spans="1:8" ht="54" customHeight="1">
      <c r="A51" s="221">
        <v>7</v>
      </c>
      <c r="B51" s="325" t="s">
        <v>664</v>
      </c>
      <c r="C51" s="375" t="s">
        <v>668</v>
      </c>
      <c r="D51" s="375" t="s">
        <v>107</v>
      </c>
      <c r="E51" s="375"/>
      <c r="F51" s="323">
        <v>1</v>
      </c>
      <c r="G51" s="226"/>
      <c r="H51" s="380">
        <f>H52+H54+H55+H53</f>
        <v>0</v>
      </c>
    </row>
    <row r="52" spans="1:8" ht="28.5" customHeight="1">
      <c r="A52" s="497"/>
      <c r="B52" s="224" t="s">
        <v>4</v>
      </c>
      <c r="C52" s="496" t="s">
        <v>136</v>
      </c>
      <c r="D52" s="496" t="s">
        <v>5</v>
      </c>
      <c r="E52" s="496">
        <v>1</v>
      </c>
      <c r="F52" s="222">
        <f>E52*F51</f>
        <v>1</v>
      </c>
      <c r="G52" s="222"/>
      <c r="H52" s="222">
        <f>G52*F52</f>
        <v>0</v>
      </c>
    </row>
    <row r="53" spans="1:8" ht="28.5" customHeight="1">
      <c r="A53" s="497"/>
      <c r="B53" s="224" t="s">
        <v>4</v>
      </c>
      <c r="C53" s="496" t="s">
        <v>129</v>
      </c>
      <c r="D53" s="496" t="s">
        <v>16</v>
      </c>
      <c r="E53" s="496">
        <v>0.05</v>
      </c>
      <c r="F53" s="222">
        <f>E53*F51</f>
        <v>0.05</v>
      </c>
      <c r="G53" s="222"/>
      <c r="H53" s="222">
        <f>G53*F53</f>
        <v>0</v>
      </c>
    </row>
    <row r="54" spans="1:8" ht="28.5" customHeight="1">
      <c r="A54" s="497"/>
      <c r="B54" s="224" t="s">
        <v>669</v>
      </c>
      <c r="C54" s="496" t="s">
        <v>670</v>
      </c>
      <c r="D54" s="496" t="s">
        <v>15</v>
      </c>
      <c r="E54" s="373">
        <v>1</v>
      </c>
      <c r="F54" s="377">
        <f>F51*E54</f>
        <v>1</v>
      </c>
      <c r="G54" s="377"/>
      <c r="H54" s="377">
        <f>F54*G54</f>
        <v>0</v>
      </c>
    </row>
    <row r="55" spans="1:8" ht="27" customHeight="1">
      <c r="A55" s="497"/>
      <c r="B55" s="224" t="s">
        <v>4</v>
      </c>
      <c r="C55" s="496" t="s">
        <v>18</v>
      </c>
      <c r="D55" s="496" t="s">
        <v>16</v>
      </c>
      <c r="E55" s="496">
        <v>1.07</v>
      </c>
      <c r="F55" s="222">
        <f>E55*F51</f>
        <v>1.07</v>
      </c>
      <c r="G55" s="222"/>
      <c r="H55" s="222">
        <f>G55*F55</f>
        <v>0</v>
      </c>
    </row>
    <row r="56" spans="1:8" ht="57" customHeight="1">
      <c r="A56" s="221">
        <v>8</v>
      </c>
      <c r="B56" s="378" t="s">
        <v>261</v>
      </c>
      <c r="C56" s="375" t="s">
        <v>158</v>
      </c>
      <c r="D56" s="375" t="s">
        <v>15</v>
      </c>
      <c r="E56" s="375"/>
      <c r="F56" s="226">
        <v>5</v>
      </c>
      <c r="G56" s="226"/>
      <c r="H56" s="380">
        <f>H57+H59+H60+H58</f>
        <v>0</v>
      </c>
    </row>
    <row r="57" spans="1:8" ht="28.5" customHeight="1">
      <c r="A57" s="497"/>
      <c r="B57" s="224" t="s">
        <v>4</v>
      </c>
      <c r="C57" s="496" t="s">
        <v>136</v>
      </c>
      <c r="D57" s="496" t="s">
        <v>5</v>
      </c>
      <c r="E57" s="496">
        <v>0.22</v>
      </c>
      <c r="F57" s="222">
        <f>F56*E57</f>
        <v>1.1</v>
      </c>
      <c r="G57" s="222"/>
      <c r="H57" s="222">
        <f>G57*F57</f>
        <v>0</v>
      </c>
    </row>
    <row r="58" spans="1:8" ht="27" customHeight="1">
      <c r="A58" s="497"/>
      <c r="B58" s="224" t="s">
        <v>4</v>
      </c>
      <c r="C58" s="496" t="s">
        <v>129</v>
      </c>
      <c r="D58" s="496" t="s">
        <v>23</v>
      </c>
      <c r="E58" s="225">
        <v>0.0002</v>
      </c>
      <c r="F58" s="222">
        <f>F56*E58</f>
        <v>0.001</v>
      </c>
      <c r="G58" s="222"/>
      <c r="H58" s="222">
        <f>G58*F58</f>
        <v>0</v>
      </c>
    </row>
    <row r="59" spans="1:8" ht="32.25" customHeight="1">
      <c r="A59" s="497"/>
      <c r="B59" s="224" t="s">
        <v>1460</v>
      </c>
      <c r="C59" s="496" t="s">
        <v>159</v>
      </c>
      <c r="D59" s="496" t="s">
        <v>80</v>
      </c>
      <c r="E59" s="373">
        <v>1</v>
      </c>
      <c r="F59" s="377">
        <f>E59*F56</f>
        <v>5</v>
      </c>
      <c r="G59" s="377"/>
      <c r="H59" s="377">
        <f>F59*G59</f>
        <v>0</v>
      </c>
    </row>
    <row r="60" spans="1:8" ht="24.75" customHeight="1">
      <c r="A60" s="497"/>
      <c r="B60" s="224" t="s">
        <v>4</v>
      </c>
      <c r="C60" s="496" t="s">
        <v>18</v>
      </c>
      <c r="D60" s="496" t="s">
        <v>16</v>
      </c>
      <c r="E60" s="225">
        <v>0.0828</v>
      </c>
      <c r="F60" s="222">
        <f>F56*E60</f>
        <v>0.414</v>
      </c>
      <c r="G60" s="222"/>
      <c r="H60" s="222">
        <f>F60*G60</f>
        <v>0</v>
      </c>
    </row>
    <row r="61" spans="1:8" ht="65.25" customHeight="1">
      <c r="A61" s="221">
        <v>9</v>
      </c>
      <c r="B61" s="378" t="s">
        <v>262</v>
      </c>
      <c r="C61" s="375" t="s">
        <v>160</v>
      </c>
      <c r="D61" s="375" t="s">
        <v>107</v>
      </c>
      <c r="E61" s="375"/>
      <c r="F61" s="226">
        <v>1</v>
      </c>
      <c r="G61" s="226"/>
      <c r="H61" s="380">
        <f>SUM(H62:H65)</f>
        <v>0</v>
      </c>
    </row>
    <row r="62" spans="1:8" ht="21" customHeight="1">
      <c r="A62" s="497"/>
      <c r="B62" s="224" t="s">
        <v>4</v>
      </c>
      <c r="C62" s="496" t="s">
        <v>136</v>
      </c>
      <c r="D62" s="496" t="s">
        <v>5</v>
      </c>
      <c r="E62" s="496">
        <v>0.2</v>
      </c>
      <c r="F62" s="222">
        <f>F61*E62</f>
        <v>0.2</v>
      </c>
      <c r="G62" s="222"/>
      <c r="H62" s="222">
        <f>G62*F62</f>
        <v>0</v>
      </c>
    </row>
    <row r="63" spans="1:8" ht="23.25" customHeight="1">
      <c r="A63" s="497"/>
      <c r="B63" s="224" t="s">
        <v>4</v>
      </c>
      <c r="C63" s="496" t="s">
        <v>129</v>
      </c>
      <c r="D63" s="496" t="s">
        <v>23</v>
      </c>
      <c r="E63" s="212">
        <v>0.0005</v>
      </c>
      <c r="F63" s="222">
        <f>F61*E63</f>
        <v>0.0005</v>
      </c>
      <c r="G63" s="222"/>
      <c r="H63" s="222">
        <f>G63*F63</f>
        <v>0</v>
      </c>
    </row>
    <row r="64" spans="1:8" ht="25.5" customHeight="1">
      <c r="A64" s="497"/>
      <c r="B64" s="224" t="s">
        <v>243</v>
      </c>
      <c r="C64" s="496" t="s">
        <v>75</v>
      </c>
      <c r="D64" s="496" t="s">
        <v>80</v>
      </c>
      <c r="E64" s="373">
        <v>1</v>
      </c>
      <c r="F64" s="377">
        <f>F61*E64</f>
        <v>1</v>
      </c>
      <c r="G64" s="377"/>
      <c r="H64" s="377">
        <f>F64*G64</f>
        <v>0</v>
      </c>
    </row>
    <row r="65" spans="1:8" ht="25.5" customHeight="1">
      <c r="A65" s="497"/>
      <c r="B65" s="224" t="s">
        <v>4</v>
      </c>
      <c r="C65" s="496" t="s">
        <v>18</v>
      </c>
      <c r="D65" s="496" t="s">
        <v>16</v>
      </c>
      <c r="E65" s="225">
        <v>0.0825</v>
      </c>
      <c r="F65" s="222">
        <f>F61*E65</f>
        <v>0.0825</v>
      </c>
      <c r="G65" s="222"/>
      <c r="H65" s="222">
        <f>F65*G65</f>
        <v>0</v>
      </c>
    </row>
    <row r="66" spans="1:8" ht="60">
      <c r="A66" s="376" t="s">
        <v>67</v>
      </c>
      <c r="B66" s="378" t="s">
        <v>671</v>
      </c>
      <c r="C66" s="375" t="s">
        <v>672</v>
      </c>
      <c r="D66" s="375" t="s">
        <v>107</v>
      </c>
      <c r="E66" s="375"/>
      <c r="F66" s="226">
        <v>1</v>
      </c>
      <c r="G66" s="226"/>
      <c r="H66" s="380">
        <f>SUM(H67:H70)</f>
        <v>0</v>
      </c>
    </row>
    <row r="67" spans="1:8" ht="25.5" customHeight="1">
      <c r="A67" s="497"/>
      <c r="B67" s="224" t="s">
        <v>4</v>
      </c>
      <c r="C67" s="496" t="s">
        <v>136</v>
      </c>
      <c r="D67" s="496" t="s">
        <v>5</v>
      </c>
      <c r="E67" s="496">
        <v>0.97</v>
      </c>
      <c r="F67" s="377">
        <f>F66*E67</f>
        <v>0.97</v>
      </c>
      <c r="G67" s="222"/>
      <c r="H67" s="377">
        <f>F67*G67</f>
        <v>0</v>
      </c>
    </row>
    <row r="68" spans="1:8" ht="27" customHeight="1">
      <c r="A68" s="497"/>
      <c r="B68" s="224" t="s">
        <v>4</v>
      </c>
      <c r="C68" s="496" t="s">
        <v>129</v>
      </c>
      <c r="D68" s="496" t="s">
        <v>23</v>
      </c>
      <c r="E68" s="212">
        <v>0.349</v>
      </c>
      <c r="F68" s="222">
        <f>F66*E68</f>
        <v>0.349</v>
      </c>
      <c r="G68" s="222"/>
      <c r="H68" s="222">
        <f>G68*F68</f>
        <v>0</v>
      </c>
    </row>
    <row r="69" spans="1:8" ht="27">
      <c r="A69" s="497"/>
      <c r="B69" s="224" t="s">
        <v>2</v>
      </c>
      <c r="C69" s="496" t="s">
        <v>673</v>
      </c>
      <c r="D69" s="496" t="s">
        <v>80</v>
      </c>
      <c r="E69" s="373">
        <v>1</v>
      </c>
      <c r="F69" s="377">
        <f>E69*F66</f>
        <v>1</v>
      </c>
      <c r="G69" s="377"/>
      <c r="H69" s="377">
        <f>F69*G69</f>
        <v>0</v>
      </c>
    </row>
    <row r="70" spans="1:8" ht="27.75" customHeight="1">
      <c r="A70" s="497"/>
      <c r="B70" s="224" t="s">
        <v>4</v>
      </c>
      <c r="C70" s="496" t="s">
        <v>18</v>
      </c>
      <c r="D70" s="496" t="s">
        <v>16</v>
      </c>
      <c r="E70" s="373">
        <v>0.382</v>
      </c>
      <c r="F70" s="377">
        <f>F66*E70</f>
        <v>0.382</v>
      </c>
      <c r="G70" s="222"/>
      <c r="H70" s="377">
        <f>F70*G70</f>
        <v>0</v>
      </c>
    </row>
    <row r="71" spans="1:8" ht="48">
      <c r="A71" s="376" t="s">
        <v>81</v>
      </c>
      <c r="B71" s="378" t="s">
        <v>77</v>
      </c>
      <c r="C71" s="375" t="s">
        <v>615</v>
      </c>
      <c r="D71" s="375" t="s">
        <v>22</v>
      </c>
      <c r="E71" s="375"/>
      <c r="F71" s="226">
        <v>10</v>
      </c>
      <c r="G71" s="226"/>
      <c r="H71" s="380">
        <f>SUM(H72:H74)</f>
        <v>0</v>
      </c>
    </row>
    <row r="72" spans="1:8" ht="33.75" customHeight="1">
      <c r="A72" s="497"/>
      <c r="B72" s="224" t="s">
        <v>4</v>
      </c>
      <c r="C72" s="496" t="s">
        <v>136</v>
      </c>
      <c r="D72" s="496" t="s">
        <v>5</v>
      </c>
      <c r="E72" s="496">
        <v>0.139</v>
      </c>
      <c r="F72" s="222">
        <f>F71*E72</f>
        <v>1.3900000000000001</v>
      </c>
      <c r="G72" s="222"/>
      <c r="H72" s="222">
        <f>G72*F72</f>
        <v>0</v>
      </c>
    </row>
    <row r="73" spans="1:8" ht="32.25" customHeight="1">
      <c r="A73" s="497"/>
      <c r="B73" s="224" t="s">
        <v>1529</v>
      </c>
      <c r="C73" s="496" t="s">
        <v>674</v>
      </c>
      <c r="D73" s="496" t="s">
        <v>22</v>
      </c>
      <c r="E73" s="373">
        <v>1.02</v>
      </c>
      <c r="F73" s="377">
        <f>E73*F71</f>
        <v>10.2</v>
      </c>
      <c r="G73" s="377"/>
      <c r="H73" s="377">
        <f>F73*G73</f>
        <v>0</v>
      </c>
    </row>
    <row r="74" spans="1:8" ht="30" customHeight="1">
      <c r="A74" s="497"/>
      <c r="B74" s="224" t="s">
        <v>4</v>
      </c>
      <c r="C74" s="496" t="s">
        <v>18</v>
      </c>
      <c r="D74" s="496" t="s">
        <v>16</v>
      </c>
      <c r="E74" s="225">
        <v>0.0097</v>
      </c>
      <c r="F74" s="222">
        <f>F71*E74</f>
        <v>0.097</v>
      </c>
      <c r="G74" s="222"/>
      <c r="H74" s="222">
        <f>F74*G74</f>
        <v>0</v>
      </c>
    </row>
    <row r="75" spans="1:8" ht="48">
      <c r="A75" s="376" t="s">
        <v>88</v>
      </c>
      <c r="B75" s="378" t="s">
        <v>77</v>
      </c>
      <c r="C75" s="375" t="s">
        <v>550</v>
      </c>
      <c r="D75" s="375" t="s">
        <v>22</v>
      </c>
      <c r="E75" s="375"/>
      <c r="F75" s="226">
        <v>71</v>
      </c>
      <c r="G75" s="226"/>
      <c r="H75" s="380">
        <f>SUM(H76:H78)</f>
        <v>0</v>
      </c>
    </row>
    <row r="76" spans="1:8" ht="28.5" customHeight="1">
      <c r="A76" s="497"/>
      <c r="B76" s="224" t="s">
        <v>4</v>
      </c>
      <c r="C76" s="496" t="s">
        <v>136</v>
      </c>
      <c r="D76" s="496" t="s">
        <v>5</v>
      </c>
      <c r="E76" s="496">
        <v>0.139</v>
      </c>
      <c r="F76" s="222">
        <f>F75*E76</f>
        <v>9.869000000000002</v>
      </c>
      <c r="G76" s="222"/>
      <c r="H76" s="222">
        <f>G76*F76</f>
        <v>0</v>
      </c>
    </row>
    <row r="77" spans="1:8" ht="28.5">
      <c r="A77" s="497"/>
      <c r="B77" s="224" t="s">
        <v>1530</v>
      </c>
      <c r="C77" s="496" t="s">
        <v>551</v>
      </c>
      <c r="D77" s="496" t="s">
        <v>22</v>
      </c>
      <c r="E77" s="373">
        <v>1.02</v>
      </c>
      <c r="F77" s="377">
        <f>E77*F75</f>
        <v>72.42</v>
      </c>
      <c r="G77" s="377"/>
      <c r="H77" s="377">
        <f>F77*G77</f>
        <v>0</v>
      </c>
    </row>
    <row r="78" spans="1:8" ht="24.75" customHeight="1">
      <c r="A78" s="497"/>
      <c r="B78" s="224" t="s">
        <v>4</v>
      </c>
      <c r="C78" s="496" t="s">
        <v>18</v>
      </c>
      <c r="D78" s="496" t="s">
        <v>16</v>
      </c>
      <c r="E78" s="225">
        <v>0.0097</v>
      </c>
      <c r="F78" s="222">
        <f>F75*E78</f>
        <v>0.6887</v>
      </c>
      <c r="G78" s="222"/>
      <c r="H78" s="222">
        <f>F78*G78</f>
        <v>0</v>
      </c>
    </row>
    <row r="79" spans="1:8" ht="54.75" customHeight="1">
      <c r="A79" s="71">
        <v>13</v>
      </c>
      <c r="B79" s="54" t="s">
        <v>123</v>
      </c>
      <c r="C79" s="55" t="s">
        <v>1526</v>
      </c>
      <c r="D79" s="158" t="s">
        <v>22</v>
      </c>
      <c r="E79" s="158"/>
      <c r="F79" s="160">
        <v>40</v>
      </c>
      <c r="G79" s="160"/>
      <c r="H79" s="380">
        <f>H80+H81+H82+H83</f>
        <v>0</v>
      </c>
    </row>
    <row r="80" spans="1:8" ht="22.5" customHeight="1">
      <c r="A80" s="82"/>
      <c r="B80" s="48" t="s">
        <v>4</v>
      </c>
      <c r="C80" s="46" t="s">
        <v>136</v>
      </c>
      <c r="D80" s="49" t="s">
        <v>5</v>
      </c>
      <c r="E80" s="117">
        <v>0.11</v>
      </c>
      <c r="F80" s="47">
        <f>F79*E80</f>
        <v>4.4</v>
      </c>
      <c r="G80" s="52"/>
      <c r="H80" s="222">
        <f>F80*G80</f>
        <v>0</v>
      </c>
    </row>
    <row r="81" spans="1:8" ht="24" customHeight="1">
      <c r="A81" s="82"/>
      <c r="B81" s="48" t="s">
        <v>4</v>
      </c>
      <c r="C81" s="46" t="s">
        <v>129</v>
      </c>
      <c r="D81" s="49" t="s">
        <v>16</v>
      </c>
      <c r="E81" s="167">
        <v>0.0027</v>
      </c>
      <c r="F81" s="47">
        <f>F79*E81</f>
        <v>0.10800000000000001</v>
      </c>
      <c r="G81" s="222"/>
      <c r="H81" s="222">
        <f>F81*G81</f>
        <v>0</v>
      </c>
    </row>
    <row r="82" spans="1:8" ht="33.75" customHeight="1">
      <c r="A82" s="82"/>
      <c r="B82" s="48" t="s">
        <v>2</v>
      </c>
      <c r="C82" s="46" t="s">
        <v>614</v>
      </c>
      <c r="D82" s="49" t="s">
        <v>22</v>
      </c>
      <c r="E82" s="49">
        <v>1.02</v>
      </c>
      <c r="F82" s="52">
        <f>E82*F79</f>
        <v>40.8</v>
      </c>
      <c r="G82" s="52"/>
      <c r="H82" s="222">
        <f>F82*G82</f>
        <v>0</v>
      </c>
    </row>
    <row r="83" spans="1:8" ht="24.75" customHeight="1">
      <c r="A83" s="82"/>
      <c r="B83" s="48" t="s">
        <v>4</v>
      </c>
      <c r="C83" s="46" t="s">
        <v>18</v>
      </c>
      <c r="D83" s="49" t="s">
        <v>16</v>
      </c>
      <c r="E83" s="49">
        <v>0.0349</v>
      </c>
      <c r="F83" s="47">
        <f>E83*F79</f>
        <v>1.396</v>
      </c>
      <c r="G83" s="222"/>
      <c r="H83" s="222">
        <f>F83*G83</f>
        <v>0</v>
      </c>
    </row>
    <row r="84" spans="1:8" ht="31.5" customHeight="1">
      <c r="A84" s="497"/>
      <c r="B84" s="224"/>
      <c r="C84" s="375" t="s">
        <v>89</v>
      </c>
      <c r="D84" s="375" t="s">
        <v>16</v>
      </c>
      <c r="E84" s="496"/>
      <c r="F84" s="222"/>
      <c r="G84" s="222"/>
      <c r="H84" s="226">
        <f>H36+H41+H46+H51+H56+H61+H66+H71+H75+H79+H22+H26+H31</f>
        <v>0</v>
      </c>
    </row>
    <row r="85" spans="1:8" ht="27" customHeight="1">
      <c r="A85" s="497"/>
      <c r="B85" s="224"/>
      <c r="C85" s="496" t="s">
        <v>122</v>
      </c>
      <c r="D85" s="496" t="s">
        <v>16</v>
      </c>
      <c r="E85" s="496"/>
      <c r="F85" s="222"/>
      <c r="G85" s="222"/>
      <c r="H85" s="377">
        <f>H37+H42+H47+H52+H57+H62+H67+H72+H76+H80+H23+H27+H32</f>
        <v>0</v>
      </c>
    </row>
    <row r="86" spans="1:8" ht="21" customHeight="1">
      <c r="A86" s="497"/>
      <c r="B86" s="48"/>
      <c r="C86" s="46" t="s">
        <v>118</v>
      </c>
      <c r="D86" s="46" t="s">
        <v>16</v>
      </c>
      <c r="E86" s="46"/>
      <c r="F86" s="53">
        <v>0.75</v>
      </c>
      <c r="G86" s="47"/>
      <c r="H86" s="47">
        <f>H85*F86</f>
        <v>0</v>
      </c>
    </row>
    <row r="87" spans="1:8" ht="21" customHeight="1">
      <c r="A87" s="376"/>
      <c r="B87" s="54"/>
      <c r="C87" s="55" t="s">
        <v>17</v>
      </c>
      <c r="D87" s="55" t="s">
        <v>16</v>
      </c>
      <c r="E87" s="55"/>
      <c r="F87" s="55"/>
      <c r="G87" s="70"/>
      <c r="H87" s="70">
        <f>H86+H84</f>
        <v>0</v>
      </c>
    </row>
    <row r="88" spans="1:8" ht="26.25" customHeight="1">
      <c r="A88" s="497"/>
      <c r="B88" s="48"/>
      <c r="C88" s="46" t="s">
        <v>39</v>
      </c>
      <c r="D88" s="46" t="s">
        <v>16</v>
      </c>
      <c r="E88" s="46"/>
      <c r="F88" s="53">
        <v>0.08</v>
      </c>
      <c r="G88" s="47"/>
      <c r="H88" s="47">
        <f>H87*F88</f>
        <v>0</v>
      </c>
    </row>
    <row r="89" spans="1:8" ht="31.5" customHeight="1">
      <c r="A89" s="497"/>
      <c r="B89" s="497"/>
      <c r="C89" s="375" t="s">
        <v>334</v>
      </c>
      <c r="D89" s="79" t="s">
        <v>16</v>
      </c>
      <c r="E89" s="496"/>
      <c r="F89" s="496"/>
      <c r="G89" s="222"/>
      <c r="H89" s="137">
        <f>SUM(H87:H88)</f>
        <v>0</v>
      </c>
    </row>
    <row r="90" spans="1:8" ht="42" customHeight="1">
      <c r="A90" s="72"/>
      <c r="B90" s="48"/>
      <c r="C90" s="363" t="s">
        <v>1608</v>
      </c>
      <c r="D90" s="46" t="s">
        <v>16</v>
      </c>
      <c r="E90" s="46"/>
      <c r="F90" s="47"/>
      <c r="G90" s="47"/>
      <c r="H90" s="160">
        <f>H89+H20</f>
        <v>0</v>
      </c>
    </row>
    <row r="91" spans="1:8" ht="15.75">
      <c r="A91" s="326"/>
      <c r="B91" s="143"/>
      <c r="C91" s="327"/>
      <c r="D91" s="210"/>
      <c r="E91" s="199"/>
      <c r="F91" s="199"/>
      <c r="G91" s="199"/>
      <c r="H91" s="144"/>
    </row>
    <row r="92" spans="1:7" ht="15.75">
      <c r="A92" s="328"/>
      <c r="C92" s="329"/>
      <c r="E92" s="330"/>
      <c r="F92" s="330"/>
      <c r="G92" s="330"/>
    </row>
    <row r="93" spans="1:8" ht="15.75">
      <c r="A93" s="331"/>
      <c r="C93" s="493"/>
      <c r="D93" s="675"/>
      <c r="E93" s="675"/>
      <c r="F93" s="675"/>
      <c r="G93" s="332"/>
      <c r="H93" s="106"/>
    </row>
    <row r="94" spans="3:8" ht="15.75">
      <c r="C94" s="202"/>
      <c r="D94" s="202"/>
      <c r="E94" s="202"/>
      <c r="F94" s="202"/>
      <c r="G94" s="202"/>
      <c r="H94" s="106"/>
    </row>
  </sheetData>
  <sheetProtection/>
  <autoFilter ref="A7:L90"/>
  <mergeCells count="11">
    <mergeCell ref="E5:F5"/>
    <mergeCell ref="G5:H5"/>
    <mergeCell ref="A1:H1"/>
    <mergeCell ref="A2:H2"/>
    <mergeCell ref="A3:H3"/>
    <mergeCell ref="A4:H4"/>
    <mergeCell ref="D93:F93"/>
    <mergeCell ref="A5:A6"/>
    <mergeCell ref="B5:B6"/>
    <mergeCell ref="C5:C6"/>
    <mergeCell ref="D5:D6"/>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FF00"/>
  </sheetPr>
  <dimension ref="A1:N63"/>
  <sheetViews>
    <sheetView zoomScalePageLayoutView="0" workbookViewId="0" topLeftCell="A1">
      <selection activeCell="I14" sqref="I14"/>
    </sheetView>
  </sheetViews>
  <sheetFormatPr defaultColWidth="9.140625" defaultRowHeight="12.75"/>
  <cols>
    <col min="1" max="1" width="4.7109375" style="24" customWidth="1"/>
    <col min="2" max="2" width="9.57421875" style="24" customWidth="1"/>
    <col min="3" max="3" width="33.00390625" style="24" customWidth="1"/>
    <col min="4" max="4" width="9.140625" style="24" customWidth="1"/>
    <col min="5" max="6" width="8.00390625" style="24" customWidth="1"/>
    <col min="7" max="7" width="7.28125" style="24" customWidth="1"/>
    <col min="8" max="8" width="11.8515625" style="197" customWidth="1"/>
    <col min="9" max="16384" width="9.140625" style="24" customWidth="1"/>
  </cols>
  <sheetData>
    <row r="1" spans="1:14" s="1" customFormat="1" ht="33" customHeight="1">
      <c r="A1" s="660" t="str">
        <f>'ლრ.ხ #2-2'!A1:H1</f>
        <v>qobuleTis municipalitetis sofel xucubanSi sajaro skolis Zveli korpusebis demontaJi da axali skolis Senobis mSenebloba</v>
      </c>
      <c r="B1" s="642"/>
      <c r="C1" s="642"/>
      <c r="D1" s="642"/>
      <c r="E1" s="642"/>
      <c r="F1" s="642"/>
      <c r="G1" s="642"/>
      <c r="H1" s="642"/>
      <c r="I1" s="33"/>
      <c r="J1" s="3"/>
      <c r="K1" s="3"/>
      <c r="L1" s="3"/>
      <c r="M1" s="3"/>
      <c r="N1" s="3"/>
    </row>
    <row r="2" spans="1:14" s="1" customFormat="1" ht="15.75" customHeight="1">
      <c r="A2" s="661" t="s">
        <v>576</v>
      </c>
      <c r="B2" s="661"/>
      <c r="C2" s="661"/>
      <c r="D2" s="661"/>
      <c r="E2" s="661"/>
      <c r="F2" s="661"/>
      <c r="G2" s="661"/>
      <c r="H2" s="661"/>
      <c r="I2" s="19"/>
      <c r="J2" s="3"/>
      <c r="K2" s="3"/>
      <c r="L2" s="3"/>
      <c r="M2" s="3"/>
      <c r="N2" s="3"/>
    </row>
    <row r="3" spans="1:14" s="1" customFormat="1" ht="30.75" customHeight="1">
      <c r="A3" s="662" t="s">
        <v>581</v>
      </c>
      <c r="B3" s="662"/>
      <c r="C3" s="662"/>
      <c r="D3" s="662"/>
      <c r="E3" s="662"/>
      <c r="F3" s="662"/>
      <c r="G3" s="662"/>
      <c r="H3" s="662"/>
      <c r="I3" s="19"/>
      <c r="J3" s="3"/>
      <c r="K3" s="3"/>
      <c r="L3" s="3"/>
      <c r="M3" s="3"/>
      <c r="N3" s="3"/>
    </row>
    <row r="4" spans="1:14" s="1" customFormat="1" ht="28.5" customHeight="1">
      <c r="A4" s="651" t="s">
        <v>7</v>
      </c>
      <c r="B4" s="692" t="s">
        <v>8</v>
      </c>
      <c r="C4" s="666" t="s">
        <v>9</v>
      </c>
      <c r="D4" s="667" t="s">
        <v>6</v>
      </c>
      <c r="E4" s="654" t="s">
        <v>10</v>
      </c>
      <c r="F4" s="654"/>
      <c r="G4" s="654" t="s">
        <v>1</v>
      </c>
      <c r="H4" s="654"/>
      <c r="I4" s="17"/>
      <c r="J4" s="10"/>
      <c r="K4" s="10"/>
      <c r="L4" s="3"/>
      <c r="M4" s="3"/>
      <c r="N4" s="3"/>
    </row>
    <row r="5" spans="1:14" s="1" customFormat="1" ht="58.5" customHeight="1">
      <c r="A5" s="651"/>
      <c r="B5" s="692"/>
      <c r="C5" s="666"/>
      <c r="D5" s="667"/>
      <c r="E5" s="44" t="s">
        <v>11</v>
      </c>
      <c r="F5" s="44" t="s">
        <v>12</v>
      </c>
      <c r="G5" s="44" t="s">
        <v>11</v>
      </c>
      <c r="H5" s="179" t="s">
        <v>12</v>
      </c>
      <c r="I5" s="12"/>
      <c r="J5" s="12"/>
      <c r="K5" s="10"/>
      <c r="L5" s="3"/>
      <c r="M5" s="3"/>
      <c r="N5" s="3"/>
    </row>
    <row r="6" spans="1:14" s="5" customFormat="1" ht="18" customHeight="1">
      <c r="A6" s="81" t="s">
        <v>13</v>
      </c>
      <c r="B6" s="54">
        <v>2</v>
      </c>
      <c r="C6" s="101">
        <v>3</v>
      </c>
      <c r="D6" s="101">
        <v>4</v>
      </c>
      <c r="E6" s="101">
        <v>5</v>
      </c>
      <c r="F6" s="101">
        <v>6</v>
      </c>
      <c r="G6" s="101">
        <v>7</v>
      </c>
      <c r="H6" s="71">
        <v>8</v>
      </c>
      <c r="I6" s="9"/>
      <c r="J6" s="9"/>
      <c r="K6" s="16"/>
      <c r="L6" s="6"/>
      <c r="M6" s="6"/>
      <c r="N6" s="6"/>
    </row>
    <row r="7" spans="1:11" s="5" customFormat="1" ht="50.25" customHeight="1">
      <c r="A7" s="164">
        <v>1</v>
      </c>
      <c r="B7" s="54" t="s">
        <v>602</v>
      </c>
      <c r="C7" s="55" t="s">
        <v>121</v>
      </c>
      <c r="D7" s="158" t="s">
        <v>20</v>
      </c>
      <c r="E7" s="166"/>
      <c r="F7" s="160">
        <v>9.5</v>
      </c>
      <c r="G7" s="160"/>
      <c r="H7" s="228">
        <f>H8</f>
        <v>0</v>
      </c>
      <c r="I7" s="37"/>
      <c r="J7" s="9"/>
      <c r="K7" s="38"/>
    </row>
    <row r="8" spans="1:12" s="4" customFormat="1" ht="24.75" customHeight="1">
      <c r="A8" s="165"/>
      <c r="B8" s="48" t="s">
        <v>4</v>
      </c>
      <c r="C8" s="46" t="s">
        <v>136</v>
      </c>
      <c r="D8" s="49" t="s">
        <v>5</v>
      </c>
      <c r="E8" s="49">
        <v>2.78</v>
      </c>
      <c r="F8" s="52">
        <f>F7*E8</f>
        <v>26.409999999999997</v>
      </c>
      <c r="G8" s="52"/>
      <c r="H8" s="377">
        <f>G8*F8</f>
        <v>0</v>
      </c>
      <c r="I8" s="8"/>
      <c r="J8" s="9"/>
      <c r="K8" s="39"/>
      <c r="L8" s="3"/>
    </row>
    <row r="9" spans="1:11" s="4" customFormat="1" ht="63.75" customHeight="1">
      <c r="A9" s="164">
        <v>2</v>
      </c>
      <c r="B9" s="54" t="s">
        <v>577</v>
      </c>
      <c r="C9" s="55" t="s">
        <v>1214</v>
      </c>
      <c r="D9" s="55" t="s">
        <v>22</v>
      </c>
      <c r="E9" s="55"/>
      <c r="F9" s="70">
        <v>32</v>
      </c>
      <c r="G9" s="70"/>
      <c r="H9" s="380">
        <f>SUM(H10:H13)</f>
        <v>0</v>
      </c>
      <c r="I9" s="8"/>
      <c r="J9" s="9"/>
      <c r="K9" s="3"/>
    </row>
    <row r="10" spans="1:12" s="4" customFormat="1" ht="24.75" customHeight="1">
      <c r="A10" s="165"/>
      <c r="B10" s="45" t="s">
        <v>4</v>
      </c>
      <c r="C10" s="46" t="s">
        <v>136</v>
      </c>
      <c r="D10" s="46" t="s">
        <v>5</v>
      </c>
      <c r="E10" s="46">
        <v>0.0959</v>
      </c>
      <c r="F10" s="47">
        <f>E10*F9</f>
        <v>3.0688</v>
      </c>
      <c r="G10" s="47"/>
      <c r="H10" s="222">
        <f>G10*F10</f>
        <v>0</v>
      </c>
      <c r="I10" s="8"/>
      <c r="J10" s="9"/>
      <c r="K10" s="39"/>
      <c r="L10" s="3"/>
    </row>
    <row r="11" spans="1:12" s="4" customFormat="1" ht="24.75" customHeight="1">
      <c r="A11" s="165"/>
      <c r="B11" s="45" t="s">
        <v>4</v>
      </c>
      <c r="C11" s="46" t="s">
        <v>137</v>
      </c>
      <c r="D11" s="46" t="s">
        <v>16</v>
      </c>
      <c r="E11" s="46">
        <v>0.0452</v>
      </c>
      <c r="F11" s="47">
        <f>F9*E11</f>
        <v>1.4464</v>
      </c>
      <c r="G11" s="47"/>
      <c r="H11" s="222">
        <f>G11*F11</f>
        <v>0</v>
      </c>
      <c r="I11" s="8"/>
      <c r="J11" s="9"/>
      <c r="K11" s="39"/>
      <c r="L11" s="3"/>
    </row>
    <row r="12" spans="1:12" s="4" customFormat="1" ht="26.25" customHeight="1">
      <c r="A12" s="165"/>
      <c r="B12" s="50" t="s">
        <v>1516</v>
      </c>
      <c r="C12" s="46" t="s">
        <v>1215</v>
      </c>
      <c r="D12" s="49" t="s">
        <v>22</v>
      </c>
      <c r="E12" s="49">
        <v>1.01</v>
      </c>
      <c r="F12" s="52">
        <f>F9*E12</f>
        <v>32.32</v>
      </c>
      <c r="G12" s="52"/>
      <c r="H12" s="52">
        <f>F12*G12</f>
        <v>0</v>
      </c>
      <c r="I12" s="8"/>
      <c r="J12" s="9"/>
      <c r="K12" s="39"/>
      <c r="L12" s="3"/>
    </row>
    <row r="13" spans="1:12" s="4" customFormat="1" ht="24.75" customHeight="1">
      <c r="A13" s="165"/>
      <c r="B13" s="45" t="s">
        <v>4</v>
      </c>
      <c r="C13" s="46" t="s">
        <v>24</v>
      </c>
      <c r="D13" s="46" t="s">
        <v>16</v>
      </c>
      <c r="E13" s="161">
        <v>0.0006</v>
      </c>
      <c r="F13" s="47">
        <f>E13*F9</f>
        <v>0.0192</v>
      </c>
      <c r="G13" s="47"/>
      <c r="H13" s="47">
        <f>G13*F13</f>
        <v>0</v>
      </c>
      <c r="I13" s="8"/>
      <c r="J13" s="9"/>
      <c r="K13" s="39"/>
      <c r="L13" s="3"/>
    </row>
    <row r="14" spans="1:12" s="4" customFormat="1" ht="63.75" customHeight="1">
      <c r="A14" s="164">
        <v>3</v>
      </c>
      <c r="B14" s="54" t="s">
        <v>577</v>
      </c>
      <c r="C14" s="55" t="s">
        <v>582</v>
      </c>
      <c r="D14" s="55" t="s">
        <v>22</v>
      </c>
      <c r="E14" s="55"/>
      <c r="F14" s="70">
        <v>8</v>
      </c>
      <c r="G14" s="70"/>
      <c r="H14" s="380">
        <f>SUM(H15:H18)</f>
        <v>0</v>
      </c>
      <c r="I14" s="8"/>
      <c r="J14" s="9"/>
      <c r="K14" s="39"/>
      <c r="L14" s="3"/>
    </row>
    <row r="15" spans="1:12" s="4" customFormat="1" ht="28.5" customHeight="1">
      <c r="A15" s="165"/>
      <c r="B15" s="45" t="s">
        <v>4</v>
      </c>
      <c r="C15" s="46" t="s">
        <v>136</v>
      </c>
      <c r="D15" s="46" t="s">
        <v>5</v>
      </c>
      <c r="E15" s="46">
        <v>0.0959</v>
      </c>
      <c r="F15" s="47">
        <f>E15*F14</f>
        <v>0.7672</v>
      </c>
      <c r="G15" s="47"/>
      <c r="H15" s="222">
        <f>G15*F15</f>
        <v>0</v>
      </c>
      <c r="I15" s="8"/>
      <c r="J15" s="9"/>
      <c r="K15" s="39"/>
      <c r="L15" s="3"/>
    </row>
    <row r="16" spans="1:12" s="4" customFormat="1" ht="28.5" customHeight="1">
      <c r="A16" s="165"/>
      <c r="B16" s="45" t="s">
        <v>4</v>
      </c>
      <c r="C16" s="46" t="s">
        <v>137</v>
      </c>
      <c r="D16" s="46" t="s">
        <v>16</v>
      </c>
      <c r="E16" s="46">
        <v>0.0452</v>
      </c>
      <c r="F16" s="47">
        <f>F14*E16</f>
        <v>0.3616</v>
      </c>
      <c r="G16" s="47"/>
      <c r="H16" s="222">
        <f>G16*F16</f>
        <v>0</v>
      </c>
      <c r="I16" s="8"/>
      <c r="J16" s="9"/>
      <c r="K16" s="39"/>
      <c r="L16" s="3"/>
    </row>
    <row r="17" spans="1:12" s="4" customFormat="1" ht="31.5" customHeight="1">
      <c r="A17" s="165"/>
      <c r="B17" s="50" t="s">
        <v>1517</v>
      </c>
      <c r="C17" s="46" t="s">
        <v>583</v>
      </c>
      <c r="D17" s="49" t="s">
        <v>22</v>
      </c>
      <c r="E17" s="49">
        <v>1.01</v>
      </c>
      <c r="F17" s="52">
        <f>F14*E17</f>
        <v>8.08</v>
      </c>
      <c r="G17" s="52"/>
      <c r="H17" s="52">
        <f>F17*G17</f>
        <v>0</v>
      </c>
      <c r="I17" s="8"/>
      <c r="J17" s="9"/>
      <c r="K17" s="39"/>
      <c r="L17" s="3"/>
    </row>
    <row r="18" spans="1:12" s="4" customFormat="1" ht="31.5" customHeight="1">
      <c r="A18" s="165"/>
      <c r="B18" s="45" t="s">
        <v>4</v>
      </c>
      <c r="C18" s="46" t="s">
        <v>24</v>
      </c>
      <c r="D18" s="46" t="s">
        <v>16</v>
      </c>
      <c r="E18" s="161">
        <v>0.0006</v>
      </c>
      <c r="F18" s="47">
        <f>E18*F14</f>
        <v>0.0048</v>
      </c>
      <c r="G18" s="47"/>
      <c r="H18" s="47">
        <f>G18*F18</f>
        <v>0</v>
      </c>
      <c r="I18" s="8"/>
      <c r="J18" s="9"/>
      <c r="K18" s="39"/>
      <c r="L18" s="3"/>
    </row>
    <row r="19" spans="1:12" s="4" customFormat="1" ht="66" customHeight="1">
      <c r="A19" s="164">
        <v>4</v>
      </c>
      <c r="B19" s="54" t="s">
        <v>577</v>
      </c>
      <c r="C19" s="55" t="s">
        <v>996</v>
      </c>
      <c r="D19" s="55" t="s">
        <v>22</v>
      </c>
      <c r="E19" s="55"/>
      <c r="F19" s="70">
        <v>36</v>
      </c>
      <c r="G19" s="70"/>
      <c r="H19" s="380">
        <f>SUM(H20:H23)</f>
        <v>0</v>
      </c>
      <c r="I19" s="8"/>
      <c r="J19" s="9"/>
      <c r="K19" s="39"/>
      <c r="L19" s="3"/>
    </row>
    <row r="20" spans="1:12" s="4" customFormat="1" ht="27.75" customHeight="1">
      <c r="A20" s="165"/>
      <c r="B20" s="45" t="s">
        <v>4</v>
      </c>
      <c r="C20" s="46" t="s">
        <v>136</v>
      </c>
      <c r="D20" s="46" t="s">
        <v>5</v>
      </c>
      <c r="E20" s="46">
        <v>0.0959</v>
      </c>
      <c r="F20" s="47">
        <f>E20*F19</f>
        <v>3.4524</v>
      </c>
      <c r="G20" s="47"/>
      <c r="H20" s="222">
        <f>G20*F20</f>
        <v>0</v>
      </c>
      <c r="I20" s="8"/>
      <c r="J20" s="9"/>
      <c r="K20" s="39"/>
      <c r="L20" s="3"/>
    </row>
    <row r="21" spans="1:12" s="4" customFormat="1" ht="28.5" customHeight="1">
      <c r="A21" s="165"/>
      <c r="B21" s="45" t="s">
        <v>4</v>
      </c>
      <c r="C21" s="46" t="s">
        <v>137</v>
      </c>
      <c r="D21" s="46" t="s">
        <v>16</v>
      </c>
      <c r="E21" s="46">
        <v>0.0452</v>
      </c>
      <c r="F21" s="47">
        <f>F19*E21</f>
        <v>1.6272</v>
      </c>
      <c r="G21" s="47"/>
      <c r="H21" s="222">
        <f>G21*F21</f>
        <v>0</v>
      </c>
      <c r="I21" s="8"/>
      <c r="J21" s="9"/>
      <c r="K21" s="39"/>
      <c r="L21" s="3"/>
    </row>
    <row r="22" spans="1:12" s="4" customFormat="1" ht="32.25" customHeight="1">
      <c r="A22" s="165"/>
      <c r="B22" s="50" t="s">
        <v>1518</v>
      </c>
      <c r="C22" s="46" t="s">
        <v>995</v>
      </c>
      <c r="D22" s="49" t="s">
        <v>22</v>
      </c>
      <c r="E22" s="49">
        <v>1.01</v>
      </c>
      <c r="F22" s="52">
        <f>F19*E22</f>
        <v>36.36</v>
      </c>
      <c r="G22" s="52"/>
      <c r="H22" s="52">
        <f>F22*G22</f>
        <v>0</v>
      </c>
      <c r="I22" s="8"/>
      <c r="J22" s="9"/>
      <c r="K22" s="39"/>
      <c r="L22" s="3"/>
    </row>
    <row r="23" spans="1:12" s="4" customFormat="1" ht="31.5" customHeight="1">
      <c r="A23" s="165"/>
      <c r="B23" s="45" t="s">
        <v>4</v>
      </c>
      <c r="C23" s="46" t="s">
        <v>24</v>
      </c>
      <c r="D23" s="46" t="s">
        <v>16</v>
      </c>
      <c r="E23" s="161">
        <v>0.0006</v>
      </c>
      <c r="F23" s="47">
        <f>E23*F19</f>
        <v>0.021599999999999998</v>
      </c>
      <c r="G23" s="47"/>
      <c r="H23" s="47">
        <f>G23*F23</f>
        <v>0</v>
      </c>
      <c r="I23" s="8"/>
      <c r="J23" s="9"/>
      <c r="K23" s="39"/>
      <c r="L23" s="3"/>
    </row>
    <row r="24" spans="1:12" s="4" customFormat="1" ht="48" customHeight="1">
      <c r="A24" s="375">
        <v>5</v>
      </c>
      <c r="B24" s="375" t="s">
        <v>578</v>
      </c>
      <c r="C24" s="375" t="s">
        <v>1216</v>
      </c>
      <c r="D24" s="375" t="s">
        <v>178</v>
      </c>
      <c r="E24" s="375"/>
      <c r="F24" s="226">
        <v>32</v>
      </c>
      <c r="G24" s="226"/>
      <c r="H24" s="380">
        <f>H25+H26+H27</f>
        <v>0</v>
      </c>
      <c r="I24" s="8"/>
      <c r="J24" s="9"/>
      <c r="K24" s="39"/>
      <c r="L24" s="3"/>
    </row>
    <row r="25" spans="1:12" s="4" customFormat="1" ht="31.5" customHeight="1">
      <c r="A25" s="496"/>
      <c r="B25" s="496" t="s">
        <v>4</v>
      </c>
      <c r="C25" s="496" t="s">
        <v>113</v>
      </c>
      <c r="D25" s="496" t="s">
        <v>105</v>
      </c>
      <c r="E25" s="496">
        <v>0.0567</v>
      </c>
      <c r="F25" s="222">
        <f>E25*F24</f>
        <v>1.8144</v>
      </c>
      <c r="G25" s="222"/>
      <c r="H25" s="222">
        <f>F25*G25</f>
        <v>0</v>
      </c>
      <c r="I25" s="8"/>
      <c r="J25" s="9"/>
      <c r="K25" s="39"/>
      <c r="L25" s="3"/>
    </row>
    <row r="26" spans="1:12" s="4" customFormat="1" ht="31.5" customHeight="1">
      <c r="A26" s="496"/>
      <c r="B26" s="496" t="s">
        <v>1104</v>
      </c>
      <c r="C26" s="496" t="s">
        <v>579</v>
      </c>
      <c r="D26" s="496" t="s">
        <v>197</v>
      </c>
      <c r="E26" s="496">
        <v>0.0311</v>
      </c>
      <c r="F26" s="222">
        <f>E26*F24</f>
        <v>0.9952</v>
      </c>
      <c r="G26" s="222"/>
      <c r="H26" s="222">
        <f>F26*G26</f>
        <v>0</v>
      </c>
      <c r="I26" s="8"/>
      <c r="J26" s="9"/>
      <c r="K26" s="39"/>
      <c r="L26" s="3"/>
    </row>
    <row r="27" spans="1:12" s="4" customFormat="1" ht="31.5" customHeight="1">
      <c r="A27" s="496"/>
      <c r="B27" s="496" t="s">
        <v>4</v>
      </c>
      <c r="C27" s="496" t="s">
        <v>24</v>
      </c>
      <c r="D27" s="496" t="s">
        <v>16</v>
      </c>
      <c r="E27" s="223">
        <v>6E-05</v>
      </c>
      <c r="F27" s="222">
        <f>E27*F24</f>
        <v>0.00192</v>
      </c>
      <c r="G27" s="47"/>
      <c r="H27" s="222">
        <f>F27*G27</f>
        <v>0</v>
      </c>
      <c r="I27" s="8"/>
      <c r="J27" s="9"/>
      <c r="K27" s="39"/>
      <c r="L27" s="3"/>
    </row>
    <row r="28" spans="1:12" s="4" customFormat="1" ht="52.5" customHeight="1">
      <c r="A28" s="375">
        <v>6</v>
      </c>
      <c r="B28" s="375" t="s">
        <v>578</v>
      </c>
      <c r="C28" s="375" t="s">
        <v>711</v>
      </c>
      <c r="D28" s="375" t="s">
        <v>178</v>
      </c>
      <c r="E28" s="375"/>
      <c r="F28" s="226">
        <v>8</v>
      </c>
      <c r="G28" s="226"/>
      <c r="H28" s="380">
        <f>H29+H30+H31</f>
        <v>0</v>
      </c>
      <c r="I28" s="8"/>
      <c r="J28" s="9"/>
      <c r="K28" s="39"/>
      <c r="L28" s="3"/>
    </row>
    <row r="29" spans="1:12" s="4" customFormat="1" ht="24" customHeight="1">
      <c r="A29" s="496"/>
      <c r="B29" s="496" t="s">
        <v>4</v>
      </c>
      <c r="C29" s="496" t="s">
        <v>113</v>
      </c>
      <c r="D29" s="496" t="s">
        <v>105</v>
      </c>
      <c r="E29" s="496">
        <v>0.0567</v>
      </c>
      <c r="F29" s="222">
        <f>E29*F28</f>
        <v>0.4536</v>
      </c>
      <c r="G29" s="222"/>
      <c r="H29" s="222">
        <f>F29*G29</f>
        <v>0</v>
      </c>
      <c r="I29" s="8"/>
      <c r="J29" s="9"/>
      <c r="K29" s="39"/>
      <c r="L29" s="3"/>
    </row>
    <row r="30" spans="1:12" s="4" customFormat="1" ht="24" customHeight="1">
      <c r="A30" s="496"/>
      <c r="B30" s="496" t="s">
        <v>1104</v>
      </c>
      <c r="C30" s="496" t="s">
        <v>579</v>
      </c>
      <c r="D30" s="496" t="s">
        <v>197</v>
      </c>
      <c r="E30" s="496">
        <v>0.0311</v>
      </c>
      <c r="F30" s="222">
        <f>E30*F28</f>
        <v>0.2488</v>
      </c>
      <c r="G30" s="222"/>
      <c r="H30" s="222">
        <f>F30*G30</f>
        <v>0</v>
      </c>
      <c r="I30" s="8"/>
      <c r="J30" s="9"/>
      <c r="K30" s="39"/>
      <c r="L30" s="3"/>
    </row>
    <row r="31" spans="1:12" s="4" customFormat="1" ht="24" customHeight="1">
      <c r="A31" s="496"/>
      <c r="B31" s="496" t="s">
        <v>4</v>
      </c>
      <c r="C31" s="496" t="s">
        <v>24</v>
      </c>
      <c r="D31" s="496" t="s">
        <v>16</v>
      </c>
      <c r="E31" s="223">
        <v>6E-05</v>
      </c>
      <c r="F31" s="222">
        <f>E31*F28</f>
        <v>0.00048</v>
      </c>
      <c r="G31" s="47"/>
      <c r="H31" s="222">
        <f>F31*G31</f>
        <v>0</v>
      </c>
      <c r="I31" s="8"/>
      <c r="J31" s="9"/>
      <c r="K31" s="39"/>
      <c r="L31" s="3"/>
    </row>
    <row r="32" spans="1:12" s="4" customFormat="1" ht="54.75" customHeight="1">
      <c r="A32" s="375">
        <v>7</v>
      </c>
      <c r="B32" s="375" t="s">
        <v>578</v>
      </c>
      <c r="C32" s="375" t="s">
        <v>1029</v>
      </c>
      <c r="D32" s="375" t="s">
        <v>178</v>
      </c>
      <c r="E32" s="375"/>
      <c r="F32" s="226">
        <v>36</v>
      </c>
      <c r="G32" s="226"/>
      <c r="H32" s="380">
        <f>H33+H34+H35</f>
        <v>0</v>
      </c>
      <c r="I32" s="8"/>
      <c r="J32" s="9"/>
      <c r="K32" s="39"/>
      <c r="L32" s="3"/>
    </row>
    <row r="33" spans="1:12" s="4" customFormat="1" ht="27" customHeight="1">
      <c r="A33" s="496"/>
      <c r="B33" s="496" t="s">
        <v>4</v>
      </c>
      <c r="C33" s="496" t="s">
        <v>113</v>
      </c>
      <c r="D33" s="496" t="s">
        <v>105</v>
      </c>
      <c r="E33" s="496">
        <v>0.0567</v>
      </c>
      <c r="F33" s="222">
        <f>E33*F32</f>
        <v>2.0412</v>
      </c>
      <c r="G33" s="222"/>
      <c r="H33" s="222">
        <f>F33*G33</f>
        <v>0</v>
      </c>
      <c r="I33" s="8"/>
      <c r="J33" s="9"/>
      <c r="K33" s="39"/>
      <c r="L33" s="3"/>
    </row>
    <row r="34" spans="1:12" s="4" customFormat="1" ht="24" customHeight="1">
      <c r="A34" s="496"/>
      <c r="B34" s="496" t="s">
        <v>1104</v>
      </c>
      <c r="C34" s="496" t="s">
        <v>579</v>
      </c>
      <c r="D34" s="496" t="s">
        <v>197</v>
      </c>
      <c r="E34" s="496">
        <v>0.0311</v>
      </c>
      <c r="F34" s="222">
        <f>E34*F32</f>
        <v>1.1196</v>
      </c>
      <c r="G34" s="222"/>
      <c r="H34" s="222">
        <f>F34*G34</f>
        <v>0</v>
      </c>
      <c r="I34" s="8"/>
      <c r="J34" s="9"/>
      <c r="K34" s="39"/>
      <c r="L34" s="3"/>
    </row>
    <row r="35" spans="1:12" s="4" customFormat="1" ht="24" customHeight="1">
      <c r="A35" s="496"/>
      <c r="B35" s="496" t="s">
        <v>4</v>
      </c>
      <c r="C35" s="496" t="s">
        <v>24</v>
      </c>
      <c r="D35" s="496" t="s">
        <v>16</v>
      </c>
      <c r="E35" s="223">
        <v>6E-05</v>
      </c>
      <c r="F35" s="222">
        <f>E35*F32</f>
        <v>0.00216</v>
      </c>
      <c r="G35" s="47"/>
      <c r="H35" s="222">
        <f>F35*G35</f>
        <v>0</v>
      </c>
      <c r="I35" s="8"/>
      <c r="J35" s="9"/>
      <c r="K35" s="39"/>
      <c r="L35" s="3"/>
    </row>
    <row r="36" spans="1:12" s="4" customFormat="1" ht="46.5" customHeight="1">
      <c r="A36" s="175">
        <v>8</v>
      </c>
      <c r="B36" s="54" t="s">
        <v>580</v>
      </c>
      <c r="C36" s="55" t="s">
        <v>1217</v>
      </c>
      <c r="D36" s="158" t="s">
        <v>15</v>
      </c>
      <c r="E36" s="158"/>
      <c r="F36" s="160">
        <v>1</v>
      </c>
      <c r="G36" s="160"/>
      <c r="H36" s="228">
        <f>SUM(H37:H40)</f>
        <v>0</v>
      </c>
      <c r="I36" s="8"/>
      <c r="J36" s="9"/>
      <c r="K36" s="39"/>
      <c r="L36" s="3"/>
    </row>
    <row r="37" spans="1:12" s="4" customFormat="1" ht="24" customHeight="1">
      <c r="A37" s="492"/>
      <c r="B37" s="45" t="s">
        <v>4</v>
      </c>
      <c r="C37" s="46" t="s">
        <v>148</v>
      </c>
      <c r="D37" s="49" t="s">
        <v>5</v>
      </c>
      <c r="E37" s="49">
        <v>1.38</v>
      </c>
      <c r="F37" s="52">
        <f>E37*F36</f>
        <v>1.38</v>
      </c>
      <c r="G37" s="52"/>
      <c r="H37" s="377">
        <f>G37*F37</f>
        <v>0</v>
      </c>
      <c r="I37" s="8"/>
      <c r="J37" s="9"/>
      <c r="K37" s="39"/>
      <c r="L37" s="3"/>
    </row>
    <row r="38" spans="1:12" s="4" customFormat="1" ht="24" customHeight="1">
      <c r="A38" s="492"/>
      <c r="B38" s="45" t="s">
        <v>4</v>
      </c>
      <c r="C38" s="46" t="s">
        <v>129</v>
      </c>
      <c r="D38" s="49" t="s">
        <v>16</v>
      </c>
      <c r="E38" s="49">
        <v>0.06</v>
      </c>
      <c r="F38" s="52">
        <f>E38*F36</f>
        <v>0.06</v>
      </c>
      <c r="G38" s="47"/>
      <c r="H38" s="52">
        <f>G38*F38</f>
        <v>0</v>
      </c>
      <c r="I38" s="8"/>
      <c r="J38" s="9"/>
      <c r="K38" s="39"/>
      <c r="L38" s="3"/>
    </row>
    <row r="39" spans="1:12" s="4" customFormat="1" ht="24" customHeight="1">
      <c r="A39" s="492"/>
      <c r="B39" s="497" t="s">
        <v>507</v>
      </c>
      <c r="C39" s="496" t="s">
        <v>275</v>
      </c>
      <c r="D39" s="496" t="s">
        <v>15</v>
      </c>
      <c r="E39" s="381">
        <v>1</v>
      </c>
      <c r="F39" s="377">
        <f>E39*F36</f>
        <v>1</v>
      </c>
      <c r="G39" s="377"/>
      <c r="H39" s="377">
        <f>F39*G39</f>
        <v>0</v>
      </c>
      <c r="I39" s="8"/>
      <c r="J39" s="9"/>
      <c r="K39" s="39"/>
      <c r="L39" s="3"/>
    </row>
    <row r="40" spans="1:12" s="4" customFormat="1" ht="24" customHeight="1">
      <c r="A40" s="492"/>
      <c r="B40" s="45" t="s">
        <v>4</v>
      </c>
      <c r="C40" s="46" t="s">
        <v>24</v>
      </c>
      <c r="D40" s="49" t="s">
        <v>16</v>
      </c>
      <c r="E40" s="49">
        <v>0.38</v>
      </c>
      <c r="F40" s="52">
        <f>E40*F36</f>
        <v>0.38</v>
      </c>
      <c r="G40" s="47"/>
      <c r="H40" s="52">
        <f>G40*F40</f>
        <v>0</v>
      </c>
      <c r="I40" s="8"/>
      <c r="J40" s="9"/>
      <c r="K40" s="39"/>
      <c r="L40" s="3"/>
    </row>
    <row r="41" spans="1:12" s="4" customFormat="1" ht="42.75" customHeight="1">
      <c r="A41" s="175">
        <v>9</v>
      </c>
      <c r="B41" s="54" t="s">
        <v>580</v>
      </c>
      <c r="C41" s="55" t="s">
        <v>1218</v>
      </c>
      <c r="D41" s="158" t="s">
        <v>15</v>
      </c>
      <c r="E41" s="158"/>
      <c r="F41" s="160">
        <v>2</v>
      </c>
      <c r="G41" s="160"/>
      <c r="H41" s="228">
        <f>SUM(H42:H45)</f>
        <v>0</v>
      </c>
      <c r="I41" s="8"/>
      <c r="J41" s="9"/>
      <c r="K41" s="39"/>
      <c r="L41" s="3"/>
    </row>
    <row r="42" spans="1:12" s="4" customFormat="1" ht="24" customHeight="1">
      <c r="A42" s="492"/>
      <c r="B42" s="45" t="s">
        <v>4</v>
      </c>
      <c r="C42" s="46" t="s">
        <v>148</v>
      </c>
      <c r="D42" s="49" t="s">
        <v>5</v>
      </c>
      <c r="E42" s="49">
        <v>1.38</v>
      </c>
      <c r="F42" s="52">
        <f>E42*F41</f>
        <v>2.76</v>
      </c>
      <c r="G42" s="52"/>
      <c r="H42" s="377">
        <f>G42*F42</f>
        <v>0</v>
      </c>
      <c r="I42" s="8"/>
      <c r="J42" s="9"/>
      <c r="K42" s="39"/>
      <c r="L42" s="3"/>
    </row>
    <row r="43" spans="1:12" s="4" customFormat="1" ht="24" customHeight="1">
      <c r="A43" s="492"/>
      <c r="B43" s="45" t="s">
        <v>4</v>
      </c>
      <c r="C43" s="46" t="s">
        <v>129</v>
      </c>
      <c r="D43" s="49" t="s">
        <v>16</v>
      </c>
      <c r="E43" s="49">
        <v>0.06</v>
      </c>
      <c r="F43" s="52">
        <f>E43*F41</f>
        <v>0.12</v>
      </c>
      <c r="G43" s="47"/>
      <c r="H43" s="52">
        <f>G43*F43</f>
        <v>0</v>
      </c>
      <c r="I43" s="8"/>
      <c r="J43" s="9"/>
      <c r="K43" s="39"/>
      <c r="L43" s="3"/>
    </row>
    <row r="44" spans="1:12" s="4" customFormat="1" ht="24" customHeight="1">
      <c r="A44" s="497"/>
      <c r="B44" s="497" t="s">
        <v>472</v>
      </c>
      <c r="C44" s="496" t="s">
        <v>481</v>
      </c>
      <c r="D44" s="496" t="s">
        <v>15</v>
      </c>
      <c r="E44" s="381">
        <v>1</v>
      </c>
      <c r="F44" s="377">
        <f>E44*F41</f>
        <v>2</v>
      </c>
      <c r="G44" s="377"/>
      <c r="H44" s="377">
        <f>F44*G44</f>
        <v>0</v>
      </c>
      <c r="I44" s="8"/>
      <c r="J44" s="9"/>
      <c r="K44" s="39"/>
      <c r="L44" s="3"/>
    </row>
    <row r="45" spans="1:12" s="4" customFormat="1" ht="24" customHeight="1">
      <c r="A45" s="492"/>
      <c r="B45" s="45" t="s">
        <v>4</v>
      </c>
      <c r="C45" s="46" t="s">
        <v>24</v>
      </c>
      <c r="D45" s="49" t="s">
        <v>16</v>
      </c>
      <c r="E45" s="49">
        <v>0.38</v>
      </c>
      <c r="F45" s="52">
        <f>E45*F41</f>
        <v>0.76</v>
      </c>
      <c r="G45" s="47"/>
      <c r="H45" s="52">
        <f>G45*F45</f>
        <v>0</v>
      </c>
      <c r="I45" s="8"/>
      <c r="J45" s="9"/>
      <c r="K45" s="39"/>
      <c r="L45" s="3"/>
    </row>
    <row r="46" spans="1:10" s="1" customFormat="1" ht="47.25" customHeight="1">
      <c r="A46" s="175">
        <v>10</v>
      </c>
      <c r="B46" s="54" t="s">
        <v>580</v>
      </c>
      <c r="C46" s="55" t="s">
        <v>1105</v>
      </c>
      <c r="D46" s="158" t="s">
        <v>15</v>
      </c>
      <c r="E46" s="158"/>
      <c r="F46" s="160">
        <v>2</v>
      </c>
      <c r="G46" s="160"/>
      <c r="H46" s="228">
        <f>SUM(H47:H50)</f>
        <v>0</v>
      </c>
      <c r="J46" s="9"/>
    </row>
    <row r="47" spans="1:10" s="1" customFormat="1" ht="33.75" customHeight="1">
      <c r="A47" s="492"/>
      <c r="B47" s="45" t="s">
        <v>4</v>
      </c>
      <c r="C47" s="46" t="s">
        <v>148</v>
      </c>
      <c r="D47" s="49" t="s">
        <v>5</v>
      </c>
      <c r="E47" s="49">
        <v>1.38</v>
      </c>
      <c r="F47" s="52">
        <f>E47*F46</f>
        <v>2.76</v>
      </c>
      <c r="G47" s="52"/>
      <c r="H47" s="377">
        <f>G47*F47</f>
        <v>0</v>
      </c>
      <c r="J47" s="9"/>
    </row>
    <row r="48" spans="1:10" s="1" customFormat="1" ht="27.75" customHeight="1">
      <c r="A48" s="492"/>
      <c r="B48" s="45" t="s">
        <v>4</v>
      </c>
      <c r="C48" s="46" t="s">
        <v>129</v>
      </c>
      <c r="D48" s="49" t="s">
        <v>16</v>
      </c>
      <c r="E48" s="49">
        <v>0.06</v>
      </c>
      <c r="F48" s="52">
        <f>E48*F46</f>
        <v>0.12</v>
      </c>
      <c r="G48" s="47"/>
      <c r="H48" s="52">
        <f>G48*F48</f>
        <v>0</v>
      </c>
      <c r="J48" s="9"/>
    </row>
    <row r="49" spans="1:10" s="1" customFormat="1" ht="32.25" customHeight="1">
      <c r="A49" s="492"/>
      <c r="B49" s="497" t="s">
        <v>631</v>
      </c>
      <c r="C49" s="496" t="s">
        <v>997</v>
      </c>
      <c r="D49" s="49" t="s">
        <v>15</v>
      </c>
      <c r="E49" s="49">
        <v>1</v>
      </c>
      <c r="F49" s="52">
        <f>F46*E49</f>
        <v>2</v>
      </c>
      <c r="G49" s="52"/>
      <c r="H49" s="52">
        <f>F49*G49</f>
        <v>0</v>
      </c>
      <c r="J49" s="9"/>
    </row>
    <row r="50" spans="1:10" s="1" customFormat="1" ht="31.5" customHeight="1">
      <c r="A50" s="492"/>
      <c r="B50" s="45" t="s">
        <v>4</v>
      </c>
      <c r="C50" s="46" t="s">
        <v>24</v>
      </c>
      <c r="D50" s="49" t="s">
        <v>16</v>
      </c>
      <c r="E50" s="49">
        <v>0.38</v>
      </c>
      <c r="F50" s="52">
        <f>E50*F46</f>
        <v>0.76</v>
      </c>
      <c r="G50" s="47"/>
      <c r="H50" s="52">
        <f>G50*F50</f>
        <v>0</v>
      </c>
      <c r="J50" s="9"/>
    </row>
    <row r="51" spans="1:11" s="493" customFormat="1" ht="48" customHeight="1">
      <c r="A51" s="81" t="s">
        <v>81</v>
      </c>
      <c r="B51" s="54" t="s">
        <v>73</v>
      </c>
      <c r="C51" s="55" t="s">
        <v>126</v>
      </c>
      <c r="D51" s="55" t="s">
        <v>20</v>
      </c>
      <c r="E51" s="156"/>
      <c r="F51" s="226">
        <f>F7</f>
        <v>9.5</v>
      </c>
      <c r="G51" s="70"/>
      <c r="H51" s="380">
        <f>H52</f>
        <v>0</v>
      </c>
      <c r="I51" s="281"/>
      <c r="J51" s="282"/>
      <c r="K51" s="282"/>
    </row>
    <row r="52" spans="1:11" s="493" customFormat="1" ht="33" customHeight="1">
      <c r="A52" s="82"/>
      <c r="B52" s="48" t="s">
        <v>4</v>
      </c>
      <c r="C52" s="46" t="s">
        <v>136</v>
      </c>
      <c r="D52" s="46" t="s">
        <v>5</v>
      </c>
      <c r="E52" s="46">
        <v>1.21</v>
      </c>
      <c r="F52" s="47">
        <f>F51*E52</f>
        <v>11.495</v>
      </c>
      <c r="G52" s="47"/>
      <c r="H52" s="222">
        <f>G52*F52</f>
        <v>0</v>
      </c>
      <c r="I52" s="281"/>
      <c r="J52" s="282"/>
      <c r="K52" s="282"/>
    </row>
    <row r="53" spans="1:11" s="493" customFormat="1" ht="46.5" customHeight="1">
      <c r="A53" s="320">
        <v>12</v>
      </c>
      <c r="B53" s="378" t="s">
        <v>655</v>
      </c>
      <c r="C53" s="321" t="s">
        <v>656</v>
      </c>
      <c r="D53" s="321" t="s">
        <v>20</v>
      </c>
      <c r="E53" s="321"/>
      <c r="F53" s="464">
        <f>F51</f>
        <v>9.5</v>
      </c>
      <c r="G53" s="464"/>
      <c r="H53" s="334">
        <f>H54+H55</f>
        <v>0</v>
      </c>
      <c r="I53" s="281"/>
      <c r="J53" s="282"/>
      <c r="K53" s="282"/>
    </row>
    <row r="54" spans="1:11" s="493" customFormat="1" ht="24.75" customHeight="1">
      <c r="A54" s="82"/>
      <c r="B54" s="48" t="s">
        <v>4</v>
      </c>
      <c r="C54" s="46" t="s">
        <v>136</v>
      </c>
      <c r="D54" s="46" t="s">
        <v>5</v>
      </c>
      <c r="E54" s="46">
        <v>0.134</v>
      </c>
      <c r="F54" s="47">
        <f>F53*E54</f>
        <v>1.2730000000000001</v>
      </c>
      <c r="G54" s="47"/>
      <c r="H54" s="222">
        <f>G54*F54</f>
        <v>0</v>
      </c>
      <c r="I54" s="281"/>
      <c r="J54" s="282"/>
      <c r="K54" s="282"/>
    </row>
    <row r="55" spans="1:11" s="493" customFormat="1" ht="27" customHeight="1">
      <c r="A55" s="317"/>
      <c r="B55" s="317" t="s">
        <v>657</v>
      </c>
      <c r="C55" s="317" t="s">
        <v>658</v>
      </c>
      <c r="D55" s="317" t="s">
        <v>23</v>
      </c>
      <c r="E55" s="317">
        <v>0.13</v>
      </c>
      <c r="F55" s="460">
        <f>E55*F53</f>
        <v>1.235</v>
      </c>
      <c r="G55" s="460"/>
      <c r="H55" s="317">
        <f>F55*G55</f>
        <v>0</v>
      </c>
      <c r="I55" s="281"/>
      <c r="J55" s="282"/>
      <c r="K55" s="282"/>
    </row>
    <row r="56" spans="1:11" s="493" customFormat="1" ht="27" customHeight="1">
      <c r="A56" s="213"/>
      <c r="B56" s="224"/>
      <c r="C56" s="375" t="s">
        <v>145</v>
      </c>
      <c r="D56" s="375" t="s">
        <v>16</v>
      </c>
      <c r="E56" s="496"/>
      <c r="F56" s="222"/>
      <c r="G56" s="222"/>
      <c r="H56" s="226">
        <f>H7+H14+H51+H53+H46+H32+H28+H19+H9+H24+H36+H41</f>
        <v>0</v>
      </c>
      <c r="I56" s="281"/>
      <c r="J56" s="282"/>
      <c r="K56" s="282"/>
    </row>
    <row r="57" spans="1:10" s="204" customFormat="1" ht="29.25" customHeight="1">
      <c r="A57" s="497"/>
      <c r="B57" s="224"/>
      <c r="C57" s="496" t="s">
        <v>227</v>
      </c>
      <c r="D57" s="496" t="s">
        <v>16</v>
      </c>
      <c r="E57" s="496"/>
      <c r="F57" s="142">
        <v>0.1</v>
      </c>
      <c r="G57" s="222"/>
      <c r="H57" s="377">
        <f>H56*F57</f>
        <v>0</v>
      </c>
      <c r="J57" s="75"/>
    </row>
    <row r="58" spans="1:8" s="209" customFormat="1" ht="28.5" customHeight="1">
      <c r="A58" s="497"/>
      <c r="B58" s="378"/>
      <c r="C58" s="375" t="s">
        <v>127</v>
      </c>
      <c r="D58" s="375" t="s">
        <v>16</v>
      </c>
      <c r="E58" s="375"/>
      <c r="F58" s="375"/>
      <c r="G58" s="226"/>
      <c r="H58" s="137">
        <f>H56+H57</f>
        <v>0</v>
      </c>
    </row>
    <row r="59" spans="1:8" ht="25.5" customHeight="1">
      <c r="A59" s="82"/>
      <c r="B59" s="48"/>
      <c r="C59" s="46" t="s">
        <v>39</v>
      </c>
      <c r="D59" s="46" t="s">
        <v>16</v>
      </c>
      <c r="E59" s="46"/>
      <c r="F59" s="53">
        <v>0.08</v>
      </c>
      <c r="G59" s="47"/>
      <c r="H59" s="52">
        <f>H58*F59</f>
        <v>0</v>
      </c>
    </row>
    <row r="60" spans="1:8" ht="45" customHeight="1">
      <c r="A60" s="72"/>
      <c r="B60" s="54"/>
      <c r="C60" s="363" t="s">
        <v>1609</v>
      </c>
      <c r="D60" s="55" t="s">
        <v>16</v>
      </c>
      <c r="E60" s="55"/>
      <c r="F60" s="162"/>
      <c r="G60" s="70"/>
      <c r="H60" s="160">
        <f>SUM(H58:H59)</f>
        <v>0</v>
      </c>
    </row>
    <row r="61" spans="2:8" ht="22.5" customHeight="1">
      <c r="B61" s="104"/>
      <c r="C61" s="104"/>
      <c r="D61" s="104"/>
      <c r="E61" s="104"/>
      <c r="F61" s="104"/>
      <c r="G61" s="104"/>
      <c r="H61" s="195"/>
    </row>
    <row r="62" spans="1:8" ht="35.25" customHeight="1">
      <c r="A62" s="62"/>
      <c r="B62" s="57"/>
      <c r="C62" s="63"/>
      <c r="D62" s="659"/>
      <c r="E62" s="659"/>
      <c r="F62" s="659"/>
      <c r="G62" s="123"/>
      <c r="H62" s="196"/>
    </row>
    <row r="63" spans="2:8" ht="38.25" customHeight="1">
      <c r="B63" s="104"/>
      <c r="C63" s="104"/>
      <c r="D63" s="104"/>
      <c r="E63" s="104"/>
      <c r="F63" s="104"/>
      <c r="G63" s="104"/>
      <c r="H63" s="195"/>
    </row>
    <row r="64" ht="34.5" customHeight="1"/>
    <row r="65" ht="38.25" customHeight="1"/>
    <row r="67" ht="22.5" customHeight="1"/>
  </sheetData>
  <sheetProtection/>
  <autoFilter ref="A6:N60"/>
  <mergeCells count="10">
    <mergeCell ref="G4:H4"/>
    <mergeCell ref="A1:H1"/>
    <mergeCell ref="A2:H2"/>
    <mergeCell ref="A3:H3"/>
    <mergeCell ref="D62:F62"/>
    <mergeCell ref="A4:A5"/>
    <mergeCell ref="B4:B5"/>
    <mergeCell ref="C4:C5"/>
    <mergeCell ref="D4:D5"/>
    <mergeCell ref="E4:F4"/>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FF00"/>
  </sheetPr>
  <dimension ref="A1:N40"/>
  <sheetViews>
    <sheetView zoomScalePageLayoutView="0" workbookViewId="0" topLeftCell="A1">
      <selection activeCell="C4" sqref="C4:C5"/>
    </sheetView>
  </sheetViews>
  <sheetFormatPr defaultColWidth="9.140625" defaultRowHeight="12.75"/>
  <cols>
    <col min="1" max="1" width="4.7109375" style="24" customWidth="1"/>
    <col min="2" max="2" width="9.57421875" style="24" customWidth="1"/>
    <col min="3" max="3" width="33.00390625" style="24" customWidth="1"/>
    <col min="4" max="4" width="9.140625" style="24" customWidth="1"/>
    <col min="5" max="6" width="8.00390625" style="24" customWidth="1"/>
    <col min="7" max="7" width="7.421875" style="24" customWidth="1"/>
    <col min="8" max="8" width="11.28125" style="197" customWidth="1"/>
    <col min="9" max="16384" width="9.140625" style="24" customWidth="1"/>
  </cols>
  <sheetData>
    <row r="1" spans="1:14" s="1" customFormat="1" ht="33.75" customHeight="1">
      <c r="A1" s="660" t="str">
        <f>'ლ.რ. №1-1'!A1:H1</f>
        <v>qobuleTis municipalitetis sofel xucubanSi sajaro skolis Zveli korpusebis demontaJi da axali skolis Senobis mSenebloba</v>
      </c>
      <c r="B1" s="642"/>
      <c r="C1" s="642"/>
      <c r="D1" s="642"/>
      <c r="E1" s="642"/>
      <c r="F1" s="642"/>
      <c r="G1" s="642"/>
      <c r="H1" s="642"/>
      <c r="I1" s="33"/>
      <c r="J1" s="3"/>
      <c r="K1" s="3"/>
      <c r="L1" s="3"/>
      <c r="M1" s="3"/>
      <c r="N1" s="3"/>
    </row>
    <row r="2" spans="1:14" s="1" customFormat="1" ht="15.75" customHeight="1">
      <c r="A2" s="661" t="s">
        <v>277</v>
      </c>
      <c r="B2" s="661"/>
      <c r="C2" s="661"/>
      <c r="D2" s="661"/>
      <c r="E2" s="661"/>
      <c r="F2" s="661"/>
      <c r="G2" s="661"/>
      <c r="H2" s="661"/>
      <c r="I2" s="19"/>
      <c r="J2" s="3"/>
      <c r="K2" s="3"/>
      <c r="L2" s="3"/>
      <c r="M2" s="3"/>
      <c r="N2" s="3"/>
    </row>
    <row r="3" spans="1:14" s="1" customFormat="1" ht="30.75" customHeight="1">
      <c r="A3" s="662" t="s">
        <v>518</v>
      </c>
      <c r="B3" s="662"/>
      <c r="C3" s="662"/>
      <c r="D3" s="662"/>
      <c r="E3" s="662"/>
      <c r="F3" s="662"/>
      <c r="G3" s="662"/>
      <c r="H3" s="662"/>
      <c r="I3" s="19"/>
      <c r="J3" s="3"/>
      <c r="K3" s="3"/>
      <c r="L3" s="3"/>
      <c r="M3" s="3"/>
      <c r="N3" s="3"/>
    </row>
    <row r="4" spans="1:14" s="1" customFormat="1" ht="28.5" customHeight="1">
      <c r="A4" s="651" t="s">
        <v>7</v>
      </c>
      <c r="B4" s="692" t="s">
        <v>8</v>
      </c>
      <c r="C4" s="666" t="s">
        <v>9</v>
      </c>
      <c r="D4" s="667" t="s">
        <v>6</v>
      </c>
      <c r="E4" s="654" t="s">
        <v>10</v>
      </c>
      <c r="F4" s="654"/>
      <c r="G4" s="654" t="s">
        <v>1</v>
      </c>
      <c r="H4" s="654"/>
      <c r="I4" s="17"/>
      <c r="J4" s="10"/>
      <c r="K4" s="10"/>
      <c r="L4" s="3"/>
      <c r="M4" s="3"/>
      <c r="N4" s="3"/>
    </row>
    <row r="5" spans="1:14" s="1" customFormat="1" ht="58.5" customHeight="1">
      <c r="A5" s="651"/>
      <c r="B5" s="692"/>
      <c r="C5" s="666"/>
      <c r="D5" s="667"/>
      <c r="E5" s="44" t="s">
        <v>11</v>
      </c>
      <c r="F5" s="44" t="s">
        <v>12</v>
      </c>
      <c r="G5" s="44" t="s">
        <v>11</v>
      </c>
      <c r="H5" s="179" t="s">
        <v>12</v>
      </c>
      <c r="I5" s="12"/>
      <c r="J5" s="12"/>
      <c r="K5" s="10"/>
      <c r="L5" s="3"/>
      <c r="M5" s="3"/>
      <c r="N5" s="3"/>
    </row>
    <row r="6" spans="1:14" s="5" customFormat="1" ht="18" customHeight="1">
      <c r="A6" s="81" t="s">
        <v>13</v>
      </c>
      <c r="B6" s="54">
        <v>2</v>
      </c>
      <c r="C6" s="101">
        <v>3</v>
      </c>
      <c r="D6" s="101">
        <v>4</v>
      </c>
      <c r="E6" s="101">
        <v>5</v>
      </c>
      <c r="F6" s="101">
        <v>6</v>
      </c>
      <c r="G6" s="101">
        <v>7</v>
      </c>
      <c r="H6" s="71">
        <v>8</v>
      </c>
      <c r="I6" s="9"/>
      <c r="J6" s="9"/>
      <c r="K6" s="16"/>
      <c r="L6" s="6"/>
      <c r="M6" s="6"/>
      <c r="N6" s="6"/>
    </row>
    <row r="7" spans="1:14" s="5" customFormat="1" ht="50.25" customHeight="1">
      <c r="A7" s="164">
        <v>1</v>
      </c>
      <c r="B7" s="54" t="s">
        <v>602</v>
      </c>
      <c r="C7" s="55" t="s">
        <v>121</v>
      </c>
      <c r="D7" s="158" t="s">
        <v>20</v>
      </c>
      <c r="E7" s="166"/>
      <c r="F7" s="160">
        <v>9</v>
      </c>
      <c r="G7" s="160"/>
      <c r="H7" s="228">
        <f>H8</f>
        <v>0</v>
      </c>
      <c r="I7" s="9"/>
      <c r="J7" s="9"/>
      <c r="K7" s="16"/>
      <c r="L7" s="6"/>
      <c r="M7" s="6"/>
      <c r="N7" s="6"/>
    </row>
    <row r="8" spans="1:14" s="5" customFormat="1" ht="31.5" customHeight="1">
      <c r="A8" s="165"/>
      <c r="B8" s="48" t="s">
        <v>4</v>
      </c>
      <c r="C8" s="46" t="s">
        <v>136</v>
      </c>
      <c r="D8" s="49" t="s">
        <v>5</v>
      </c>
      <c r="E8" s="49">
        <v>2.78</v>
      </c>
      <c r="F8" s="52">
        <f>F7*E8</f>
        <v>25.02</v>
      </c>
      <c r="G8" s="52"/>
      <c r="H8" s="377">
        <f>G8*F8</f>
        <v>0</v>
      </c>
      <c r="I8" s="9"/>
      <c r="J8" s="9"/>
      <c r="K8" s="16"/>
      <c r="L8" s="6"/>
      <c r="M8" s="6"/>
      <c r="N8" s="6"/>
    </row>
    <row r="9" spans="1:14" s="5" customFormat="1" ht="68.25" customHeight="1">
      <c r="A9" s="71">
        <v>2</v>
      </c>
      <c r="B9" s="378" t="s">
        <v>992</v>
      </c>
      <c r="C9" s="55" t="s">
        <v>993</v>
      </c>
      <c r="D9" s="55" t="s">
        <v>22</v>
      </c>
      <c r="E9" s="55"/>
      <c r="F9" s="226">
        <v>50</v>
      </c>
      <c r="G9" s="70"/>
      <c r="H9" s="380">
        <f>SUM(H10:H13)</f>
        <v>0</v>
      </c>
      <c r="I9" s="9"/>
      <c r="J9" s="9"/>
      <c r="K9" s="16"/>
      <c r="L9" s="6"/>
      <c r="M9" s="6"/>
      <c r="N9" s="6"/>
    </row>
    <row r="10" spans="1:14" s="5" customFormat="1" ht="27" customHeight="1">
      <c r="A10" s="497"/>
      <c r="B10" s="48" t="s">
        <v>4</v>
      </c>
      <c r="C10" s="46" t="s">
        <v>136</v>
      </c>
      <c r="D10" s="46" t="s">
        <v>5</v>
      </c>
      <c r="E10" s="157">
        <v>0.181</v>
      </c>
      <c r="F10" s="47">
        <f>E10*F9</f>
        <v>9.049999999999999</v>
      </c>
      <c r="G10" s="47"/>
      <c r="H10" s="222">
        <f>G10*F10</f>
        <v>0</v>
      </c>
      <c r="I10" s="9"/>
      <c r="J10" s="9"/>
      <c r="K10" s="16"/>
      <c r="L10" s="6"/>
      <c r="M10" s="6"/>
      <c r="N10" s="6"/>
    </row>
    <row r="11" spans="1:14" s="5" customFormat="1" ht="33" customHeight="1">
      <c r="A11" s="497"/>
      <c r="B11" s="48" t="s">
        <v>4</v>
      </c>
      <c r="C11" s="46" t="s">
        <v>137</v>
      </c>
      <c r="D11" s="46" t="s">
        <v>16</v>
      </c>
      <c r="E11" s="383">
        <v>0.0921</v>
      </c>
      <c r="F11" s="52">
        <f>F9*E11</f>
        <v>4.605</v>
      </c>
      <c r="G11" s="52"/>
      <c r="H11" s="377">
        <f>G11*F11</f>
        <v>0</v>
      </c>
      <c r="I11" s="9"/>
      <c r="J11" s="9"/>
      <c r="K11" s="16"/>
      <c r="L11" s="6"/>
      <c r="M11" s="6"/>
      <c r="N11" s="6"/>
    </row>
    <row r="12" spans="1:14" s="5" customFormat="1" ht="33" customHeight="1">
      <c r="A12" s="497"/>
      <c r="B12" s="223" t="s">
        <v>1223</v>
      </c>
      <c r="C12" s="46" t="s">
        <v>994</v>
      </c>
      <c r="D12" s="46" t="s">
        <v>22</v>
      </c>
      <c r="E12" s="46">
        <v>1.01</v>
      </c>
      <c r="F12" s="47">
        <f>F9*E12</f>
        <v>50.5</v>
      </c>
      <c r="G12" s="47"/>
      <c r="H12" s="222">
        <f>G12*F12</f>
        <v>0</v>
      </c>
      <c r="I12" s="9"/>
      <c r="J12" s="9"/>
      <c r="K12" s="16"/>
      <c r="L12" s="6"/>
      <c r="M12" s="6"/>
      <c r="N12" s="6"/>
    </row>
    <row r="13" spans="1:14" s="5" customFormat="1" ht="30.75" customHeight="1">
      <c r="A13" s="497"/>
      <c r="B13" s="48" t="s">
        <v>4</v>
      </c>
      <c r="C13" s="46" t="s">
        <v>24</v>
      </c>
      <c r="D13" s="46" t="s">
        <v>16</v>
      </c>
      <c r="E13" s="161">
        <v>0.00516</v>
      </c>
      <c r="F13" s="47">
        <f>E13*F9</f>
        <v>0.258</v>
      </c>
      <c r="G13" s="47"/>
      <c r="H13" s="222">
        <f>G13*F13</f>
        <v>0</v>
      </c>
      <c r="I13" s="9"/>
      <c r="J13" s="9"/>
      <c r="K13" s="16"/>
      <c r="L13" s="6"/>
      <c r="M13" s="6"/>
      <c r="N13" s="6"/>
    </row>
    <row r="14" spans="1:14" s="5" customFormat="1" ht="67.5" customHeight="1">
      <c r="A14" s="71">
        <v>3</v>
      </c>
      <c r="B14" s="54" t="s">
        <v>599</v>
      </c>
      <c r="C14" s="55" t="s">
        <v>1322</v>
      </c>
      <c r="D14" s="55" t="s">
        <v>14</v>
      </c>
      <c r="E14" s="158"/>
      <c r="F14" s="160">
        <v>2</v>
      </c>
      <c r="G14" s="160"/>
      <c r="H14" s="228">
        <f>SUM(H15:H22)</f>
        <v>0</v>
      </c>
      <c r="I14" s="9"/>
      <c r="J14" s="9"/>
      <c r="K14" s="16"/>
      <c r="L14" s="6"/>
      <c r="M14" s="6"/>
      <c r="N14" s="6"/>
    </row>
    <row r="15" spans="1:14" s="5" customFormat="1" ht="28.5" customHeight="1">
      <c r="A15" s="82"/>
      <c r="B15" s="48" t="s">
        <v>4</v>
      </c>
      <c r="C15" s="46" t="s">
        <v>148</v>
      </c>
      <c r="D15" s="46" t="s">
        <v>5</v>
      </c>
      <c r="E15" s="49">
        <v>25.2</v>
      </c>
      <c r="F15" s="52">
        <f>F14*E15</f>
        <v>50.4</v>
      </c>
      <c r="G15" s="47"/>
      <c r="H15" s="377">
        <f>G15*F15</f>
        <v>0</v>
      </c>
      <c r="I15" s="9"/>
      <c r="J15" s="9"/>
      <c r="K15" s="16"/>
      <c r="L15" s="6"/>
      <c r="M15" s="6"/>
      <c r="N15" s="6"/>
    </row>
    <row r="16" spans="1:14" s="5" customFormat="1" ht="28.5" customHeight="1">
      <c r="A16" s="82"/>
      <c r="B16" s="48" t="s">
        <v>4</v>
      </c>
      <c r="C16" s="46" t="s">
        <v>137</v>
      </c>
      <c r="D16" s="46" t="s">
        <v>16</v>
      </c>
      <c r="E16" s="49">
        <v>0.23</v>
      </c>
      <c r="F16" s="52">
        <f>F14*E16</f>
        <v>0.46</v>
      </c>
      <c r="G16" s="52"/>
      <c r="H16" s="377">
        <f>G16*F16</f>
        <v>0</v>
      </c>
      <c r="I16" s="9"/>
      <c r="J16" s="9"/>
      <c r="K16" s="16"/>
      <c r="L16" s="6"/>
      <c r="M16" s="6"/>
      <c r="N16" s="6"/>
    </row>
    <row r="17" spans="1:14" s="5" customFormat="1" ht="28.5" customHeight="1">
      <c r="A17" s="82"/>
      <c r="B17" s="300" t="s">
        <v>1334</v>
      </c>
      <c r="C17" s="46" t="s">
        <v>628</v>
      </c>
      <c r="D17" s="46" t="s">
        <v>14</v>
      </c>
      <c r="E17" s="49">
        <v>1.02</v>
      </c>
      <c r="F17" s="52">
        <f>F14*E17</f>
        <v>2.04</v>
      </c>
      <c r="G17" s="47"/>
      <c r="H17" s="377">
        <f aca="true" t="shared" si="0" ref="H17:H22">F17*G17</f>
        <v>0</v>
      </c>
      <c r="I17" s="9"/>
      <c r="J17" s="9"/>
      <c r="K17" s="16"/>
      <c r="L17" s="6"/>
      <c r="M17" s="6"/>
      <c r="N17" s="6"/>
    </row>
    <row r="18" spans="1:14" s="5" customFormat="1" ht="28.5" customHeight="1">
      <c r="A18" s="82"/>
      <c r="B18" s="300" t="s">
        <v>1519</v>
      </c>
      <c r="C18" s="46" t="s">
        <v>629</v>
      </c>
      <c r="D18" s="46" t="s">
        <v>42</v>
      </c>
      <c r="E18" s="49">
        <v>0.004</v>
      </c>
      <c r="F18" s="52">
        <f>F14*E18</f>
        <v>0.008</v>
      </c>
      <c r="G18" s="377"/>
      <c r="H18" s="377">
        <f t="shared" si="0"/>
        <v>0</v>
      </c>
      <c r="I18" s="9"/>
      <c r="J18" s="9"/>
      <c r="K18" s="16"/>
      <c r="L18" s="6"/>
      <c r="M18" s="6"/>
      <c r="N18" s="6"/>
    </row>
    <row r="19" spans="1:14" s="5" customFormat="1" ht="28.5" customHeight="1">
      <c r="A19" s="82"/>
      <c r="B19" s="300" t="s">
        <v>1348</v>
      </c>
      <c r="C19" s="46" t="s">
        <v>600</v>
      </c>
      <c r="D19" s="46" t="s">
        <v>14</v>
      </c>
      <c r="E19" s="49">
        <v>0.05</v>
      </c>
      <c r="F19" s="52">
        <f>F14*E19</f>
        <v>0.1</v>
      </c>
      <c r="G19" s="52"/>
      <c r="H19" s="377">
        <f t="shared" si="0"/>
        <v>0</v>
      </c>
      <c r="I19" s="9"/>
      <c r="J19" s="9"/>
      <c r="K19" s="16"/>
      <c r="L19" s="6"/>
      <c r="M19" s="6"/>
      <c r="N19" s="6"/>
    </row>
    <row r="20" spans="1:14" s="5" customFormat="1" ht="28.5" customHeight="1">
      <c r="A20" s="82"/>
      <c r="B20" s="224" t="s">
        <v>1520</v>
      </c>
      <c r="C20" s="46" t="s">
        <v>601</v>
      </c>
      <c r="D20" s="46" t="s">
        <v>14</v>
      </c>
      <c r="E20" s="49">
        <v>0.138</v>
      </c>
      <c r="F20" s="52">
        <f>F14*E20</f>
        <v>0.276</v>
      </c>
      <c r="G20" s="52"/>
      <c r="H20" s="377">
        <f t="shared" si="0"/>
        <v>0</v>
      </c>
      <c r="I20" s="9"/>
      <c r="J20" s="9"/>
      <c r="K20" s="16"/>
      <c r="L20" s="6"/>
      <c r="M20" s="6"/>
      <c r="N20" s="6"/>
    </row>
    <row r="21" spans="1:14" s="5" customFormat="1" ht="28.5" customHeight="1">
      <c r="A21" s="82"/>
      <c r="B21" s="223">
        <v>4.124</v>
      </c>
      <c r="C21" s="46" t="s">
        <v>630</v>
      </c>
      <c r="D21" s="49" t="s">
        <v>15</v>
      </c>
      <c r="E21" s="52">
        <v>2</v>
      </c>
      <c r="F21" s="52">
        <f>E21*F14</f>
        <v>4</v>
      </c>
      <c r="G21" s="52"/>
      <c r="H21" s="377">
        <f t="shared" si="0"/>
        <v>0</v>
      </c>
      <c r="I21" s="9"/>
      <c r="J21" s="9"/>
      <c r="K21" s="16"/>
      <c r="L21" s="6"/>
      <c r="M21" s="6"/>
      <c r="N21" s="6"/>
    </row>
    <row r="22" spans="1:14" s="5" customFormat="1" ht="28.5" customHeight="1">
      <c r="A22" s="82"/>
      <c r="B22" s="300" t="s">
        <v>4</v>
      </c>
      <c r="C22" s="46" t="s">
        <v>24</v>
      </c>
      <c r="D22" s="46" t="s">
        <v>16</v>
      </c>
      <c r="E22" s="49">
        <v>2.54</v>
      </c>
      <c r="F22" s="52">
        <f>F14*E22</f>
        <v>5.08</v>
      </c>
      <c r="G22" s="52"/>
      <c r="H22" s="377">
        <f t="shared" si="0"/>
        <v>0</v>
      </c>
      <c r="I22" s="9"/>
      <c r="J22" s="9"/>
      <c r="K22" s="16"/>
      <c r="L22" s="6"/>
      <c r="M22" s="6"/>
      <c r="N22" s="6"/>
    </row>
    <row r="23" spans="1:14" s="5" customFormat="1" ht="58.5" customHeight="1">
      <c r="A23" s="71">
        <v>4</v>
      </c>
      <c r="B23" s="54" t="s">
        <v>147</v>
      </c>
      <c r="C23" s="55" t="s">
        <v>575</v>
      </c>
      <c r="D23" s="55" t="s">
        <v>25</v>
      </c>
      <c r="E23" s="55"/>
      <c r="F23" s="70">
        <v>1</v>
      </c>
      <c r="G23" s="70"/>
      <c r="H23" s="380">
        <f>SUM(H24:H27)</f>
        <v>0</v>
      </c>
      <c r="I23" s="9"/>
      <c r="J23" s="9"/>
      <c r="K23" s="16"/>
      <c r="L23" s="6"/>
      <c r="M23" s="6"/>
      <c r="N23" s="6"/>
    </row>
    <row r="24" spans="1:14" s="5" customFormat="1" ht="27.75" customHeight="1">
      <c r="A24" s="82"/>
      <c r="B24" s="45" t="s">
        <v>4</v>
      </c>
      <c r="C24" s="46" t="s">
        <v>136</v>
      </c>
      <c r="D24" s="46" t="s">
        <v>5</v>
      </c>
      <c r="E24" s="47">
        <v>17</v>
      </c>
      <c r="F24" s="47">
        <f>E24*F23</f>
        <v>17</v>
      </c>
      <c r="G24" s="47"/>
      <c r="H24" s="222">
        <f>G24*F24</f>
        <v>0</v>
      </c>
      <c r="I24" s="9"/>
      <c r="J24" s="9"/>
      <c r="K24" s="16"/>
      <c r="L24" s="6"/>
      <c r="M24" s="6"/>
      <c r="N24" s="6"/>
    </row>
    <row r="25" spans="1:14" s="5" customFormat="1" ht="29.25" customHeight="1">
      <c r="A25" s="82"/>
      <c r="B25" s="48" t="s">
        <v>1333</v>
      </c>
      <c r="C25" s="46" t="s">
        <v>276</v>
      </c>
      <c r="D25" s="46" t="s">
        <v>14</v>
      </c>
      <c r="E25" s="46">
        <v>0.05</v>
      </c>
      <c r="F25" s="47">
        <f>F23*E25</f>
        <v>0.05</v>
      </c>
      <c r="G25" s="47"/>
      <c r="H25" s="222">
        <f>G25*F25</f>
        <v>0</v>
      </c>
      <c r="I25" s="9"/>
      <c r="J25" s="9"/>
      <c r="K25" s="16"/>
      <c r="L25" s="6"/>
      <c r="M25" s="6"/>
      <c r="N25" s="6"/>
    </row>
    <row r="26" spans="1:14" s="5" customFormat="1" ht="31.5" customHeight="1">
      <c r="A26" s="82"/>
      <c r="B26" s="48" t="s">
        <v>542</v>
      </c>
      <c r="C26" s="46" t="s">
        <v>125</v>
      </c>
      <c r="D26" s="46" t="s">
        <v>14</v>
      </c>
      <c r="E26" s="46">
        <v>0.2</v>
      </c>
      <c r="F26" s="47">
        <f>F23*E26</f>
        <v>0.2</v>
      </c>
      <c r="G26" s="47"/>
      <c r="H26" s="222">
        <f>G26*F26</f>
        <v>0</v>
      </c>
      <c r="I26" s="9"/>
      <c r="J26" s="9"/>
      <c r="K26" s="16"/>
      <c r="L26" s="6"/>
      <c r="M26" s="6"/>
      <c r="N26" s="6"/>
    </row>
    <row r="27" spans="1:14" s="5" customFormat="1" ht="28.5" customHeight="1">
      <c r="A27" s="82"/>
      <c r="B27" s="45" t="s">
        <v>4</v>
      </c>
      <c r="C27" s="46" t="s">
        <v>24</v>
      </c>
      <c r="D27" s="46" t="s">
        <v>16</v>
      </c>
      <c r="E27" s="46">
        <v>1.08</v>
      </c>
      <c r="F27" s="47">
        <f>E27*F23</f>
        <v>1.08</v>
      </c>
      <c r="G27" s="47"/>
      <c r="H27" s="222">
        <f>G27*F27</f>
        <v>0</v>
      </c>
      <c r="I27" s="9"/>
      <c r="J27" s="9"/>
      <c r="K27" s="16"/>
      <c r="L27" s="6"/>
      <c r="M27" s="6"/>
      <c r="N27" s="6"/>
    </row>
    <row r="28" spans="1:14" s="5" customFormat="1" ht="54" customHeight="1">
      <c r="A28" s="81" t="s">
        <v>41</v>
      </c>
      <c r="B28" s="54" t="s">
        <v>73</v>
      </c>
      <c r="C28" s="55" t="s">
        <v>126</v>
      </c>
      <c r="D28" s="55" t="s">
        <v>20</v>
      </c>
      <c r="E28" s="156"/>
      <c r="F28" s="226">
        <f>F7</f>
        <v>9</v>
      </c>
      <c r="G28" s="70"/>
      <c r="H28" s="380">
        <f>H29</f>
        <v>0</v>
      </c>
      <c r="I28" s="9"/>
      <c r="J28" s="9"/>
      <c r="K28" s="16"/>
      <c r="L28" s="6"/>
      <c r="M28" s="6"/>
      <c r="N28" s="6"/>
    </row>
    <row r="29" spans="1:14" s="5" customFormat="1" ht="34.5" customHeight="1">
      <c r="A29" s="82"/>
      <c r="B29" s="48" t="s">
        <v>4</v>
      </c>
      <c r="C29" s="46" t="s">
        <v>136</v>
      </c>
      <c r="D29" s="46" t="s">
        <v>5</v>
      </c>
      <c r="E29" s="46">
        <v>1.21</v>
      </c>
      <c r="F29" s="47">
        <f>F28*E29</f>
        <v>10.89</v>
      </c>
      <c r="G29" s="47"/>
      <c r="H29" s="222">
        <f>G29*F29</f>
        <v>0</v>
      </c>
      <c r="I29" s="9"/>
      <c r="J29" s="9"/>
      <c r="K29" s="16"/>
      <c r="L29" s="6"/>
      <c r="M29" s="6"/>
      <c r="N29" s="6"/>
    </row>
    <row r="30" spans="1:14" s="5" customFormat="1" ht="47.25" customHeight="1">
      <c r="A30" s="320">
        <v>6</v>
      </c>
      <c r="B30" s="378" t="s">
        <v>655</v>
      </c>
      <c r="C30" s="321" t="s">
        <v>656</v>
      </c>
      <c r="D30" s="321" t="s">
        <v>20</v>
      </c>
      <c r="E30" s="321"/>
      <c r="F30" s="464">
        <f>F28</f>
        <v>9</v>
      </c>
      <c r="G30" s="464"/>
      <c r="H30" s="334">
        <f>H31+H32</f>
        <v>0</v>
      </c>
      <c r="I30" s="9"/>
      <c r="J30" s="9"/>
      <c r="K30" s="16"/>
      <c r="L30" s="6"/>
      <c r="M30" s="6"/>
      <c r="N30" s="6"/>
    </row>
    <row r="31" spans="1:14" s="5" customFormat="1" ht="33" customHeight="1">
      <c r="A31" s="82"/>
      <c r="B31" s="48" t="s">
        <v>4</v>
      </c>
      <c r="C31" s="46" t="s">
        <v>136</v>
      </c>
      <c r="D31" s="46" t="s">
        <v>5</v>
      </c>
      <c r="E31" s="46">
        <v>0.134</v>
      </c>
      <c r="F31" s="47">
        <f>F30*E31</f>
        <v>1.206</v>
      </c>
      <c r="G31" s="47"/>
      <c r="H31" s="222">
        <f>G31*F31</f>
        <v>0</v>
      </c>
      <c r="I31" s="9"/>
      <c r="J31" s="9"/>
      <c r="K31" s="16"/>
      <c r="L31" s="6"/>
      <c r="M31" s="6"/>
      <c r="N31" s="6"/>
    </row>
    <row r="32" spans="1:14" s="5" customFormat="1" ht="34.5" customHeight="1">
      <c r="A32" s="317"/>
      <c r="B32" s="317" t="s">
        <v>657</v>
      </c>
      <c r="C32" s="317" t="s">
        <v>658</v>
      </c>
      <c r="D32" s="317" t="s">
        <v>23</v>
      </c>
      <c r="E32" s="317">
        <v>0.13</v>
      </c>
      <c r="F32" s="460">
        <f>E32*F30</f>
        <v>1.17</v>
      </c>
      <c r="G32" s="460"/>
      <c r="H32" s="317">
        <f>F32*G32</f>
        <v>0</v>
      </c>
      <c r="I32" s="9"/>
      <c r="J32" s="24"/>
      <c r="K32" s="16"/>
      <c r="L32" s="6"/>
      <c r="M32" s="6"/>
      <c r="N32" s="6"/>
    </row>
    <row r="33" spans="1:8" ht="36.75" customHeight="1">
      <c r="A33" s="72"/>
      <c r="B33" s="48"/>
      <c r="C33" s="55" t="s">
        <v>145</v>
      </c>
      <c r="D33" s="55" t="s">
        <v>16</v>
      </c>
      <c r="E33" s="46"/>
      <c r="F33" s="47"/>
      <c r="G33" s="46"/>
      <c r="H33" s="70">
        <f>H7+H9+H23+H28+H14+H30</f>
        <v>0</v>
      </c>
    </row>
    <row r="34" spans="1:8" ht="36" customHeight="1">
      <c r="A34" s="82"/>
      <c r="B34" s="48"/>
      <c r="C34" s="46" t="s">
        <v>227</v>
      </c>
      <c r="D34" s="46" t="s">
        <v>16</v>
      </c>
      <c r="E34" s="46"/>
      <c r="F34" s="53">
        <v>0.1</v>
      </c>
      <c r="G34" s="46"/>
      <c r="H34" s="52">
        <f>H33*F34</f>
        <v>0</v>
      </c>
    </row>
    <row r="35" spans="1:8" ht="34.5" customHeight="1">
      <c r="A35" s="82"/>
      <c r="B35" s="54"/>
      <c r="C35" s="55" t="s">
        <v>127</v>
      </c>
      <c r="D35" s="55" t="s">
        <v>16</v>
      </c>
      <c r="E35" s="55"/>
      <c r="F35" s="55"/>
      <c r="G35" s="55"/>
      <c r="H35" s="160">
        <f>H33+H34</f>
        <v>0</v>
      </c>
    </row>
    <row r="36" spans="1:8" ht="36.75" customHeight="1">
      <c r="A36" s="82"/>
      <c r="B36" s="48"/>
      <c r="C36" s="46" t="s">
        <v>39</v>
      </c>
      <c r="D36" s="46" t="s">
        <v>16</v>
      </c>
      <c r="E36" s="46"/>
      <c r="F36" s="53">
        <v>0.08</v>
      </c>
      <c r="G36" s="46"/>
      <c r="H36" s="52">
        <f>H35*F36</f>
        <v>0</v>
      </c>
    </row>
    <row r="37" spans="1:8" ht="53.25" customHeight="1">
      <c r="A37" s="72"/>
      <c r="B37" s="54"/>
      <c r="C37" s="363" t="s">
        <v>1610</v>
      </c>
      <c r="D37" s="55" t="s">
        <v>16</v>
      </c>
      <c r="E37" s="55"/>
      <c r="F37" s="162"/>
      <c r="G37" s="55"/>
      <c r="H37" s="160">
        <f>SUM(H35:H36)</f>
        <v>0</v>
      </c>
    </row>
    <row r="38" spans="2:8" ht="24.75" customHeight="1">
      <c r="B38" s="104"/>
      <c r="C38" s="104"/>
      <c r="D38" s="104"/>
      <c r="E38" s="104"/>
      <c r="F38" s="104"/>
      <c r="G38" s="104"/>
      <c r="H38" s="195"/>
    </row>
    <row r="39" spans="1:8" ht="18" customHeight="1">
      <c r="A39" s="62"/>
      <c r="B39" s="57"/>
      <c r="C39" s="63"/>
      <c r="D39" s="659"/>
      <c r="E39" s="659"/>
      <c r="F39" s="659"/>
      <c r="G39" s="123"/>
      <c r="H39" s="196"/>
    </row>
    <row r="40" spans="2:8" ht="13.5">
      <c r="B40" s="104"/>
      <c r="C40" s="104"/>
      <c r="D40" s="104"/>
      <c r="E40" s="104"/>
      <c r="F40" s="104"/>
      <c r="G40" s="104"/>
      <c r="H40" s="195"/>
    </row>
  </sheetData>
  <sheetProtection/>
  <autoFilter ref="A6:N37"/>
  <mergeCells count="10">
    <mergeCell ref="G4:H4"/>
    <mergeCell ref="A1:H1"/>
    <mergeCell ref="A2:H2"/>
    <mergeCell ref="A3:H3"/>
    <mergeCell ref="D39:F39"/>
    <mergeCell ref="A4:A5"/>
    <mergeCell ref="B4:B5"/>
    <mergeCell ref="C4:C5"/>
    <mergeCell ref="D4:D5"/>
    <mergeCell ref="E4:F4"/>
  </mergeCells>
  <printOptions/>
  <pageMargins left="0.51" right="0.71" top="0.4" bottom="0.58"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1:M51"/>
  <sheetViews>
    <sheetView zoomScalePageLayoutView="0" workbookViewId="0" topLeftCell="A1">
      <selection activeCell="A3" sqref="A3:H3"/>
    </sheetView>
  </sheetViews>
  <sheetFormatPr defaultColWidth="9.140625" defaultRowHeight="12.75"/>
  <cols>
    <col min="1" max="1" width="4.57421875" style="90" customWidth="1"/>
    <col min="2" max="2" width="9.8515625" style="85" customWidth="1"/>
    <col min="3" max="3" width="34.7109375" style="86" customWidth="1"/>
    <col min="4" max="4" width="6.7109375" style="87" customWidth="1"/>
    <col min="5" max="5" width="8.421875" style="25" customWidth="1"/>
    <col min="6" max="6" width="7.28125" style="88" customWidth="1"/>
    <col min="7" max="7" width="6.7109375" style="31" customWidth="1"/>
    <col min="8" max="8" width="10.28125" style="274" customWidth="1"/>
    <col min="9" max="9" width="10.8515625" style="24" hidden="1" customWidth="1"/>
    <col min="10" max="10" width="10.7109375" style="24" hidden="1" customWidth="1"/>
    <col min="11" max="11" width="9.140625" style="25" hidden="1" customWidth="1"/>
    <col min="12" max="12" width="18.8515625" style="24" customWidth="1"/>
    <col min="13" max="13" width="9.140625" style="24" customWidth="1"/>
    <col min="14" max="16384" width="9.140625" style="24" customWidth="1"/>
  </cols>
  <sheetData>
    <row r="1" spans="1:11" s="1" customFormat="1" ht="33" customHeight="1">
      <c r="A1" s="660" t="str">
        <f>'ლხ-4'!A1:H1</f>
        <v>qobuleTis municipalitetis sofel xucubanSi sajaro skolis Zveli korpusebis demontaJi da axali skolis Senobis mSenebloba</v>
      </c>
      <c r="B1" s="642"/>
      <c r="C1" s="642"/>
      <c r="D1" s="642"/>
      <c r="E1" s="642"/>
      <c r="F1" s="642"/>
      <c r="G1" s="642"/>
      <c r="H1" s="642"/>
      <c r="I1" s="3"/>
      <c r="J1" s="2"/>
      <c r="K1" s="3"/>
    </row>
    <row r="2" spans="1:11" s="1" customFormat="1" ht="18" customHeight="1">
      <c r="A2" s="698" t="s">
        <v>520</v>
      </c>
      <c r="B2" s="698"/>
      <c r="C2" s="698"/>
      <c r="D2" s="698"/>
      <c r="E2" s="698"/>
      <c r="F2" s="698"/>
      <c r="G2" s="698"/>
      <c r="H2" s="698"/>
      <c r="I2" s="3"/>
      <c r="J2" s="2"/>
      <c r="K2" s="3"/>
    </row>
    <row r="3" spans="1:8" s="1" customFormat="1" ht="38.25" customHeight="1">
      <c r="A3" s="661" t="s">
        <v>1219</v>
      </c>
      <c r="B3" s="661"/>
      <c r="C3" s="661"/>
      <c r="D3" s="661"/>
      <c r="E3" s="661"/>
      <c r="F3" s="661"/>
      <c r="G3" s="661"/>
      <c r="H3" s="661"/>
    </row>
    <row r="4" spans="1:8" s="1" customFormat="1" ht="25.5" customHeight="1">
      <c r="A4" s="684" t="s">
        <v>7</v>
      </c>
      <c r="B4" s="685" t="s">
        <v>8</v>
      </c>
      <c r="C4" s="666" t="s">
        <v>9</v>
      </c>
      <c r="D4" s="699" t="s">
        <v>6</v>
      </c>
      <c r="E4" s="700" t="s">
        <v>10</v>
      </c>
      <c r="F4" s="700"/>
      <c r="G4" s="700" t="s">
        <v>1</v>
      </c>
      <c r="H4" s="700"/>
    </row>
    <row r="5" spans="1:10" s="1" customFormat="1" ht="57.75" customHeight="1">
      <c r="A5" s="684"/>
      <c r="B5" s="685"/>
      <c r="C5" s="666"/>
      <c r="D5" s="699"/>
      <c r="E5" s="44" t="s">
        <v>11</v>
      </c>
      <c r="F5" s="44" t="s">
        <v>12</v>
      </c>
      <c r="G5" s="44" t="s">
        <v>11</v>
      </c>
      <c r="H5" s="155" t="s">
        <v>12</v>
      </c>
      <c r="J5" s="3"/>
    </row>
    <row r="6" spans="1:8" s="5" customFormat="1" ht="15" customHeight="1">
      <c r="A6" s="100" t="s">
        <v>13</v>
      </c>
      <c r="B6" s="54">
        <v>2</v>
      </c>
      <c r="C6" s="101">
        <v>3</v>
      </c>
      <c r="D6" s="101">
        <v>4</v>
      </c>
      <c r="E6" s="101">
        <v>5</v>
      </c>
      <c r="F6" s="101">
        <v>6</v>
      </c>
      <c r="G6" s="101">
        <v>7</v>
      </c>
      <c r="H6" s="71">
        <v>8</v>
      </c>
    </row>
    <row r="7" spans="1:11" s="1" customFormat="1" ht="49.5" customHeight="1">
      <c r="A7" s="221">
        <v>1</v>
      </c>
      <c r="B7" s="378" t="s">
        <v>602</v>
      </c>
      <c r="C7" s="375" t="s">
        <v>121</v>
      </c>
      <c r="D7" s="375" t="s">
        <v>20</v>
      </c>
      <c r="E7" s="229"/>
      <c r="F7" s="226">
        <v>15</v>
      </c>
      <c r="G7" s="375"/>
      <c r="H7" s="380">
        <f>H8</f>
        <v>0</v>
      </c>
      <c r="I7" s="11"/>
      <c r="J7" s="273"/>
      <c r="K7" s="3"/>
    </row>
    <row r="8" spans="1:11" s="1" customFormat="1" ht="27" customHeight="1">
      <c r="A8" s="497"/>
      <c r="B8" s="224" t="s">
        <v>4</v>
      </c>
      <c r="C8" s="496" t="s">
        <v>136</v>
      </c>
      <c r="D8" s="496" t="s">
        <v>5</v>
      </c>
      <c r="E8" s="496">
        <v>2.78</v>
      </c>
      <c r="F8" s="222">
        <f>F7*E8</f>
        <v>41.699999999999996</v>
      </c>
      <c r="G8" s="222"/>
      <c r="H8" s="222">
        <f>G8*F8</f>
        <v>0</v>
      </c>
      <c r="I8" s="11"/>
      <c r="J8" s="273"/>
      <c r="K8" s="3"/>
    </row>
    <row r="9" spans="1:11" s="1" customFormat="1" ht="63.75" customHeight="1">
      <c r="A9" s="71">
        <v>2</v>
      </c>
      <c r="B9" s="378" t="s">
        <v>1102</v>
      </c>
      <c r="C9" s="55" t="s">
        <v>1100</v>
      </c>
      <c r="D9" s="55" t="s">
        <v>22</v>
      </c>
      <c r="E9" s="55"/>
      <c r="F9" s="70">
        <v>12</v>
      </c>
      <c r="G9" s="70"/>
      <c r="H9" s="380">
        <f>SUM(H10:H12)</f>
        <v>0</v>
      </c>
      <c r="I9" s="11"/>
      <c r="J9" s="273"/>
      <c r="K9" s="3"/>
    </row>
    <row r="10" spans="1:11" s="1" customFormat="1" ht="30.75" customHeight="1">
      <c r="A10" s="497"/>
      <c r="B10" s="48" t="s">
        <v>4</v>
      </c>
      <c r="C10" s="46" t="s">
        <v>136</v>
      </c>
      <c r="D10" s="46" t="s">
        <v>5</v>
      </c>
      <c r="E10" s="157">
        <v>0.381</v>
      </c>
      <c r="F10" s="47">
        <f>E10*F9</f>
        <v>4.572</v>
      </c>
      <c r="G10" s="47"/>
      <c r="H10" s="222">
        <f>G10*F10</f>
        <v>0</v>
      </c>
      <c r="I10" s="11"/>
      <c r="J10" s="273"/>
      <c r="K10" s="3"/>
    </row>
    <row r="11" spans="1:11" s="1" customFormat="1" ht="30.75" customHeight="1">
      <c r="A11" s="497"/>
      <c r="B11" s="223" t="s">
        <v>1521</v>
      </c>
      <c r="C11" s="46" t="s">
        <v>994</v>
      </c>
      <c r="D11" s="46" t="s">
        <v>22</v>
      </c>
      <c r="E11" s="46">
        <v>1.01</v>
      </c>
      <c r="F11" s="47">
        <f>F9*E11</f>
        <v>12.120000000000001</v>
      </c>
      <c r="G11" s="47"/>
      <c r="H11" s="222">
        <f>G11*F11</f>
        <v>0</v>
      </c>
      <c r="I11" s="11"/>
      <c r="J11" s="273"/>
      <c r="K11" s="3"/>
    </row>
    <row r="12" spans="1:11" s="1" customFormat="1" ht="30.75" customHeight="1">
      <c r="A12" s="497"/>
      <c r="B12" s="48" t="s">
        <v>4</v>
      </c>
      <c r="C12" s="46" t="s">
        <v>24</v>
      </c>
      <c r="D12" s="46" t="s">
        <v>16</v>
      </c>
      <c r="E12" s="161">
        <v>0.0112</v>
      </c>
      <c r="F12" s="47">
        <f>E12*F9</f>
        <v>0.1344</v>
      </c>
      <c r="G12" s="47"/>
      <c r="H12" s="222">
        <f>G12*F12</f>
        <v>0</v>
      </c>
      <c r="I12" s="11"/>
      <c r="J12" s="273"/>
      <c r="K12" s="3"/>
    </row>
    <row r="13" spans="1:11" s="1" customFormat="1" ht="65.25" customHeight="1">
      <c r="A13" s="71">
        <v>3</v>
      </c>
      <c r="B13" s="378" t="s">
        <v>1101</v>
      </c>
      <c r="C13" s="55" t="s">
        <v>1221</v>
      </c>
      <c r="D13" s="55" t="s">
        <v>22</v>
      </c>
      <c r="E13" s="55"/>
      <c r="F13" s="70">
        <v>30</v>
      </c>
      <c r="G13" s="70"/>
      <c r="H13" s="380">
        <f>SUM(H14:H17)</f>
        <v>0</v>
      </c>
      <c r="I13" s="11"/>
      <c r="J13" s="273"/>
      <c r="K13" s="3"/>
    </row>
    <row r="14" spans="1:11" s="1" customFormat="1" ht="33.75" customHeight="1">
      <c r="A14" s="82"/>
      <c r="B14" s="48" t="s">
        <v>4</v>
      </c>
      <c r="C14" s="46" t="s">
        <v>136</v>
      </c>
      <c r="D14" s="46" t="s">
        <v>5</v>
      </c>
      <c r="E14" s="51">
        <v>0.505</v>
      </c>
      <c r="F14" s="47">
        <f>E14*F13</f>
        <v>15.15</v>
      </c>
      <c r="G14" s="47"/>
      <c r="H14" s="222">
        <f>G14*F14</f>
        <v>0</v>
      </c>
      <c r="I14" s="11"/>
      <c r="J14" s="273"/>
      <c r="K14" s="3"/>
    </row>
    <row r="15" spans="1:11" s="1" customFormat="1" ht="33.75" customHeight="1">
      <c r="A15" s="82"/>
      <c r="B15" s="48" t="s">
        <v>4</v>
      </c>
      <c r="C15" s="46" t="s">
        <v>137</v>
      </c>
      <c r="D15" s="46" t="s">
        <v>16</v>
      </c>
      <c r="E15" s="46">
        <v>0.0493</v>
      </c>
      <c r="F15" s="47">
        <f>F13*E15</f>
        <v>1.4789999999999999</v>
      </c>
      <c r="G15" s="47"/>
      <c r="H15" s="222">
        <f>G15*F15</f>
        <v>0</v>
      </c>
      <c r="I15" s="11"/>
      <c r="J15" s="273"/>
      <c r="K15" s="3"/>
    </row>
    <row r="16" spans="1:11" s="1" customFormat="1" ht="33" customHeight="1">
      <c r="A16" s="497"/>
      <c r="B16" s="49" t="s">
        <v>1522</v>
      </c>
      <c r="C16" s="496" t="s">
        <v>1222</v>
      </c>
      <c r="D16" s="496" t="s">
        <v>47</v>
      </c>
      <c r="E16" s="496">
        <v>1</v>
      </c>
      <c r="F16" s="222">
        <f>F13*E16</f>
        <v>30</v>
      </c>
      <c r="G16" s="222"/>
      <c r="H16" s="222">
        <f>G16*F16</f>
        <v>0</v>
      </c>
      <c r="I16" s="11"/>
      <c r="J16" s="273"/>
      <c r="K16" s="3"/>
    </row>
    <row r="17" spans="1:11" s="1" customFormat="1" ht="33.75" customHeight="1">
      <c r="A17" s="82"/>
      <c r="B17" s="48" t="s">
        <v>4</v>
      </c>
      <c r="C17" s="46" t="s">
        <v>24</v>
      </c>
      <c r="D17" s="46" t="s">
        <v>16</v>
      </c>
      <c r="E17" s="46">
        <v>0.0277</v>
      </c>
      <c r="F17" s="47">
        <f>E17*F13</f>
        <v>0.831</v>
      </c>
      <c r="G17" s="47"/>
      <c r="H17" s="222">
        <f>G17*F17</f>
        <v>0</v>
      </c>
      <c r="I17" s="11"/>
      <c r="J17" s="273"/>
      <c r="K17" s="3"/>
    </row>
    <row r="18" spans="1:11" s="1" customFormat="1" ht="68.25" customHeight="1">
      <c r="A18" s="71">
        <v>4</v>
      </c>
      <c r="B18" s="54" t="s">
        <v>577</v>
      </c>
      <c r="C18" s="55" t="s">
        <v>1224</v>
      </c>
      <c r="D18" s="55" t="s">
        <v>22</v>
      </c>
      <c r="E18" s="55"/>
      <c r="F18" s="70">
        <v>24</v>
      </c>
      <c r="G18" s="70"/>
      <c r="H18" s="380">
        <f>SUM(H19:H22)</f>
        <v>0</v>
      </c>
      <c r="I18" s="11"/>
      <c r="J18" s="273"/>
      <c r="K18" s="3"/>
    </row>
    <row r="19" spans="1:11" s="1" customFormat="1" ht="33.75" customHeight="1">
      <c r="A19" s="82"/>
      <c r="B19" s="45" t="s">
        <v>4</v>
      </c>
      <c r="C19" s="46" t="s">
        <v>136</v>
      </c>
      <c r="D19" s="46" t="s">
        <v>5</v>
      </c>
      <c r="E19" s="46">
        <v>0.0959</v>
      </c>
      <c r="F19" s="47">
        <f>E19*F18</f>
        <v>2.3016</v>
      </c>
      <c r="G19" s="47"/>
      <c r="H19" s="222">
        <f>G19*F19</f>
        <v>0</v>
      </c>
      <c r="I19" s="11"/>
      <c r="J19" s="273"/>
      <c r="K19" s="3"/>
    </row>
    <row r="20" spans="1:11" s="1" customFormat="1" ht="32.25" customHeight="1">
      <c r="A20" s="82"/>
      <c r="B20" s="45" t="s">
        <v>4</v>
      </c>
      <c r="C20" s="46" t="s">
        <v>137</v>
      </c>
      <c r="D20" s="46" t="s">
        <v>16</v>
      </c>
      <c r="E20" s="161">
        <v>0.0452</v>
      </c>
      <c r="F20" s="47">
        <f>F18*E20</f>
        <v>1.0848</v>
      </c>
      <c r="G20" s="47"/>
      <c r="H20" s="259">
        <f>G20*F20</f>
        <v>0</v>
      </c>
      <c r="I20" s="11"/>
      <c r="J20" s="273"/>
      <c r="K20" s="3"/>
    </row>
    <row r="21" spans="1:11" s="1" customFormat="1" ht="33.75" customHeight="1">
      <c r="A21" s="497"/>
      <c r="B21" s="316" t="s">
        <v>701</v>
      </c>
      <c r="C21" s="496" t="s">
        <v>1226</v>
      </c>
      <c r="D21" s="373" t="s">
        <v>47</v>
      </c>
      <c r="E21" s="373">
        <v>1.01</v>
      </c>
      <c r="F21" s="377">
        <f>F18*E21</f>
        <v>24.240000000000002</v>
      </c>
      <c r="G21" s="377"/>
      <c r="H21" s="377">
        <f>F21*G21</f>
        <v>0</v>
      </c>
      <c r="I21" s="11"/>
      <c r="J21" s="273"/>
      <c r="K21" s="3"/>
    </row>
    <row r="22" spans="1:11" s="1" customFormat="1" ht="33.75" customHeight="1">
      <c r="A22" s="82"/>
      <c r="B22" s="45" t="s">
        <v>4</v>
      </c>
      <c r="C22" s="46" t="s">
        <v>24</v>
      </c>
      <c r="D22" s="46" t="s">
        <v>16</v>
      </c>
      <c r="E22" s="46">
        <v>0.0006</v>
      </c>
      <c r="F22" s="47">
        <f>E22*F18</f>
        <v>0.0144</v>
      </c>
      <c r="G22" s="47"/>
      <c r="H22" s="47">
        <f>G22*F22</f>
        <v>0</v>
      </c>
      <c r="I22" s="11"/>
      <c r="J22" s="273"/>
      <c r="K22" s="3"/>
    </row>
    <row r="23" spans="1:11" s="1" customFormat="1" ht="60" customHeight="1">
      <c r="A23" s="71">
        <v>5</v>
      </c>
      <c r="B23" s="54" t="s">
        <v>998</v>
      </c>
      <c r="C23" s="55" t="s">
        <v>1225</v>
      </c>
      <c r="D23" s="55" t="s">
        <v>22</v>
      </c>
      <c r="E23" s="55"/>
      <c r="F23" s="70">
        <v>60</v>
      </c>
      <c r="G23" s="70"/>
      <c r="H23" s="380">
        <f>SUM(H24:H27)</f>
        <v>0</v>
      </c>
      <c r="I23" s="11"/>
      <c r="J23" s="273"/>
      <c r="K23" s="3"/>
    </row>
    <row r="24" spans="1:11" s="1" customFormat="1" ht="28.5" customHeight="1">
      <c r="A24" s="82"/>
      <c r="B24" s="45" t="s">
        <v>4</v>
      </c>
      <c r="C24" s="46" t="s">
        <v>136</v>
      </c>
      <c r="D24" s="46" t="s">
        <v>5</v>
      </c>
      <c r="E24" s="46">
        <v>0.105</v>
      </c>
      <c r="F24" s="47">
        <f>E24*F23</f>
        <v>6.3</v>
      </c>
      <c r="G24" s="47"/>
      <c r="H24" s="222">
        <f>G24*F24</f>
        <v>0</v>
      </c>
      <c r="I24" s="11"/>
      <c r="J24" s="273"/>
      <c r="K24" s="3"/>
    </row>
    <row r="25" spans="1:11" s="1" customFormat="1" ht="27.75" customHeight="1">
      <c r="A25" s="82"/>
      <c r="B25" s="45" t="s">
        <v>4</v>
      </c>
      <c r="C25" s="46" t="s">
        <v>137</v>
      </c>
      <c r="D25" s="46" t="s">
        <v>16</v>
      </c>
      <c r="E25" s="161">
        <v>0.0538</v>
      </c>
      <c r="F25" s="47">
        <f>F23*E25</f>
        <v>3.228</v>
      </c>
      <c r="G25" s="47"/>
      <c r="H25" s="259">
        <f>G25*F25</f>
        <v>0</v>
      </c>
      <c r="I25" s="11"/>
      <c r="J25" s="273"/>
      <c r="K25" s="3"/>
    </row>
    <row r="26" spans="1:11" s="1" customFormat="1" ht="33.75" customHeight="1">
      <c r="A26" s="497"/>
      <c r="B26" s="82" t="s">
        <v>1502</v>
      </c>
      <c r="C26" s="496" t="s">
        <v>1227</v>
      </c>
      <c r="D26" s="373" t="s">
        <v>47</v>
      </c>
      <c r="E26" s="373">
        <v>1.01</v>
      </c>
      <c r="F26" s="377">
        <f>F23*E26</f>
        <v>60.6</v>
      </c>
      <c r="G26" s="377"/>
      <c r="H26" s="377">
        <f>F26*G26</f>
        <v>0</v>
      </c>
      <c r="I26" s="11"/>
      <c r="J26" s="273"/>
      <c r="K26" s="3"/>
    </row>
    <row r="27" spans="1:11" s="1" customFormat="1" ht="23.25" customHeight="1">
      <c r="A27" s="82"/>
      <c r="B27" s="45" t="s">
        <v>4</v>
      </c>
      <c r="C27" s="46" t="s">
        <v>24</v>
      </c>
      <c r="D27" s="46" t="s">
        <v>16</v>
      </c>
      <c r="E27" s="161">
        <v>0.0012</v>
      </c>
      <c r="F27" s="47">
        <f>E27*F23</f>
        <v>0.072</v>
      </c>
      <c r="G27" s="47"/>
      <c r="H27" s="47">
        <f>G27*F27</f>
        <v>0</v>
      </c>
      <c r="I27" s="11"/>
      <c r="J27" s="273"/>
      <c r="K27" s="3"/>
    </row>
    <row r="28" spans="1:11" s="1" customFormat="1" ht="51" customHeight="1">
      <c r="A28" s="163">
        <v>6</v>
      </c>
      <c r="B28" s="54" t="s">
        <v>566</v>
      </c>
      <c r="C28" s="55" t="s">
        <v>1103</v>
      </c>
      <c r="D28" s="55" t="s">
        <v>20</v>
      </c>
      <c r="E28" s="46"/>
      <c r="F28" s="70">
        <v>3.2</v>
      </c>
      <c r="G28" s="47"/>
      <c r="H28" s="380">
        <f>SUM(H29:H34)</f>
        <v>0</v>
      </c>
      <c r="I28" s="11"/>
      <c r="J28" s="273"/>
      <c r="K28" s="3"/>
    </row>
    <row r="29" spans="1:9" s="5" customFormat="1" ht="32.25" customHeight="1">
      <c r="A29" s="82"/>
      <c r="B29" s="45" t="s">
        <v>4</v>
      </c>
      <c r="C29" s="46" t="s">
        <v>136</v>
      </c>
      <c r="D29" s="46" t="s">
        <v>5</v>
      </c>
      <c r="E29" s="46">
        <v>13.8</v>
      </c>
      <c r="F29" s="47">
        <f>E29*F28</f>
        <v>44.160000000000004</v>
      </c>
      <c r="G29" s="47"/>
      <c r="H29" s="222">
        <f aca="true" t="shared" si="0" ref="H29:H34">F29*G29</f>
        <v>0</v>
      </c>
      <c r="I29" s="22"/>
    </row>
    <row r="30" spans="1:9" s="5" customFormat="1" ht="30.75" customHeight="1">
      <c r="A30" s="82"/>
      <c r="B30" s="45" t="s">
        <v>4</v>
      </c>
      <c r="C30" s="46" t="s">
        <v>137</v>
      </c>
      <c r="D30" s="46" t="s">
        <v>16</v>
      </c>
      <c r="E30" s="46">
        <v>0.17</v>
      </c>
      <c r="F30" s="47">
        <f>E30*F28</f>
        <v>0.544</v>
      </c>
      <c r="G30" s="47"/>
      <c r="H30" s="47">
        <f t="shared" si="0"/>
        <v>0</v>
      </c>
      <c r="I30" s="22"/>
    </row>
    <row r="31" spans="1:9" s="5" customFormat="1" ht="30" customHeight="1">
      <c r="A31" s="82"/>
      <c r="B31" s="50" t="s">
        <v>1525</v>
      </c>
      <c r="C31" s="46" t="s">
        <v>1028</v>
      </c>
      <c r="D31" s="49" t="s">
        <v>567</v>
      </c>
      <c r="E31" s="49">
        <v>1.25</v>
      </c>
      <c r="F31" s="52">
        <f>F28*E31</f>
        <v>4</v>
      </c>
      <c r="G31" s="52"/>
      <c r="H31" s="52">
        <f t="shared" si="0"/>
        <v>0</v>
      </c>
      <c r="I31" s="22"/>
    </row>
    <row r="32" spans="1:9" s="5" customFormat="1" ht="29.25" customHeight="1">
      <c r="A32" s="82"/>
      <c r="B32" s="50" t="s">
        <v>1524</v>
      </c>
      <c r="C32" s="46" t="s">
        <v>568</v>
      </c>
      <c r="D32" s="46" t="s">
        <v>15</v>
      </c>
      <c r="E32" s="49" t="s">
        <v>179</v>
      </c>
      <c r="F32" s="52">
        <v>2</v>
      </c>
      <c r="G32" s="52"/>
      <c r="H32" s="52">
        <f t="shared" si="0"/>
        <v>0</v>
      </c>
      <c r="I32" s="22"/>
    </row>
    <row r="33" spans="1:9" s="5" customFormat="1" ht="29.25" customHeight="1">
      <c r="A33" s="82"/>
      <c r="B33" s="50" t="s">
        <v>1523</v>
      </c>
      <c r="C33" s="46" t="s">
        <v>50</v>
      </c>
      <c r="D33" s="46" t="s">
        <v>53</v>
      </c>
      <c r="E33" s="49" t="s">
        <v>179</v>
      </c>
      <c r="F33" s="52">
        <v>5</v>
      </c>
      <c r="G33" s="52"/>
      <c r="H33" s="52">
        <f t="shared" si="0"/>
        <v>0</v>
      </c>
      <c r="I33" s="23"/>
    </row>
    <row r="34" spans="1:9" s="5" customFormat="1" ht="29.25" customHeight="1">
      <c r="A34" s="82"/>
      <c r="B34" s="45" t="s">
        <v>4</v>
      </c>
      <c r="C34" s="46" t="s">
        <v>24</v>
      </c>
      <c r="D34" s="46" t="s">
        <v>16</v>
      </c>
      <c r="E34" s="46">
        <v>0.9</v>
      </c>
      <c r="F34" s="47">
        <f>E34*F28</f>
        <v>2.8800000000000003</v>
      </c>
      <c r="G34" s="47"/>
      <c r="H34" s="47">
        <f t="shared" si="0"/>
        <v>0</v>
      </c>
      <c r="I34" s="23"/>
    </row>
    <row r="35" spans="1:13" s="5" customFormat="1" ht="48" customHeight="1">
      <c r="A35" s="71">
        <v>7</v>
      </c>
      <c r="B35" s="54" t="s">
        <v>942</v>
      </c>
      <c r="C35" s="55" t="s">
        <v>943</v>
      </c>
      <c r="D35" s="158" t="s">
        <v>25</v>
      </c>
      <c r="E35" s="158"/>
      <c r="F35" s="160">
        <v>1</v>
      </c>
      <c r="G35" s="160"/>
      <c r="H35" s="228">
        <f>SUM(H36:H38)</f>
        <v>0</v>
      </c>
      <c r="I35" s="23"/>
      <c r="J35" s="4"/>
      <c r="K35" s="4"/>
      <c r="L35" s="4"/>
      <c r="M35" s="4"/>
    </row>
    <row r="36" spans="1:13" s="5" customFormat="1" ht="29.25" customHeight="1">
      <c r="A36" s="82"/>
      <c r="B36" s="48" t="s">
        <v>4</v>
      </c>
      <c r="C36" s="46" t="s">
        <v>136</v>
      </c>
      <c r="D36" s="49" t="s">
        <v>5</v>
      </c>
      <c r="E36" s="49">
        <v>1.24</v>
      </c>
      <c r="F36" s="52">
        <f>E36*F35</f>
        <v>1.24</v>
      </c>
      <c r="G36" s="52"/>
      <c r="H36" s="377">
        <f>G36*F36</f>
        <v>0</v>
      </c>
      <c r="I36" s="22"/>
      <c r="J36" s="1"/>
      <c r="K36" s="1"/>
      <c r="L36" s="1"/>
      <c r="M36" s="1"/>
    </row>
    <row r="37" spans="1:13" s="4" customFormat="1" ht="26.25" customHeight="1">
      <c r="A37" s="82"/>
      <c r="B37" s="48" t="s">
        <v>4</v>
      </c>
      <c r="C37" s="46" t="s">
        <v>129</v>
      </c>
      <c r="D37" s="49" t="s">
        <v>16</v>
      </c>
      <c r="E37" s="49">
        <v>26</v>
      </c>
      <c r="F37" s="52">
        <f>E37*F35</f>
        <v>26</v>
      </c>
      <c r="G37" s="47"/>
      <c r="H37" s="377">
        <f>G37*F37</f>
        <v>0</v>
      </c>
      <c r="I37" s="24"/>
      <c r="J37" s="24"/>
      <c r="K37" s="25"/>
      <c r="L37" s="24"/>
      <c r="M37" s="24"/>
    </row>
    <row r="38" spans="1:13" s="1" customFormat="1" ht="30.75" customHeight="1">
      <c r="A38" s="82"/>
      <c r="B38" s="48" t="s">
        <v>4</v>
      </c>
      <c r="C38" s="46" t="s">
        <v>24</v>
      </c>
      <c r="D38" s="49" t="s">
        <v>16</v>
      </c>
      <c r="E38" s="49">
        <v>0.14</v>
      </c>
      <c r="F38" s="52">
        <f>E38*F35</f>
        <v>0.14</v>
      </c>
      <c r="G38" s="47"/>
      <c r="H38" s="377">
        <f>G38*F38</f>
        <v>0</v>
      </c>
      <c r="I38" s="24"/>
      <c r="J38" s="24"/>
      <c r="K38" s="25"/>
      <c r="L38" s="24"/>
      <c r="M38" s="24"/>
    </row>
    <row r="39" spans="1:8" ht="45.75" customHeight="1">
      <c r="A39" s="81" t="s">
        <v>71</v>
      </c>
      <c r="B39" s="54" t="s">
        <v>73</v>
      </c>
      <c r="C39" s="55" t="s">
        <v>569</v>
      </c>
      <c r="D39" s="158" t="s">
        <v>20</v>
      </c>
      <c r="E39" s="158"/>
      <c r="F39" s="160">
        <f>F7</f>
        <v>15</v>
      </c>
      <c r="G39" s="160"/>
      <c r="H39" s="228">
        <f>H40</f>
        <v>0</v>
      </c>
    </row>
    <row r="40" spans="1:8" ht="35.25" customHeight="1">
      <c r="A40" s="82"/>
      <c r="B40" s="48" t="s">
        <v>4</v>
      </c>
      <c r="C40" s="46" t="s">
        <v>136</v>
      </c>
      <c r="D40" s="49" t="s">
        <v>5</v>
      </c>
      <c r="E40" s="49">
        <v>1.21</v>
      </c>
      <c r="F40" s="52">
        <f>F39*E40</f>
        <v>18.15</v>
      </c>
      <c r="G40" s="52"/>
      <c r="H40" s="377">
        <f>G40*F40</f>
        <v>0</v>
      </c>
    </row>
    <row r="41" spans="1:8" ht="49.5" customHeight="1">
      <c r="A41" s="81" t="s">
        <v>66</v>
      </c>
      <c r="B41" s="378" t="s">
        <v>655</v>
      </c>
      <c r="C41" s="321" t="s">
        <v>656</v>
      </c>
      <c r="D41" s="321" t="s">
        <v>20</v>
      </c>
      <c r="E41" s="321"/>
      <c r="F41" s="464">
        <f>F39</f>
        <v>15</v>
      </c>
      <c r="G41" s="464"/>
      <c r="H41" s="334">
        <f>H42+H43</f>
        <v>0</v>
      </c>
    </row>
    <row r="42" spans="1:8" ht="27.75" customHeight="1">
      <c r="A42" s="82"/>
      <c r="B42" s="48" t="s">
        <v>4</v>
      </c>
      <c r="C42" s="46" t="s">
        <v>136</v>
      </c>
      <c r="D42" s="46" t="s">
        <v>5</v>
      </c>
      <c r="E42" s="46">
        <v>0.134</v>
      </c>
      <c r="F42" s="47">
        <f>F41*E42</f>
        <v>2.0100000000000002</v>
      </c>
      <c r="G42" s="47"/>
      <c r="H42" s="222">
        <f>G42*F42</f>
        <v>0</v>
      </c>
    </row>
    <row r="43" spans="1:8" ht="33.75" customHeight="1">
      <c r="A43" s="82"/>
      <c r="B43" s="317" t="s">
        <v>657</v>
      </c>
      <c r="C43" s="317" t="s">
        <v>658</v>
      </c>
      <c r="D43" s="317" t="s">
        <v>23</v>
      </c>
      <c r="E43" s="317">
        <v>0.13</v>
      </c>
      <c r="F43" s="460">
        <f>E43*F41</f>
        <v>1.9500000000000002</v>
      </c>
      <c r="G43" s="460"/>
      <c r="H43" s="317">
        <f>F43*G43</f>
        <v>0</v>
      </c>
    </row>
    <row r="44" spans="1:12" ht="33.75" customHeight="1">
      <c r="A44" s="72"/>
      <c r="B44" s="48"/>
      <c r="C44" s="55" t="s">
        <v>802</v>
      </c>
      <c r="D44" s="55" t="s">
        <v>16</v>
      </c>
      <c r="E44" s="46"/>
      <c r="F44" s="47"/>
      <c r="G44" s="46"/>
      <c r="H44" s="137">
        <f>H7+H9+H13+H18+H23+H28+H35+H39+H41</f>
        <v>0</v>
      </c>
      <c r="L44" s="197"/>
    </row>
    <row r="45" spans="1:8" ht="32.25" customHeight="1">
      <c r="A45" s="82"/>
      <c r="B45" s="48"/>
      <c r="C45" s="46" t="s">
        <v>227</v>
      </c>
      <c r="D45" s="46" t="s">
        <v>16</v>
      </c>
      <c r="E45" s="46"/>
      <c r="F45" s="53">
        <v>0.1</v>
      </c>
      <c r="G45" s="46"/>
      <c r="H45" s="52">
        <f>H44*F45</f>
        <v>0</v>
      </c>
    </row>
    <row r="46" spans="1:8" ht="26.25" customHeight="1">
      <c r="A46" s="82"/>
      <c r="B46" s="54"/>
      <c r="C46" s="55" t="s">
        <v>127</v>
      </c>
      <c r="D46" s="55" t="s">
        <v>16</v>
      </c>
      <c r="E46" s="55"/>
      <c r="F46" s="55"/>
      <c r="G46" s="55"/>
      <c r="H46" s="160">
        <f>H44+H45</f>
        <v>0</v>
      </c>
    </row>
    <row r="47" spans="1:8" ht="27.75" customHeight="1">
      <c r="A47" s="82"/>
      <c r="B47" s="48"/>
      <c r="C47" s="46" t="s">
        <v>39</v>
      </c>
      <c r="D47" s="46" t="s">
        <v>16</v>
      </c>
      <c r="E47" s="46"/>
      <c r="F47" s="53">
        <v>0.08</v>
      </c>
      <c r="G47" s="46"/>
      <c r="H47" s="52">
        <f>H46*F47</f>
        <v>0</v>
      </c>
    </row>
    <row r="48" spans="1:8" ht="50.25" customHeight="1">
      <c r="A48" s="72"/>
      <c r="B48" s="54"/>
      <c r="C48" s="363" t="s">
        <v>1611</v>
      </c>
      <c r="D48" s="55" t="s">
        <v>16</v>
      </c>
      <c r="E48" s="55"/>
      <c r="F48" s="162"/>
      <c r="G48" s="55"/>
      <c r="H48" s="160">
        <f>SUM(H46:H47)</f>
        <v>0</v>
      </c>
    </row>
    <row r="49" spans="1:8" ht="13.5">
      <c r="A49" s="9"/>
      <c r="B49" s="111"/>
      <c r="C49" s="112"/>
      <c r="D49" s="16"/>
      <c r="E49" s="16"/>
      <c r="F49" s="113"/>
      <c r="G49" s="16"/>
      <c r="H49" s="22"/>
    </row>
    <row r="50" spans="1:8" ht="13.5">
      <c r="A50" s="62"/>
      <c r="B50" s="57"/>
      <c r="C50" s="63"/>
      <c r="D50" s="659"/>
      <c r="E50" s="659"/>
      <c r="F50" s="659"/>
      <c r="G50" s="659"/>
      <c r="H50" s="64"/>
    </row>
    <row r="51" spans="1:8" ht="13.5">
      <c r="A51" s="114"/>
      <c r="B51" s="115"/>
      <c r="C51" s="4"/>
      <c r="D51" s="28"/>
      <c r="E51" s="28"/>
      <c r="F51" s="116"/>
      <c r="G51" s="29"/>
      <c r="H51" s="89"/>
    </row>
  </sheetData>
  <sheetProtection/>
  <autoFilter ref="A6:N48"/>
  <mergeCells count="10">
    <mergeCell ref="A1:H1"/>
    <mergeCell ref="A2:H2"/>
    <mergeCell ref="A3:H3"/>
    <mergeCell ref="D50:G50"/>
    <mergeCell ref="A4:A5"/>
    <mergeCell ref="B4:B5"/>
    <mergeCell ref="C4:C5"/>
    <mergeCell ref="D4:D5"/>
    <mergeCell ref="E4:F4"/>
    <mergeCell ref="G4:H4"/>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FF00"/>
  </sheetPr>
  <dimension ref="A1:H89"/>
  <sheetViews>
    <sheetView zoomScalePageLayoutView="0" workbookViewId="0" topLeftCell="A1">
      <selection activeCell="C4" sqref="C4:C5"/>
    </sheetView>
  </sheetViews>
  <sheetFormatPr defaultColWidth="9.140625" defaultRowHeight="12.75"/>
  <cols>
    <col min="1" max="1" width="4.7109375" style="271" customWidth="1"/>
    <col min="2" max="2" width="9.140625" style="271" customWidth="1"/>
    <col min="3" max="3" width="33.28125" style="271" customWidth="1"/>
    <col min="4" max="4" width="9.140625" style="271" customWidth="1"/>
    <col min="5" max="5" width="7.8515625" style="271" customWidth="1"/>
    <col min="6" max="6" width="8.28125" style="271" customWidth="1"/>
    <col min="7" max="7" width="6.8515625" style="271" customWidth="1"/>
    <col min="8" max="8" width="10.00390625" style="271" customWidth="1"/>
    <col min="9" max="16384" width="9.140625" style="271" customWidth="1"/>
  </cols>
  <sheetData>
    <row r="1" spans="1:8" ht="36.75" customHeight="1">
      <c r="A1" s="642" t="str">
        <f>'ლ.რ. №1-1'!A1:H1</f>
        <v>qobuleTis municipalitetis sofel xucubanSi sajaro skolis Zveli korpusebis demontaJi da axali skolis Senobis mSenebloba</v>
      </c>
      <c r="B1" s="642"/>
      <c r="C1" s="642"/>
      <c r="D1" s="642"/>
      <c r="E1" s="642"/>
      <c r="F1" s="642"/>
      <c r="G1" s="642"/>
      <c r="H1" s="642"/>
    </row>
    <row r="2" spans="1:8" ht="19.5" customHeight="1">
      <c r="A2" s="698" t="s">
        <v>146</v>
      </c>
      <c r="B2" s="698"/>
      <c r="C2" s="698"/>
      <c r="D2" s="698"/>
      <c r="E2" s="698"/>
      <c r="F2" s="698"/>
      <c r="G2" s="698"/>
      <c r="H2" s="698"/>
    </row>
    <row r="3" spans="1:8" ht="27.75" customHeight="1">
      <c r="A3" s="661" t="s">
        <v>318</v>
      </c>
      <c r="B3" s="661"/>
      <c r="C3" s="661"/>
      <c r="D3" s="661"/>
      <c r="E3" s="661"/>
      <c r="F3" s="661"/>
      <c r="G3" s="661"/>
      <c r="H3" s="661"/>
    </row>
    <row r="4" spans="1:8" ht="31.5" customHeight="1">
      <c r="A4" s="684" t="s">
        <v>7</v>
      </c>
      <c r="B4" s="685" t="s">
        <v>8</v>
      </c>
      <c r="C4" s="666" t="s">
        <v>9</v>
      </c>
      <c r="D4" s="699" t="s">
        <v>6</v>
      </c>
      <c r="E4" s="700" t="s">
        <v>10</v>
      </c>
      <c r="F4" s="700"/>
      <c r="G4" s="700" t="s">
        <v>1</v>
      </c>
      <c r="H4" s="700"/>
    </row>
    <row r="5" spans="1:8" ht="48" customHeight="1">
      <c r="A5" s="684"/>
      <c r="B5" s="685"/>
      <c r="C5" s="666"/>
      <c r="D5" s="699"/>
      <c r="E5" s="44" t="s">
        <v>11</v>
      </c>
      <c r="F5" s="44" t="s">
        <v>12</v>
      </c>
      <c r="G5" s="44" t="s">
        <v>11</v>
      </c>
      <c r="H5" s="155" t="s">
        <v>12</v>
      </c>
    </row>
    <row r="6" spans="1:8" ht="19.5" customHeight="1">
      <c r="A6" s="100">
        <v>1</v>
      </c>
      <c r="B6" s="54">
        <v>2</v>
      </c>
      <c r="C6" s="101">
        <v>3</v>
      </c>
      <c r="D6" s="101">
        <v>4</v>
      </c>
      <c r="E6" s="101">
        <v>5</v>
      </c>
      <c r="F6" s="101">
        <v>6</v>
      </c>
      <c r="G6" s="101">
        <v>7</v>
      </c>
      <c r="H6" s="71">
        <v>8</v>
      </c>
    </row>
    <row r="7" spans="1:8" s="24" customFormat="1" ht="27.75" customHeight="1">
      <c r="A7" s="82"/>
      <c r="B7" s="48"/>
      <c r="C7" s="220" t="s">
        <v>319</v>
      </c>
      <c r="D7" s="46"/>
      <c r="E7" s="46"/>
      <c r="F7" s="46"/>
      <c r="G7" s="46"/>
      <c r="H7" s="72"/>
    </row>
    <row r="8" spans="1:8" s="24" customFormat="1" ht="45.75" customHeight="1">
      <c r="A8" s="221">
        <v>1</v>
      </c>
      <c r="B8" s="378" t="s">
        <v>602</v>
      </c>
      <c r="C8" s="375" t="s">
        <v>121</v>
      </c>
      <c r="D8" s="375" t="s">
        <v>20</v>
      </c>
      <c r="E8" s="229"/>
      <c r="F8" s="226">
        <v>8.1</v>
      </c>
      <c r="G8" s="226"/>
      <c r="H8" s="380">
        <f>H9+0</f>
        <v>0</v>
      </c>
    </row>
    <row r="9" spans="1:8" s="24" customFormat="1" ht="36.75" customHeight="1">
      <c r="A9" s="482"/>
      <c r="B9" s="224" t="s">
        <v>4</v>
      </c>
      <c r="C9" s="481" t="s">
        <v>136</v>
      </c>
      <c r="D9" s="481" t="s">
        <v>5</v>
      </c>
      <c r="E9" s="481">
        <v>2.78</v>
      </c>
      <c r="F9" s="222">
        <f>F8*E9</f>
        <v>22.517999999999997</v>
      </c>
      <c r="G9" s="222"/>
      <c r="H9" s="222">
        <f>F9*G9</f>
        <v>0</v>
      </c>
    </row>
    <row r="10" spans="1:8" s="24" customFormat="1" ht="48" customHeight="1">
      <c r="A10" s="81" t="s">
        <v>37</v>
      </c>
      <c r="B10" s="54" t="s">
        <v>73</v>
      </c>
      <c r="C10" s="55" t="s">
        <v>126</v>
      </c>
      <c r="D10" s="55" t="s">
        <v>20</v>
      </c>
      <c r="E10" s="156"/>
      <c r="F10" s="70">
        <f>F8</f>
        <v>8.1</v>
      </c>
      <c r="G10" s="70"/>
      <c r="H10" s="380">
        <f>H11</f>
        <v>0</v>
      </c>
    </row>
    <row r="11" spans="1:8" s="24" customFormat="1" ht="30.75" customHeight="1">
      <c r="A11" s="82"/>
      <c r="B11" s="48" t="s">
        <v>4</v>
      </c>
      <c r="C11" s="46" t="s">
        <v>148</v>
      </c>
      <c r="D11" s="46" t="s">
        <v>5</v>
      </c>
      <c r="E11" s="46">
        <v>1.21</v>
      </c>
      <c r="F11" s="47">
        <f>F10*E11</f>
        <v>9.801</v>
      </c>
      <c r="G11" s="47"/>
      <c r="H11" s="222">
        <f>F11*G11</f>
        <v>0</v>
      </c>
    </row>
    <row r="12" spans="1:8" s="24" customFormat="1" ht="42.75" customHeight="1">
      <c r="A12" s="320">
        <v>3</v>
      </c>
      <c r="B12" s="378" t="s">
        <v>655</v>
      </c>
      <c r="C12" s="321" t="s">
        <v>656</v>
      </c>
      <c r="D12" s="321" t="s">
        <v>20</v>
      </c>
      <c r="E12" s="321"/>
      <c r="F12" s="321">
        <f>F10</f>
        <v>8.1</v>
      </c>
      <c r="G12" s="464"/>
      <c r="H12" s="334">
        <f>H13+H14</f>
        <v>0</v>
      </c>
    </row>
    <row r="13" spans="1:8" s="24" customFormat="1" ht="30.75" customHeight="1">
      <c r="A13" s="482"/>
      <c r="B13" s="224" t="s">
        <v>4</v>
      </c>
      <c r="C13" s="481" t="s">
        <v>136</v>
      </c>
      <c r="D13" s="481" t="s">
        <v>5</v>
      </c>
      <c r="E13" s="481">
        <v>0.134</v>
      </c>
      <c r="F13" s="222">
        <f>F12*E13</f>
        <v>1.0854</v>
      </c>
      <c r="G13" s="222"/>
      <c r="H13" s="222">
        <f>G13*F13</f>
        <v>0</v>
      </c>
    </row>
    <row r="14" spans="1:8" s="24" customFormat="1" ht="30.75" customHeight="1">
      <c r="A14" s="317"/>
      <c r="B14" s="317" t="s">
        <v>657</v>
      </c>
      <c r="C14" s="317" t="s">
        <v>658</v>
      </c>
      <c r="D14" s="317" t="s">
        <v>23</v>
      </c>
      <c r="E14" s="317">
        <v>0.13</v>
      </c>
      <c r="F14" s="317">
        <f>E14*F12</f>
        <v>1.053</v>
      </c>
      <c r="G14" s="460"/>
      <c r="H14" s="317">
        <f>F14*G14</f>
        <v>0</v>
      </c>
    </row>
    <row r="15" spans="1:8" s="24" customFormat="1" ht="74.25" customHeight="1">
      <c r="A15" s="71">
        <v>4</v>
      </c>
      <c r="B15" s="79" t="s">
        <v>960</v>
      </c>
      <c r="C15" s="55" t="s">
        <v>1160</v>
      </c>
      <c r="D15" s="158" t="s">
        <v>15</v>
      </c>
      <c r="E15" s="158"/>
      <c r="F15" s="160">
        <v>9</v>
      </c>
      <c r="G15" s="160"/>
      <c r="H15" s="228">
        <f>H16+H17+H18+H19+H20+H21:I21+H22</f>
        <v>0</v>
      </c>
    </row>
    <row r="16" spans="1:8" s="24" customFormat="1" ht="33.75" customHeight="1">
      <c r="A16" s="48"/>
      <c r="B16" s="48" t="s">
        <v>4</v>
      </c>
      <c r="C16" s="46" t="s">
        <v>136</v>
      </c>
      <c r="D16" s="49" t="s">
        <v>5</v>
      </c>
      <c r="E16" s="52">
        <v>2.52</v>
      </c>
      <c r="F16" s="52">
        <f>F15*E16</f>
        <v>22.68</v>
      </c>
      <c r="G16" s="52"/>
      <c r="H16" s="377">
        <f aca="true" t="shared" si="0" ref="H16:H22">F16*G16</f>
        <v>0</v>
      </c>
    </row>
    <row r="17" spans="1:8" s="24" customFormat="1" ht="34.5" customHeight="1">
      <c r="A17" s="82"/>
      <c r="B17" s="223" t="s">
        <v>455</v>
      </c>
      <c r="C17" s="46" t="s">
        <v>320</v>
      </c>
      <c r="D17" s="110" t="s">
        <v>23</v>
      </c>
      <c r="E17" s="52">
        <v>1.2</v>
      </c>
      <c r="F17" s="52">
        <f>E17*F15</f>
        <v>10.799999999999999</v>
      </c>
      <c r="G17" s="52"/>
      <c r="H17" s="377">
        <f t="shared" si="0"/>
        <v>0</v>
      </c>
    </row>
    <row r="18" spans="1:8" s="24" customFormat="1" ht="30.75" customHeight="1">
      <c r="A18" s="48"/>
      <c r="B18" s="223" t="s">
        <v>961</v>
      </c>
      <c r="C18" s="46" t="s">
        <v>962</v>
      </c>
      <c r="D18" s="110" t="s">
        <v>23</v>
      </c>
      <c r="E18" s="52">
        <v>1.25</v>
      </c>
      <c r="F18" s="52">
        <f>E18*F16</f>
        <v>28.35</v>
      </c>
      <c r="G18" s="52"/>
      <c r="H18" s="377">
        <f t="shared" si="0"/>
        <v>0</v>
      </c>
    </row>
    <row r="19" spans="1:8" s="24" customFormat="1" ht="32.25" customHeight="1">
      <c r="A19" s="48"/>
      <c r="B19" s="300" t="s">
        <v>1334</v>
      </c>
      <c r="C19" s="46" t="s">
        <v>321</v>
      </c>
      <c r="D19" s="49" t="s">
        <v>20</v>
      </c>
      <c r="E19" s="52">
        <v>0.1</v>
      </c>
      <c r="F19" s="52">
        <f>F15*E19</f>
        <v>0.9</v>
      </c>
      <c r="G19" s="52"/>
      <c r="H19" s="377">
        <f t="shared" si="0"/>
        <v>0</v>
      </c>
    </row>
    <row r="20" spans="1:8" s="24" customFormat="1" ht="30.75" customHeight="1">
      <c r="A20" s="48"/>
      <c r="B20" s="342" t="s">
        <v>1435</v>
      </c>
      <c r="C20" s="46" t="s">
        <v>322</v>
      </c>
      <c r="D20" s="49" t="s">
        <v>22</v>
      </c>
      <c r="E20" s="52">
        <v>1.6</v>
      </c>
      <c r="F20" s="52">
        <f>E20*F15</f>
        <v>14.4</v>
      </c>
      <c r="G20" s="52"/>
      <c r="H20" s="377">
        <f t="shared" si="0"/>
        <v>0</v>
      </c>
    </row>
    <row r="21" spans="1:8" s="24" customFormat="1" ht="33" customHeight="1">
      <c r="A21" s="48"/>
      <c r="B21" s="342" t="s">
        <v>963</v>
      </c>
      <c r="C21" s="46" t="s">
        <v>323</v>
      </c>
      <c r="D21" s="49" t="s">
        <v>22</v>
      </c>
      <c r="E21" s="52">
        <v>2</v>
      </c>
      <c r="F21" s="52">
        <f>E21*F15</f>
        <v>18</v>
      </c>
      <c r="G21" s="52"/>
      <c r="H21" s="377">
        <f t="shared" si="0"/>
        <v>0</v>
      </c>
    </row>
    <row r="22" spans="1:8" s="24" customFormat="1" ht="39" customHeight="1">
      <c r="A22" s="48"/>
      <c r="B22" s="362" t="s">
        <v>1436</v>
      </c>
      <c r="C22" s="46" t="s">
        <v>1161</v>
      </c>
      <c r="D22" s="49" t="s">
        <v>15</v>
      </c>
      <c r="E22" s="52">
        <v>1</v>
      </c>
      <c r="F22" s="52">
        <f>E22*F15</f>
        <v>9</v>
      </c>
      <c r="G22" s="52"/>
      <c r="H22" s="377">
        <f t="shared" si="0"/>
        <v>0</v>
      </c>
    </row>
    <row r="23" spans="1:8" s="24" customFormat="1" ht="58.5" customHeight="1">
      <c r="A23" s="376" t="s">
        <v>41</v>
      </c>
      <c r="B23" s="378" t="s">
        <v>228</v>
      </c>
      <c r="C23" s="375" t="s">
        <v>456</v>
      </c>
      <c r="D23" s="375" t="s">
        <v>43</v>
      </c>
      <c r="E23" s="375"/>
      <c r="F23" s="226">
        <v>25</v>
      </c>
      <c r="G23" s="70"/>
      <c r="H23" s="380">
        <f>SUM(H24:H27)</f>
        <v>0</v>
      </c>
    </row>
    <row r="24" spans="1:8" s="24" customFormat="1" ht="32.25" customHeight="1">
      <c r="A24" s="482"/>
      <c r="B24" s="245" t="s">
        <v>4</v>
      </c>
      <c r="C24" s="481" t="s">
        <v>136</v>
      </c>
      <c r="D24" s="481" t="s">
        <v>5</v>
      </c>
      <c r="E24" s="208">
        <v>0.0238</v>
      </c>
      <c r="F24" s="157">
        <f>E24*F23</f>
        <v>0.5950000000000001</v>
      </c>
      <c r="G24" s="183"/>
      <c r="H24" s="222">
        <f>G24*F24</f>
        <v>0</v>
      </c>
    </row>
    <row r="25" spans="1:8" s="24" customFormat="1" ht="34.5" customHeight="1">
      <c r="A25" s="482"/>
      <c r="B25" s="245" t="s">
        <v>4</v>
      </c>
      <c r="C25" s="481" t="s">
        <v>137</v>
      </c>
      <c r="D25" s="481" t="s">
        <v>16</v>
      </c>
      <c r="E25" s="208">
        <v>0.0026</v>
      </c>
      <c r="F25" s="157">
        <f>E25*F23</f>
        <v>0.065</v>
      </c>
      <c r="G25" s="183"/>
      <c r="H25" s="47">
        <f>G25*F25</f>
        <v>0</v>
      </c>
    </row>
    <row r="26" spans="1:8" s="24" customFormat="1" ht="29.25" customHeight="1">
      <c r="A26" s="482"/>
      <c r="B26" s="245" t="s">
        <v>777</v>
      </c>
      <c r="C26" s="481" t="s">
        <v>229</v>
      </c>
      <c r="D26" s="481" t="s">
        <v>53</v>
      </c>
      <c r="E26" s="208">
        <v>0.146</v>
      </c>
      <c r="F26" s="157">
        <f>E26*F23</f>
        <v>3.65</v>
      </c>
      <c r="G26" s="183"/>
      <c r="H26" s="47">
        <f>G26*F26</f>
        <v>0</v>
      </c>
    </row>
    <row r="27" spans="1:8" s="24" customFormat="1" ht="34.5" customHeight="1">
      <c r="A27" s="482"/>
      <c r="B27" s="245" t="s">
        <v>617</v>
      </c>
      <c r="C27" s="481" t="s">
        <v>230</v>
      </c>
      <c r="D27" s="481" t="s">
        <v>16</v>
      </c>
      <c r="E27" s="208">
        <v>0.0219</v>
      </c>
      <c r="F27" s="157">
        <f>E27*F23</f>
        <v>0.5475</v>
      </c>
      <c r="G27" s="183"/>
      <c r="H27" s="47">
        <f>G27*F27</f>
        <v>0</v>
      </c>
    </row>
    <row r="28" spans="1:8" s="24" customFormat="1" ht="60" customHeight="1">
      <c r="A28" s="376" t="s">
        <v>44</v>
      </c>
      <c r="B28" s="294" t="s">
        <v>231</v>
      </c>
      <c r="C28" s="375" t="s">
        <v>457</v>
      </c>
      <c r="D28" s="375" t="s">
        <v>43</v>
      </c>
      <c r="E28" s="375"/>
      <c r="F28" s="226">
        <f>F23</f>
        <v>25</v>
      </c>
      <c r="G28" s="70"/>
      <c r="H28" s="380">
        <f>SUM(H29:H33)</f>
        <v>0</v>
      </c>
    </row>
    <row r="29" spans="1:8" s="24" customFormat="1" ht="31.5" customHeight="1">
      <c r="A29" s="482"/>
      <c r="B29" s="245" t="s">
        <v>4</v>
      </c>
      <c r="C29" s="208" t="s">
        <v>148</v>
      </c>
      <c r="D29" s="208" t="s">
        <v>5</v>
      </c>
      <c r="E29" s="208">
        <v>0.68</v>
      </c>
      <c r="F29" s="225">
        <f>E29*F28</f>
        <v>17</v>
      </c>
      <c r="G29" s="183"/>
      <c r="H29" s="222">
        <f>G29*F29</f>
        <v>0</v>
      </c>
    </row>
    <row r="30" spans="1:8" s="24" customFormat="1" ht="34.5" customHeight="1">
      <c r="A30" s="482"/>
      <c r="B30" s="245" t="s">
        <v>4</v>
      </c>
      <c r="C30" s="208" t="s">
        <v>137</v>
      </c>
      <c r="D30" s="208" t="s">
        <v>16</v>
      </c>
      <c r="E30" s="208">
        <v>0.0003</v>
      </c>
      <c r="F30" s="225">
        <f>E30*F28</f>
        <v>0.0075</v>
      </c>
      <c r="G30" s="52"/>
      <c r="H30" s="222">
        <f>G30*F30</f>
        <v>0</v>
      </c>
    </row>
    <row r="31" spans="1:8" s="24" customFormat="1" ht="34.5" customHeight="1">
      <c r="A31" s="482"/>
      <c r="B31" s="251" t="s">
        <v>1357</v>
      </c>
      <c r="C31" s="208" t="s">
        <v>326</v>
      </c>
      <c r="D31" s="208" t="s">
        <v>53</v>
      </c>
      <c r="E31" s="208">
        <v>0.246</v>
      </c>
      <c r="F31" s="225">
        <f>E31*F28</f>
        <v>6.15</v>
      </c>
      <c r="G31" s="183"/>
      <c r="H31" s="222">
        <f>G31*F31</f>
        <v>0</v>
      </c>
    </row>
    <row r="32" spans="1:8" s="24" customFormat="1" ht="28.5" customHeight="1">
      <c r="A32" s="482"/>
      <c r="B32" s="48" t="s">
        <v>1353</v>
      </c>
      <c r="C32" s="208" t="s">
        <v>232</v>
      </c>
      <c r="D32" s="208" t="s">
        <v>53</v>
      </c>
      <c r="E32" s="208">
        <v>0.027</v>
      </c>
      <c r="F32" s="225">
        <f>E32*F28</f>
        <v>0.675</v>
      </c>
      <c r="G32" s="183"/>
      <c r="H32" s="222">
        <f>G32*F32</f>
        <v>0</v>
      </c>
    </row>
    <row r="33" spans="1:8" s="24" customFormat="1" ht="34.5" customHeight="1">
      <c r="A33" s="482"/>
      <c r="B33" s="245" t="s">
        <v>4</v>
      </c>
      <c r="C33" s="208" t="s">
        <v>18</v>
      </c>
      <c r="D33" s="208" t="s">
        <v>16</v>
      </c>
      <c r="E33" s="208">
        <v>0.0019</v>
      </c>
      <c r="F33" s="225">
        <f>E33*F28</f>
        <v>0.0475</v>
      </c>
      <c r="G33" s="52"/>
      <c r="H33" s="222">
        <f>G33*F33</f>
        <v>0</v>
      </c>
    </row>
    <row r="34" spans="1:8" s="24" customFormat="1" ht="33" customHeight="1">
      <c r="A34" s="72"/>
      <c r="B34" s="48"/>
      <c r="C34" s="158" t="s">
        <v>87</v>
      </c>
      <c r="D34" s="55" t="s">
        <v>16</v>
      </c>
      <c r="E34" s="46"/>
      <c r="F34" s="47"/>
      <c r="G34" s="47"/>
      <c r="H34" s="160">
        <f>H8+H10+H12+H23+H28+H15</f>
        <v>0</v>
      </c>
    </row>
    <row r="35" spans="1:8" s="24" customFormat="1" ht="31.5" customHeight="1">
      <c r="A35" s="71"/>
      <c r="B35" s="54"/>
      <c r="C35" s="55" t="s">
        <v>122</v>
      </c>
      <c r="D35" s="55" t="s">
        <v>16</v>
      </c>
      <c r="E35" s="55"/>
      <c r="F35" s="70"/>
      <c r="G35" s="70"/>
      <c r="H35" s="137">
        <f>H9+H11+H13+H24+H29+H16</f>
        <v>0</v>
      </c>
    </row>
    <row r="36" spans="1:8" s="24" customFormat="1" ht="35.25" customHeight="1">
      <c r="A36" s="376"/>
      <c r="B36" s="375"/>
      <c r="C36" s="481" t="s">
        <v>565</v>
      </c>
      <c r="D36" s="481" t="s">
        <v>16</v>
      </c>
      <c r="E36" s="375"/>
      <c r="F36" s="53">
        <v>0.03</v>
      </c>
      <c r="G36" s="226"/>
      <c r="H36" s="222">
        <f>(H34-H35)*F36</f>
        <v>0</v>
      </c>
    </row>
    <row r="37" spans="1:8" s="24" customFormat="1" ht="30" customHeight="1">
      <c r="A37" s="376"/>
      <c r="B37" s="375"/>
      <c r="C37" s="375" t="s">
        <v>104</v>
      </c>
      <c r="D37" s="375" t="s">
        <v>16</v>
      </c>
      <c r="E37" s="375"/>
      <c r="F37" s="375"/>
      <c r="G37" s="226"/>
      <c r="H37" s="226">
        <f>H34+H36</f>
        <v>0</v>
      </c>
    </row>
    <row r="38" spans="1:8" s="24" customFormat="1" ht="27" customHeight="1">
      <c r="A38" s="82"/>
      <c r="B38" s="48"/>
      <c r="C38" s="46" t="s">
        <v>227</v>
      </c>
      <c r="D38" s="46" t="s">
        <v>16</v>
      </c>
      <c r="E38" s="46"/>
      <c r="F38" s="53">
        <v>0.1</v>
      </c>
      <c r="G38" s="47"/>
      <c r="H38" s="52">
        <f>F38*H37</f>
        <v>0</v>
      </c>
    </row>
    <row r="39" spans="1:8" s="24" customFormat="1" ht="27" customHeight="1">
      <c r="A39" s="82"/>
      <c r="B39" s="54"/>
      <c r="C39" s="55" t="s">
        <v>127</v>
      </c>
      <c r="D39" s="55" t="s">
        <v>16</v>
      </c>
      <c r="E39" s="55"/>
      <c r="F39" s="55"/>
      <c r="G39" s="70"/>
      <c r="H39" s="160">
        <f>H37+H38</f>
        <v>0</v>
      </c>
    </row>
    <row r="40" spans="1:8" s="24" customFormat="1" ht="32.25" customHeight="1">
      <c r="A40" s="82"/>
      <c r="B40" s="48"/>
      <c r="C40" s="46" t="s">
        <v>39</v>
      </c>
      <c r="D40" s="46" t="s">
        <v>16</v>
      </c>
      <c r="E40" s="46"/>
      <c r="F40" s="53">
        <v>0.08</v>
      </c>
      <c r="G40" s="47"/>
      <c r="H40" s="52">
        <f>H39*F40</f>
        <v>0</v>
      </c>
    </row>
    <row r="41" spans="1:8" s="24" customFormat="1" ht="33.75" customHeight="1">
      <c r="A41" s="72"/>
      <c r="B41" s="54"/>
      <c r="C41" s="220" t="s">
        <v>327</v>
      </c>
      <c r="D41" s="55" t="s">
        <v>16</v>
      </c>
      <c r="E41" s="55"/>
      <c r="F41" s="162"/>
      <c r="G41" s="70"/>
      <c r="H41" s="160">
        <f>H39+H40</f>
        <v>0</v>
      </c>
    </row>
    <row r="42" spans="1:8" s="24" customFormat="1" ht="34.5" customHeight="1">
      <c r="A42" s="81"/>
      <c r="B42" s="54"/>
      <c r="C42" s="101" t="s">
        <v>328</v>
      </c>
      <c r="D42" s="101"/>
      <c r="E42" s="101"/>
      <c r="F42" s="101"/>
      <c r="G42" s="100"/>
      <c r="H42" s="70"/>
    </row>
    <row r="43" spans="1:8" s="24" customFormat="1" ht="53.25" customHeight="1">
      <c r="A43" s="221">
        <v>1</v>
      </c>
      <c r="B43" s="378" t="s">
        <v>124</v>
      </c>
      <c r="C43" s="375" t="s">
        <v>620</v>
      </c>
      <c r="D43" s="375" t="s">
        <v>22</v>
      </c>
      <c r="E43" s="375"/>
      <c r="F43" s="379">
        <v>160</v>
      </c>
      <c r="G43" s="226"/>
      <c r="H43" s="380">
        <f>H44+H45+H46</f>
        <v>0</v>
      </c>
    </row>
    <row r="44" spans="1:8" s="24" customFormat="1" ht="30" customHeight="1">
      <c r="A44" s="482"/>
      <c r="B44" s="224" t="s">
        <v>4</v>
      </c>
      <c r="C44" s="481" t="s">
        <v>136</v>
      </c>
      <c r="D44" s="481" t="s">
        <v>5</v>
      </c>
      <c r="E44" s="481">
        <v>0.139</v>
      </c>
      <c r="F44" s="51">
        <f>E44*F43</f>
        <v>22.240000000000002</v>
      </c>
      <c r="G44" s="222"/>
      <c r="H44" s="222">
        <f>F44*G44</f>
        <v>0</v>
      </c>
    </row>
    <row r="45" spans="1:8" s="24" customFormat="1" ht="33.75" customHeight="1">
      <c r="A45" s="482"/>
      <c r="B45" s="227" t="s">
        <v>1440</v>
      </c>
      <c r="C45" s="481" t="s">
        <v>621</v>
      </c>
      <c r="D45" s="481" t="s">
        <v>47</v>
      </c>
      <c r="E45" s="481">
        <v>1.02</v>
      </c>
      <c r="F45" s="117">
        <f>E45*F43</f>
        <v>163.2</v>
      </c>
      <c r="G45" s="222"/>
      <c r="H45" s="222">
        <f>F45*G45</f>
        <v>0</v>
      </c>
    </row>
    <row r="46" spans="1:8" s="24" customFormat="1" ht="30" customHeight="1">
      <c r="A46" s="482"/>
      <c r="B46" s="224" t="s">
        <v>4</v>
      </c>
      <c r="C46" s="481" t="s">
        <v>38</v>
      </c>
      <c r="D46" s="481" t="s">
        <v>16</v>
      </c>
      <c r="E46" s="225">
        <v>0.00365</v>
      </c>
      <c r="F46" s="51">
        <f>F43*E46</f>
        <v>0.584</v>
      </c>
      <c r="G46" s="183"/>
      <c r="H46" s="222">
        <f>F46*G46</f>
        <v>0</v>
      </c>
    </row>
    <row r="47" spans="1:8" s="24" customFormat="1" ht="60" customHeight="1">
      <c r="A47" s="71">
        <v>2</v>
      </c>
      <c r="B47" s="54" t="s">
        <v>302</v>
      </c>
      <c r="C47" s="55" t="s">
        <v>675</v>
      </c>
      <c r="D47" s="55" t="s">
        <v>303</v>
      </c>
      <c r="E47" s="55"/>
      <c r="F47" s="70">
        <v>160</v>
      </c>
      <c r="G47" s="70"/>
      <c r="H47" s="380">
        <f>SUM(H48:H51)</f>
        <v>0</v>
      </c>
    </row>
    <row r="48" spans="1:8" s="24" customFormat="1" ht="28.5" customHeight="1">
      <c r="A48" s="82"/>
      <c r="B48" s="48" t="s">
        <v>4</v>
      </c>
      <c r="C48" s="46" t="s">
        <v>304</v>
      </c>
      <c r="D48" s="46" t="s">
        <v>5</v>
      </c>
      <c r="E48" s="46">
        <v>0.1</v>
      </c>
      <c r="F48" s="47">
        <f>F47*E48</f>
        <v>16</v>
      </c>
      <c r="G48" s="47"/>
      <c r="H48" s="222">
        <f>G48*F48</f>
        <v>0</v>
      </c>
    </row>
    <row r="49" spans="1:8" s="24" customFormat="1" ht="34.5" customHeight="1">
      <c r="A49" s="82"/>
      <c r="B49" s="48" t="s">
        <v>4</v>
      </c>
      <c r="C49" s="46" t="s">
        <v>106</v>
      </c>
      <c r="D49" s="46" t="s">
        <v>16</v>
      </c>
      <c r="E49" s="46">
        <v>0.0696</v>
      </c>
      <c r="F49" s="47">
        <f>F47*E49</f>
        <v>11.136</v>
      </c>
      <c r="G49" s="183"/>
      <c r="H49" s="222">
        <f>G49*F49</f>
        <v>0</v>
      </c>
    </row>
    <row r="50" spans="1:8" s="24" customFormat="1" ht="30.75" customHeight="1">
      <c r="A50" s="82"/>
      <c r="B50" s="224" t="s">
        <v>542</v>
      </c>
      <c r="C50" s="46" t="s">
        <v>125</v>
      </c>
      <c r="D50" s="46" t="s">
        <v>14</v>
      </c>
      <c r="E50" s="46">
        <v>0.02</v>
      </c>
      <c r="F50" s="52">
        <f>E50*F47</f>
        <v>3.2</v>
      </c>
      <c r="G50" s="222"/>
      <c r="H50" s="52">
        <f>F50*G50</f>
        <v>0</v>
      </c>
    </row>
    <row r="51" spans="1:8" s="24" customFormat="1" ht="27.75" customHeight="1">
      <c r="A51" s="82"/>
      <c r="B51" s="48" t="s">
        <v>4</v>
      </c>
      <c r="C51" s="46" t="s">
        <v>38</v>
      </c>
      <c r="D51" s="46" t="s">
        <v>16</v>
      </c>
      <c r="E51" s="46">
        <v>0.0005</v>
      </c>
      <c r="F51" s="47">
        <f>F47*E51</f>
        <v>0.08</v>
      </c>
      <c r="G51" s="183"/>
      <c r="H51" s="47">
        <f>F51*G51</f>
        <v>0</v>
      </c>
    </row>
    <row r="52" spans="1:8" s="24" customFormat="1" ht="48" customHeight="1">
      <c r="A52" s="71">
        <v>3</v>
      </c>
      <c r="B52" s="378" t="s">
        <v>648</v>
      </c>
      <c r="C52" s="375" t="s">
        <v>649</v>
      </c>
      <c r="D52" s="375" t="s">
        <v>303</v>
      </c>
      <c r="E52" s="375"/>
      <c r="F52" s="379">
        <v>160</v>
      </c>
      <c r="G52" s="226"/>
      <c r="H52" s="380">
        <f>H53+H54+H55+H56</f>
        <v>0</v>
      </c>
    </row>
    <row r="53" spans="1:8" s="24" customFormat="1" ht="27.75" customHeight="1">
      <c r="A53" s="82"/>
      <c r="B53" s="224" t="s">
        <v>4</v>
      </c>
      <c r="C53" s="481" t="s">
        <v>136</v>
      </c>
      <c r="D53" s="481" t="s">
        <v>5</v>
      </c>
      <c r="E53" s="481">
        <v>0.02</v>
      </c>
      <c r="F53" s="377">
        <f>F52*E53</f>
        <v>3.2</v>
      </c>
      <c r="G53" s="222"/>
      <c r="H53" s="377">
        <f>G53*F53</f>
        <v>0</v>
      </c>
    </row>
    <row r="54" spans="1:8" s="24" customFormat="1" ht="27.75" customHeight="1">
      <c r="A54" s="82"/>
      <c r="B54" s="224" t="s">
        <v>4</v>
      </c>
      <c r="C54" s="481" t="s">
        <v>106</v>
      </c>
      <c r="D54" s="481" t="s">
        <v>16</v>
      </c>
      <c r="E54" s="481">
        <v>0.0199</v>
      </c>
      <c r="F54" s="377">
        <f>F52*E54</f>
        <v>3.184</v>
      </c>
      <c r="G54" s="183"/>
      <c r="H54" s="377">
        <f>G54*F54</f>
        <v>0</v>
      </c>
    </row>
    <row r="55" spans="1:8" s="24" customFormat="1" ht="27.75" customHeight="1">
      <c r="A55" s="82"/>
      <c r="B55" s="224" t="s">
        <v>2</v>
      </c>
      <c r="C55" s="46" t="s">
        <v>305</v>
      </c>
      <c r="D55" s="481" t="s">
        <v>22</v>
      </c>
      <c r="E55" s="481">
        <v>1</v>
      </c>
      <c r="F55" s="377">
        <f>F52*E55</f>
        <v>160</v>
      </c>
      <c r="G55" s="222"/>
      <c r="H55" s="377">
        <f>F55*G55</f>
        <v>0</v>
      </c>
    </row>
    <row r="56" spans="1:8" s="24" customFormat="1" ht="27.75" customHeight="1">
      <c r="A56" s="82"/>
      <c r="B56" s="224" t="s">
        <v>4</v>
      </c>
      <c r="C56" s="481" t="s">
        <v>38</v>
      </c>
      <c r="D56" s="481" t="s">
        <v>16</v>
      </c>
      <c r="E56" s="481">
        <v>0.0002</v>
      </c>
      <c r="F56" s="377">
        <f>F52*E56</f>
        <v>0.032</v>
      </c>
      <c r="G56" s="183"/>
      <c r="H56" s="377">
        <f>G56*F56</f>
        <v>0</v>
      </c>
    </row>
    <row r="57" spans="1:8" s="24" customFormat="1" ht="54" customHeight="1">
      <c r="A57" s="71">
        <v>4</v>
      </c>
      <c r="B57" s="54" t="s">
        <v>163</v>
      </c>
      <c r="C57" s="55" t="s">
        <v>1673</v>
      </c>
      <c r="D57" s="55" t="s">
        <v>107</v>
      </c>
      <c r="E57" s="55"/>
      <c r="F57" s="226">
        <v>1</v>
      </c>
      <c r="G57" s="70"/>
      <c r="H57" s="380">
        <f>H58+H59+H60</f>
        <v>0</v>
      </c>
    </row>
    <row r="58" spans="1:8" s="24" customFormat="1" ht="35.25" customHeight="1">
      <c r="A58" s="82"/>
      <c r="B58" s="48" t="s">
        <v>4</v>
      </c>
      <c r="C58" s="46" t="s">
        <v>136</v>
      </c>
      <c r="D58" s="46" t="s">
        <v>5</v>
      </c>
      <c r="E58" s="46">
        <v>1.99</v>
      </c>
      <c r="F58" s="47">
        <f>E58*F57</f>
        <v>1.99</v>
      </c>
      <c r="G58" s="47"/>
      <c r="H58" s="222">
        <f>G58*F58</f>
        <v>0</v>
      </c>
    </row>
    <row r="59" spans="1:8" s="24" customFormat="1" ht="32.25" customHeight="1">
      <c r="A59" s="82"/>
      <c r="B59" s="48" t="s">
        <v>1437</v>
      </c>
      <c r="C59" s="46" t="s">
        <v>1674</v>
      </c>
      <c r="D59" s="46" t="s">
        <v>15</v>
      </c>
      <c r="E59" s="49">
        <v>1</v>
      </c>
      <c r="F59" s="52">
        <f>F57*E59</f>
        <v>1</v>
      </c>
      <c r="G59" s="52"/>
      <c r="H59" s="52">
        <f>F59*G59</f>
        <v>0</v>
      </c>
    </row>
    <row r="60" spans="1:8" s="24" customFormat="1" ht="35.25" customHeight="1">
      <c r="A60" s="82"/>
      <c r="B60" s="48" t="s">
        <v>4</v>
      </c>
      <c r="C60" s="481" t="s">
        <v>38</v>
      </c>
      <c r="D60" s="46" t="s">
        <v>16</v>
      </c>
      <c r="E60" s="46">
        <v>1.39</v>
      </c>
      <c r="F60" s="47">
        <f>E60*F57</f>
        <v>1.39</v>
      </c>
      <c r="G60" s="183"/>
      <c r="H60" s="222">
        <f>G60*F60</f>
        <v>0</v>
      </c>
    </row>
    <row r="61" spans="1:8" s="24" customFormat="1" ht="68.25" customHeight="1">
      <c r="A61" s="71">
        <v>5</v>
      </c>
      <c r="B61" s="54" t="s">
        <v>123</v>
      </c>
      <c r="C61" s="55" t="s">
        <v>1147</v>
      </c>
      <c r="D61" s="158" t="s">
        <v>22</v>
      </c>
      <c r="E61" s="158"/>
      <c r="F61" s="160">
        <v>180</v>
      </c>
      <c r="G61" s="160"/>
      <c r="H61" s="380">
        <f>H62+H63+H64+H65</f>
        <v>0</v>
      </c>
    </row>
    <row r="62" spans="1:8" s="24" customFormat="1" ht="33" customHeight="1">
      <c r="A62" s="82"/>
      <c r="B62" s="48" t="s">
        <v>4</v>
      </c>
      <c r="C62" s="46" t="s">
        <v>136</v>
      </c>
      <c r="D62" s="49" t="s">
        <v>5</v>
      </c>
      <c r="E62" s="117">
        <v>0.11</v>
      </c>
      <c r="F62" s="47">
        <f>F61*E62</f>
        <v>19.8</v>
      </c>
      <c r="G62" s="52"/>
      <c r="H62" s="222">
        <f>F62*G62</f>
        <v>0</v>
      </c>
    </row>
    <row r="63" spans="1:8" s="24" customFormat="1" ht="32.25" customHeight="1">
      <c r="A63" s="82"/>
      <c r="B63" s="48" t="s">
        <v>4</v>
      </c>
      <c r="C63" s="46" t="s">
        <v>129</v>
      </c>
      <c r="D63" s="49" t="s">
        <v>16</v>
      </c>
      <c r="E63" s="167">
        <v>0.0027</v>
      </c>
      <c r="F63" s="47">
        <f>F61*E63</f>
        <v>0.48600000000000004</v>
      </c>
      <c r="G63" s="183"/>
      <c r="H63" s="222">
        <f>F63*G63</f>
        <v>0</v>
      </c>
    </row>
    <row r="64" spans="1:8" s="24" customFormat="1" ht="38.25" customHeight="1">
      <c r="A64" s="82"/>
      <c r="B64" s="48" t="s">
        <v>1438</v>
      </c>
      <c r="C64" s="46" t="s">
        <v>1148</v>
      </c>
      <c r="D64" s="49" t="s">
        <v>22</v>
      </c>
      <c r="E64" s="49">
        <v>1.02</v>
      </c>
      <c r="F64" s="52">
        <f>E64*F61</f>
        <v>183.6</v>
      </c>
      <c r="G64" s="52"/>
      <c r="H64" s="222">
        <f>F64*G64</f>
        <v>0</v>
      </c>
    </row>
    <row r="65" spans="1:8" s="24" customFormat="1" ht="33" customHeight="1">
      <c r="A65" s="82"/>
      <c r="B65" s="48" t="s">
        <v>4</v>
      </c>
      <c r="C65" s="481" t="s">
        <v>38</v>
      </c>
      <c r="D65" s="49" t="s">
        <v>16</v>
      </c>
      <c r="E65" s="49">
        <v>0.0353</v>
      </c>
      <c r="F65" s="47">
        <f>E65*F61</f>
        <v>6.353999999999999</v>
      </c>
      <c r="G65" s="183"/>
      <c r="H65" s="222">
        <f>F65*G65</f>
        <v>0</v>
      </c>
    </row>
    <row r="66" spans="1:8" s="24" customFormat="1" ht="66" customHeight="1">
      <c r="A66" s="71">
        <v>6</v>
      </c>
      <c r="B66" s="54" t="s">
        <v>329</v>
      </c>
      <c r="C66" s="55" t="s">
        <v>1151</v>
      </c>
      <c r="D66" s="158" t="s">
        <v>15</v>
      </c>
      <c r="E66" s="158"/>
      <c r="F66" s="160">
        <v>9</v>
      </c>
      <c r="G66" s="160"/>
      <c r="H66" s="380">
        <f>H67+H68+H69+H70</f>
        <v>0</v>
      </c>
    </row>
    <row r="67" spans="1:8" s="24" customFormat="1" ht="33.75" customHeight="1">
      <c r="A67" s="82"/>
      <c r="B67" s="48" t="s">
        <v>4</v>
      </c>
      <c r="C67" s="46" t="s">
        <v>148</v>
      </c>
      <c r="D67" s="49" t="s">
        <v>5</v>
      </c>
      <c r="E67" s="49">
        <v>2</v>
      </c>
      <c r="F67" s="47">
        <f>F66*E67</f>
        <v>18</v>
      </c>
      <c r="G67" s="52"/>
      <c r="H67" s="222">
        <f>F67*G67</f>
        <v>0</v>
      </c>
    </row>
    <row r="68" spans="1:8" s="24" customFormat="1" ht="30.75" customHeight="1">
      <c r="A68" s="82"/>
      <c r="B68" s="48" t="s">
        <v>4</v>
      </c>
      <c r="C68" s="46" t="s">
        <v>106</v>
      </c>
      <c r="D68" s="49" t="s">
        <v>16</v>
      </c>
      <c r="E68" s="49">
        <v>2.2</v>
      </c>
      <c r="F68" s="47">
        <f>F66*E68</f>
        <v>19.8</v>
      </c>
      <c r="G68" s="183"/>
      <c r="H68" s="222">
        <f>F68*G68</f>
        <v>0</v>
      </c>
    </row>
    <row r="69" spans="1:8" s="24" customFormat="1" ht="36.75" customHeight="1">
      <c r="A69" s="82"/>
      <c r="B69" s="48" t="s">
        <v>2</v>
      </c>
      <c r="C69" s="46" t="s">
        <v>1152</v>
      </c>
      <c r="D69" s="110" t="s">
        <v>15</v>
      </c>
      <c r="E69" s="49">
        <v>1</v>
      </c>
      <c r="F69" s="52">
        <f>E69*F66</f>
        <v>9</v>
      </c>
      <c r="G69" s="52"/>
      <c r="H69" s="222">
        <f>F69*G69</f>
        <v>0</v>
      </c>
    </row>
    <row r="70" spans="1:8" s="24" customFormat="1" ht="32.25" customHeight="1">
      <c r="A70" s="82"/>
      <c r="B70" s="48" t="s">
        <v>4</v>
      </c>
      <c r="C70" s="481" t="s">
        <v>38</v>
      </c>
      <c r="D70" s="49" t="s">
        <v>16</v>
      </c>
      <c r="E70" s="49">
        <v>0.05</v>
      </c>
      <c r="F70" s="47">
        <f>E70*F66</f>
        <v>0.45</v>
      </c>
      <c r="G70" s="183"/>
      <c r="H70" s="222">
        <f>F70*G70</f>
        <v>0</v>
      </c>
    </row>
    <row r="71" spans="1:8" ht="51" customHeight="1">
      <c r="A71" s="81" t="s">
        <v>45</v>
      </c>
      <c r="B71" s="54" t="s">
        <v>330</v>
      </c>
      <c r="C71" s="55" t="s">
        <v>331</v>
      </c>
      <c r="D71" s="158" t="s">
        <v>22</v>
      </c>
      <c r="E71" s="158"/>
      <c r="F71" s="160">
        <v>30</v>
      </c>
      <c r="G71" s="160"/>
      <c r="H71" s="228">
        <f>SUM(H72:H74)</f>
        <v>0</v>
      </c>
    </row>
    <row r="72" spans="1:8" ht="31.5" customHeight="1">
      <c r="A72" s="82"/>
      <c r="B72" s="48" t="s">
        <v>4</v>
      </c>
      <c r="C72" s="46" t="s">
        <v>136</v>
      </c>
      <c r="D72" s="49" t="s">
        <v>5</v>
      </c>
      <c r="E72" s="167">
        <v>0.0507</v>
      </c>
      <c r="F72" s="52">
        <v>1.2675</v>
      </c>
      <c r="G72" s="52"/>
      <c r="H72" s="377">
        <f>F72*G72</f>
        <v>0</v>
      </c>
    </row>
    <row r="73" spans="1:8" ht="35.25" customHeight="1">
      <c r="A73" s="82"/>
      <c r="B73" s="224" t="s">
        <v>452</v>
      </c>
      <c r="C73" s="481" t="s">
        <v>332</v>
      </c>
      <c r="D73" s="373" t="s">
        <v>22</v>
      </c>
      <c r="E73" s="373">
        <v>1.03</v>
      </c>
      <c r="F73" s="377">
        <v>25.75</v>
      </c>
      <c r="G73" s="377"/>
      <c r="H73" s="377">
        <f>F73*G73</f>
        <v>0</v>
      </c>
    </row>
    <row r="74" spans="1:8" ht="27.75" customHeight="1">
      <c r="A74" s="82"/>
      <c r="B74" s="48" t="s">
        <v>4</v>
      </c>
      <c r="C74" s="481" t="s">
        <v>38</v>
      </c>
      <c r="D74" s="49" t="s">
        <v>16</v>
      </c>
      <c r="E74" s="167">
        <v>0.0023</v>
      </c>
      <c r="F74" s="52">
        <v>0.057499999999999996</v>
      </c>
      <c r="G74" s="183"/>
      <c r="H74" s="377">
        <f>F74*G74</f>
        <v>0</v>
      </c>
    </row>
    <row r="75" spans="1:8" s="24" customFormat="1" ht="62.25" customHeight="1">
      <c r="A75" s="221">
        <v>8</v>
      </c>
      <c r="B75" s="378" t="s">
        <v>964</v>
      </c>
      <c r="C75" s="375" t="s">
        <v>324</v>
      </c>
      <c r="D75" s="55" t="s">
        <v>15</v>
      </c>
      <c r="E75" s="55"/>
      <c r="F75" s="70">
        <v>9</v>
      </c>
      <c r="G75" s="70"/>
      <c r="H75" s="380">
        <f>H76+H77+H78+H79</f>
        <v>0</v>
      </c>
    </row>
    <row r="76" spans="1:8" s="24" customFormat="1" ht="27" customHeight="1">
      <c r="A76" s="482"/>
      <c r="B76" s="224" t="s">
        <v>4</v>
      </c>
      <c r="C76" s="481" t="s">
        <v>136</v>
      </c>
      <c r="D76" s="46" t="s">
        <v>5</v>
      </c>
      <c r="E76" s="46">
        <v>0.9</v>
      </c>
      <c r="F76" s="47">
        <f>F75*E76</f>
        <v>8.1</v>
      </c>
      <c r="G76" s="222"/>
      <c r="H76" s="222">
        <f>G76*F76</f>
        <v>0</v>
      </c>
    </row>
    <row r="77" spans="1:8" s="24" customFormat="1" ht="27.75" customHeight="1">
      <c r="A77" s="82"/>
      <c r="B77" s="82" t="s">
        <v>4</v>
      </c>
      <c r="C77" s="46" t="s">
        <v>137</v>
      </c>
      <c r="D77" s="46" t="s">
        <v>16</v>
      </c>
      <c r="E77" s="157">
        <v>0.07</v>
      </c>
      <c r="F77" s="52">
        <f>F75*E77</f>
        <v>0.6300000000000001</v>
      </c>
      <c r="G77" s="183"/>
      <c r="H77" s="377">
        <f>F77*G77</f>
        <v>0</v>
      </c>
    </row>
    <row r="78" spans="1:8" s="24" customFormat="1" ht="26.25" customHeight="1">
      <c r="A78" s="48"/>
      <c r="B78" s="223" t="s">
        <v>1439</v>
      </c>
      <c r="C78" s="46" t="s">
        <v>325</v>
      </c>
      <c r="D78" s="49" t="s">
        <v>22</v>
      </c>
      <c r="E78" s="49">
        <v>1.5</v>
      </c>
      <c r="F78" s="47">
        <f>F75*E78</f>
        <v>13.5</v>
      </c>
      <c r="G78" s="52"/>
      <c r="H78" s="222">
        <f>F78*G78</f>
        <v>0</v>
      </c>
    </row>
    <row r="79" spans="1:8" s="24" customFormat="1" ht="27.75" customHeight="1">
      <c r="A79" s="82"/>
      <c r="B79" s="45" t="s">
        <v>4</v>
      </c>
      <c r="C79" s="481" t="s">
        <v>38</v>
      </c>
      <c r="D79" s="46" t="s">
        <v>16</v>
      </c>
      <c r="E79" s="46">
        <v>1.4</v>
      </c>
      <c r="F79" s="47">
        <f>E79*F75</f>
        <v>12.6</v>
      </c>
      <c r="G79" s="183"/>
      <c r="H79" s="222">
        <f>F79*G79</f>
        <v>0</v>
      </c>
    </row>
    <row r="80" spans="1:8" ht="33" customHeight="1">
      <c r="A80" s="482"/>
      <c r="B80" s="48"/>
      <c r="C80" s="55" t="s">
        <v>333</v>
      </c>
      <c r="D80" s="55" t="s">
        <v>16</v>
      </c>
      <c r="E80" s="46"/>
      <c r="F80" s="47"/>
      <c r="G80" s="47"/>
      <c r="H80" s="70">
        <f>H61+H71+H66++H57+H43+H47+H52+H75</f>
        <v>0</v>
      </c>
    </row>
    <row r="81" spans="1:8" ht="30.75" customHeight="1">
      <c r="A81" s="482"/>
      <c r="B81" s="48"/>
      <c r="C81" s="46" t="s">
        <v>122</v>
      </c>
      <c r="D81" s="46" t="s">
        <v>16</v>
      </c>
      <c r="E81" s="46"/>
      <c r="F81" s="47"/>
      <c r="G81" s="47"/>
      <c r="H81" s="52">
        <f>H62+H72+H67+H58+H44+H48+H53+H76</f>
        <v>0</v>
      </c>
    </row>
    <row r="82" spans="1:8" ht="36" customHeight="1">
      <c r="A82" s="482"/>
      <c r="B82" s="48"/>
      <c r="C82" s="46" t="s">
        <v>118</v>
      </c>
      <c r="D82" s="46" t="s">
        <v>16</v>
      </c>
      <c r="E82" s="46"/>
      <c r="F82" s="53">
        <v>0.75</v>
      </c>
      <c r="G82" s="47"/>
      <c r="H82" s="47">
        <f>H81*F82</f>
        <v>0</v>
      </c>
    </row>
    <row r="83" spans="1:8" ht="30.75" customHeight="1">
      <c r="A83" s="376"/>
      <c r="B83" s="54"/>
      <c r="C83" s="55" t="s">
        <v>17</v>
      </c>
      <c r="D83" s="55" t="s">
        <v>16</v>
      </c>
      <c r="E83" s="55"/>
      <c r="F83" s="55"/>
      <c r="G83" s="70"/>
      <c r="H83" s="70">
        <f>H82+H80</f>
        <v>0</v>
      </c>
    </row>
    <row r="84" spans="1:8" ht="33.75" customHeight="1">
      <c r="A84" s="482"/>
      <c r="B84" s="48"/>
      <c r="C84" s="46" t="s">
        <v>39</v>
      </c>
      <c r="D84" s="46" t="s">
        <v>16</v>
      </c>
      <c r="E84" s="46"/>
      <c r="F84" s="53">
        <v>0.08</v>
      </c>
      <c r="G84" s="47"/>
      <c r="H84" s="47">
        <f>H83*F84</f>
        <v>0</v>
      </c>
    </row>
    <row r="85" spans="1:8" ht="33.75" customHeight="1">
      <c r="A85" s="230"/>
      <c r="B85" s="230"/>
      <c r="C85" s="231" t="s">
        <v>334</v>
      </c>
      <c r="D85" s="232" t="s">
        <v>16</v>
      </c>
      <c r="E85" s="233"/>
      <c r="F85" s="233"/>
      <c r="G85" s="466"/>
      <c r="H85" s="234">
        <f>SUM(H83:H84)</f>
        <v>0</v>
      </c>
    </row>
    <row r="86" spans="1:8" ht="69.75" customHeight="1">
      <c r="A86" s="72"/>
      <c r="B86" s="48"/>
      <c r="C86" s="363" t="s">
        <v>1612</v>
      </c>
      <c r="D86" s="46" t="s">
        <v>16</v>
      </c>
      <c r="E86" s="46"/>
      <c r="F86" s="47"/>
      <c r="G86" s="46"/>
      <c r="H86" s="160">
        <f>H85+H41</f>
        <v>0</v>
      </c>
    </row>
    <row r="87" spans="1:8" ht="23.25" customHeight="1">
      <c r="A87" s="9"/>
      <c r="B87" s="111"/>
      <c r="C87" s="112"/>
      <c r="D87" s="16"/>
      <c r="E87" s="16"/>
      <c r="F87" s="113"/>
      <c r="G87" s="16"/>
      <c r="H87" s="22"/>
    </row>
    <row r="88" spans="1:8" ht="29.25" customHeight="1">
      <c r="A88" s="13"/>
      <c r="B88" s="15"/>
      <c r="C88" s="2"/>
      <c r="D88" s="701"/>
      <c r="E88" s="701"/>
      <c r="F88" s="701"/>
      <c r="G88" s="701"/>
      <c r="H88" s="7"/>
    </row>
    <row r="89" spans="1:8" ht="13.5">
      <c r="A89" s="114"/>
      <c r="B89" s="115"/>
      <c r="C89" s="4"/>
      <c r="D89" s="28"/>
      <c r="E89" s="28"/>
      <c r="F89" s="116"/>
      <c r="G89" s="29"/>
      <c r="H89" s="89"/>
    </row>
  </sheetData>
  <sheetProtection/>
  <autoFilter ref="A6:H86"/>
  <mergeCells count="10">
    <mergeCell ref="D88:G88"/>
    <mergeCell ref="A3:H3"/>
    <mergeCell ref="A2:H2"/>
    <mergeCell ref="A1:H1"/>
    <mergeCell ref="A4:A5"/>
    <mergeCell ref="B4:B5"/>
    <mergeCell ref="C4:C5"/>
    <mergeCell ref="D4:D5"/>
    <mergeCell ref="E4:F4"/>
    <mergeCell ref="G4:H4"/>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FF00"/>
  </sheetPr>
  <dimension ref="A1:I188"/>
  <sheetViews>
    <sheetView zoomScalePageLayoutView="0" workbookViewId="0" topLeftCell="A1">
      <selection activeCell="J8" sqref="J8"/>
    </sheetView>
  </sheetViews>
  <sheetFormatPr defaultColWidth="9.140625" defaultRowHeight="12.75"/>
  <cols>
    <col min="1" max="1" width="4.28125" style="30" customWidth="1"/>
    <col min="2" max="2" width="9.7109375" style="30" customWidth="1"/>
    <col min="3" max="3" width="32.00390625" style="30" customWidth="1"/>
    <col min="4" max="4" width="8.57421875" style="30" customWidth="1"/>
    <col min="5" max="5" width="7.7109375" style="30" customWidth="1"/>
    <col min="6" max="6" width="11.00390625" style="30" customWidth="1"/>
    <col min="7" max="7" width="8.140625" style="30" customWidth="1"/>
    <col min="8" max="8" width="11.140625" style="189" customWidth="1"/>
    <col min="9" max="9" width="19.421875" style="24" customWidth="1"/>
    <col min="10" max="10" width="10.57421875" style="24" customWidth="1"/>
    <col min="11" max="16384" width="9.140625" style="24" customWidth="1"/>
  </cols>
  <sheetData>
    <row r="1" spans="1:8" ht="32.25" customHeight="1">
      <c r="A1" s="660" t="str">
        <f>'ლრ.ხ#2-1'!A1:H1</f>
        <v>qobuleTis municipalitetis sofel xucubanSi sajaro skolis Zveli korpusebis demontaJi da axali skolis Senobis mSenebloba</v>
      </c>
      <c r="B1" s="642"/>
      <c r="C1" s="642"/>
      <c r="D1" s="642"/>
      <c r="E1" s="642"/>
      <c r="F1" s="642"/>
      <c r="G1" s="642"/>
      <c r="H1" s="642"/>
    </row>
    <row r="2" spans="1:8" ht="23.25" customHeight="1">
      <c r="A2" s="662" t="s">
        <v>292</v>
      </c>
      <c r="B2" s="662"/>
      <c r="C2" s="662"/>
      <c r="D2" s="662"/>
      <c r="E2" s="662"/>
      <c r="F2" s="662"/>
      <c r="G2" s="662"/>
      <c r="H2" s="662"/>
    </row>
    <row r="3" spans="1:8" ht="35.25" customHeight="1">
      <c r="A3" s="662" t="s">
        <v>1272</v>
      </c>
      <c r="B3" s="662"/>
      <c r="C3" s="662"/>
      <c r="D3" s="662"/>
      <c r="E3" s="662"/>
      <c r="F3" s="662"/>
      <c r="G3" s="662"/>
      <c r="H3" s="662"/>
    </row>
    <row r="4" spans="1:9" s="209" customFormat="1" ht="30.75" customHeight="1">
      <c r="A4" s="641" t="s">
        <v>109</v>
      </c>
      <c r="B4" s="706" t="s">
        <v>8</v>
      </c>
      <c r="C4" s="641" t="s">
        <v>110</v>
      </c>
      <c r="D4" s="706" t="s">
        <v>6</v>
      </c>
      <c r="E4" s="641" t="s">
        <v>10</v>
      </c>
      <c r="F4" s="641"/>
      <c r="G4" s="705" t="s">
        <v>91</v>
      </c>
      <c r="H4" s="705"/>
      <c r="I4" s="24"/>
    </row>
    <row r="5" spans="1:9" s="209" customFormat="1" ht="61.5" customHeight="1">
      <c r="A5" s="641"/>
      <c r="B5" s="706"/>
      <c r="C5" s="641"/>
      <c r="D5" s="706"/>
      <c r="E5" s="67" t="s">
        <v>111</v>
      </c>
      <c r="F5" s="67" t="s">
        <v>112</v>
      </c>
      <c r="G5" s="67" t="s">
        <v>111</v>
      </c>
      <c r="H5" s="211" t="s">
        <v>31</v>
      </c>
      <c r="I5" s="24"/>
    </row>
    <row r="6" spans="1:8" ht="23.25" customHeight="1">
      <c r="A6" s="46">
        <v>1</v>
      </c>
      <c r="B6" s="69">
        <v>2</v>
      </c>
      <c r="C6" s="69">
        <v>3</v>
      </c>
      <c r="D6" s="69">
        <v>4</v>
      </c>
      <c r="E6" s="69">
        <v>5</v>
      </c>
      <c r="F6" s="69">
        <v>6</v>
      </c>
      <c r="G6" s="69">
        <v>7</v>
      </c>
      <c r="H6" s="69">
        <v>8</v>
      </c>
    </row>
    <row r="7" spans="1:8" s="209" customFormat="1" ht="40.5" customHeight="1">
      <c r="A7" s="48"/>
      <c r="B7" s="702" t="s">
        <v>1308</v>
      </c>
      <c r="C7" s="703"/>
      <c r="D7" s="704"/>
      <c r="E7" s="496"/>
      <c r="F7" s="222"/>
      <c r="G7" s="496"/>
      <c r="H7" s="222"/>
    </row>
    <row r="8" spans="1:8" s="209" customFormat="1" ht="54.75" customHeight="1">
      <c r="A8" s="376" t="s">
        <v>13</v>
      </c>
      <c r="B8" s="79" t="s">
        <v>603</v>
      </c>
      <c r="C8" s="375" t="s">
        <v>1274</v>
      </c>
      <c r="D8" s="375" t="s">
        <v>14</v>
      </c>
      <c r="E8" s="375"/>
      <c r="F8" s="226">
        <v>23</v>
      </c>
      <c r="G8" s="226"/>
      <c r="H8" s="380">
        <f>H9</f>
        <v>0</v>
      </c>
    </row>
    <row r="9" spans="1:8" s="209" customFormat="1" ht="32.25" customHeight="1">
      <c r="A9" s="497"/>
      <c r="B9" s="224" t="s">
        <v>4</v>
      </c>
      <c r="C9" s="496" t="s">
        <v>148</v>
      </c>
      <c r="D9" s="496" t="s">
        <v>5</v>
      </c>
      <c r="E9" s="496">
        <v>2.78</v>
      </c>
      <c r="F9" s="372">
        <f>E9*F8</f>
        <v>63.94</v>
      </c>
      <c r="G9" s="222"/>
      <c r="H9" s="222">
        <f>G9*F9</f>
        <v>0</v>
      </c>
    </row>
    <row r="10" spans="1:8" s="209" customFormat="1" ht="40.5" customHeight="1">
      <c r="A10" s="376" t="s">
        <v>37</v>
      </c>
      <c r="B10" s="79" t="s">
        <v>1276</v>
      </c>
      <c r="C10" s="511" t="s">
        <v>1275</v>
      </c>
      <c r="D10" s="375" t="s">
        <v>15</v>
      </c>
      <c r="E10" s="374"/>
      <c r="F10" s="226">
        <v>756</v>
      </c>
      <c r="G10" s="160"/>
      <c r="H10" s="228">
        <f>H11+H12+H13+H14+H15</f>
        <v>0</v>
      </c>
    </row>
    <row r="11" spans="1:8" s="209" customFormat="1" ht="32.25" customHeight="1">
      <c r="A11" s="497"/>
      <c r="B11" s="224" t="s">
        <v>4</v>
      </c>
      <c r="C11" s="496" t="s">
        <v>136</v>
      </c>
      <c r="D11" s="496" t="s">
        <v>5</v>
      </c>
      <c r="E11" s="373">
        <v>0.547</v>
      </c>
      <c r="F11" s="296">
        <f>E11*F10</f>
        <v>413.53200000000004</v>
      </c>
      <c r="G11" s="52"/>
      <c r="H11" s="377">
        <f>F11*G11</f>
        <v>0</v>
      </c>
    </row>
    <row r="12" spans="1:8" s="209" customFormat="1" ht="26.25" customHeight="1">
      <c r="A12" s="497"/>
      <c r="B12" s="224" t="s">
        <v>4</v>
      </c>
      <c r="C12" s="496" t="s">
        <v>153</v>
      </c>
      <c r="D12" s="496" t="s">
        <v>16</v>
      </c>
      <c r="E12" s="373">
        <v>0.0003</v>
      </c>
      <c r="F12" s="296">
        <f>E12*F10</f>
        <v>0.22679999999999997</v>
      </c>
      <c r="G12" s="52"/>
      <c r="H12" s="377">
        <f>F12*G12</f>
        <v>0</v>
      </c>
    </row>
    <row r="13" spans="1:8" s="209" customFormat="1" ht="31.5" customHeight="1">
      <c r="A13" s="497"/>
      <c r="B13" s="224" t="s">
        <v>447</v>
      </c>
      <c r="C13" s="496" t="s">
        <v>404</v>
      </c>
      <c r="D13" s="496" t="s">
        <v>143</v>
      </c>
      <c r="E13" s="373">
        <v>0.274</v>
      </c>
      <c r="F13" s="296">
        <f>F10*E13</f>
        <v>207.144</v>
      </c>
      <c r="G13" s="52"/>
      <c r="H13" s="377">
        <f>F13*G13</f>
        <v>0</v>
      </c>
    </row>
    <row r="14" spans="1:8" s="209" customFormat="1" ht="27" customHeight="1">
      <c r="A14" s="497"/>
      <c r="B14" s="224" t="s">
        <v>1344</v>
      </c>
      <c r="C14" s="496" t="s">
        <v>405</v>
      </c>
      <c r="D14" s="496" t="s">
        <v>15</v>
      </c>
      <c r="E14" s="373">
        <v>0.0252</v>
      </c>
      <c r="F14" s="296">
        <f>F10*E14</f>
        <v>19.0512</v>
      </c>
      <c r="G14" s="377"/>
      <c r="H14" s="377">
        <f>F14*G14</f>
        <v>0</v>
      </c>
    </row>
    <row r="15" spans="1:8" s="209" customFormat="1" ht="32.25" customHeight="1">
      <c r="A15" s="497"/>
      <c r="B15" s="224" t="s">
        <v>4</v>
      </c>
      <c r="C15" s="496" t="s">
        <v>406</v>
      </c>
      <c r="D15" s="496" t="s">
        <v>16</v>
      </c>
      <c r="E15" s="373">
        <v>0.0031</v>
      </c>
      <c r="F15" s="296">
        <f>E15*F10</f>
        <v>2.3436</v>
      </c>
      <c r="G15" s="52"/>
      <c r="H15" s="377">
        <f>F15*G15</f>
        <v>0</v>
      </c>
    </row>
    <row r="16" spans="1:8" s="209" customFormat="1" ht="60" customHeight="1">
      <c r="A16" s="81" t="s">
        <v>63</v>
      </c>
      <c r="B16" s="68" t="s">
        <v>1277</v>
      </c>
      <c r="C16" s="55" t="s">
        <v>1278</v>
      </c>
      <c r="D16" s="158" t="s">
        <v>20</v>
      </c>
      <c r="E16" s="158"/>
      <c r="F16" s="137">
        <v>42.4</v>
      </c>
      <c r="G16" s="160"/>
      <c r="H16" s="228">
        <f>SUM(H17:H24)</f>
        <v>0</v>
      </c>
    </row>
    <row r="17" spans="1:8" s="209" customFormat="1" ht="32.25" customHeight="1">
      <c r="A17" s="82"/>
      <c r="B17" s="48" t="s">
        <v>4</v>
      </c>
      <c r="C17" s="46" t="s">
        <v>136</v>
      </c>
      <c r="D17" s="49" t="s">
        <v>5</v>
      </c>
      <c r="E17" s="49">
        <v>13.2</v>
      </c>
      <c r="F17" s="167">
        <f>E17*F16</f>
        <v>559.68</v>
      </c>
      <c r="G17" s="52"/>
      <c r="H17" s="377">
        <f aca="true" t="shared" si="0" ref="H17:H22">G17*F17</f>
        <v>0</v>
      </c>
    </row>
    <row r="18" spans="1:8" s="209" customFormat="1" ht="30.75" customHeight="1">
      <c r="A18" s="82"/>
      <c r="B18" s="48" t="s">
        <v>4</v>
      </c>
      <c r="C18" s="46" t="s">
        <v>153</v>
      </c>
      <c r="D18" s="49" t="s">
        <v>16</v>
      </c>
      <c r="E18" s="49">
        <v>1.43</v>
      </c>
      <c r="F18" s="167">
        <f>E18*F16</f>
        <v>60.632</v>
      </c>
      <c r="G18" s="52"/>
      <c r="H18" s="377">
        <f t="shared" si="0"/>
        <v>0</v>
      </c>
    </row>
    <row r="19" spans="1:8" s="209" customFormat="1" ht="30.75" customHeight="1">
      <c r="A19" s="82"/>
      <c r="B19" s="50" t="s">
        <v>1334</v>
      </c>
      <c r="C19" s="46" t="s">
        <v>498</v>
      </c>
      <c r="D19" s="46" t="s">
        <v>14</v>
      </c>
      <c r="E19" s="49">
        <v>1.015</v>
      </c>
      <c r="F19" s="167">
        <f>E19*F16</f>
        <v>43.035999999999994</v>
      </c>
      <c r="G19" s="52"/>
      <c r="H19" s="377">
        <f t="shared" si="0"/>
        <v>0</v>
      </c>
    </row>
    <row r="20" spans="1:8" s="209" customFormat="1" ht="30.75" customHeight="1">
      <c r="A20" s="82"/>
      <c r="B20" s="496" t="s">
        <v>1345</v>
      </c>
      <c r="C20" s="46" t="s">
        <v>1053</v>
      </c>
      <c r="D20" s="46" t="s">
        <v>42</v>
      </c>
      <c r="E20" s="46" t="s">
        <v>179</v>
      </c>
      <c r="F20" s="157">
        <v>1.98</v>
      </c>
      <c r="G20" s="222"/>
      <c r="H20" s="47">
        <f t="shared" si="0"/>
        <v>0</v>
      </c>
    </row>
    <row r="21" spans="1:8" s="209" customFormat="1" ht="30" customHeight="1">
      <c r="A21" s="82"/>
      <c r="B21" s="48" t="s">
        <v>1346</v>
      </c>
      <c r="C21" s="46" t="s">
        <v>202</v>
      </c>
      <c r="D21" s="46" t="s">
        <v>48</v>
      </c>
      <c r="E21" s="46">
        <v>2.64</v>
      </c>
      <c r="F21" s="47">
        <f>F16*E21</f>
        <v>111.936</v>
      </c>
      <c r="G21" s="47"/>
      <c r="H21" s="222">
        <f t="shared" si="0"/>
        <v>0</v>
      </c>
    </row>
    <row r="22" spans="1:8" s="209" customFormat="1" ht="30.75" customHeight="1">
      <c r="A22" s="82"/>
      <c r="B22" s="48" t="s">
        <v>1347</v>
      </c>
      <c r="C22" s="46" t="s">
        <v>488</v>
      </c>
      <c r="D22" s="46" t="s">
        <v>14</v>
      </c>
      <c r="E22" s="46">
        <v>0.0104</v>
      </c>
      <c r="F22" s="47">
        <f>F16*E22</f>
        <v>0.44095999999999996</v>
      </c>
      <c r="G22" s="47"/>
      <c r="H22" s="222">
        <f t="shared" si="0"/>
        <v>0</v>
      </c>
    </row>
    <row r="23" spans="1:8" s="209" customFormat="1" ht="30.75" customHeight="1">
      <c r="A23" s="82"/>
      <c r="B23" s="48" t="s">
        <v>1041</v>
      </c>
      <c r="C23" s="46" t="s">
        <v>97</v>
      </c>
      <c r="D23" s="46" t="s">
        <v>53</v>
      </c>
      <c r="E23" s="46">
        <v>4.1</v>
      </c>
      <c r="F23" s="47">
        <f>E23*F16</f>
        <v>173.83999999999997</v>
      </c>
      <c r="G23" s="47"/>
      <c r="H23" s="512">
        <f>G23*F23</f>
        <v>0</v>
      </c>
    </row>
    <row r="24" spans="1:8" s="209" customFormat="1" ht="30.75" customHeight="1">
      <c r="A24" s="82"/>
      <c r="B24" s="45" t="s">
        <v>4</v>
      </c>
      <c r="C24" s="46" t="s">
        <v>18</v>
      </c>
      <c r="D24" s="49" t="s">
        <v>16</v>
      </c>
      <c r="E24" s="49">
        <v>0.49</v>
      </c>
      <c r="F24" s="167">
        <f>E24*F16</f>
        <v>20.776</v>
      </c>
      <c r="G24" s="52"/>
      <c r="H24" s="377">
        <f>G24*F24</f>
        <v>0</v>
      </c>
    </row>
    <row r="25" spans="1:8" s="209" customFormat="1" ht="64.5" customHeight="1">
      <c r="A25" s="81" t="s">
        <v>64</v>
      </c>
      <c r="B25" s="54" t="s">
        <v>73</v>
      </c>
      <c r="C25" s="55" t="s">
        <v>1279</v>
      </c>
      <c r="D25" s="55" t="s">
        <v>20</v>
      </c>
      <c r="E25" s="156"/>
      <c r="F25" s="226">
        <v>23</v>
      </c>
      <c r="G25" s="70"/>
      <c r="H25" s="380">
        <f>H26</f>
        <v>0</v>
      </c>
    </row>
    <row r="26" spans="1:8" s="209" customFormat="1" ht="30.75" customHeight="1">
      <c r="A26" s="82"/>
      <c r="B26" s="48" t="s">
        <v>4</v>
      </c>
      <c r="C26" s="46" t="s">
        <v>136</v>
      </c>
      <c r="D26" s="46" t="s">
        <v>5</v>
      </c>
      <c r="E26" s="46">
        <v>1.21</v>
      </c>
      <c r="F26" s="47">
        <f>F25*E26</f>
        <v>27.83</v>
      </c>
      <c r="G26" s="47"/>
      <c r="H26" s="222">
        <f>G26*F26</f>
        <v>0</v>
      </c>
    </row>
    <row r="27" spans="1:8" s="209" customFormat="1" ht="48" customHeight="1">
      <c r="A27" s="320">
        <v>5</v>
      </c>
      <c r="B27" s="378" t="s">
        <v>655</v>
      </c>
      <c r="C27" s="321" t="s">
        <v>656</v>
      </c>
      <c r="D27" s="321" t="s">
        <v>20</v>
      </c>
      <c r="E27" s="321"/>
      <c r="F27" s="321">
        <f>F25</f>
        <v>23</v>
      </c>
      <c r="G27" s="464"/>
      <c r="H27" s="334">
        <f>H28+H29</f>
        <v>0</v>
      </c>
    </row>
    <row r="28" spans="1:8" s="209" customFormat="1" ht="31.5" customHeight="1">
      <c r="A28" s="497"/>
      <c r="B28" s="224" t="s">
        <v>4</v>
      </c>
      <c r="C28" s="496" t="s">
        <v>136</v>
      </c>
      <c r="D28" s="496" t="s">
        <v>5</v>
      </c>
      <c r="E28" s="496">
        <v>0.134</v>
      </c>
      <c r="F28" s="222">
        <f>F27*E28</f>
        <v>3.0820000000000003</v>
      </c>
      <c r="G28" s="222"/>
      <c r="H28" s="222">
        <f>G28*F28</f>
        <v>0</v>
      </c>
    </row>
    <row r="29" spans="1:8" s="209" customFormat="1" ht="35.25" customHeight="1">
      <c r="A29" s="317"/>
      <c r="B29" s="317" t="s">
        <v>657</v>
      </c>
      <c r="C29" s="317" t="s">
        <v>658</v>
      </c>
      <c r="D29" s="317" t="s">
        <v>23</v>
      </c>
      <c r="E29" s="317">
        <v>0.13</v>
      </c>
      <c r="F29" s="317">
        <f>E29*F27</f>
        <v>2.99</v>
      </c>
      <c r="G29" s="460"/>
      <c r="H29" s="317">
        <f>F29*G29</f>
        <v>0</v>
      </c>
    </row>
    <row r="30" spans="1:8" s="209" customFormat="1" ht="60" customHeight="1">
      <c r="A30" s="219">
        <v>6</v>
      </c>
      <c r="B30" s="378" t="s">
        <v>214</v>
      </c>
      <c r="C30" s="219" t="s">
        <v>1280</v>
      </c>
      <c r="D30" s="186" t="s">
        <v>194</v>
      </c>
      <c r="E30" s="219"/>
      <c r="F30" s="226">
        <v>136</v>
      </c>
      <c r="G30" s="226"/>
      <c r="H30" s="380">
        <f>H31+H32+H33+H34</f>
        <v>0</v>
      </c>
    </row>
    <row r="31" spans="1:8" s="209" customFormat="1" ht="30.75" customHeight="1">
      <c r="A31" s="187"/>
      <c r="B31" s="182" t="s">
        <v>4</v>
      </c>
      <c r="C31" s="169" t="s">
        <v>128</v>
      </c>
      <c r="D31" s="182" t="s">
        <v>105</v>
      </c>
      <c r="E31" s="182">
        <v>0.574</v>
      </c>
      <c r="F31" s="188">
        <f>F30*E31</f>
        <v>78.064</v>
      </c>
      <c r="G31" s="183"/>
      <c r="H31" s="183">
        <f>F31*G31</f>
        <v>0</v>
      </c>
    </row>
    <row r="32" spans="1:8" s="209" customFormat="1" ht="33" customHeight="1">
      <c r="A32" s="187"/>
      <c r="B32" s="182" t="s">
        <v>4</v>
      </c>
      <c r="C32" s="182" t="s">
        <v>106</v>
      </c>
      <c r="D32" s="182" t="s">
        <v>16</v>
      </c>
      <c r="E32" s="182">
        <v>0.021</v>
      </c>
      <c r="F32" s="188">
        <f>F30*E32</f>
        <v>2.8560000000000003</v>
      </c>
      <c r="G32" s="52"/>
      <c r="H32" s="183">
        <f>F32*G32</f>
        <v>0</v>
      </c>
    </row>
    <row r="33" spans="1:8" s="209" customFormat="1" ht="30.75" customHeight="1">
      <c r="A33" s="187"/>
      <c r="B33" s="182" t="s">
        <v>446</v>
      </c>
      <c r="C33" s="182" t="s">
        <v>198</v>
      </c>
      <c r="D33" s="182" t="s">
        <v>143</v>
      </c>
      <c r="E33" s="182">
        <v>0.024</v>
      </c>
      <c r="F33" s="188">
        <f>F30*E33</f>
        <v>3.2640000000000002</v>
      </c>
      <c r="G33" s="290"/>
      <c r="H33" s="183">
        <f>F33*G33</f>
        <v>0</v>
      </c>
    </row>
    <row r="34" spans="1:8" s="209" customFormat="1" ht="30.75" customHeight="1">
      <c r="A34" s="187"/>
      <c r="B34" s="182" t="s">
        <v>1348</v>
      </c>
      <c r="C34" s="182" t="s">
        <v>203</v>
      </c>
      <c r="D34" s="182" t="s">
        <v>197</v>
      </c>
      <c r="E34" s="182">
        <v>0.0189</v>
      </c>
      <c r="F34" s="188">
        <f>F30*E34</f>
        <v>2.5704000000000002</v>
      </c>
      <c r="G34" s="290"/>
      <c r="H34" s="183">
        <f>F34*G34</f>
        <v>0</v>
      </c>
    </row>
    <row r="35" spans="1:8" s="209" customFormat="1" ht="50.25" customHeight="1">
      <c r="A35" s="187">
        <v>7</v>
      </c>
      <c r="B35" s="54" t="s">
        <v>208</v>
      </c>
      <c r="C35" s="55" t="s">
        <v>1281</v>
      </c>
      <c r="D35" s="55" t="s">
        <v>43</v>
      </c>
      <c r="E35" s="55"/>
      <c r="F35" s="226">
        <f>F30</f>
        <v>136</v>
      </c>
      <c r="G35" s="70"/>
      <c r="H35" s="380">
        <f>H36+H37+H38+H39+H40</f>
        <v>0</v>
      </c>
    </row>
    <row r="36" spans="1:8" s="209" customFormat="1" ht="30.75" customHeight="1">
      <c r="A36" s="187"/>
      <c r="B36" s="48" t="s">
        <v>209</v>
      </c>
      <c r="C36" s="46" t="s">
        <v>201</v>
      </c>
      <c r="D36" s="46" t="s">
        <v>43</v>
      </c>
      <c r="E36" s="46">
        <v>1</v>
      </c>
      <c r="F36" s="213">
        <f>E36*F35</f>
        <v>136</v>
      </c>
      <c r="G36" s="222"/>
      <c r="H36" s="222">
        <f>G36*F36</f>
        <v>0</v>
      </c>
    </row>
    <row r="37" spans="1:8" s="209" customFormat="1" ht="30.75" customHeight="1">
      <c r="A37" s="48"/>
      <c r="B37" s="48" t="s">
        <v>209</v>
      </c>
      <c r="C37" s="496" t="s">
        <v>137</v>
      </c>
      <c r="D37" s="496" t="s">
        <v>16</v>
      </c>
      <c r="E37" s="496">
        <v>0.0037</v>
      </c>
      <c r="F37" s="222">
        <f>E37*F35</f>
        <v>0.5032</v>
      </c>
      <c r="G37" s="52"/>
      <c r="H37" s="222">
        <f>F37*G37</f>
        <v>0</v>
      </c>
    </row>
    <row r="38" spans="1:8" s="209" customFormat="1" ht="30.75" customHeight="1">
      <c r="A38" s="48"/>
      <c r="B38" s="48" t="s">
        <v>586</v>
      </c>
      <c r="C38" s="496" t="s">
        <v>210</v>
      </c>
      <c r="D38" s="496" t="s">
        <v>53</v>
      </c>
      <c r="E38" s="496">
        <v>0.87</v>
      </c>
      <c r="F38" s="222">
        <f>E38*F35</f>
        <v>118.32</v>
      </c>
      <c r="G38" s="47"/>
      <c r="H38" s="222">
        <f>F38*G38</f>
        <v>0</v>
      </c>
    </row>
    <row r="39" spans="1:8" s="209" customFormat="1" ht="30.75" customHeight="1">
      <c r="A39" s="48"/>
      <c r="B39" s="48" t="s">
        <v>1243</v>
      </c>
      <c r="C39" s="496" t="s">
        <v>211</v>
      </c>
      <c r="D39" s="496" t="s">
        <v>14</v>
      </c>
      <c r="E39" s="496">
        <v>0.00726</v>
      </c>
      <c r="F39" s="222">
        <f>F35*E39</f>
        <v>0.98736</v>
      </c>
      <c r="G39" s="222"/>
      <c r="H39" s="52">
        <f>G39*F39</f>
        <v>0</v>
      </c>
    </row>
    <row r="40" spans="1:8" s="209" customFormat="1" ht="35.25" customHeight="1">
      <c r="A40" s="48"/>
      <c r="B40" s="48" t="s">
        <v>4</v>
      </c>
      <c r="C40" s="46" t="s">
        <v>212</v>
      </c>
      <c r="D40" s="496" t="s">
        <v>16</v>
      </c>
      <c r="E40" s="496">
        <v>0.8</v>
      </c>
      <c r="F40" s="222">
        <f>E40*F35</f>
        <v>108.80000000000001</v>
      </c>
      <c r="G40" s="52"/>
      <c r="H40" s="222">
        <f>G40*F40</f>
        <v>0</v>
      </c>
    </row>
    <row r="41" spans="1:8" s="209" customFormat="1" ht="57" customHeight="1">
      <c r="A41" s="497"/>
      <c r="B41" s="376"/>
      <c r="C41" s="619" t="s">
        <v>1676</v>
      </c>
      <c r="D41" s="375" t="s">
        <v>16</v>
      </c>
      <c r="E41" s="496"/>
      <c r="F41" s="496"/>
      <c r="G41" s="222"/>
      <c r="H41" s="380">
        <f>H8+H10+H16+H25+H27+H30+H35</f>
        <v>0</v>
      </c>
    </row>
    <row r="42" spans="1:8" s="209" customFormat="1" ht="41.25" customHeight="1">
      <c r="A42" s="48"/>
      <c r="B42" s="663" t="s">
        <v>1307</v>
      </c>
      <c r="C42" s="664"/>
      <c r="D42" s="664"/>
      <c r="E42" s="665"/>
      <c r="F42" s="222"/>
      <c r="G42" s="222"/>
      <c r="H42" s="222"/>
    </row>
    <row r="43" spans="1:8" s="209" customFormat="1" ht="52.5" customHeight="1">
      <c r="A43" s="376" t="s">
        <v>13</v>
      </c>
      <c r="B43" s="79" t="s">
        <v>1282</v>
      </c>
      <c r="C43" s="375" t="s">
        <v>1283</v>
      </c>
      <c r="D43" s="375" t="s">
        <v>14</v>
      </c>
      <c r="E43" s="375"/>
      <c r="F43" s="379">
        <v>280</v>
      </c>
      <c r="G43" s="226"/>
      <c r="H43" s="380">
        <f>H44</f>
        <v>0</v>
      </c>
    </row>
    <row r="44" spans="1:8" s="209" customFormat="1" ht="32.25" customHeight="1">
      <c r="A44" s="497"/>
      <c r="B44" s="224" t="s">
        <v>4</v>
      </c>
      <c r="C44" s="496" t="s">
        <v>148</v>
      </c>
      <c r="D44" s="496" t="s">
        <v>5</v>
      </c>
      <c r="E44" s="496">
        <v>2.06</v>
      </c>
      <c r="F44" s="372">
        <f>E44*F43</f>
        <v>576.8000000000001</v>
      </c>
      <c r="G44" s="222"/>
      <c r="H44" s="222">
        <f>G44*F44</f>
        <v>0</v>
      </c>
    </row>
    <row r="45" spans="1:8" s="209" customFormat="1" ht="50.25" customHeight="1">
      <c r="A45" s="376" t="s">
        <v>37</v>
      </c>
      <c r="B45" s="79" t="s">
        <v>280</v>
      </c>
      <c r="C45" s="375" t="s">
        <v>1153</v>
      </c>
      <c r="D45" s="375" t="s">
        <v>14</v>
      </c>
      <c r="E45" s="375"/>
      <c r="F45" s="226">
        <v>21.1</v>
      </c>
      <c r="G45" s="70"/>
      <c r="H45" s="380">
        <f>SUM(H46:H48)</f>
        <v>0</v>
      </c>
    </row>
    <row r="46" spans="1:8" s="209" customFormat="1" ht="32.25" customHeight="1">
      <c r="A46" s="82"/>
      <c r="B46" s="224" t="s">
        <v>4</v>
      </c>
      <c r="C46" s="496" t="s">
        <v>136</v>
      </c>
      <c r="D46" s="496" t="s">
        <v>5</v>
      </c>
      <c r="E46" s="46">
        <v>3.16</v>
      </c>
      <c r="F46" s="47">
        <f>E46*F45</f>
        <v>66.676</v>
      </c>
      <c r="G46" s="52"/>
      <c r="H46" s="222">
        <f>G46*F46</f>
        <v>0</v>
      </c>
    </row>
    <row r="47" spans="1:8" s="209" customFormat="1" ht="32.25" customHeight="1">
      <c r="A47" s="82"/>
      <c r="B47" s="223">
        <v>235</v>
      </c>
      <c r="C47" s="46" t="s">
        <v>422</v>
      </c>
      <c r="D47" s="46" t="s">
        <v>14</v>
      </c>
      <c r="E47" s="46">
        <v>1.25</v>
      </c>
      <c r="F47" s="47">
        <f>E47*F45</f>
        <v>26.375</v>
      </c>
      <c r="G47" s="47"/>
      <c r="H47" s="47">
        <f>G47*F47</f>
        <v>0</v>
      </c>
    </row>
    <row r="48" spans="1:8" s="209" customFormat="1" ht="32.25" customHeight="1">
      <c r="A48" s="82"/>
      <c r="B48" s="224" t="s">
        <v>4</v>
      </c>
      <c r="C48" s="207" t="s">
        <v>38</v>
      </c>
      <c r="D48" s="46" t="s">
        <v>16</v>
      </c>
      <c r="E48" s="46">
        <v>0.01</v>
      </c>
      <c r="F48" s="47">
        <f>E48*F45</f>
        <v>0.21100000000000002</v>
      </c>
      <c r="G48" s="52"/>
      <c r="H48" s="47">
        <f>G48*F48</f>
        <v>0</v>
      </c>
    </row>
    <row r="49" spans="1:8" s="209" customFormat="1" ht="48.75" customHeight="1">
      <c r="A49" s="320">
        <v>3</v>
      </c>
      <c r="B49" s="378" t="s">
        <v>655</v>
      </c>
      <c r="C49" s="321" t="s">
        <v>1113</v>
      </c>
      <c r="D49" s="321" t="s">
        <v>20</v>
      </c>
      <c r="E49" s="321"/>
      <c r="F49" s="321">
        <f>F45</f>
        <v>21.1</v>
      </c>
      <c r="G49" s="464"/>
      <c r="H49" s="334">
        <f>H50+H51</f>
        <v>0</v>
      </c>
    </row>
    <row r="50" spans="1:8" s="209" customFormat="1" ht="30" customHeight="1">
      <c r="A50" s="497"/>
      <c r="B50" s="224" t="s">
        <v>4</v>
      </c>
      <c r="C50" s="496" t="s">
        <v>136</v>
      </c>
      <c r="D50" s="496" t="s">
        <v>5</v>
      </c>
      <c r="E50" s="496">
        <v>0.134</v>
      </c>
      <c r="F50" s="222">
        <f>F49*E50</f>
        <v>2.8274000000000004</v>
      </c>
      <c r="G50" s="222"/>
      <c r="H50" s="222">
        <f>G50*F50</f>
        <v>0</v>
      </c>
    </row>
    <row r="51" spans="1:8" s="209" customFormat="1" ht="30.75" customHeight="1">
      <c r="A51" s="317"/>
      <c r="B51" s="317" t="s">
        <v>657</v>
      </c>
      <c r="C51" s="317" t="s">
        <v>658</v>
      </c>
      <c r="D51" s="317" t="s">
        <v>23</v>
      </c>
      <c r="E51" s="317">
        <v>0.13</v>
      </c>
      <c r="F51" s="317">
        <f>E51*F49</f>
        <v>2.7430000000000003</v>
      </c>
      <c r="G51" s="460"/>
      <c r="H51" s="317">
        <f>F51*G51</f>
        <v>0</v>
      </c>
    </row>
    <row r="52" spans="1:8" s="209" customFormat="1" ht="51" customHeight="1">
      <c r="A52" s="81" t="s">
        <v>64</v>
      </c>
      <c r="B52" s="68" t="s">
        <v>1284</v>
      </c>
      <c r="C52" s="55" t="s">
        <v>1300</v>
      </c>
      <c r="D52" s="158" t="s">
        <v>20</v>
      </c>
      <c r="E52" s="158"/>
      <c r="F52" s="137">
        <v>298</v>
      </c>
      <c r="G52" s="160"/>
      <c r="H52" s="228">
        <f>SUM(H53:H60)</f>
        <v>0</v>
      </c>
    </row>
    <row r="53" spans="1:8" s="209" customFormat="1" ht="32.25" customHeight="1">
      <c r="A53" s="82"/>
      <c r="B53" s="48" t="s">
        <v>4</v>
      </c>
      <c r="C53" s="46" t="s">
        <v>136</v>
      </c>
      <c r="D53" s="49" t="s">
        <v>5</v>
      </c>
      <c r="E53" s="49">
        <v>8.44</v>
      </c>
      <c r="F53" s="167">
        <f>E53*F52</f>
        <v>2515.12</v>
      </c>
      <c r="G53" s="52"/>
      <c r="H53" s="377">
        <f aca="true" t="shared" si="1" ref="H53:H58">G53*F53</f>
        <v>0</v>
      </c>
    </row>
    <row r="54" spans="1:8" s="209" customFormat="1" ht="32.25" customHeight="1">
      <c r="A54" s="82"/>
      <c r="B54" s="48" t="s">
        <v>4</v>
      </c>
      <c r="C54" s="46" t="s">
        <v>153</v>
      </c>
      <c r="D54" s="49" t="s">
        <v>16</v>
      </c>
      <c r="E54" s="49">
        <v>1.1</v>
      </c>
      <c r="F54" s="167">
        <f>E54*F52</f>
        <v>327.8</v>
      </c>
      <c r="G54" s="52"/>
      <c r="H54" s="377">
        <f t="shared" si="1"/>
        <v>0</v>
      </c>
    </row>
    <row r="55" spans="1:8" s="209" customFormat="1" ht="32.25" customHeight="1">
      <c r="A55" s="82"/>
      <c r="B55" s="50" t="s">
        <v>1334</v>
      </c>
      <c r="C55" s="46" t="s">
        <v>498</v>
      </c>
      <c r="D55" s="46" t="s">
        <v>14</v>
      </c>
      <c r="E55" s="49">
        <v>1.015</v>
      </c>
      <c r="F55" s="167">
        <f>E55*F52</f>
        <v>302.46999999999997</v>
      </c>
      <c r="G55" s="52"/>
      <c r="H55" s="377">
        <f t="shared" si="1"/>
        <v>0</v>
      </c>
    </row>
    <row r="56" spans="1:8" s="209" customFormat="1" ht="32.25" customHeight="1">
      <c r="A56" s="82"/>
      <c r="B56" s="48" t="s">
        <v>1346</v>
      </c>
      <c r="C56" s="46" t="s">
        <v>202</v>
      </c>
      <c r="D56" s="46" t="s">
        <v>48</v>
      </c>
      <c r="E56" s="46">
        <v>1.84</v>
      </c>
      <c r="F56" s="47">
        <f>F52*E56</f>
        <v>548.32</v>
      </c>
      <c r="G56" s="47"/>
      <c r="H56" s="222">
        <f t="shared" si="1"/>
        <v>0</v>
      </c>
    </row>
    <row r="57" spans="1:8" s="209" customFormat="1" ht="32.25" customHeight="1">
      <c r="A57" s="82"/>
      <c r="B57" s="48" t="s">
        <v>1347</v>
      </c>
      <c r="C57" s="46" t="s">
        <v>488</v>
      </c>
      <c r="D57" s="46" t="s">
        <v>14</v>
      </c>
      <c r="E57" s="46">
        <v>0.0425</v>
      </c>
      <c r="F57" s="47">
        <f>F52*E57</f>
        <v>12.665000000000001</v>
      </c>
      <c r="G57" s="47"/>
      <c r="H57" s="222">
        <f t="shared" si="1"/>
        <v>0</v>
      </c>
    </row>
    <row r="58" spans="1:8" s="209" customFormat="1" ht="32.25" customHeight="1">
      <c r="A58" s="82"/>
      <c r="B58" s="50" t="s">
        <v>564</v>
      </c>
      <c r="C58" s="46" t="s">
        <v>499</v>
      </c>
      <c r="D58" s="46" t="s">
        <v>42</v>
      </c>
      <c r="E58" s="46">
        <v>0.0022</v>
      </c>
      <c r="F58" s="157">
        <f>F52*E58</f>
        <v>0.6556000000000001</v>
      </c>
      <c r="G58" s="52"/>
      <c r="H58" s="377">
        <f t="shared" si="1"/>
        <v>0</v>
      </c>
    </row>
    <row r="59" spans="1:8" s="209" customFormat="1" ht="32.25" customHeight="1">
      <c r="A59" s="496"/>
      <c r="B59" s="513" t="s">
        <v>1285</v>
      </c>
      <c r="C59" s="496" t="s">
        <v>97</v>
      </c>
      <c r="D59" s="73" t="s">
        <v>53</v>
      </c>
      <c r="E59" s="73">
        <v>1</v>
      </c>
      <c r="F59" s="222">
        <f>F52</f>
        <v>298</v>
      </c>
      <c r="G59" s="222"/>
      <c r="H59" s="222">
        <f>G59*F59</f>
        <v>0</v>
      </c>
    </row>
    <row r="60" spans="1:8" s="209" customFormat="1" ht="32.25" customHeight="1">
      <c r="A60" s="82"/>
      <c r="B60" s="45" t="s">
        <v>4</v>
      </c>
      <c r="C60" s="46" t="s">
        <v>18</v>
      </c>
      <c r="D60" s="49" t="s">
        <v>16</v>
      </c>
      <c r="E60" s="49">
        <v>0.46</v>
      </c>
      <c r="F60" s="167">
        <f>E60*F52</f>
        <v>137.08</v>
      </c>
      <c r="G60" s="52"/>
      <c r="H60" s="377">
        <f>G60*F60</f>
        <v>0</v>
      </c>
    </row>
    <row r="61" spans="1:8" s="209" customFormat="1" ht="47.25" customHeight="1">
      <c r="A61" s="81" t="s">
        <v>41</v>
      </c>
      <c r="B61" s="54" t="s">
        <v>169</v>
      </c>
      <c r="C61" s="55" t="s">
        <v>1301</v>
      </c>
      <c r="D61" s="55" t="s">
        <v>22</v>
      </c>
      <c r="E61" s="55"/>
      <c r="F61" s="379">
        <v>28</v>
      </c>
      <c r="G61" s="70"/>
      <c r="H61" s="380">
        <f>SUM(H62:H65)</f>
        <v>0</v>
      </c>
    </row>
    <row r="62" spans="1:8" s="209" customFormat="1" ht="32.25" customHeight="1">
      <c r="A62" s="497"/>
      <c r="B62" s="497" t="s">
        <v>4</v>
      </c>
      <c r="C62" s="496" t="s">
        <v>136</v>
      </c>
      <c r="D62" s="496" t="s">
        <v>5</v>
      </c>
      <c r="E62" s="225">
        <v>0.609</v>
      </c>
      <c r="F62" s="377">
        <f>F61*E62</f>
        <v>17.052</v>
      </c>
      <c r="G62" s="222"/>
      <c r="H62" s="377">
        <f>F62*G62</f>
        <v>0</v>
      </c>
    </row>
    <row r="63" spans="1:8" s="209" customFormat="1" ht="32.25" customHeight="1">
      <c r="A63" s="82"/>
      <c r="B63" s="82" t="s">
        <v>4</v>
      </c>
      <c r="C63" s="46" t="s">
        <v>137</v>
      </c>
      <c r="D63" s="46" t="s">
        <v>16</v>
      </c>
      <c r="E63" s="157">
        <v>0.0021</v>
      </c>
      <c r="F63" s="117">
        <f>F61*E63</f>
        <v>0.0588</v>
      </c>
      <c r="G63" s="52"/>
      <c r="H63" s="377">
        <f>F63*G63</f>
        <v>0</v>
      </c>
    </row>
    <row r="64" spans="1:8" s="209" customFormat="1" ht="32.25" customHeight="1">
      <c r="A64" s="82"/>
      <c r="B64" s="82" t="s">
        <v>1303</v>
      </c>
      <c r="C64" s="46" t="s">
        <v>1302</v>
      </c>
      <c r="D64" s="46" t="s">
        <v>22</v>
      </c>
      <c r="E64" s="47">
        <v>1</v>
      </c>
      <c r="F64" s="52">
        <f>E64*F61</f>
        <v>28</v>
      </c>
      <c r="G64" s="52"/>
      <c r="H64" s="377">
        <f>F64*G64</f>
        <v>0</v>
      </c>
    </row>
    <row r="65" spans="1:8" s="209" customFormat="1" ht="32.25" customHeight="1">
      <c r="A65" s="82"/>
      <c r="B65" s="49" t="s">
        <v>4</v>
      </c>
      <c r="C65" s="46" t="s">
        <v>18</v>
      </c>
      <c r="D65" s="46" t="s">
        <v>16</v>
      </c>
      <c r="E65" s="49">
        <v>0.156</v>
      </c>
      <c r="F65" s="52">
        <f>F61*E65</f>
        <v>4.368</v>
      </c>
      <c r="G65" s="52"/>
      <c r="H65" s="52">
        <f>F65*G65</f>
        <v>0</v>
      </c>
    </row>
    <row r="66" spans="1:8" s="209" customFormat="1" ht="55.5" customHeight="1">
      <c r="A66" s="71">
        <v>6</v>
      </c>
      <c r="B66" s="54" t="s">
        <v>140</v>
      </c>
      <c r="C66" s="55" t="s">
        <v>1324</v>
      </c>
      <c r="D66" s="68" t="s">
        <v>20</v>
      </c>
      <c r="E66" s="158"/>
      <c r="F66" s="347">
        <v>5.9</v>
      </c>
      <c r="G66" s="160"/>
      <c r="H66" s="228">
        <f>SUM(H67:H70)</f>
        <v>0</v>
      </c>
    </row>
    <row r="67" spans="1:8" s="209" customFormat="1" ht="32.25" customHeight="1">
      <c r="A67" s="82"/>
      <c r="B67" s="48" t="s">
        <v>4</v>
      </c>
      <c r="C67" s="46" t="s">
        <v>136</v>
      </c>
      <c r="D67" s="223" t="s">
        <v>5</v>
      </c>
      <c r="E67" s="49">
        <v>3.52</v>
      </c>
      <c r="F67" s="52">
        <f>E67*F66</f>
        <v>20.768</v>
      </c>
      <c r="G67" s="52"/>
      <c r="H67" s="377">
        <f>G67*F67</f>
        <v>0</v>
      </c>
    </row>
    <row r="68" spans="1:8" s="209" customFormat="1" ht="32.25" customHeight="1">
      <c r="A68" s="82"/>
      <c r="B68" s="48" t="s">
        <v>4</v>
      </c>
      <c r="C68" s="46" t="s">
        <v>106</v>
      </c>
      <c r="D68" s="223" t="s">
        <v>16</v>
      </c>
      <c r="E68" s="49">
        <v>1.06</v>
      </c>
      <c r="F68" s="52">
        <f>F66*E68</f>
        <v>6.2540000000000004</v>
      </c>
      <c r="G68" s="52"/>
      <c r="H68" s="377">
        <f>G68*F68</f>
        <v>0</v>
      </c>
    </row>
    <row r="69" spans="1:8" s="209" customFormat="1" ht="30" customHeight="1">
      <c r="A69" s="82"/>
      <c r="B69" s="48" t="s">
        <v>1356</v>
      </c>
      <c r="C69" s="46" t="s">
        <v>1304</v>
      </c>
      <c r="D69" s="45" t="s">
        <v>14</v>
      </c>
      <c r="E69" s="49">
        <v>1.25</v>
      </c>
      <c r="F69" s="52">
        <f>E69*F66</f>
        <v>7.375</v>
      </c>
      <c r="G69" s="52"/>
      <c r="H69" s="377">
        <f>G69*F69</f>
        <v>0</v>
      </c>
    </row>
    <row r="70" spans="1:8" s="209" customFormat="1" ht="31.5" customHeight="1">
      <c r="A70" s="82"/>
      <c r="B70" s="48" t="s">
        <v>4</v>
      </c>
      <c r="C70" s="496" t="s">
        <v>24</v>
      </c>
      <c r="D70" s="45" t="s">
        <v>16</v>
      </c>
      <c r="E70" s="49">
        <v>0.02</v>
      </c>
      <c r="F70" s="52">
        <f>E70*F66</f>
        <v>0.11800000000000001</v>
      </c>
      <c r="G70" s="52"/>
      <c r="H70" s="377">
        <f>G70*F70</f>
        <v>0</v>
      </c>
    </row>
    <row r="71" spans="1:8" s="209" customFormat="1" ht="114.75" customHeight="1">
      <c r="A71" s="376" t="s">
        <v>45</v>
      </c>
      <c r="B71" s="378" t="s">
        <v>1043</v>
      </c>
      <c r="C71" s="375" t="s">
        <v>1343</v>
      </c>
      <c r="D71" s="375" t="s">
        <v>20</v>
      </c>
      <c r="E71" s="375"/>
      <c r="F71" s="226">
        <v>240</v>
      </c>
      <c r="G71" s="226"/>
      <c r="H71" s="380">
        <f>H72+0</f>
        <v>0</v>
      </c>
    </row>
    <row r="72" spans="1:8" s="209" customFormat="1" ht="32.25" customHeight="1">
      <c r="A72" s="497"/>
      <c r="B72" s="227" t="s">
        <v>1057</v>
      </c>
      <c r="C72" s="496" t="s">
        <v>1044</v>
      </c>
      <c r="D72" s="496" t="s">
        <v>5</v>
      </c>
      <c r="E72" s="313">
        <f>(9.21+4*4.97)/1000</f>
        <v>0.02909</v>
      </c>
      <c r="F72" s="313">
        <f>F71*E72</f>
        <v>6.9816</v>
      </c>
      <c r="G72" s="222"/>
      <c r="H72" s="222">
        <f>G72*F72</f>
        <v>0</v>
      </c>
    </row>
    <row r="73" spans="1:8" s="209" customFormat="1" ht="41.25" customHeight="1">
      <c r="A73" s="320">
        <v>8</v>
      </c>
      <c r="B73" s="378" t="s">
        <v>655</v>
      </c>
      <c r="C73" s="321" t="s">
        <v>1305</v>
      </c>
      <c r="D73" s="321" t="s">
        <v>20</v>
      </c>
      <c r="E73" s="321"/>
      <c r="F73" s="321">
        <f>F71</f>
        <v>240</v>
      </c>
      <c r="G73" s="464"/>
      <c r="H73" s="334">
        <f>H74+H75</f>
        <v>0</v>
      </c>
    </row>
    <row r="74" spans="1:8" s="209" customFormat="1" ht="32.25" customHeight="1">
      <c r="A74" s="497"/>
      <c r="B74" s="224" t="s">
        <v>4</v>
      </c>
      <c r="C74" s="496" t="s">
        <v>136</v>
      </c>
      <c r="D74" s="496" t="s">
        <v>5</v>
      </c>
      <c r="E74" s="496">
        <v>0.134</v>
      </c>
      <c r="F74" s="222">
        <f>F73*E74</f>
        <v>32.160000000000004</v>
      </c>
      <c r="G74" s="222"/>
      <c r="H74" s="222">
        <f>G74*F74</f>
        <v>0</v>
      </c>
    </row>
    <row r="75" spans="1:8" s="209" customFormat="1" ht="32.25" customHeight="1">
      <c r="A75" s="317"/>
      <c r="B75" s="317" t="s">
        <v>657</v>
      </c>
      <c r="C75" s="317" t="s">
        <v>658</v>
      </c>
      <c r="D75" s="317" t="s">
        <v>23</v>
      </c>
      <c r="E75" s="317">
        <v>0.13</v>
      </c>
      <c r="F75" s="317">
        <f>E75*F73</f>
        <v>31.200000000000003</v>
      </c>
      <c r="G75" s="460"/>
      <c r="H75" s="317">
        <f>F75*G75</f>
        <v>0</v>
      </c>
    </row>
    <row r="76" spans="1:8" s="209" customFormat="1" ht="32.25" customHeight="1">
      <c r="A76" s="497"/>
      <c r="B76" s="376"/>
      <c r="C76" s="375" t="s">
        <v>1306</v>
      </c>
      <c r="D76" s="375" t="s">
        <v>16</v>
      </c>
      <c r="E76" s="496"/>
      <c r="F76" s="496"/>
      <c r="G76" s="222"/>
      <c r="H76" s="380">
        <f>H43+H45+H49+H52+H61+H66+H71+H73</f>
        <v>0</v>
      </c>
    </row>
    <row r="77" spans="1:8" s="209" customFormat="1" ht="30.75" customHeight="1">
      <c r="A77" s="48"/>
      <c r="B77" s="702" t="s">
        <v>1309</v>
      </c>
      <c r="C77" s="703"/>
      <c r="D77" s="704"/>
      <c r="E77" s="496"/>
      <c r="F77" s="222"/>
      <c r="G77" s="222"/>
      <c r="H77" s="222"/>
    </row>
    <row r="78" spans="1:8" s="209" customFormat="1" ht="52.5" customHeight="1">
      <c r="A78" s="376" t="s">
        <v>13</v>
      </c>
      <c r="B78" s="79" t="s">
        <v>603</v>
      </c>
      <c r="C78" s="375" t="s">
        <v>1111</v>
      </c>
      <c r="D78" s="375" t="s">
        <v>14</v>
      </c>
      <c r="E78" s="375"/>
      <c r="F78" s="226">
        <v>32</v>
      </c>
      <c r="G78" s="226"/>
      <c r="H78" s="380">
        <f>H79</f>
        <v>0</v>
      </c>
    </row>
    <row r="79" spans="1:8" s="209" customFormat="1" ht="30.75" customHeight="1">
      <c r="A79" s="497"/>
      <c r="B79" s="224" t="s">
        <v>4</v>
      </c>
      <c r="C79" s="496" t="s">
        <v>148</v>
      </c>
      <c r="D79" s="496" t="s">
        <v>5</v>
      </c>
      <c r="E79" s="496">
        <v>2.78</v>
      </c>
      <c r="F79" s="372">
        <f>E79*F78</f>
        <v>88.96</v>
      </c>
      <c r="G79" s="222"/>
      <c r="H79" s="222">
        <f>G79*F79</f>
        <v>0</v>
      </c>
    </row>
    <row r="80" spans="1:8" s="209" customFormat="1" ht="47.25" customHeight="1">
      <c r="A80" s="376" t="s">
        <v>37</v>
      </c>
      <c r="B80" s="79" t="s">
        <v>280</v>
      </c>
      <c r="C80" s="375" t="s">
        <v>1153</v>
      </c>
      <c r="D80" s="375" t="s">
        <v>14</v>
      </c>
      <c r="E80" s="375"/>
      <c r="F80" s="226">
        <v>2.2</v>
      </c>
      <c r="G80" s="70"/>
      <c r="H80" s="380">
        <f>SUM(H81:H83)</f>
        <v>0</v>
      </c>
    </row>
    <row r="81" spans="1:8" s="209" customFormat="1" ht="29.25" customHeight="1">
      <c r="A81" s="82"/>
      <c r="B81" s="224" t="s">
        <v>4</v>
      </c>
      <c r="C81" s="496" t="s">
        <v>136</v>
      </c>
      <c r="D81" s="496" t="s">
        <v>5</v>
      </c>
      <c r="E81" s="46">
        <v>3.16</v>
      </c>
      <c r="F81" s="47">
        <f>E81*F80</f>
        <v>6.952000000000001</v>
      </c>
      <c r="G81" s="52"/>
      <c r="H81" s="222">
        <f>G81*F81</f>
        <v>0</v>
      </c>
    </row>
    <row r="82" spans="1:8" s="209" customFormat="1" ht="30.75" customHeight="1">
      <c r="A82" s="82"/>
      <c r="B82" s="223" t="s">
        <v>542</v>
      </c>
      <c r="C82" s="46" t="s">
        <v>422</v>
      </c>
      <c r="D82" s="46" t="s">
        <v>14</v>
      </c>
      <c r="E82" s="46">
        <v>1.25</v>
      </c>
      <c r="F82" s="47">
        <f>E82*F80</f>
        <v>2.75</v>
      </c>
      <c r="G82" s="47"/>
      <c r="H82" s="47">
        <f>G82*F82</f>
        <v>0</v>
      </c>
    </row>
    <row r="83" spans="1:8" s="209" customFormat="1" ht="30.75" customHeight="1">
      <c r="A83" s="82"/>
      <c r="B83" s="224" t="s">
        <v>4</v>
      </c>
      <c r="C83" s="207" t="s">
        <v>38</v>
      </c>
      <c r="D83" s="46" t="s">
        <v>16</v>
      </c>
      <c r="E83" s="46">
        <v>0.01</v>
      </c>
      <c r="F83" s="47">
        <f>E83*F80</f>
        <v>0.022000000000000002</v>
      </c>
      <c r="G83" s="52"/>
      <c r="H83" s="47">
        <f>G83*F83</f>
        <v>0</v>
      </c>
    </row>
    <row r="84" spans="1:8" s="209" customFormat="1" ht="47.25" customHeight="1">
      <c r="A84" s="320">
        <v>3</v>
      </c>
      <c r="B84" s="378" t="s">
        <v>655</v>
      </c>
      <c r="C84" s="321" t="s">
        <v>1113</v>
      </c>
      <c r="D84" s="321" t="s">
        <v>20</v>
      </c>
      <c r="E84" s="321"/>
      <c r="F84" s="321">
        <f>F80</f>
        <v>2.2</v>
      </c>
      <c r="G84" s="464"/>
      <c r="H84" s="334">
        <f>H85+H86</f>
        <v>0</v>
      </c>
    </row>
    <row r="85" spans="1:8" s="209" customFormat="1" ht="30.75" customHeight="1">
      <c r="A85" s="497"/>
      <c r="B85" s="224" t="s">
        <v>4</v>
      </c>
      <c r="C85" s="496" t="s">
        <v>136</v>
      </c>
      <c r="D85" s="496" t="s">
        <v>5</v>
      </c>
      <c r="E85" s="496">
        <v>0.134</v>
      </c>
      <c r="F85" s="222">
        <f>F84*E85</f>
        <v>0.29480000000000006</v>
      </c>
      <c r="G85" s="222"/>
      <c r="H85" s="222">
        <f>G85*F85</f>
        <v>0</v>
      </c>
    </row>
    <row r="86" spans="1:8" s="209" customFormat="1" ht="30.75" customHeight="1">
      <c r="A86" s="317"/>
      <c r="B86" s="317" t="s">
        <v>657</v>
      </c>
      <c r="C86" s="317" t="s">
        <v>658</v>
      </c>
      <c r="D86" s="317" t="s">
        <v>23</v>
      </c>
      <c r="E86" s="317">
        <v>0.13</v>
      </c>
      <c r="F86" s="317">
        <f>E86*F84</f>
        <v>0.28600000000000003</v>
      </c>
      <c r="G86" s="460"/>
      <c r="H86" s="317">
        <f>F86*G86</f>
        <v>0</v>
      </c>
    </row>
    <row r="87" spans="1:8" s="209" customFormat="1" ht="47.25" customHeight="1">
      <c r="A87" s="81" t="s">
        <v>64</v>
      </c>
      <c r="B87" s="68" t="s">
        <v>496</v>
      </c>
      <c r="C87" s="55" t="s">
        <v>497</v>
      </c>
      <c r="D87" s="158" t="s">
        <v>20</v>
      </c>
      <c r="E87" s="158"/>
      <c r="F87" s="137">
        <v>53.5</v>
      </c>
      <c r="G87" s="160"/>
      <c r="H87" s="228">
        <f>SUM(H88:H94)</f>
        <v>0</v>
      </c>
    </row>
    <row r="88" spans="1:8" s="209" customFormat="1" ht="30.75" customHeight="1">
      <c r="A88" s="82"/>
      <c r="B88" s="48" t="s">
        <v>4</v>
      </c>
      <c r="C88" s="46" t="s">
        <v>136</v>
      </c>
      <c r="D88" s="49" t="s">
        <v>5</v>
      </c>
      <c r="E88" s="49">
        <v>2.81</v>
      </c>
      <c r="F88" s="167">
        <f>E88*F87</f>
        <v>150.335</v>
      </c>
      <c r="G88" s="52"/>
      <c r="H88" s="377">
        <f aca="true" t="shared" si="2" ref="H88:H94">G88*F88</f>
        <v>0</v>
      </c>
    </row>
    <row r="89" spans="1:8" s="209" customFormat="1" ht="30.75" customHeight="1">
      <c r="A89" s="82"/>
      <c r="B89" s="48" t="s">
        <v>4</v>
      </c>
      <c r="C89" s="46" t="s">
        <v>153</v>
      </c>
      <c r="D89" s="49" t="s">
        <v>16</v>
      </c>
      <c r="E89" s="49">
        <v>0.33</v>
      </c>
      <c r="F89" s="167">
        <f>E89*F87</f>
        <v>17.655</v>
      </c>
      <c r="G89" s="52"/>
      <c r="H89" s="377">
        <f t="shared" si="2"/>
        <v>0</v>
      </c>
    </row>
    <row r="90" spans="1:8" s="209" customFormat="1" ht="30.75" customHeight="1">
      <c r="A90" s="82"/>
      <c r="B90" s="50" t="s">
        <v>1334</v>
      </c>
      <c r="C90" s="46" t="s">
        <v>498</v>
      </c>
      <c r="D90" s="46" t="s">
        <v>14</v>
      </c>
      <c r="E90" s="49">
        <v>1.02</v>
      </c>
      <c r="F90" s="167">
        <f>E90*F87</f>
        <v>54.57</v>
      </c>
      <c r="G90" s="52"/>
      <c r="H90" s="377">
        <f t="shared" si="2"/>
        <v>0</v>
      </c>
    </row>
    <row r="91" spans="1:8" s="209" customFormat="1" ht="30.75" customHeight="1">
      <c r="A91" s="82"/>
      <c r="B91" s="48" t="s">
        <v>1346</v>
      </c>
      <c r="C91" s="46" t="s">
        <v>202</v>
      </c>
      <c r="D91" s="46" t="s">
        <v>48</v>
      </c>
      <c r="E91" s="46">
        <v>0.803</v>
      </c>
      <c r="F91" s="47">
        <f>F87*E91</f>
        <v>42.9605</v>
      </c>
      <c r="G91" s="47"/>
      <c r="H91" s="222">
        <f t="shared" si="2"/>
        <v>0</v>
      </c>
    </row>
    <row r="92" spans="1:8" s="209" customFormat="1" ht="30.75" customHeight="1">
      <c r="A92" s="82"/>
      <c r="B92" s="48" t="s">
        <v>1347</v>
      </c>
      <c r="C92" s="46" t="s">
        <v>488</v>
      </c>
      <c r="D92" s="46" t="s">
        <v>14</v>
      </c>
      <c r="E92" s="46">
        <v>0.0039</v>
      </c>
      <c r="F92" s="47">
        <f>F87*E92</f>
        <v>0.20865</v>
      </c>
      <c r="G92" s="47"/>
      <c r="H92" s="222">
        <f t="shared" si="2"/>
        <v>0</v>
      </c>
    </row>
    <row r="93" spans="1:8" s="209" customFormat="1" ht="30.75" customHeight="1">
      <c r="A93" s="82"/>
      <c r="B93" s="50" t="s">
        <v>564</v>
      </c>
      <c r="C93" s="46" t="s">
        <v>499</v>
      </c>
      <c r="D93" s="46" t="s">
        <v>42</v>
      </c>
      <c r="E93" s="46">
        <v>0.0009</v>
      </c>
      <c r="F93" s="157">
        <f>F87*E93</f>
        <v>0.04815</v>
      </c>
      <c r="G93" s="52"/>
      <c r="H93" s="377">
        <f t="shared" si="2"/>
        <v>0</v>
      </c>
    </row>
    <row r="94" spans="1:8" s="209" customFormat="1" ht="30.75" customHeight="1">
      <c r="A94" s="82"/>
      <c r="B94" s="45" t="s">
        <v>4</v>
      </c>
      <c r="C94" s="46" t="s">
        <v>18</v>
      </c>
      <c r="D94" s="49" t="s">
        <v>16</v>
      </c>
      <c r="E94" s="49">
        <v>0.16</v>
      </c>
      <c r="F94" s="167">
        <f>E94*F87</f>
        <v>8.56</v>
      </c>
      <c r="G94" s="52"/>
      <c r="H94" s="377">
        <f t="shared" si="2"/>
        <v>0</v>
      </c>
    </row>
    <row r="95" spans="1:8" s="209" customFormat="1" ht="57.75" customHeight="1">
      <c r="A95" s="81" t="s">
        <v>41</v>
      </c>
      <c r="B95" s="54" t="s">
        <v>170</v>
      </c>
      <c r="C95" s="55" t="s">
        <v>1262</v>
      </c>
      <c r="D95" s="55" t="s">
        <v>22</v>
      </c>
      <c r="E95" s="55"/>
      <c r="F95" s="379">
        <v>46</v>
      </c>
      <c r="G95" s="70"/>
      <c r="H95" s="380">
        <f>SUM(H96:H99)</f>
        <v>0</v>
      </c>
    </row>
    <row r="96" spans="1:8" s="209" customFormat="1" ht="27" customHeight="1">
      <c r="A96" s="497"/>
      <c r="B96" s="497" t="s">
        <v>4</v>
      </c>
      <c r="C96" s="496" t="s">
        <v>148</v>
      </c>
      <c r="D96" s="496" t="s">
        <v>5</v>
      </c>
      <c r="E96" s="225">
        <v>0.583</v>
      </c>
      <c r="F96" s="296">
        <f>F95*E96</f>
        <v>26.817999999999998</v>
      </c>
      <c r="G96" s="222"/>
      <c r="H96" s="377">
        <f>F96*G96</f>
        <v>0</v>
      </c>
    </row>
    <row r="97" spans="1:8" s="209" customFormat="1" ht="27.75" customHeight="1">
      <c r="A97" s="82"/>
      <c r="B97" s="82" t="s">
        <v>4</v>
      </c>
      <c r="C97" s="46" t="s">
        <v>137</v>
      </c>
      <c r="D97" s="46" t="s">
        <v>16</v>
      </c>
      <c r="E97" s="157">
        <v>0.0046</v>
      </c>
      <c r="F97" s="117">
        <f>F95*E97</f>
        <v>0.2116</v>
      </c>
      <c r="G97" s="52"/>
      <c r="H97" s="377">
        <f>F97*G97</f>
        <v>0</v>
      </c>
    </row>
    <row r="98" spans="1:8" s="209" customFormat="1" ht="30.75" customHeight="1">
      <c r="A98" s="82"/>
      <c r="B98" s="82" t="s">
        <v>1354</v>
      </c>
      <c r="C98" s="46" t="s">
        <v>1263</v>
      </c>
      <c r="D98" s="46" t="s">
        <v>22</v>
      </c>
      <c r="E98" s="47">
        <v>1</v>
      </c>
      <c r="F98" s="52">
        <f>E98*F95</f>
        <v>46</v>
      </c>
      <c r="G98" s="52"/>
      <c r="H98" s="377">
        <f>F98*G98</f>
        <v>0</v>
      </c>
    </row>
    <row r="99" spans="1:8" s="209" customFormat="1" ht="30.75" customHeight="1">
      <c r="A99" s="82"/>
      <c r="B99" s="49" t="s">
        <v>4</v>
      </c>
      <c r="C99" s="46" t="s">
        <v>18</v>
      </c>
      <c r="D99" s="46" t="s">
        <v>16</v>
      </c>
      <c r="E99" s="49">
        <v>0.208</v>
      </c>
      <c r="F99" s="52">
        <f>F95*E99</f>
        <v>9.568</v>
      </c>
      <c r="G99" s="52"/>
      <c r="H99" s="52">
        <f>F99*G99</f>
        <v>0</v>
      </c>
    </row>
    <row r="100" spans="1:8" s="209" customFormat="1" ht="63" customHeight="1">
      <c r="A100" s="81" t="s">
        <v>44</v>
      </c>
      <c r="B100" s="54" t="s">
        <v>73</v>
      </c>
      <c r="C100" s="55" t="s">
        <v>1112</v>
      </c>
      <c r="D100" s="55" t="s">
        <v>20</v>
      </c>
      <c r="E100" s="156"/>
      <c r="F100" s="226">
        <v>32</v>
      </c>
      <c r="G100" s="70"/>
      <c r="H100" s="380">
        <f>H101</f>
        <v>0</v>
      </c>
    </row>
    <row r="101" spans="1:8" s="209" customFormat="1" ht="30.75" customHeight="1">
      <c r="A101" s="82"/>
      <c r="B101" s="48" t="s">
        <v>4</v>
      </c>
      <c r="C101" s="46" t="s">
        <v>136</v>
      </c>
      <c r="D101" s="46" t="s">
        <v>5</v>
      </c>
      <c r="E101" s="46">
        <v>1.21</v>
      </c>
      <c r="F101" s="47">
        <f>F100*E101</f>
        <v>38.72</v>
      </c>
      <c r="G101" s="47"/>
      <c r="H101" s="222">
        <f>G101*F101</f>
        <v>0</v>
      </c>
    </row>
    <row r="102" spans="1:8" s="209" customFormat="1" ht="47.25" customHeight="1">
      <c r="A102" s="320">
        <v>7</v>
      </c>
      <c r="B102" s="378" t="s">
        <v>655</v>
      </c>
      <c r="C102" s="321" t="s">
        <v>656</v>
      </c>
      <c r="D102" s="321" t="s">
        <v>20</v>
      </c>
      <c r="E102" s="321"/>
      <c r="F102" s="321">
        <f>F100</f>
        <v>32</v>
      </c>
      <c r="G102" s="464"/>
      <c r="H102" s="334">
        <f>H103+H104</f>
        <v>0</v>
      </c>
    </row>
    <row r="103" spans="1:8" s="209" customFormat="1" ht="30.75" customHeight="1">
      <c r="A103" s="497"/>
      <c r="B103" s="224" t="s">
        <v>4</v>
      </c>
      <c r="C103" s="496" t="s">
        <v>136</v>
      </c>
      <c r="D103" s="496" t="s">
        <v>5</v>
      </c>
      <c r="E103" s="496">
        <v>0.134</v>
      </c>
      <c r="F103" s="222">
        <f>F102*E103</f>
        <v>4.288</v>
      </c>
      <c r="G103" s="222"/>
      <c r="H103" s="222">
        <f>G103*F103</f>
        <v>0</v>
      </c>
    </row>
    <row r="104" spans="1:8" s="209" customFormat="1" ht="30.75" customHeight="1">
      <c r="A104" s="317"/>
      <c r="B104" s="317" t="s">
        <v>657</v>
      </c>
      <c r="C104" s="317" t="s">
        <v>658</v>
      </c>
      <c r="D104" s="317" t="s">
        <v>23</v>
      </c>
      <c r="E104" s="317">
        <v>0.13</v>
      </c>
      <c r="F104" s="317">
        <f>E104*F102</f>
        <v>4.16</v>
      </c>
      <c r="G104" s="460"/>
      <c r="H104" s="317">
        <f>F104*G104</f>
        <v>0</v>
      </c>
    </row>
    <row r="105" spans="1:8" s="209" customFormat="1" ht="54" customHeight="1">
      <c r="A105" s="221">
        <v>8</v>
      </c>
      <c r="B105" s="79" t="s">
        <v>932</v>
      </c>
      <c r="C105" s="375" t="s">
        <v>1264</v>
      </c>
      <c r="D105" s="375" t="s">
        <v>15</v>
      </c>
      <c r="E105" s="498"/>
      <c r="F105" s="226">
        <v>1</v>
      </c>
      <c r="G105" s="222"/>
      <c r="H105" s="380">
        <f>H106+H107+H110+H111+H113+H108+H112+H109</f>
        <v>0</v>
      </c>
    </row>
    <row r="106" spans="1:8" s="209" customFormat="1" ht="30.75" customHeight="1">
      <c r="A106" s="381"/>
      <c r="B106" s="496" t="s">
        <v>4</v>
      </c>
      <c r="C106" s="496" t="s">
        <v>154</v>
      </c>
      <c r="D106" s="73" t="s">
        <v>5</v>
      </c>
      <c r="E106" s="514">
        <v>17.2</v>
      </c>
      <c r="F106" s="188">
        <f>E106*F105</f>
        <v>17.2</v>
      </c>
      <c r="G106" s="222"/>
      <c r="H106" s="222">
        <f aca="true" t="shared" si="3" ref="H106:H113">F106*G106</f>
        <v>0</v>
      </c>
    </row>
    <row r="107" spans="1:8" s="209" customFormat="1" ht="30.75" customHeight="1">
      <c r="A107" s="496"/>
      <c r="B107" s="496" t="s">
        <v>4</v>
      </c>
      <c r="C107" s="496" t="s">
        <v>206</v>
      </c>
      <c r="D107" s="73" t="s">
        <v>114</v>
      </c>
      <c r="E107" s="514">
        <v>70</v>
      </c>
      <c r="F107" s="188">
        <f>E107*F105</f>
        <v>70</v>
      </c>
      <c r="G107" s="52"/>
      <c r="H107" s="222">
        <f t="shared" si="3"/>
        <v>0</v>
      </c>
    </row>
    <row r="108" spans="1:8" s="209" customFormat="1" ht="30.75" customHeight="1">
      <c r="A108" s="515"/>
      <c r="B108" s="50" t="s">
        <v>1334</v>
      </c>
      <c r="C108" s="496" t="s">
        <v>1572</v>
      </c>
      <c r="D108" s="73" t="s">
        <v>20</v>
      </c>
      <c r="E108" s="514">
        <v>0.297</v>
      </c>
      <c r="F108" s="516">
        <f>E108*F105</f>
        <v>0.297</v>
      </c>
      <c r="G108" s="52"/>
      <c r="H108" s="222">
        <f t="shared" si="3"/>
        <v>0</v>
      </c>
    </row>
    <row r="109" spans="1:8" s="209" customFormat="1" ht="30.75" customHeight="1">
      <c r="A109" s="515"/>
      <c r="B109" s="300" t="s">
        <v>1350</v>
      </c>
      <c r="C109" s="496" t="s">
        <v>1114</v>
      </c>
      <c r="D109" s="73" t="s">
        <v>22</v>
      </c>
      <c r="E109" s="514">
        <v>5</v>
      </c>
      <c r="F109" s="516">
        <f>E109*F105</f>
        <v>5</v>
      </c>
      <c r="G109" s="222"/>
      <c r="H109" s="222">
        <f t="shared" si="3"/>
        <v>0</v>
      </c>
    </row>
    <row r="110" spans="1:8" s="209" customFormat="1" ht="30.75" customHeight="1">
      <c r="A110" s="496"/>
      <c r="B110" s="362" t="s">
        <v>1358</v>
      </c>
      <c r="C110" s="496" t="s">
        <v>1355</v>
      </c>
      <c r="D110" s="73" t="s">
        <v>43</v>
      </c>
      <c r="E110" s="212">
        <v>7.8</v>
      </c>
      <c r="F110" s="516">
        <f>F105*E110</f>
        <v>7.8</v>
      </c>
      <c r="G110" s="222"/>
      <c r="H110" s="222">
        <f t="shared" si="3"/>
        <v>0</v>
      </c>
    </row>
    <row r="111" spans="1:8" s="209" customFormat="1" ht="30.75" customHeight="1">
      <c r="A111" s="496"/>
      <c r="B111" s="362" t="s">
        <v>1349</v>
      </c>
      <c r="C111" s="496" t="s">
        <v>804</v>
      </c>
      <c r="D111" s="73" t="s">
        <v>53</v>
      </c>
      <c r="E111" s="73">
        <v>16</v>
      </c>
      <c r="F111" s="188">
        <f>E111*F105</f>
        <v>16</v>
      </c>
      <c r="G111" s="222"/>
      <c r="H111" s="222">
        <f t="shared" si="3"/>
        <v>0</v>
      </c>
    </row>
    <row r="112" spans="1:8" s="209" customFormat="1" ht="30.75" customHeight="1">
      <c r="A112" s="496"/>
      <c r="B112" s="223" t="s">
        <v>425</v>
      </c>
      <c r="C112" s="496" t="s">
        <v>97</v>
      </c>
      <c r="D112" s="73" t="s">
        <v>53</v>
      </c>
      <c r="E112" s="73">
        <v>2</v>
      </c>
      <c r="F112" s="188">
        <f>E112*F105</f>
        <v>2</v>
      </c>
      <c r="G112" s="222"/>
      <c r="H112" s="222">
        <f t="shared" si="3"/>
        <v>0</v>
      </c>
    </row>
    <row r="113" spans="1:8" s="209" customFormat="1" ht="30.75" customHeight="1">
      <c r="A113" s="496"/>
      <c r="B113" s="223" t="s">
        <v>4</v>
      </c>
      <c r="C113" s="496" t="s">
        <v>103</v>
      </c>
      <c r="D113" s="496" t="s">
        <v>16</v>
      </c>
      <c r="E113" s="73">
        <v>0.2</v>
      </c>
      <c r="F113" s="222">
        <f>E113*F105</f>
        <v>0.2</v>
      </c>
      <c r="G113" s="52"/>
      <c r="H113" s="222">
        <f t="shared" si="3"/>
        <v>0</v>
      </c>
    </row>
    <row r="114" spans="1:8" s="209" customFormat="1" ht="48.75" customHeight="1">
      <c r="A114" s="221">
        <v>9</v>
      </c>
      <c r="B114" s="79" t="s">
        <v>933</v>
      </c>
      <c r="C114" s="375" t="s">
        <v>1265</v>
      </c>
      <c r="D114" s="375" t="s">
        <v>15</v>
      </c>
      <c r="E114" s="498"/>
      <c r="F114" s="226">
        <v>2</v>
      </c>
      <c r="G114" s="222"/>
      <c r="H114" s="380">
        <f>H115+H116+H119+H120+H121+H118+H117</f>
        <v>0</v>
      </c>
    </row>
    <row r="115" spans="1:8" s="209" customFormat="1" ht="30.75" customHeight="1">
      <c r="A115" s="381"/>
      <c r="B115" s="496" t="s">
        <v>4</v>
      </c>
      <c r="C115" s="496" t="s">
        <v>154</v>
      </c>
      <c r="D115" s="73" t="s">
        <v>5</v>
      </c>
      <c r="E115" s="514">
        <v>7.33</v>
      </c>
      <c r="F115" s="188">
        <f>E115*F114</f>
        <v>14.66</v>
      </c>
      <c r="G115" s="222"/>
      <c r="H115" s="222">
        <f aca="true" t="shared" si="4" ref="H115:H121">F115*G115</f>
        <v>0</v>
      </c>
    </row>
    <row r="116" spans="1:8" s="209" customFormat="1" ht="30.75" customHeight="1">
      <c r="A116" s="496"/>
      <c r="B116" s="496" t="s">
        <v>4</v>
      </c>
      <c r="C116" s="496" t="s">
        <v>206</v>
      </c>
      <c r="D116" s="73" t="s">
        <v>114</v>
      </c>
      <c r="E116" s="514">
        <v>0.11</v>
      </c>
      <c r="F116" s="188">
        <f>E116*F114</f>
        <v>0.22</v>
      </c>
      <c r="G116" s="52"/>
      <c r="H116" s="222">
        <f t="shared" si="4"/>
        <v>0</v>
      </c>
    </row>
    <row r="117" spans="1:8" s="209" customFormat="1" ht="30.75" customHeight="1">
      <c r="A117" s="515"/>
      <c r="B117" s="300" t="s">
        <v>1350</v>
      </c>
      <c r="C117" s="496" t="s">
        <v>1114</v>
      </c>
      <c r="D117" s="73" t="s">
        <v>22</v>
      </c>
      <c r="E117" s="514">
        <v>5</v>
      </c>
      <c r="F117" s="516">
        <f>E117*F114</f>
        <v>10</v>
      </c>
      <c r="G117" s="222"/>
      <c r="H117" s="222">
        <f t="shared" si="4"/>
        <v>0</v>
      </c>
    </row>
    <row r="118" spans="1:8" s="209" customFormat="1" ht="30.75" customHeight="1">
      <c r="A118" s="515"/>
      <c r="B118" s="50" t="s">
        <v>1334</v>
      </c>
      <c r="C118" s="496" t="s">
        <v>1572</v>
      </c>
      <c r="D118" s="73" t="s">
        <v>20</v>
      </c>
      <c r="E118" s="514">
        <v>0.051</v>
      </c>
      <c r="F118" s="516">
        <f>E118*F114</f>
        <v>0.102</v>
      </c>
      <c r="G118" s="52"/>
      <c r="H118" s="222">
        <f t="shared" si="4"/>
        <v>0</v>
      </c>
    </row>
    <row r="119" spans="1:8" s="209" customFormat="1" ht="30.75" customHeight="1">
      <c r="A119" s="496"/>
      <c r="B119" s="362" t="s">
        <v>1358</v>
      </c>
      <c r="C119" s="496" t="s">
        <v>1266</v>
      </c>
      <c r="D119" s="73" t="s">
        <v>43</v>
      </c>
      <c r="E119" s="212">
        <v>2</v>
      </c>
      <c r="F119" s="516">
        <f>F114*E119</f>
        <v>4</v>
      </c>
      <c r="G119" s="222"/>
      <c r="H119" s="222">
        <f t="shared" si="4"/>
        <v>0</v>
      </c>
    </row>
    <row r="120" spans="1:8" s="209" customFormat="1" ht="30.75" customHeight="1">
      <c r="A120" s="496"/>
      <c r="B120" s="223" t="s">
        <v>425</v>
      </c>
      <c r="C120" s="496" t="s">
        <v>97</v>
      </c>
      <c r="D120" s="73" t="s">
        <v>53</v>
      </c>
      <c r="E120" s="73">
        <v>2</v>
      </c>
      <c r="F120" s="188">
        <f>E120*F113</f>
        <v>0.4</v>
      </c>
      <c r="G120" s="222"/>
      <c r="H120" s="222">
        <f t="shared" si="4"/>
        <v>0</v>
      </c>
    </row>
    <row r="121" spans="1:8" s="209" customFormat="1" ht="30.75" customHeight="1">
      <c r="A121" s="496"/>
      <c r="B121" s="223" t="s">
        <v>4</v>
      </c>
      <c r="C121" s="496" t="s">
        <v>103</v>
      </c>
      <c r="D121" s="496" t="s">
        <v>16</v>
      </c>
      <c r="E121" s="73">
        <v>0.06</v>
      </c>
      <c r="F121" s="222">
        <f>E121*F114</f>
        <v>0.12</v>
      </c>
      <c r="G121" s="52"/>
      <c r="H121" s="222">
        <f t="shared" si="4"/>
        <v>0</v>
      </c>
    </row>
    <row r="122" spans="1:8" s="209" customFormat="1" ht="57.75" customHeight="1">
      <c r="A122" s="221">
        <v>10</v>
      </c>
      <c r="B122" s="79" t="s">
        <v>115</v>
      </c>
      <c r="C122" s="375" t="s">
        <v>1267</v>
      </c>
      <c r="D122" s="375" t="s">
        <v>22</v>
      </c>
      <c r="E122" s="498"/>
      <c r="F122" s="226">
        <v>226</v>
      </c>
      <c r="G122" s="222"/>
      <c r="H122" s="380">
        <f>H123+H124+H127+H128+H129+H125+H126</f>
        <v>0</v>
      </c>
    </row>
    <row r="123" spans="1:8" s="209" customFormat="1" ht="30.75" customHeight="1">
      <c r="A123" s="381"/>
      <c r="B123" s="496" t="s">
        <v>4</v>
      </c>
      <c r="C123" s="496" t="s">
        <v>154</v>
      </c>
      <c r="D123" s="73" t="s">
        <v>5</v>
      </c>
      <c r="E123" s="514">
        <v>1.66</v>
      </c>
      <c r="F123" s="188">
        <f>E123*F122</f>
        <v>375.15999999999997</v>
      </c>
      <c r="G123" s="222"/>
      <c r="H123" s="222">
        <f aca="true" t="shared" si="5" ref="H123:H129">F123*G123</f>
        <v>0</v>
      </c>
    </row>
    <row r="124" spans="1:8" s="209" customFormat="1" ht="30.75" customHeight="1">
      <c r="A124" s="496"/>
      <c r="B124" s="496" t="s">
        <v>4</v>
      </c>
      <c r="C124" s="496" t="s">
        <v>206</v>
      </c>
      <c r="D124" s="73" t="s">
        <v>114</v>
      </c>
      <c r="E124" s="514">
        <v>0.5</v>
      </c>
      <c r="F124" s="188">
        <f>E124*F122</f>
        <v>113</v>
      </c>
      <c r="G124" s="52"/>
      <c r="H124" s="222">
        <f t="shared" si="5"/>
        <v>0</v>
      </c>
    </row>
    <row r="125" spans="1:8" s="209" customFormat="1" ht="30.75" customHeight="1">
      <c r="A125" s="515"/>
      <c r="B125" s="50" t="s">
        <v>1334</v>
      </c>
      <c r="C125" s="496" t="s">
        <v>1572</v>
      </c>
      <c r="D125" s="73" t="s">
        <v>20</v>
      </c>
      <c r="E125" s="212">
        <v>0.0141</v>
      </c>
      <c r="F125" s="516">
        <f>E125*F122</f>
        <v>3.1866</v>
      </c>
      <c r="G125" s="52"/>
      <c r="H125" s="222">
        <f t="shared" si="5"/>
        <v>0</v>
      </c>
    </row>
    <row r="126" spans="1:8" s="209" customFormat="1" ht="30.75" customHeight="1">
      <c r="A126" s="515"/>
      <c r="B126" s="300" t="s">
        <v>1351</v>
      </c>
      <c r="C126" s="496" t="s">
        <v>1271</v>
      </c>
      <c r="D126" s="73" t="s">
        <v>22</v>
      </c>
      <c r="E126" s="514">
        <v>0.9</v>
      </c>
      <c r="F126" s="516">
        <f>E126*F122</f>
        <v>203.4</v>
      </c>
      <c r="G126" s="222"/>
      <c r="H126" s="222">
        <f t="shared" si="5"/>
        <v>0</v>
      </c>
    </row>
    <row r="127" spans="1:8" s="209" customFormat="1" ht="33" customHeight="1">
      <c r="A127" s="496"/>
      <c r="B127" s="362" t="s">
        <v>1359</v>
      </c>
      <c r="C127" s="496" t="s">
        <v>934</v>
      </c>
      <c r="D127" s="73" t="s">
        <v>43</v>
      </c>
      <c r="E127" s="212">
        <v>1.45</v>
      </c>
      <c r="F127" s="516">
        <f>F122*E127</f>
        <v>327.7</v>
      </c>
      <c r="G127" s="222"/>
      <c r="H127" s="222">
        <f t="shared" si="5"/>
        <v>0</v>
      </c>
    </row>
    <row r="128" spans="1:8" s="209" customFormat="1" ht="30.75" customHeight="1">
      <c r="A128" s="496"/>
      <c r="B128" s="362" t="s">
        <v>1349</v>
      </c>
      <c r="C128" s="496" t="s">
        <v>804</v>
      </c>
      <c r="D128" s="73" t="s">
        <v>53</v>
      </c>
      <c r="E128" s="73">
        <v>2</v>
      </c>
      <c r="F128" s="188">
        <f>E128*F122</f>
        <v>452</v>
      </c>
      <c r="G128" s="222"/>
      <c r="H128" s="222">
        <f t="shared" si="5"/>
        <v>0</v>
      </c>
    </row>
    <row r="129" spans="1:8" s="209" customFormat="1" ht="30.75" customHeight="1">
      <c r="A129" s="496"/>
      <c r="B129" s="223" t="s">
        <v>4</v>
      </c>
      <c r="C129" s="496" t="s">
        <v>103</v>
      </c>
      <c r="D129" s="496" t="s">
        <v>16</v>
      </c>
      <c r="E129" s="73">
        <v>0.06</v>
      </c>
      <c r="F129" s="222">
        <f>E129*F122</f>
        <v>13.559999999999999</v>
      </c>
      <c r="G129" s="52"/>
      <c r="H129" s="222">
        <f t="shared" si="5"/>
        <v>0</v>
      </c>
    </row>
    <row r="130" spans="1:8" s="209" customFormat="1" ht="52.5" customHeight="1">
      <c r="A130" s="219">
        <v>11</v>
      </c>
      <c r="B130" s="378" t="s">
        <v>214</v>
      </c>
      <c r="C130" s="219" t="s">
        <v>1268</v>
      </c>
      <c r="D130" s="186" t="s">
        <v>194</v>
      </c>
      <c r="E130" s="219"/>
      <c r="F130" s="226">
        <v>184</v>
      </c>
      <c r="G130" s="226"/>
      <c r="H130" s="380">
        <f>H131+H132+H133+H134</f>
        <v>0</v>
      </c>
    </row>
    <row r="131" spans="1:8" s="209" customFormat="1" ht="30.75" customHeight="1">
      <c r="A131" s="187"/>
      <c r="B131" s="182" t="s">
        <v>4</v>
      </c>
      <c r="C131" s="169" t="s">
        <v>128</v>
      </c>
      <c r="D131" s="182" t="s">
        <v>105</v>
      </c>
      <c r="E131" s="182">
        <v>0.574</v>
      </c>
      <c r="F131" s="188">
        <f>F130*E131</f>
        <v>105.61599999999999</v>
      </c>
      <c r="G131" s="183"/>
      <c r="H131" s="183">
        <f>F131*G131</f>
        <v>0</v>
      </c>
    </row>
    <row r="132" spans="1:8" s="209" customFormat="1" ht="30.75" customHeight="1">
      <c r="A132" s="187"/>
      <c r="B132" s="182" t="s">
        <v>4</v>
      </c>
      <c r="C132" s="182" t="s">
        <v>106</v>
      </c>
      <c r="D132" s="182" t="s">
        <v>16</v>
      </c>
      <c r="E132" s="182">
        <v>0.021</v>
      </c>
      <c r="F132" s="188">
        <f>F130*E132</f>
        <v>3.8640000000000003</v>
      </c>
      <c r="G132" s="52"/>
      <c r="H132" s="183">
        <f>F132*G132</f>
        <v>0</v>
      </c>
    </row>
    <row r="133" spans="1:8" s="209" customFormat="1" ht="30.75" customHeight="1">
      <c r="A133" s="187"/>
      <c r="B133" s="182" t="s">
        <v>446</v>
      </c>
      <c r="C133" s="182" t="s">
        <v>198</v>
      </c>
      <c r="D133" s="182" t="s">
        <v>143</v>
      </c>
      <c r="E133" s="182">
        <v>0.024</v>
      </c>
      <c r="F133" s="188">
        <f>F130*E133</f>
        <v>4.416</v>
      </c>
      <c r="G133" s="290"/>
      <c r="H133" s="183">
        <f>F133*G133</f>
        <v>0</v>
      </c>
    </row>
    <row r="134" spans="1:8" s="209" customFormat="1" ht="30.75" customHeight="1">
      <c r="A134" s="187"/>
      <c r="B134" s="182" t="s">
        <v>1348</v>
      </c>
      <c r="C134" s="182" t="s">
        <v>203</v>
      </c>
      <c r="D134" s="182" t="s">
        <v>197</v>
      </c>
      <c r="E134" s="182">
        <v>0.0189</v>
      </c>
      <c r="F134" s="188">
        <f>F130*E134</f>
        <v>3.4776</v>
      </c>
      <c r="G134" s="290"/>
      <c r="H134" s="183">
        <f>F134*G134</f>
        <v>0</v>
      </c>
    </row>
    <row r="135" spans="1:8" s="209" customFormat="1" ht="69" customHeight="1">
      <c r="A135" s="187">
        <v>12</v>
      </c>
      <c r="B135" s="54" t="s">
        <v>208</v>
      </c>
      <c r="C135" s="55" t="s">
        <v>805</v>
      </c>
      <c r="D135" s="55" t="s">
        <v>43</v>
      </c>
      <c r="E135" s="55"/>
      <c r="F135" s="226">
        <f>F130</f>
        <v>184</v>
      </c>
      <c r="G135" s="70"/>
      <c r="H135" s="380">
        <f>H136+H137+H138+H139+H140</f>
        <v>0</v>
      </c>
    </row>
    <row r="136" spans="1:8" s="209" customFormat="1" ht="30.75" customHeight="1">
      <c r="A136" s="187"/>
      <c r="B136" s="48" t="s">
        <v>209</v>
      </c>
      <c r="C136" s="46" t="s">
        <v>201</v>
      </c>
      <c r="D136" s="46" t="s">
        <v>43</v>
      </c>
      <c r="E136" s="46">
        <v>1</v>
      </c>
      <c r="F136" s="213">
        <f>E136*F135</f>
        <v>184</v>
      </c>
      <c r="G136" s="222"/>
      <c r="H136" s="222">
        <f>G136*F136</f>
        <v>0</v>
      </c>
    </row>
    <row r="137" spans="1:8" s="209" customFormat="1" ht="30" customHeight="1">
      <c r="A137" s="48"/>
      <c r="B137" s="48" t="s">
        <v>209</v>
      </c>
      <c r="C137" s="496" t="s">
        <v>137</v>
      </c>
      <c r="D137" s="496" t="s">
        <v>16</v>
      </c>
      <c r="E137" s="496">
        <v>0.0037</v>
      </c>
      <c r="F137" s="222">
        <f>E137*F135</f>
        <v>0.6808000000000001</v>
      </c>
      <c r="G137" s="52"/>
      <c r="H137" s="222">
        <f>F137*G137</f>
        <v>0</v>
      </c>
    </row>
    <row r="138" spans="1:8" s="209" customFormat="1" ht="30" customHeight="1">
      <c r="A138" s="48"/>
      <c r="B138" s="48" t="s">
        <v>586</v>
      </c>
      <c r="C138" s="496" t="s">
        <v>210</v>
      </c>
      <c r="D138" s="496" t="s">
        <v>53</v>
      </c>
      <c r="E138" s="496">
        <v>0.87</v>
      </c>
      <c r="F138" s="222">
        <f>E138*F135</f>
        <v>160.08</v>
      </c>
      <c r="G138" s="47"/>
      <c r="H138" s="222">
        <f>F138*G138</f>
        <v>0</v>
      </c>
    </row>
    <row r="139" spans="1:8" s="209" customFormat="1" ht="30.75" customHeight="1">
      <c r="A139" s="48"/>
      <c r="B139" s="48" t="s">
        <v>1243</v>
      </c>
      <c r="C139" s="496" t="s">
        <v>211</v>
      </c>
      <c r="D139" s="496" t="s">
        <v>14</v>
      </c>
      <c r="E139" s="496">
        <v>0.00726</v>
      </c>
      <c r="F139" s="222">
        <f>F135*E139</f>
        <v>1.33584</v>
      </c>
      <c r="G139" s="222"/>
      <c r="H139" s="52">
        <f>G139*F139</f>
        <v>0</v>
      </c>
    </row>
    <row r="140" spans="1:8" s="209" customFormat="1" ht="33.75" customHeight="1">
      <c r="A140" s="48"/>
      <c r="B140" s="48" t="s">
        <v>4</v>
      </c>
      <c r="C140" s="46" t="s">
        <v>212</v>
      </c>
      <c r="D140" s="496" t="s">
        <v>16</v>
      </c>
      <c r="E140" s="496">
        <v>0.8</v>
      </c>
      <c r="F140" s="222">
        <f>E140*F135</f>
        <v>147.20000000000002</v>
      </c>
      <c r="G140" s="52"/>
      <c r="H140" s="222">
        <f>G140*F140</f>
        <v>0</v>
      </c>
    </row>
    <row r="141" spans="1:8" s="209" customFormat="1" ht="60.75" customHeight="1">
      <c r="A141" s="376" t="s">
        <v>68</v>
      </c>
      <c r="B141" s="378" t="s">
        <v>500</v>
      </c>
      <c r="C141" s="375" t="s">
        <v>611</v>
      </c>
      <c r="D141" s="375" t="s">
        <v>43</v>
      </c>
      <c r="E141" s="375"/>
      <c r="F141" s="379">
        <v>340</v>
      </c>
      <c r="G141" s="70"/>
      <c r="H141" s="380">
        <f>SUM(H142:H145)</f>
        <v>0</v>
      </c>
    </row>
    <row r="142" spans="1:8" s="209" customFormat="1" ht="30.75" customHeight="1">
      <c r="A142" s="497"/>
      <c r="B142" s="245" t="s">
        <v>4</v>
      </c>
      <c r="C142" s="496" t="s">
        <v>136</v>
      </c>
      <c r="D142" s="496" t="s">
        <v>5</v>
      </c>
      <c r="E142" s="496">
        <v>0.031</v>
      </c>
      <c r="F142" s="222">
        <f>E142*F141</f>
        <v>10.54</v>
      </c>
      <c r="G142" s="286"/>
      <c r="H142" s="222">
        <f>G142*F142</f>
        <v>0</v>
      </c>
    </row>
    <row r="143" spans="1:8" s="209" customFormat="1" ht="30.75" customHeight="1">
      <c r="A143" s="497"/>
      <c r="B143" s="245" t="s">
        <v>4</v>
      </c>
      <c r="C143" s="496" t="s">
        <v>137</v>
      </c>
      <c r="D143" s="496" t="s">
        <v>16</v>
      </c>
      <c r="E143" s="496">
        <v>0.002</v>
      </c>
      <c r="F143" s="222">
        <f>E143*F141</f>
        <v>0.68</v>
      </c>
      <c r="G143" s="52"/>
      <c r="H143" s="47">
        <f>G143*F143</f>
        <v>0</v>
      </c>
    </row>
    <row r="144" spans="1:8" s="209" customFormat="1" ht="28.5" customHeight="1">
      <c r="A144" s="497"/>
      <c r="B144" s="245" t="s">
        <v>777</v>
      </c>
      <c r="C144" s="496" t="s">
        <v>229</v>
      </c>
      <c r="D144" s="496" t="s">
        <v>53</v>
      </c>
      <c r="E144" s="496">
        <v>0.101</v>
      </c>
      <c r="F144" s="222">
        <f>E144*F141</f>
        <v>34.34</v>
      </c>
      <c r="G144" s="183"/>
      <c r="H144" s="47">
        <f>G144*F144</f>
        <v>0</v>
      </c>
    </row>
    <row r="145" spans="1:8" s="209" customFormat="1" ht="26.25" customHeight="1">
      <c r="A145" s="497"/>
      <c r="B145" s="245" t="s">
        <v>617</v>
      </c>
      <c r="C145" s="496" t="s">
        <v>230</v>
      </c>
      <c r="D145" s="496" t="s">
        <v>16</v>
      </c>
      <c r="E145" s="496">
        <v>0.0019</v>
      </c>
      <c r="F145" s="222">
        <f>E145*F141</f>
        <v>0.646</v>
      </c>
      <c r="G145" s="183"/>
      <c r="H145" s="47">
        <f>G145*F145</f>
        <v>0</v>
      </c>
    </row>
    <row r="146" spans="1:8" s="209" customFormat="1" ht="49.5" customHeight="1">
      <c r="A146" s="376" t="s">
        <v>74</v>
      </c>
      <c r="B146" s="378" t="s">
        <v>231</v>
      </c>
      <c r="C146" s="375" t="s">
        <v>612</v>
      </c>
      <c r="D146" s="375" t="s">
        <v>43</v>
      </c>
      <c r="E146" s="375"/>
      <c r="F146" s="379">
        <f>F141</f>
        <v>340</v>
      </c>
      <c r="G146" s="70"/>
      <c r="H146" s="380">
        <f>SUM(H147:H151)</f>
        <v>0</v>
      </c>
    </row>
    <row r="147" spans="1:8" s="209" customFormat="1" ht="30.75" customHeight="1">
      <c r="A147" s="497"/>
      <c r="B147" s="245" t="s">
        <v>4</v>
      </c>
      <c r="C147" s="208" t="s">
        <v>148</v>
      </c>
      <c r="D147" s="208" t="s">
        <v>5</v>
      </c>
      <c r="E147" s="208">
        <v>0.68</v>
      </c>
      <c r="F147" s="225">
        <f>E147*F146</f>
        <v>231.20000000000002</v>
      </c>
      <c r="G147" s="183"/>
      <c r="H147" s="222">
        <f>G147*F147</f>
        <v>0</v>
      </c>
    </row>
    <row r="148" spans="1:8" s="209" customFormat="1" ht="30.75" customHeight="1">
      <c r="A148" s="497"/>
      <c r="B148" s="245" t="s">
        <v>4</v>
      </c>
      <c r="C148" s="208" t="s">
        <v>137</v>
      </c>
      <c r="D148" s="208" t="s">
        <v>16</v>
      </c>
      <c r="E148" s="208">
        <v>0.0003</v>
      </c>
      <c r="F148" s="225">
        <f>E148*F146</f>
        <v>0.102</v>
      </c>
      <c r="G148" s="52"/>
      <c r="H148" s="222">
        <f>G148*F148</f>
        <v>0</v>
      </c>
    </row>
    <row r="149" spans="1:8" s="209" customFormat="1" ht="33" customHeight="1">
      <c r="A149" s="497"/>
      <c r="B149" s="251" t="s">
        <v>1357</v>
      </c>
      <c r="C149" s="208" t="s">
        <v>326</v>
      </c>
      <c r="D149" s="208" t="s">
        <v>53</v>
      </c>
      <c r="E149" s="208">
        <v>0.246</v>
      </c>
      <c r="F149" s="225">
        <f>E149*F146</f>
        <v>83.64</v>
      </c>
      <c r="G149" s="183"/>
      <c r="H149" s="222">
        <f>G149*F149</f>
        <v>0</v>
      </c>
    </row>
    <row r="150" spans="1:8" s="209" customFormat="1" ht="30.75" customHeight="1">
      <c r="A150" s="497"/>
      <c r="B150" s="48" t="s">
        <v>1353</v>
      </c>
      <c r="C150" s="208" t="s">
        <v>232</v>
      </c>
      <c r="D150" s="208" t="s">
        <v>53</v>
      </c>
      <c r="E150" s="208">
        <v>0.027</v>
      </c>
      <c r="F150" s="225">
        <f>E150*F146</f>
        <v>9.18</v>
      </c>
      <c r="G150" s="183"/>
      <c r="H150" s="222">
        <f>G150*F150</f>
        <v>0</v>
      </c>
    </row>
    <row r="151" spans="1:8" s="209" customFormat="1" ht="30.75" customHeight="1">
      <c r="A151" s="497"/>
      <c r="B151" s="245" t="s">
        <v>4</v>
      </c>
      <c r="C151" s="208" t="s">
        <v>18</v>
      </c>
      <c r="D151" s="208" t="s">
        <v>16</v>
      </c>
      <c r="E151" s="208">
        <v>0.0019</v>
      </c>
      <c r="F151" s="225">
        <f>E151*F146</f>
        <v>0.646</v>
      </c>
      <c r="G151" s="52"/>
      <c r="H151" s="222">
        <f>G151*F151</f>
        <v>0</v>
      </c>
    </row>
    <row r="152" spans="1:8" s="209" customFormat="1" ht="45" customHeight="1">
      <c r="A152" s="81" t="s">
        <v>55</v>
      </c>
      <c r="B152" s="54" t="s">
        <v>2</v>
      </c>
      <c r="C152" s="375" t="s">
        <v>1269</v>
      </c>
      <c r="D152" s="158" t="s">
        <v>15</v>
      </c>
      <c r="E152" s="158"/>
      <c r="F152" s="160">
        <v>124</v>
      </c>
      <c r="G152" s="160"/>
      <c r="H152" s="228">
        <f>SUM(H153:H155)</f>
        <v>0</v>
      </c>
    </row>
    <row r="153" spans="1:8" s="209" customFormat="1" ht="30.75" customHeight="1">
      <c r="A153" s="82"/>
      <c r="B153" s="45" t="s">
        <v>2</v>
      </c>
      <c r="C153" s="46" t="s">
        <v>136</v>
      </c>
      <c r="D153" s="49" t="s">
        <v>15</v>
      </c>
      <c r="E153" s="52">
        <v>1</v>
      </c>
      <c r="F153" s="52">
        <f>E153*F152</f>
        <v>124</v>
      </c>
      <c r="G153" s="52"/>
      <c r="H153" s="377">
        <f>G153*F153</f>
        <v>0</v>
      </c>
    </row>
    <row r="154" spans="1:8" s="209" customFormat="1" ht="30.75" customHeight="1">
      <c r="A154" s="82"/>
      <c r="B154" s="50" t="s">
        <v>1352</v>
      </c>
      <c r="C154" s="49" t="s">
        <v>1270</v>
      </c>
      <c r="D154" s="49" t="s">
        <v>15</v>
      </c>
      <c r="E154" s="52">
        <v>1</v>
      </c>
      <c r="F154" s="52">
        <f>E154*F152</f>
        <v>124</v>
      </c>
      <c r="G154" s="52"/>
      <c r="H154" s="377">
        <f>G154*F154</f>
        <v>0</v>
      </c>
    </row>
    <row r="155" spans="1:8" s="209" customFormat="1" ht="30.75" customHeight="1">
      <c r="A155" s="82"/>
      <c r="B155" s="48" t="s">
        <v>4</v>
      </c>
      <c r="C155" s="46" t="s">
        <v>184</v>
      </c>
      <c r="D155" s="49" t="s">
        <v>16</v>
      </c>
      <c r="E155" s="49">
        <v>0.15</v>
      </c>
      <c r="F155" s="52">
        <f>E155*F152</f>
        <v>18.599999999999998</v>
      </c>
      <c r="G155" s="52"/>
      <c r="H155" s="377">
        <f>G155*F155</f>
        <v>0</v>
      </c>
    </row>
    <row r="156" spans="1:8" s="209" customFormat="1" ht="30.75" customHeight="1">
      <c r="A156" s="497"/>
      <c r="B156" s="376"/>
      <c r="C156" s="375" t="s">
        <v>1310</v>
      </c>
      <c r="D156" s="375" t="s">
        <v>16</v>
      </c>
      <c r="E156" s="496"/>
      <c r="F156" s="496"/>
      <c r="G156" s="222"/>
      <c r="H156" s="380">
        <f>H78+H80+H84+H87+H95+H100+H102+H105+H114+H122+H130+H135+H141+H146+H152</f>
        <v>0</v>
      </c>
    </row>
    <row r="157" spans="1:8" s="209" customFormat="1" ht="30.75" customHeight="1">
      <c r="A157" s="72"/>
      <c r="B157" s="48"/>
      <c r="C157" s="46" t="s">
        <v>122</v>
      </c>
      <c r="D157" s="46" t="s">
        <v>16</v>
      </c>
      <c r="E157" s="46"/>
      <c r="F157" s="47"/>
      <c r="G157" s="47"/>
      <c r="H157" s="296">
        <f>H79+H81+H85+H88+H96+H101+H103+H106+H115+H123+H131+H136+H142+H147+H153</f>
        <v>0</v>
      </c>
    </row>
    <row r="158" spans="1:9" ht="33" customHeight="1">
      <c r="A158" s="497"/>
      <c r="B158" s="376"/>
      <c r="C158" s="375" t="s">
        <v>144</v>
      </c>
      <c r="D158" s="375" t="s">
        <v>16</v>
      </c>
      <c r="E158" s="496"/>
      <c r="F158" s="496"/>
      <c r="G158" s="222"/>
      <c r="H158" s="380">
        <f>H156+H76+H41</f>
        <v>0</v>
      </c>
      <c r="I158" s="197"/>
    </row>
    <row r="159" spans="1:8" ht="25.5" customHeight="1">
      <c r="A159" s="82"/>
      <c r="B159" s="48"/>
      <c r="C159" s="46" t="s">
        <v>227</v>
      </c>
      <c r="D159" s="46" t="s">
        <v>16</v>
      </c>
      <c r="E159" s="46"/>
      <c r="F159" s="53">
        <v>0.1</v>
      </c>
      <c r="G159" s="47"/>
      <c r="H159" s="52">
        <f>H158*F159</f>
        <v>0</v>
      </c>
    </row>
    <row r="160" spans="1:8" ht="24" customHeight="1">
      <c r="A160" s="82"/>
      <c r="B160" s="54"/>
      <c r="C160" s="55" t="s">
        <v>127</v>
      </c>
      <c r="D160" s="55" t="s">
        <v>16</v>
      </c>
      <c r="E160" s="55"/>
      <c r="F160" s="55"/>
      <c r="G160" s="70"/>
      <c r="H160" s="160">
        <f>H158+H159</f>
        <v>0</v>
      </c>
    </row>
    <row r="161" spans="1:8" ht="24.75" customHeight="1">
      <c r="A161" s="82"/>
      <c r="B161" s="48"/>
      <c r="C161" s="46" t="s">
        <v>39</v>
      </c>
      <c r="D161" s="46" t="s">
        <v>16</v>
      </c>
      <c r="E161" s="46"/>
      <c r="F161" s="53">
        <v>0.08</v>
      </c>
      <c r="G161" s="47"/>
      <c r="H161" s="52">
        <f>H160*F161</f>
        <v>0</v>
      </c>
    </row>
    <row r="162" spans="1:8" ht="48" customHeight="1">
      <c r="A162" s="72"/>
      <c r="B162" s="54"/>
      <c r="C162" s="363" t="s">
        <v>1675</v>
      </c>
      <c r="D162" s="55" t="s">
        <v>16</v>
      </c>
      <c r="E162" s="55"/>
      <c r="F162" s="162"/>
      <c r="G162" s="70"/>
      <c r="H162" s="160">
        <f>SUM(H160:H161)</f>
        <v>0</v>
      </c>
    </row>
    <row r="163" spans="1:8" ht="15">
      <c r="A163" s="56"/>
      <c r="B163" s="57"/>
      <c r="C163" s="58"/>
      <c r="D163" s="59"/>
      <c r="E163" s="60"/>
      <c r="F163" s="60"/>
      <c r="G163" s="60"/>
      <c r="H163" s="78"/>
    </row>
    <row r="164" spans="1:8" ht="15">
      <c r="A164" s="56"/>
      <c r="B164" s="57"/>
      <c r="C164" s="58"/>
      <c r="D164" s="59"/>
      <c r="E164" s="60"/>
      <c r="F164" s="60"/>
      <c r="G164" s="60"/>
      <c r="H164" s="78"/>
    </row>
    <row r="165" spans="1:8" ht="18" customHeight="1">
      <c r="A165" s="62"/>
      <c r="B165" s="57"/>
      <c r="C165" s="63"/>
      <c r="D165" s="659"/>
      <c r="E165" s="659"/>
      <c r="F165" s="659"/>
      <c r="G165" s="123"/>
      <c r="H165" s="196"/>
    </row>
    <row r="188" ht="12.75">
      <c r="A188" s="30" t="s">
        <v>613</v>
      </c>
    </row>
  </sheetData>
  <sheetProtection/>
  <protectedRanges>
    <protectedRange sqref="G31 G131 G33:G34 G133:G134" name="Range2_5_1"/>
    <protectedRange sqref="G30 G130" name="Range2_5_1_1"/>
    <protectedRange sqref="G105:G106" name="Range2_5_1_2"/>
    <protectedRange sqref="G114:G115" name="Range2_5_1_3"/>
  </protectedRanges>
  <autoFilter ref="A6:T157"/>
  <mergeCells count="13">
    <mergeCell ref="A1:H1"/>
    <mergeCell ref="A2:H2"/>
    <mergeCell ref="A3:H3"/>
    <mergeCell ref="C4:C5"/>
    <mergeCell ref="D4:D5"/>
    <mergeCell ref="E4:F4"/>
    <mergeCell ref="D165:F165"/>
    <mergeCell ref="B7:D7"/>
    <mergeCell ref="G4:H4"/>
    <mergeCell ref="A4:A5"/>
    <mergeCell ref="B4:B5"/>
    <mergeCell ref="B42:E42"/>
    <mergeCell ref="B77:D77"/>
  </mergeCells>
  <printOptions/>
  <pageMargins left="0.7" right="0.42" top="0.29" bottom="0.56"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I119"/>
  <sheetViews>
    <sheetView zoomScalePageLayoutView="0" workbookViewId="0" topLeftCell="A1">
      <selection activeCell="C14" sqref="C14"/>
    </sheetView>
  </sheetViews>
  <sheetFormatPr defaultColWidth="9.140625" defaultRowHeight="12.75"/>
  <cols>
    <col min="1" max="1" width="4.140625" style="35" customWidth="1"/>
    <col min="2" max="2" width="19.140625" style="35" customWidth="1"/>
    <col min="3" max="3" width="31.00390625" style="35" customWidth="1"/>
    <col min="4" max="4" width="18.28125" style="35" customWidth="1"/>
    <col min="5" max="16384" width="9.140625" style="35" customWidth="1"/>
  </cols>
  <sheetData>
    <row r="1" spans="1:4" s="408" customFormat="1" ht="39.75" customHeight="1">
      <c r="A1" s="655" t="s">
        <v>1604</v>
      </c>
      <c r="B1" s="655"/>
      <c r="C1" s="655"/>
      <c r="D1" s="655"/>
    </row>
    <row r="2" spans="1:4" ht="20.25" customHeight="1">
      <c r="A2" s="656" t="s">
        <v>293</v>
      </c>
      <c r="B2" s="656"/>
      <c r="C2" s="656"/>
      <c r="D2" s="656"/>
    </row>
    <row r="3" spans="1:4" ht="20.25" customHeight="1">
      <c r="A3" s="642" t="s">
        <v>427</v>
      </c>
      <c r="B3" s="642"/>
      <c r="C3" s="642"/>
      <c r="D3" s="642"/>
    </row>
    <row r="4" spans="1:4" ht="9" customHeight="1">
      <c r="A4" s="66"/>
      <c r="B4" s="66"/>
      <c r="C4" s="66"/>
      <c r="D4" s="66"/>
    </row>
    <row r="5" spans="1:4" ht="24" customHeight="1">
      <c r="A5" s="657" t="s">
        <v>7</v>
      </c>
      <c r="B5" s="658" t="s">
        <v>92</v>
      </c>
      <c r="C5" s="658" t="s">
        <v>93</v>
      </c>
      <c r="D5" s="617" t="s">
        <v>100</v>
      </c>
    </row>
    <row r="6" spans="1:4" ht="66.75" customHeight="1">
      <c r="A6" s="657"/>
      <c r="B6" s="658"/>
      <c r="C6" s="658"/>
      <c r="D6" s="154" t="s">
        <v>108</v>
      </c>
    </row>
    <row r="7" spans="1:4" s="2" customFormat="1" ht="47.25" customHeight="1">
      <c r="A7" s="46">
        <v>1</v>
      </c>
      <c r="B7" s="46" t="s">
        <v>295</v>
      </c>
      <c r="C7" s="46" t="s">
        <v>19</v>
      </c>
      <c r="D7" s="47">
        <f>'ლ.რ. №1-1'!H761</f>
        <v>0</v>
      </c>
    </row>
    <row r="8" spans="1:4" s="2" customFormat="1" ht="42.75" customHeight="1">
      <c r="A8" s="46">
        <v>2</v>
      </c>
      <c r="B8" s="46" t="s">
        <v>296</v>
      </c>
      <c r="C8" s="46" t="s">
        <v>283</v>
      </c>
      <c r="D8" s="47">
        <f>'ლ.რ № 1-2'!H157</f>
        <v>0</v>
      </c>
    </row>
    <row r="9" spans="1:4" s="2" customFormat="1" ht="43.5" customHeight="1">
      <c r="A9" s="46">
        <v>3</v>
      </c>
      <c r="B9" s="46" t="s">
        <v>297</v>
      </c>
      <c r="C9" s="46" t="s">
        <v>182</v>
      </c>
      <c r="D9" s="47">
        <f>'ლხ #1-3'!H124</f>
        <v>0</v>
      </c>
    </row>
    <row r="10" spans="1:4" s="2" customFormat="1" ht="40.5" customHeight="1">
      <c r="A10" s="46">
        <v>4</v>
      </c>
      <c r="B10" s="46" t="s">
        <v>298</v>
      </c>
      <c r="C10" s="46" t="s">
        <v>215</v>
      </c>
      <c r="D10" s="47">
        <f>'ლხ.#1-4'!H22</f>
        <v>0</v>
      </c>
    </row>
    <row r="11" spans="1:4" s="2" customFormat="1" ht="42" customHeight="1">
      <c r="A11" s="46">
        <v>8</v>
      </c>
      <c r="B11" s="46" t="s">
        <v>299</v>
      </c>
      <c r="C11" s="46" t="s">
        <v>117</v>
      </c>
      <c r="D11" s="47">
        <f>'ლ.რ №1-5'!H177</f>
        <v>0</v>
      </c>
    </row>
    <row r="12" spans="1:7" s="2" customFormat="1" ht="42" customHeight="1">
      <c r="A12" s="46">
        <v>6</v>
      </c>
      <c r="B12" s="46" t="s">
        <v>300</v>
      </c>
      <c r="C12" s="46" t="s">
        <v>192</v>
      </c>
      <c r="D12" s="47">
        <f>'ლრ. #1-6'!H49</f>
        <v>0</v>
      </c>
      <c r="G12" s="34"/>
    </row>
    <row r="13" spans="1:7" s="2" customFormat="1" ht="43.5" customHeight="1">
      <c r="A13" s="46">
        <v>7</v>
      </c>
      <c r="B13" s="46" t="s">
        <v>301</v>
      </c>
      <c r="C13" s="46" t="s">
        <v>260</v>
      </c>
      <c r="D13" s="47">
        <f>'ლრ.ხ.#1-7'!H57</f>
        <v>0</v>
      </c>
      <c r="G13" s="34"/>
    </row>
    <row r="14" spans="1:9" s="2" customFormat="1" ht="49.5" customHeight="1">
      <c r="A14" s="46">
        <v>8</v>
      </c>
      <c r="B14" s="46" t="s">
        <v>891</v>
      </c>
      <c r="C14" s="46" t="s">
        <v>1443</v>
      </c>
      <c r="D14" s="47">
        <f>'ლრ.ხ.#1-8'!H21</f>
        <v>0</v>
      </c>
      <c r="G14" s="34"/>
      <c r="I14" s="2" t="s">
        <v>102</v>
      </c>
    </row>
    <row r="15" spans="1:4" s="3" customFormat="1" ht="32.25" customHeight="1">
      <c r="A15" s="55"/>
      <c r="B15" s="55"/>
      <c r="C15" s="55" t="s">
        <v>94</v>
      </c>
      <c r="D15" s="70">
        <f>SUM(D7:D14)</f>
        <v>0</v>
      </c>
    </row>
    <row r="16" spans="1:4" s="3" customFormat="1" ht="11.25" customHeight="1">
      <c r="A16" s="133"/>
      <c r="B16" s="133"/>
      <c r="C16" s="133"/>
      <c r="D16" s="134"/>
    </row>
    <row r="17" spans="1:4" s="3" customFormat="1" ht="1.5" customHeight="1" hidden="1">
      <c r="A17" s="133"/>
      <c r="B17" s="133"/>
      <c r="C17" s="133"/>
      <c r="D17" s="134"/>
    </row>
    <row r="18" spans="1:4" ht="29.25" customHeight="1">
      <c r="A18" s="66"/>
      <c r="B18" s="66"/>
      <c r="C18" s="66"/>
      <c r="D18" s="135"/>
    </row>
    <row r="19" spans="1:4" ht="15.75" customHeight="1">
      <c r="A19" s="66"/>
      <c r="B19" s="66"/>
      <c r="C19" s="66"/>
      <c r="D19" s="135"/>
    </row>
    <row r="20" spans="1:4" ht="16.5" customHeight="1">
      <c r="A20" s="66"/>
      <c r="B20" s="66"/>
      <c r="C20" s="66"/>
      <c r="D20" s="135"/>
    </row>
    <row r="21" spans="1:4" ht="16.5">
      <c r="A21" s="136"/>
      <c r="B21" s="136"/>
      <c r="C21" s="136"/>
      <c r="D21" s="136"/>
    </row>
    <row r="22" spans="1:4" ht="16.5">
      <c r="A22" s="136"/>
      <c r="B22" s="136"/>
      <c r="C22" s="136"/>
      <c r="D22" s="136"/>
    </row>
    <row r="23" spans="1:4" ht="16.5">
      <c r="A23" s="136"/>
      <c r="B23" s="136"/>
      <c r="C23" s="136"/>
      <c r="D23" s="136"/>
    </row>
    <row r="24" spans="1:4" ht="16.5">
      <c r="A24" s="136"/>
      <c r="B24" s="136"/>
      <c r="C24" s="136"/>
      <c r="D24" s="136"/>
    </row>
    <row r="25" spans="1:4" ht="16.5">
      <c r="A25" s="136"/>
      <c r="B25" s="136"/>
      <c r="C25" s="136"/>
      <c r="D25" s="136"/>
    </row>
    <row r="26" spans="1:4" ht="16.5">
      <c r="A26" s="136"/>
      <c r="B26" s="136"/>
      <c r="C26" s="136"/>
      <c r="D26" s="136"/>
    </row>
    <row r="27" spans="1:4" ht="16.5">
      <c r="A27" s="136"/>
      <c r="B27" s="136"/>
      <c r="C27" s="136"/>
      <c r="D27" s="136"/>
    </row>
    <row r="28" spans="1:4" ht="16.5">
      <c r="A28" s="136"/>
      <c r="B28" s="136"/>
      <c r="C28" s="136"/>
      <c r="D28" s="136"/>
    </row>
    <row r="29" spans="1:4" ht="16.5">
      <c r="A29" s="136"/>
      <c r="B29" s="136"/>
      <c r="C29" s="136"/>
      <c r="D29" s="136"/>
    </row>
    <row r="30" spans="1:4" ht="16.5">
      <c r="A30" s="136"/>
      <c r="B30" s="136"/>
      <c r="C30" s="136"/>
      <c r="D30" s="136"/>
    </row>
    <row r="31" spans="1:4" ht="16.5">
      <c r="A31" s="136"/>
      <c r="B31" s="136"/>
      <c r="C31" s="136"/>
      <c r="D31" s="136"/>
    </row>
    <row r="32" spans="1:4" ht="16.5">
      <c r="A32" s="136"/>
      <c r="B32" s="136"/>
      <c r="C32" s="136"/>
      <c r="D32" s="136"/>
    </row>
    <row r="33" spans="1:4" ht="16.5">
      <c r="A33" s="136"/>
      <c r="B33" s="136"/>
      <c r="C33" s="136"/>
      <c r="D33" s="136"/>
    </row>
    <row r="34" spans="1:4" ht="16.5">
      <c r="A34" s="136"/>
      <c r="B34" s="136"/>
      <c r="C34" s="136"/>
      <c r="D34" s="136"/>
    </row>
    <row r="35" spans="1:4" ht="16.5">
      <c r="A35" s="136"/>
      <c r="B35" s="136"/>
      <c r="C35" s="136"/>
      <c r="D35" s="136"/>
    </row>
    <row r="36" spans="1:4" ht="16.5">
      <c r="A36" s="136"/>
      <c r="B36" s="136"/>
      <c r="C36" s="136"/>
      <c r="D36" s="136"/>
    </row>
    <row r="37" spans="1:4" ht="16.5">
      <c r="A37" s="136"/>
      <c r="B37" s="136"/>
      <c r="C37" s="136"/>
      <c r="D37" s="136"/>
    </row>
    <row r="38" spans="1:4" ht="16.5">
      <c r="A38" s="136"/>
      <c r="B38" s="136"/>
      <c r="C38" s="136"/>
      <c r="D38" s="136"/>
    </row>
    <row r="39" spans="1:4" ht="16.5">
      <c r="A39" s="136"/>
      <c r="B39" s="136"/>
      <c r="C39" s="136"/>
      <c r="D39" s="136"/>
    </row>
    <row r="40" spans="1:4" ht="16.5">
      <c r="A40" s="136"/>
      <c r="B40" s="136"/>
      <c r="C40" s="136"/>
      <c r="D40" s="136"/>
    </row>
    <row r="41" spans="1:4" ht="16.5">
      <c r="A41" s="136"/>
      <c r="B41" s="136"/>
      <c r="C41" s="136"/>
      <c r="D41" s="136"/>
    </row>
    <row r="42" spans="1:4" ht="16.5">
      <c r="A42" s="136"/>
      <c r="B42" s="136"/>
      <c r="C42" s="136"/>
      <c r="D42" s="136"/>
    </row>
    <row r="43" spans="1:4" ht="16.5">
      <c r="A43" s="136"/>
      <c r="B43" s="136"/>
      <c r="C43" s="136"/>
      <c r="D43" s="136"/>
    </row>
    <row r="44" spans="1:4" ht="16.5">
      <c r="A44" s="136"/>
      <c r="B44" s="136"/>
      <c r="C44" s="136"/>
      <c r="D44" s="136"/>
    </row>
    <row r="45" spans="1:4" ht="16.5">
      <c r="A45" s="136"/>
      <c r="B45" s="136"/>
      <c r="C45" s="136"/>
      <c r="D45" s="136"/>
    </row>
    <row r="46" spans="1:4" ht="16.5">
      <c r="A46" s="136"/>
      <c r="B46" s="136"/>
      <c r="C46" s="136"/>
      <c r="D46" s="136"/>
    </row>
    <row r="47" spans="1:4" ht="16.5">
      <c r="A47" s="136"/>
      <c r="B47" s="136"/>
      <c r="C47" s="136"/>
      <c r="D47" s="136"/>
    </row>
    <row r="48" spans="1:4" ht="16.5">
      <c r="A48" s="136"/>
      <c r="B48" s="136"/>
      <c r="C48" s="136"/>
      <c r="D48" s="136"/>
    </row>
    <row r="49" spans="1:4" ht="16.5">
      <c r="A49" s="136"/>
      <c r="B49" s="136"/>
      <c r="C49" s="136"/>
      <c r="D49" s="136"/>
    </row>
    <row r="50" spans="1:4" ht="16.5">
      <c r="A50" s="136"/>
      <c r="B50" s="136"/>
      <c r="C50" s="136"/>
      <c r="D50" s="136"/>
    </row>
    <row r="51" spans="1:4" ht="16.5">
      <c r="A51" s="136"/>
      <c r="B51" s="136"/>
      <c r="C51" s="136"/>
      <c r="D51" s="136"/>
    </row>
    <row r="52" spans="1:4" ht="16.5">
      <c r="A52" s="136"/>
      <c r="B52" s="136"/>
      <c r="C52" s="136"/>
      <c r="D52" s="136"/>
    </row>
    <row r="53" spans="1:4" ht="16.5">
      <c r="A53" s="136"/>
      <c r="B53" s="136"/>
      <c r="C53" s="136"/>
      <c r="D53" s="136"/>
    </row>
    <row r="54" spans="1:4" ht="16.5">
      <c r="A54" s="136"/>
      <c r="B54" s="136"/>
      <c r="C54" s="136"/>
      <c r="D54" s="136"/>
    </row>
    <row r="55" spans="1:4" ht="16.5">
      <c r="A55" s="136"/>
      <c r="B55" s="136"/>
      <c r="C55" s="136"/>
      <c r="D55" s="136"/>
    </row>
    <row r="56" spans="1:4" ht="16.5">
      <c r="A56" s="136"/>
      <c r="B56" s="136"/>
      <c r="C56" s="136"/>
      <c r="D56" s="136"/>
    </row>
    <row r="57" spans="1:4" ht="16.5">
      <c r="A57" s="136"/>
      <c r="B57" s="136"/>
      <c r="C57" s="136"/>
      <c r="D57" s="136"/>
    </row>
    <row r="58" spans="1:4" ht="16.5">
      <c r="A58" s="136"/>
      <c r="B58" s="136"/>
      <c r="C58" s="136"/>
      <c r="D58" s="136"/>
    </row>
    <row r="59" spans="1:4" ht="16.5">
      <c r="A59" s="136"/>
      <c r="B59" s="136"/>
      <c r="C59" s="136"/>
      <c r="D59" s="136"/>
    </row>
    <row r="60" spans="1:4" ht="16.5">
      <c r="A60" s="136"/>
      <c r="B60" s="136"/>
      <c r="C60" s="136"/>
      <c r="D60" s="136"/>
    </row>
    <row r="61" spans="1:4" ht="16.5">
      <c r="A61" s="136"/>
      <c r="B61" s="136"/>
      <c r="C61" s="136"/>
      <c r="D61" s="136"/>
    </row>
    <row r="62" spans="1:4" ht="16.5">
      <c r="A62" s="136"/>
      <c r="B62" s="136"/>
      <c r="C62" s="136"/>
      <c r="D62" s="136"/>
    </row>
    <row r="63" spans="1:4" ht="16.5">
      <c r="A63" s="136"/>
      <c r="B63" s="136"/>
      <c r="C63" s="136"/>
      <c r="D63" s="136"/>
    </row>
    <row r="64" spans="1:4" ht="16.5">
      <c r="A64" s="136"/>
      <c r="B64" s="136"/>
      <c r="C64" s="136"/>
      <c r="D64" s="136"/>
    </row>
    <row r="65" spans="1:4" ht="16.5">
      <c r="A65" s="136"/>
      <c r="B65" s="136"/>
      <c r="C65" s="136"/>
      <c r="D65" s="136"/>
    </row>
    <row r="66" spans="1:4" ht="16.5">
      <c r="A66" s="136"/>
      <c r="B66" s="136"/>
      <c r="C66" s="136"/>
      <c r="D66" s="136"/>
    </row>
    <row r="67" spans="1:4" ht="16.5">
      <c r="A67" s="136"/>
      <c r="B67" s="136"/>
      <c r="C67" s="136"/>
      <c r="D67" s="136"/>
    </row>
    <row r="68" spans="1:4" ht="16.5">
      <c r="A68" s="136"/>
      <c r="B68" s="136"/>
      <c r="C68" s="136"/>
      <c r="D68" s="136"/>
    </row>
    <row r="69" spans="1:4" ht="16.5">
      <c r="A69" s="136"/>
      <c r="B69" s="136"/>
      <c r="C69" s="136"/>
      <c r="D69" s="136"/>
    </row>
    <row r="70" spans="1:4" ht="16.5">
      <c r="A70" s="136"/>
      <c r="B70" s="136"/>
      <c r="C70" s="136"/>
      <c r="D70" s="136"/>
    </row>
    <row r="71" spans="1:4" ht="16.5">
      <c r="A71" s="136"/>
      <c r="B71" s="136"/>
      <c r="C71" s="136"/>
      <c r="D71" s="136"/>
    </row>
    <row r="72" spans="1:4" ht="16.5">
      <c r="A72" s="136"/>
      <c r="B72" s="136"/>
      <c r="C72" s="136"/>
      <c r="D72" s="136"/>
    </row>
    <row r="73" spans="1:4" ht="16.5">
      <c r="A73" s="136"/>
      <c r="B73" s="136"/>
      <c r="C73" s="136"/>
      <c r="D73" s="136"/>
    </row>
    <row r="74" spans="1:4" ht="16.5">
      <c r="A74" s="136"/>
      <c r="B74" s="136"/>
      <c r="C74" s="136"/>
      <c r="D74" s="136"/>
    </row>
    <row r="75" spans="1:4" ht="16.5">
      <c r="A75" s="136"/>
      <c r="B75" s="136"/>
      <c r="C75" s="136"/>
      <c r="D75" s="136"/>
    </row>
    <row r="76" spans="1:4" ht="16.5">
      <c r="A76" s="136"/>
      <c r="B76" s="136"/>
      <c r="C76" s="136"/>
      <c r="D76" s="136"/>
    </row>
    <row r="77" spans="1:4" ht="16.5">
      <c r="A77" s="136"/>
      <c r="B77" s="136"/>
      <c r="C77" s="136"/>
      <c r="D77" s="136"/>
    </row>
    <row r="78" spans="1:4" ht="16.5">
      <c r="A78" s="136"/>
      <c r="B78" s="136"/>
      <c r="C78" s="136"/>
      <c r="D78" s="136"/>
    </row>
    <row r="79" spans="1:4" ht="16.5">
      <c r="A79" s="136"/>
      <c r="B79" s="136"/>
      <c r="C79" s="136"/>
      <c r="D79" s="136"/>
    </row>
    <row r="80" spans="1:4" ht="16.5">
      <c r="A80" s="136"/>
      <c r="B80" s="136"/>
      <c r="C80" s="136"/>
      <c r="D80" s="136"/>
    </row>
    <row r="81" spans="1:4" ht="16.5">
      <c r="A81" s="136"/>
      <c r="B81" s="136"/>
      <c r="C81" s="136"/>
      <c r="D81" s="136"/>
    </row>
    <row r="82" spans="1:4" ht="16.5">
      <c r="A82" s="136"/>
      <c r="B82" s="136"/>
      <c r="C82" s="136"/>
      <c r="D82" s="136"/>
    </row>
    <row r="83" spans="1:4" ht="16.5">
      <c r="A83" s="136"/>
      <c r="B83" s="136"/>
      <c r="C83" s="136"/>
      <c r="D83" s="136"/>
    </row>
    <row r="84" spans="1:4" ht="16.5">
      <c r="A84" s="136"/>
      <c r="B84" s="136"/>
      <c r="C84" s="136"/>
      <c r="D84" s="136"/>
    </row>
    <row r="85" spans="1:4" ht="16.5">
      <c r="A85" s="136"/>
      <c r="B85" s="136"/>
      <c r="C85" s="136"/>
      <c r="D85" s="136"/>
    </row>
    <row r="86" spans="1:4" ht="16.5">
      <c r="A86" s="136"/>
      <c r="B86" s="136"/>
      <c r="C86" s="136"/>
      <c r="D86" s="136"/>
    </row>
    <row r="87" spans="1:4" ht="16.5">
      <c r="A87" s="136"/>
      <c r="B87" s="136"/>
      <c r="C87" s="136"/>
      <c r="D87" s="136"/>
    </row>
    <row r="88" spans="1:4" ht="16.5">
      <c r="A88" s="136"/>
      <c r="B88" s="136"/>
      <c r="C88" s="136"/>
      <c r="D88" s="136"/>
    </row>
    <row r="89" spans="1:4" ht="16.5">
      <c r="A89" s="136"/>
      <c r="B89" s="136"/>
      <c r="C89" s="136"/>
      <c r="D89" s="136"/>
    </row>
    <row r="90" spans="1:4" ht="16.5">
      <c r="A90" s="136"/>
      <c r="B90" s="136"/>
      <c r="C90" s="136"/>
      <c r="D90" s="136"/>
    </row>
    <row r="91" spans="1:4" ht="16.5">
      <c r="A91" s="136"/>
      <c r="B91" s="136"/>
      <c r="C91" s="136"/>
      <c r="D91" s="136"/>
    </row>
    <row r="92" spans="1:4" ht="16.5">
      <c r="A92" s="136"/>
      <c r="B92" s="136"/>
      <c r="C92" s="136"/>
      <c r="D92" s="136"/>
    </row>
    <row r="93" spans="1:4" ht="16.5">
      <c r="A93" s="136"/>
      <c r="B93" s="136"/>
      <c r="C93" s="136"/>
      <c r="D93" s="136"/>
    </row>
    <row r="94" spans="1:4" ht="16.5">
      <c r="A94" s="136"/>
      <c r="B94" s="136"/>
      <c r="C94" s="136"/>
      <c r="D94" s="136"/>
    </row>
    <row r="95" spans="1:4" ht="16.5">
      <c r="A95" s="136"/>
      <c r="B95" s="136"/>
      <c r="C95" s="136"/>
      <c r="D95" s="136"/>
    </row>
    <row r="96" spans="1:4" ht="16.5">
      <c r="A96" s="136"/>
      <c r="B96" s="136"/>
      <c r="C96" s="136"/>
      <c r="D96" s="136"/>
    </row>
    <row r="97" spans="1:4" ht="16.5">
      <c r="A97" s="136"/>
      <c r="B97" s="136"/>
      <c r="C97" s="136"/>
      <c r="D97" s="136"/>
    </row>
    <row r="98" spans="1:4" ht="16.5">
      <c r="A98" s="136"/>
      <c r="B98" s="136"/>
      <c r="C98" s="136"/>
      <c r="D98" s="136"/>
    </row>
    <row r="99" spans="1:4" ht="16.5">
      <c r="A99" s="136"/>
      <c r="B99" s="136"/>
      <c r="C99" s="136"/>
      <c r="D99" s="136"/>
    </row>
    <row r="100" spans="1:4" ht="16.5">
      <c r="A100" s="136"/>
      <c r="B100" s="136"/>
      <c r="C100" s="136"/>
      <c r="D100" s="136"/>
    </row>
    <row r="101" spans="1:4" ht="16.5">
      <c r="A101" s="136"/>
      <c r="B101" s="136"/>
      <c r="C101" s="136"/>
      <c r="D101" s="136"/>
    </row>
    <row r="102" spans="1:4" ht="16.5">
      <c r="A102" s="136"/>
      <c r="B102" s="136"/>
      <c r="C102" s="136"/>
      <c r="D102" s="136"/>
    </row>
    <row r="103" spans="1:4" ht="16.5">
      <c r="A103" s="136"/>
      <c r="B103" s="136"/>
      <c r="C103" s="136"/>
      <c r="D103" s="136"/>
    </row>
    <row r="104" spans="1:4" ht="16.5">
      <c r="A104" s="136"/>
      <c r="B104" s="136"/>
      <c r="C104" s="136"/>
      <c r="D104" s="136"/>
    </row>
    <row r="105" spans="1:4" ht="16.5">
      <c r="A105" s="136"/>
      <c r="B105" s="136"/>
      <c r="C105" s="136"/>
      <c r="D105" s="136"/>
    </row>
    <row r="106" spans="1:4" ht="16.5">
      <c r="A106" s="136"/>
      <c r="B106" s="136"/>
      <c r="C106" s="136"/>
      <c r="D106" s="136"/>
    </row>
    <row r="107" spans="1:4" ht="16.5">
      <c r="A107" s="136"/>
      <c r="B107" s="136"/>
      <c r="C107" s="136"/>
      <c r="D107" s="136"/>
    </row>
    <row r="108" spans="1:4" ht="16.5">
      <c r="A108" s="136"/>
      <c r="B108" s="136"/>
      <c r="C108" s="136"/>
      <c r="D108" s="136"/>
    </row>
    <row r="109" spans="1:4" ht="16.5">
      <c r="A109" s="136"/>
      <c r="B109" s="136"/>
      <c r="C109" s="136"/>
      <c r="D109" s="136"/>
    </row>
    <row r="110" spans="1:4" ht="16.5">
      <c r="A110" s="136"/>
      <c r="B110" s="136"/>
      <c r="C110" s="136"/>
      <c r="D110" s="136"/>
    </row>
    <row r="111" spans="1:4" ht="16.5">
      <c r="A111" s="136"/>
      <c r="B111" s="136"/>
      <c r="C111" s="136"/>
      <c r="D111" s="136"/>
    </row>
    <row r="112" spans="1:4" ht="16.5">
      <c r="A112" s="136"/>
      <c r="B112" s="136"/>
      <c r="C112" s="136"/>
      <c r="D112" s="136"/>
    </row>
    <row r="113" spans="1:4" ht="16.5">
      <c r="A113" s="136"/>
      <c r="B113" s="136"/>
      <c r="C113" s="136"/>
      <c r="D113" s="136"/>
    </row>
    <row r="114" spans="1:4" ht="16.5">
      <c r="A114" s="136"/>
      <c r="B114" s="136"/>
      <c r="C114" s="136"/>
      <c r="D114" s="136"/>
    </row>
    <row r="115" spans="1:4" ht="16.5">
      <c r="A115" s="136"/>
      <c r="B115" s="136"/>
      <c r="C115" s="136"/>
      <c r="D115" s="136"/>
    </row>
    <row r="116" spans="1:4" ht="16.5">
      <c r="A116" s="136"/>
      <c r="B116" s="136"/>
      <c r="C116" s="136"/>
      <c r="D116" s="136"/>
    </row>
    <row r="117" spans="1:4" ht="16.5">
      <c r="A117" s="136"/>
      <c r="B117" s="136"/>
      <c r="C117" s="136"/>
      <c r="D117" s="136"/>
    </row>
    <row r="118" spans="1:4" ht="16.5">
      <c r="A118" s="136"/>
      <c r="B118" s="136"/>
      <c r="C118" s="136"/>
      <c r="D118" s="136"/>
    </row>
    <row r="119" spans="1:4" ht="16.5">
      <c r="A119" s="136"/>
      <c r="B119" s="136"/>
      <c r="C119" s="136"/>
      <c r="D119" s="136"/>
    </row>
  </sheetData>
  <sheetProtection/>
  <mergeCells count="6">
    <mergeCell ref="A1:D1"/>
    <mergeCell ref="A2:D2"/>
    <mergeCell ref="A3:D3"/>
    <mergeCell ref="A5:A6"/>
    <mergeCell ref="B5:B6"/>
    <mergeCell ref="C5:C6"/>
  </mergeCells>
  <printOptions/>
  <pageMargins left="0.7086614173228347" right="0" top="0.1968503937007874" bottom="0.3937007874015748" header="0" footer="0"/>
  <pageSetup horizontalDpi="600" verticalDpi="600" orientation="portrait" paperSize="9" r:id="rId1"/>
  <headerFooter>
    <oddFooter>&amp;L&amp;8&amp;A&amp;R&amp;8&amp;P</oddFoot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110"/>
  <sheetViews>
    <sheetView zoomScalePageLayoutView="0" workbookViewId="0" topLeftCell="A1">
      <selection activeCell="E7" sqref="E7"/>
    </sheetView>
  </sheetViews>
  <sheetFormatPr defaultColWidth="9.140625" defaultRowHeight="32.25" customHeight="1"/>
  <cols>
    <col min="1" max="1" width="4.00390625" style="24" customWidth="1"/>
    <col min="2" max="2" width="9.140625" style="24" customWidth="1"/>
    <col min="3" max="3" width="31.140625" style="24" customWidth="1"/>
    <col min="4" max="4" width="9.140625" style="24" customWidth="1"/>
    <col min="5" max="5" width="8.7109375" style="24" customWidth="1"/>
    <col min="6" max="6" width="9.8515625" style="209" bestFit="1" customWidth="1"/>
    <col min="7" max="7" width="7.7109375" style="24" customWidth="1"/>
    <col min="8" max="8" width="12.140625" style="197" customWidth="1"/>
    <col min="9" max="9" width="13.7109375" style="24" customWidth="1"/>
    <col min="10" max="10" width="9.140625" style="24" customWidth="1"/>
    <col min="11" max="11" width="10.7109375" style="24" customWidth="1"/>
    <col min="12" max="16384" width="9.140625" style="24" customWidth="1"/>
  </cols>
  <sheetData>
    <row r="1" spans="1:8" ht="38.25" customHeight="1">
      <c r="A1" s="660" t="str">
        <f>'ლხ.#7'!A1:H1</f>
        <v>qobuleTis municipalitetis sofel xucubanSi sajaro skolis Zveli korpusebis demontaJi da axali skolis Senobis mSenebloba</v>
      </c>
      <c r="B1" s="642"/>
      <c r="C1" s="642"/>
      <c r="D1" s="642"/>
      <c r="E1" s="642"/>
      <c r="F1" s="642"/>
      <c r="G1" s="642"/>
      <c r="H1" s="642"/>
    </row>
    <row r="2" spans="1:8" ht="21" customHeight="1">
      <c r="A2" s="661" t="s">
        <v>1603</v>
      </c>
      <c r="B2" s="661"/>
      <c r="C2" s="661"/>
      <c r="D2" s="661"/>
      <c r="E2" s="661"/>
      <c r="F2" s="661"/>
      <c r="G2" s="661"/>
      <c r="H2" s="661"/>
    </row>
    <row r="3" spans="1:8" ht="21.75" customHeight="1">
      <c r="A3" s="707" t="s">
        <v>336</v>
      </c>
      <c r="B3" s="707"/>
      <c r="C3" s="707"/>
      <c r="D3" s="707"/>
      <c r="E3" s="707"/>
      <c r="F3" s="707"/>
      <c r="G3" s="707"/>
      <c r="H3" s="707"/>
    </row>
    <row r="4" spans="1:13" ht="32.25" customHeight="1">
      <c r="A4" s="651" t="s">
        <v>7</v>
      </c>
      <c r="B4" s="692" t="s">
        <v>8</v>
      </c>
      <c r="C4" s="666" t="s">
        <v>9</v>
      </c>
      <c r="D4" s="667" t="s">
        <v>6</v>
      </c>
      <c r="E4" s="654" t="s">
        <v>10</v>
      </c>
      <c r="F4" s="654"/>
      <c r="G4" s="654" t="s">
        <v>1</v>
      </c>
      <c r="H4" s="654"/>
      <c r="M4" s="209"/>
    </row>
    <row r="5" spans="1:8" ht="48.75" customHeight="1">
      <c r="A5" s="651"/>
      <c r="B5" s="692"/>
      <c r="C5" s="666"/>
      <c r="D5" s="667"/>
      <c r="E5" s="44" t="s">
        <v>11</v>
      </c>
      <c r="F5" s="184" t="s">
        <v>12</v>
      </c>
      <c r="G5" s="44" t="s">
        <v>11</v>
      </c>
      <c r="H5" s="179" t="s">
        <v>12</v>
      </c>
    </row>
    <row r="6" spans="1:8" ht="26.25" customHeight="1">
      <c r="A6" s="81" t="s">
        <v>13</v>
      </c>
      <c r="B6" s="54">
        <v>2</v>
      </c>
      <c r="C6" s="101">
        <v>3</v>
      </c>
      <c r="D6" s="101">
        <v>4</v>
      </c>
      <c r="E6" s="101">
        <v>5</v>
      </c>
      <c r="F6" s="375">
        <v>6</v>
      </c>
      <c r="G6" s="101">
        <v>7</v>
      </c>
      <c r="H6" s="72">
        <v>8</v>
      </c>
    </row>
    <row r="7" spans="1:8" ht="111" customHeight="1">
      <c r="A7" s="221">
        <v>1</v>
      </c>
      <c r="B7" s="54" t="s">
        <v>1124</v>
      </c>
      <c r="C7" s="363" t="s">
        <v>1677</v>
      </c>
      <c r="D7" s="158" t="s">
        <v>20</v>
      </c>
      <c r="E7" s="158"/>
      <c r="F7" s="192">
        <v>2890</v>
      </c>
      <c r="G7" s="158"/>
      <c r="H7" s="228">
        <f>SUM(H8:H9)</f>
        <v>0</v>
      </c>
    </row>
    <row r="8" spans="1:8" ht="28.5" customHeight="1">
      <c r="A8" s="48"/>
      <c r="B8" s="48" t="s">
        <v>4</v>
      </c>
      <c r="C8" s="46" t="s">
        <v>148</v>
      </c>
      <c r="D8" s="49" t="s">
        <v>5</v>
      </c>
      <c r="E8" s="52">
        <v>4.8</v>
      </c>
      <c r="F8" s="52">
        <f>E8*F7</f>
        <v>13872</v>
      </c>
      <c r="G8" s="52"/>
      <c r="H8" s="377">
        <f>F8*G8</f>
        <v>0</v>
      </c>
    </row>
    <row r="9" spans="1:8" ht="26.25" customHeight="1">
      <c r="A9" s="48"/>
      <c r="B9" s="48" t="s">
        <v>4</v>
      </c>
      <c r="C9" s="46" t="s">
        <v>153</v>
      </c>
      <c r="D9" s="49" t="s">
        <v>16</v>
      </c>
      <c r="E9" s="52">
        <v>1.1</v>
      </c>
      <c r="F9" s="52">
        <f>E9*F7</f>
        <v>3179.0000000000005</v>
      </c>
      <c r="G9" s="52"/>
      <c r="H9" s="52">
        <f>F9*G9</f>
        <v>0</v>
      </c>
    </row>
    <row r="10" spans="1:14" ht="108" customHeight="1">
      <c r="A10" s="376" t="s">
        <v>37</v>
      </c>
      <c r="B10" s="79" t="s">
        <v>290</v>
      </c>
      <c r="C10" s="363" t="s">
        <v>1614</v>
      </c>
      <c r="D10" s="375" t="s">
        <v>43</v>
      </c>
      <c r="E10" s="137"/>
      <c r="F10" s="192">
        <v>350</v>
      </c>
      <c r="G10" s="137"/>
      <c r="H10" s="228">
        <f>H11</f>
        <v>0</v>
      </c>
      <c r="N10" s="24">
        <v>0</v>
      </c>
    </row>
    <row r="11" spans="1:8" ht="32.25" customHeight="1">
      <c r="A11" s="376"/>
      <c r="B11" s="481" t="s">
        <v>290</v>
      </c>
      <c r="C11" s="46" t="s">
        <v>148</v>
      </c>
      <c r="D11" s="168" t="s">
        <v>338</v>
      </c>
      <c r="E11" s="377">
        <v>1</v>
      </c>
      <c r="F11" s="295">
        <f>E11*F10</f>
        <v>350</v>
      </c>
      <c r="G11" s="377"/>
      <c r="H11" s="377">
        <f>F11*G11</f>
        <v>0</v>
      </c>
    </row>
    <row r="12" spans="1:8" ht="84" customHeight="1">
      <c r="A12" s="392" t="s">
        <v>63</v>
      </c>
      <c r="B12" s="393" t="s">
        <v>902</v>
      </c>
      <c r="C12" s="618" t="s">
        <v>1615</v>
      </c>
      <c r="D12" s="393" t="s">
        <v>899</v>
      </c>
      <c r="E12" s="394"/>
      <c r="F12" s="395">
        <f>F7</f>
        <v>2890</v>
      </c>
      <c r="G12" s="396"/>
      <c r="H12" s="427">
        <f>SUM(H13:H15)</f>
        <v>0</v>
      </c>
    </row>
    <row r="13" spans="1:8" ht="28.5" customHeight="1">
      <c r="A13" s="397"/>
      <c r="B13" s="398" t="s">
        <v>313</v>
      </c>
      <c r="C13" s="476" t="s">
        <v>314</v>
      </c>
      <c r="D13" s="399" t="s">
        <v>315</v>
      </c>
      <c r="E13" s="401">
        <v>0.00925</v>
      </c>
      <c r="F13" s="400">
        <f>F12*E13</f>
        <v>26.732499999999998</v>
      </c>
      <c r="G13" s="400"/>
      <c r="H13" s="400">
        <f>F13*G13</f>
        <v>0</v>
      </c>
    </row>
    <row r="14" spans="1:8" ht="28.5" customHeight="1">
      <c r="A14" s="397"/>
      <c r="B14" s="399" t="s">
        <v>904</v>
      </c>
      <c r="C14" s="477" t="s">
        <v>903</v>
      </c>
      <c r="D14" s="398" t="s">
        <v>900</v>
      </c>
      <c r="E14" s="401">
        <v>0.0207</v>
      </c>
      <c r="F14" s="400">
        <f>E14*F12</f>
        <v>59.823</v>
      </c>
      <c r="G14" s="400"/>
      <c r="H14" s="486">
        <f>G14*F14</f>
        <v>0</v>
      </c>
    </row>
    <row r="15" spans="1:8" ht="28.5" customHeight="1">
      <c r="A15" s="397"/>
      <c r="B15" s="402" t="s">
        <v>313</v>
      </c>
      <c r="C15" s="476" t="s">
        <v>901</v>
      </c>
      <c r="D15" s="399" t="s">
        <v>316</v>
      </c>
      <c r="E15" s="401">
        <v>0.00136</v>
      </c>
      <c r="F15" s="400">
        <f>F12*E15</f>
        <v>3.9304</v>
      </c>
      <c r="G15" s="52"/>
      <c r="H15" s="487">
        <f>G15*F15</f>
        <v>0</v>
      </c>
    </row>
    <row r="16" spans="1:8" ht="63" customHeight="1">
      <c r="A16" s="392" t="s">
        <v>64</v>
      </c>
      <c r="B16" s="392" t="s">
        <v>313</v>
      </c>
      <c r="C16" s="618" t="s">
        <v>1616</v>
      </c>
      <c r="D16" s="393" t="s">
        <v>905</v>
      </c>
      <c r="E16" s="394"/>
      <c r="F16" s="403">
        <f>F12*2.1</f>
        <v>6069</v>
      </c>
      <c r="G16" s="396"/>
      <c r="H16" s="488">
        <f>H17+0</f>
        <v>0</v>
      </c>
    </row>
    <row r="17" spans="1:8" ht="34.5" customHeight="1">
      <c r="A17" s="397"/>
      <c r="B17" s="402" t="s">
        <v>1423</v>
      </c>
      <c r="C17" s="476" t="s">
        <v>906</v>
      </c>
      <c r="D17" s="399" t="s">
        <v>905</v>
      </c>
      <c r="E17" s="399">
        <v>1</v>
      </c>
      <c r="F17" s="404">
        <f>F16*E17</f>
        <v>6069</v>
      </c>
      <c r="G17" s="400"/>
      <c r="H17" s="487">
        <f>F17*G17</f>
        <v>0</v>
      </c>
    </row>
    <row r="18" spans="1:8" ht="136.5" customHeight="1">
      <c r="A18" s="424">
        <v>5</v>
      </c>
      <c r="B18" s="392" t="s">
        <v>432</v>
      </c>
      <c r="C18" s="618" t="s">
        <v>1617</v>
      </c>
      <c r="D18" s="425" t="s">
        <v>338</v>
      </c>
      <c r="E18" s="425"/>
      <c r="F18" s="426">
        <v>3300</v>
      </c>
      <c r="G18" s="426"/>
      <c r="H18" s="427">
        <f>H19+H20+H21+H22+H23+H24+H25+H26</f>
        <v>0</v>
      </c>
    </row>
    <row r="19" spans="1:8" ht="29.25" customHeight="1">
      <c r="A19" s="428"/>
      <c r="B19" s="429" t="s">
        <v>313</v>
      </c>
      <c r="C19" s="478" t="s">
        <v>433</v>
      </c>
      <c r="D19" s="429" t="s">
        <v>339</v>
      </c>
      <c r="E19" s="430">
        <v>0.0321</v>
      </c>
      <c r="F19" s="431">
        <f>E19*F18</f>
        <v>105.92999999999999</v>
      </c>
      <c r="G19" s="432"/>
      <c r="H19" s="432">
        <f aca="true" t="shared" si="0" ref="H19:H26">F19*G19</f>
        <v>0</v>
      </c>
    </row>
    <row r="20" spans="1:8" ht="30" customHeight="1">
      <c r="A20" s="428"/>
      <c r="B20" s="223" t="s">
        <v>1425</v>
      </c>
      <c r="C20" s="46" t="s">
        <v>221</v>
      </c>
      <c r="D20" s="45" t="s">
        <v>23</v>
      </c>
      <c r="E20" s="433">
        <v>0.00265</v>
      </c>
      <c r="F20" s="431">
        <f>F18*E20</f>
        <v>8.745</v>
      </c>
      <c r="G20" s="432"/>
      <c r="H20" s="432">
        <f t="shared" si="0"/>
        <v>0</v>
      </c>
    </row>
    <row r="21" spans="1:8" ht="30" customHeight="1">
      <c r="A21" s="428"/>
      <c r="B21" s="223" t="s">
        <v>908</v>
      </c>
      <c r="C21" s="46" t="s">
        <v>909</v>
      </c>
      <c r="D21" s="429" t="s">
        <v>340</v>
      </c>
      <c r="E21" s="433">
        <v>0.00616</v>
      </c>
      <c r="F21" s="431">
        <f>E21*F18</f>
        <v>20.328</v>
      </c>
      <c r="G21" s="432"/>
      <c r="H21" s="432">
        <f t="shared" si="0"/>
        <v>0</v>
      </c>
    </row>
    <row r="22" spans="1:8" ht="30" customHeight="1">
      <c r="A22" s="428"/>
      <c r="B22" s="429" t="s">
        <v>444</v>
      </c>
      <c r="C22" s="46" t="s">
        <v>911</v>
      </c>
      <c r="D22" s="429" t="s">
        <v>340</v>
      </c>
      <c r="E22" s="433">
        <v>0.00453</v>
      </c>
      <c r="F22" s="431">
        <f>E22*F18</f>
        <v>14.949</v>
      </c>
      <c r="G22" s="432"/>
      <c r="H22" s="432">
        <f t="shared" si="0"/>
        <v>0</v>
      </c>
    </row>
    <row r="23" spans="1:8" ht="33" customHeight="1">
      <c r="A23" s="428"/>
      <c r="B23" s="434" t="s">
        <v>445</v>
      </c>
      <c r="C23" s="478" t="s">
        <v>434</v>
      </c>
      <c r="D23" s="429" t="s">
        <v>340</v>
      </c>
      <c r="E23" s="433">
        <v>0.00071</v>
      </c>
      <c r="F23" s="431">
        <f>E23*F18</f>
        <v>2.343</v>
      </c>
      <c r="G23" s="432"/>
      <c r="H23" s="432">
        <f t="shared" si="0"/>
        <v>0</v>
      </c>
    </row>
    <row r="24" spans="1:8" ht="25.5" customHeight="1">
      <c r="A24" s="428"/>
      <c r="B24" s="429" t="s">
        <v>794</v>
      </c>
      <c r="C24" s="478" t="s">
        <v>435</v>
      </c>
      <c r="D24" s="429" t="s">
        <v>340</v>
      </c>
      <c r="E24" s="433">
        <v>0.00207</v>
      </c>
      <c r="F24" s="435">
        <f>E24*F18</f>
        <v>6.8309999999999995</v>
      </c>
      <c r="G24" s="432"/>
      <c r="H24" s="432">
        <f t="shared" si="0"/>
        <v>0</v>
      </c>
    </row>
    <row r="25" spans="1:8" ht="26.25" customHeight="1">
      <c r="A25" s="428"/>
      <c r="B25" s="429" t="s">
        <v>313</v>
      </c>
      <c r="C25" s="478" t="s">
        <v>341</v>
      </c>
      <c r="D25" s="429" t="s">
        <v>316</v>
      </c>
      <c r="E25" s="433">
        <v>0.00102</v>
      </c>
      <c r="F25" s="436">
        <f>E25*F18</f>
        <v>3.366</v>
      </c>
      <c r="G25" s="52"/>
      <c r="H25" s="432">
        <f t="shared" si="0"/>
        <v>0</v>
      </c>
    </row>
    <row r="26" spans="1:8" ht="28.5" customHeight="1">
      <c r="A26" s="428"/>
      <c r="B26" s="429" t="s">
        <v>803</v>
      </c>
      <c r="C26" s="478" t="s">
        <v>337</v>
      </c>
      <c r="D26" s="429" t="s">
        <v>316</v>
      </c>
      <c r="E26" s="433">
        <v>0.0015</v>
      </c>
      <c r="F26" s="436">
        <f>E26*F18</f>
        <v>4.95</v>
      </c>
      <c r="G26" s="432"/>
      <c r="H26" s="432">
        <f t="shared" si="0"/>
        <v>0</v>
      </c>
    </row>
    <row r="27" spans="1:8" ht="84" customHeight="1">
      <c r="A27" s="424">
        <v>6</v>
      </c>
      <c r="B27" s="392" t="s">
        <v>1246</v>
      </c>
      <c r="C27" s="475" t="s">
        <v>1250</v>
      </c>
      <c r="D27" s="425" t="s">
        <v>899</v>
      </c>
      <c r="E27" s="425"/>
      <c r="F27" s="426">
        <v>2.1</v>
      </c>
      <c r="G27" s="426"/>
      <c r="H27" s="427">
        <f>H28+H29+H30+H31+H32+H33</f>
        <v>0</v>
      </c>
    </row>
    <row r="28" spans="1:8" ht="27" customHeight="1">
      <c r="A28" s="428"/>
      <c r="B28" s="429" t="s">
        <v>313</v>
      </c>
      <c r="C28" s="478" t="s">
        <v>433</v>
      </c>
      <c r="D28" s="429" t="s">
        <v>339</v>
      </c>
      <c r="E28" s="430">
        <v>10.6</v>
      </c>
      <c r="F28" s="431">
        <f>E28*F27</f>
        <v>22.26</v>
      </c>
      <c r="G28" s="432"/>
      <c r="H28" s="432">
        <f>F28*G28</f>
        <v>0</v>
      </c>
    </row>
    <row r="29" spans="1:8" ht="26.25" customHeight="1">
      <c r="A29" s="428"/>
      <c r="B29" s="429" t="s">
        <v>313</v>
      </c>
      <c r="C29" s="478" t="s">
        <v>341</v>
      </c>
      <c r="D29" s="429" t="s">
        <v>316</v>
      </c>
      <c r="E29" s="433">
        <v>7.14</v>
      </c>
      <c r="F29" s="436">
        <f>E29*F21</f>
        <v>145.14192</v>
      </c>
      <c r="G29" s="52"/>
      <c r="H29" s="432">
        <f>F29*G29</f>
        <v>0</v>
      </c>
    </row>
    <row r="30" spans="1:8" ht="28.5" customHeight="1">
      <c r="A30" s="428"/>
      <c r="B30" s="478" t="s">
        <v>1433</v>
      </c>
      <c r="C30" s="478" t="s">
        <v>1247</v>
      </c>
      <c r="D30" s="429" t="s">
        <v>291</v>
      </c>
      <c r="E30" s="433"/>
      <c r="F30" s="431">
        <v>4</v>
      </c>
      <c r="G30" s="432"/>
      <c r="H30" s="432">
        <f>F30*G30</f>
        <v>0</v>
      </c>
    </row>
    <row r="31" spans="1:8" ht="32.25" customHeight="1">
      <c r="A31" s="428"/>
      <c r="B31" s="478" t="s">
        <v>1434</v>
      </c>
      <c r="C31" s="478" t="s">
        <v>1249</v>
      </c>
      <c r="D31" s="429" t="s">
        <v>291</v>
      </c>
      <c r="E31" s="433"/>
      <c r="F31" s="431">
        <v>2</v>
      </c>
      <c r="G31" s="432"/>
      <c r="H31" s="432">
        <f>F31*G31</f>
        <v>0</v>
      </c>
    </row>
    <row r="32" spans="1:8" ht="28.5" customHeight="1">
      <c r="A32" s="428"/>
      <c r="B32" s="429" t="s">
        <v>1426</v>
      </c>
      <c r="C32" s="478" t="s">
        <v>1248</v>
      </c>
      <c r="D32" s="429" t="s">
        <v>899</v>
      </c>
      <c r="E32" s="433">
        <v>0.157</v>
      </c>
      <c r="F32" s="431">
        <f>E32*F27</f>
        <v>0.3297</v>
      </c>
      <c r="G32" s="432"/>
      <c r="H32" s="432">
        <f>F32*G32</f>
        <v>0</v>
      </c>
    </row>
    <row r="33" spans="1:8" ht="30.75" customHeight="1">
      <c r="A33" s="48"/>
      <c r="B33" s="48" t="s">
        <v>4</v>
      </c>
      <c r="C33" s="481" t="s">
        <v>137</v>
      </c>
      <c r="D33" s="46" t="s">
        <v>16</v>
      </c>
      <c r="E33" s="46">
        <v>6.61</v>
      </c>
      <c r="F33" s="157">
        <f>E33*F26</f>
        <v>32.719500000000004</v>
      </c>
      <c r="G33" s="52"/>
      <c r="H33" s="222">
        <f>G33*F33</f>
        <v>0</v>
      </c>
    </row>
    <row r="34" spans="1:8" ht="62.25" customHeight="1">
      <c r="A34" s="437">
        <v>7</v>
      </c>
      <c r="B34" s="378" t="s">
        <v>1244</v>
      </c>
      <c r="C34" s="438" t="s">
        <v>1241</v>
      </c>
      <c r="D34" s="439" t="s">
        <v>20</v>
      </c>
      <c r="E34" s="440"/>
      <c r="F34" s="441">
        <v>750</v>
      </c>
      <c r="G34" s="467"/>
      <c r="H34" s="380">
        <f>H35+H36+H37+H38+H39+H40</f>
        <v>0</v>
      </c>
    </row>
    <row r="35" spans="1:8" ht="29.25" customHeight="1">
      <c r="A35" s="82"/>
      <c r="B35" s="48" t="s">
        <v>4</v>
      </c>
      <c r="C35" s="46" t="s">
        <v>136</v>
      </c>
      <c r="D35" s="46" t="s">
        <v>5</v>
      </c>
      <c r="E35" s="481">
        <v>0.15</v>
      </c>
      <c r="F35" s="222">
        <f>F34*E35</f>
        <v>112.5</v>
      </c>
      <c r="G35" s="222"/>
      <c r="H35" s="222">
        <f>G35*F35</f>
        <v>0</v>
      </c>
    </row>
    <row r="36" spans="1:8" ht="35.25" customHeight="1">
      <c r="A36" s="82"/>
      <c r="B36" s="223" t="s">
        <v>1425</v>
      </c>
      <c r="C36" s="46" t="s">
        <v>221</v>
      </c>
      <c r="D36" s="45" t="s">
        <v>23</v>
      </c>
      <c r="E36" s="481">
        <v>0.0216</v>
      </c>
      <c r="F36" s="222">
        <f>F34*E36</f>
        <v>16.2</v>
      </c>
      <c r="G36" s="432"/>
      <c r="H36" s="222">
        <f>G36*F36</f>
        <v>0</v>
      </c>
    </row>
    <row r="37" spans="1:8" ht="29.25" customHeight="1">
      <c r="A37" s="82"/>
      <c r="B37" s="223" t="s">
        <v>442</v>
      </c>
      <c r="C37" s="46" t="s">
        <v>222</v>
      </c>
      <c r="D37" s="45" t="s">
        <v>23</v>
      </c>
      <c r="E37" s="225">
        <v>0.0273</v>
      </c>
      <c r="F37" s="222">
        <f>F34*E37</f>
        <v>20.475</v>
      </c>
      <c r="G37" s="222"/>
      <c r="H37" s="222">
        <f>G37*F37</f>
        <v>0</v>
      </c>
    </row>
    <row r="38" spans="1:8" ht="26.25" customHeight="1">
      <c r="A38" s="82"/>
      <c r="B38" s="223" t="s">
        <v>912</v>
      </c>
      <c r="C38" s="46" t="s">
        <v>223</v>
      </c>
      <c r="D38" s="45" t="s">
        <v>23</v>
      </c>
      <c r="E38" s="225">
        <f>0.0097</f>
        <v>0.0097</v>
      </c>
      <c r="F38" s="222">
        <f>E38*F34</f>
        <v>7.275</v>
      </c>
      <c r="G38" s="222"/>
      <c r="H38" s="222">
        <f>G38*F38</f>
        <v>0</v>
      </c>
    </row>
    <row r="39" spans="1:8" ht="24.75" customHeight="1">
      <c r="A39" s="82"/>
      <c r="B39" s="341" t="s">
        <v>1427</v>
      </c>
      <c r="C39" s="46" t="s">
        <v>1242</v>
      </c>
      <c r="D39" s="46" t="s">
        <v>14</v>
      </c>
      <c r="E39" s="222">
        <v>1.22</v>
      </c>
      <c r="F39" s="222">
        <f>F34*E39</f>
        <v>915</v>
      </c>
      <c r="G39" s="222"/>
      <c r="H39" s="222">
        <f>G39*F39</f>
        <v>0</v>
      </c>
    </row>
    <row r="40" spans="1:8" ht="28.5" customHeight="1">
      <c r="A40" s="82"/>
      <c r="B40" s="362" t="s">
        <v>916</v>
      </c>
      <c r="C40" s="46" t="s">
        <v>224</v>
      </c>
      <c r="D40" s="46" t="s">
        <v>14</v>
      </c>
      <c r="E40" s="372">
        <v>0.07</v>
      </c>
      <c r="F40" s="222">
        <f>F34*E40</f>
        <v>52.50000000000001</v>
      </c>
      <c r="G40" s="468"/>
      <c r="H40" s="222">
        <f>F40*G40</f>
        <v>0</v>
      </c>
    </row>
    <row r="41" spans="1:8" ht="60" customHeight="1">
      <c r="A41" s="376" t="s">
        <v>71</v>
      </c>
      <c r="B41" s="79" t="s">
        <v>438</v>
      </c>
      <c r="C41" s="375" t="s">
        <v>1682</v>
      </c>
      <c r="D41" s="375" t="s">
        <v>14</v>
      </c>
      <c r="E41" s="375"/>
      <c r="F41" s="379">
        <v>0.2</v>
      </c>
      <c r="G41" s="226"/>
      <c r="H41" s="380">
        <f>H42</f>
        <v>0</v>
      </c>
    </row>
    <row r="42" spans="1:8" ht="31.5" customHeight="1">
      <c r="A42" s="482"/>
      <c r="B42" s="224" t="s">
        <v>4</v>
      </c>
      <c r="C42" s="481" t="s">
        <v>148</v>
      </c>
      <c r="D42" s="481" t="s">
        <v>5</v>
      </c>
      <c r="E42" s="481">
        <v>3.88</v>
      </c>
      <c r="F42" s="372">
        <f>E42*F41</f>
        <v>0.776</v>
      </c>
      <c r="G42" s="222"/>
      <c r="H42" s="222">
        <f>G42*F42</f>
        <v>0</v>
      </c>
    </row>
    <row r="43" spans="1:8" ht="51.75" customHeight="1">
      <c r="A43" s="376" t="s">
        <v>66</v>
      </c>
      <c r="B43" s="68" t="s">
        <v>439</v>
      </c>
      <c r="C43" s="375" t="s">
        <v>1286</v>
      </c>
      <c r="D43" s="375" t="s">
        <v>14</v>
      </c>
      <c r="E43" s="375"/>
      <c r="F43" s="226">
        <v>0.16</v>
      </c>
      <c r="G43" s="226"/>
      <c r="H43" s="380">
        <f>SUM(H44:H49)</f>
        <v>0</v>
      </c>
    </row>
    <row r="44" spans="1:8" ht="30.75" customHeight="1">
      <c r="A44" s="482"/>
      <c r="B44" s="224" t="s">
        <v>4</v>
      </c>
      <c r="C44" s="46" t="s">
        <v>201</v>
      </c>
      <c r="D44" s="481" t="s">
        <v>5</v>
      </c>
      <c r="E44" s="481">
        <v>4.5</v>
      </c>
      <c r="F44" s="222">
        <f>E44*F43</f>
        <v>0.72</v>
      </c>
      <c r="G44" s="377"/>
      <c r="H44" s="222">
        <f aca="true" t="shared" si="1" ref="H44:H49">G44*F44</f>
        <v>0</v>
      </c>
    </row>
    <row r="45" spans="1:8" ht="26.25" customHeight="1">
      <c r="A45" s="482"/>
      <c r="B45" s="224" t="s">
        <v>4</v>
      </c>
      <c r="C45" s="46" t="s">
        <v>137</v>
      </c>
      <c r="D45" s="481" t="s">
        <v>16</v>
      </c>
      <c r="E45" s="481">
        <v>0.37</v>
      </c>
      <c r="F45" s="222">
        <f>F43*E45</f>
        <v>0.0592</v>
      </c>
      <c r="G45" s="52"/>
      <c r="H45" s="222">
        <f t="shared" si="1"/>
        <v>0</v>
      </c>
    </row>
    <row r="46" spans="1:8" ht="30.75" customHeight="1">
      <c r="A46" s="482"/>
      <c r="B46" s="224" t="s">
        <v>1334</v>
      </c>
      <c r="C46" s="46" t="s">
        <v>1287</v>
      </c>
      <c r="D46" s="481" t="s">
        <v>14</v>
      </c>
      <c r="E46" s="481">
        <v>1.02</v>
      </c>
      <c r="F46" s="222">
        <f>F43*E46</f>
        <v>0.1632</v>
      </c>
      <c r="G46" s="222"/>
      <c r="H46" s="222">
        <f t="shared" si="1"/>
        <v>0</v>
      </c>
    </row>
    <row r="47" spans="1:8" ht="24" customHeight="1">
      <c r="A47" s="82"/>
      <c r="B47" s="48" t="s">
        <v>1428</v>
      </c>
      <c r="C47" s="46" t="s">
        <v>440</v>
      </c>
      <c r="D47" s="46" t="s">
        <v>48</v>
      </c>
      <c r="E47" s="46">
        <v>1.61</v>
      </c>
      <c r="F47" s="47">
        <f>F43*E47</f>
        <v>0.2576</v>
      </c>
      <c r="G47" s="47"/>
      <c r="H47" s="47">
        <f t="shared" si="1"/>
        <v>0</v>
      </c>
    </row>
    <row r="48" spans="1:8" ht="28.5" customHeight="1">
      <c r="A48" s="82"/>
      <c r="B48" s="50" t="s">
        <v>1431</v>
      </c>
      <c r="C48" s="46" t="s">
        <v>138</v>
      </c>
      <c r="D48" s="46" t="s">
        <v>14</v>
      </c>
      <c r="E48" s="46">
        <v>0.0132</v>
      </c>
      <c r="F48" s="47">
        <f>F43*E48</f>
        <v>0.002112</v>
      </c>
      <c r="G48" s="47"/>
      <c r="H48" s="47">
        <f t="shared" si="1"/>
        <v>0</v>
      </c>
    </row>
    <row r="49" spans="1:8" ht="33.75" customHeight="1">
      <c r="A49" s="482"/>
      <c r="B49" s="224" t="s">
        <v>4</v>
      </c>
      <c r="C49" s="481" t="s">
        <v>24</v>
      </c>
      <c r="D49" s="481" t="s">
        <v>16</v>
      </c>
      <c r="E49" s="481">
        <v>0.28</v>
      </c>
      <c r="F49" s="222">
        <f>E49*F43</f>
        <v>0.044800000000000006</v>
      </c>
      <c r="G49" s="52"/>
      <c r="H49" s="222">
        <f t="shared" si="1"/>
        <v>0</v>
      </c>
    </row>
    <row r="50" spans="1:8" ht="58.5" customHeight="1">
      <c r="A50" s="81" t="s">
        <v>67</v>
      </c>
      <c r="B50" s="54" t="s">
        <v>73</v>
      </c>
      <c r="C50" s="55" t="s">
        <v>126</v>
      </c>
      <c r="D50" s="55" t="s">
        <v>20</v>
      </c>
      <c r="E50" s="156"/>
      <c r="F50" s="226">
        <f>F41</f>
        <v>0.2</v>
      </c>
      <c r="G50" s="70"/>
      <c r="H50" s="380">
        <f>H51</f>
        <v>0</v>
      </c>
    </row>
    <row r="51" spans="1:8" ht="32.25" customHeight="1">
      <c r="A51" s="82"/>
      <c r="B51" s="48" t="s">
        <v>4</v>
      </c>
      <c r="C51" s="46" t="s">
        <v>136</v>
      </c>
      <c r="D51" s="46" t="s">
        <v>5</v>
      </c>
      <c r="E51" s="46">
        <v>1.21</v>
      </c>
      <c r="F51" s="47">
        <f>F50*E51</f>
        <v>0.242</v>
      </c>
      <c r="G51" s="47"/>
      <c r="H51" s="222">
        <f>G51*F51</f>
        <v>0</v>
      </c>
    </row>
    <row r="52" spans="1:8" ht="45.75" customHeight="1">
      <c r="A52" s="320">
        <v>11</v>
      </c>
      <c r="B52" s="378" t="s">
        <v>655</v>
      </c>
      <c r="C52" s="321" t="s">
        <v>656</v>
      </c>
      <c r="D52" s="321" t="s">
        <v>20</v>
      </c>
      <c r="E52" s="321"/>
      <c r="F52" s="321">
        <f>F50</f>
        <v>0.2</v>
      </c>
      <c r="G52" s="464"/>
      <c r="H52" s="489">
        <f>H53+H54</f>
        <v>0</v>
      </c>
    </row>
    <row r="53" spans="1:8" ht="32.25" customHeight="1">
      <c r="A53" s="482"/>
      <c r="B53" s="48" t="s">
        <v>4</v>
      </c>
      <c r="C53" s="481" t="s">
        <v>136</v>
      </c>
      <c r="D53" s="46" t="s">
        <v>5</v>
      </c>
      <c r="E53" s="46">
        <v>0.134</v>
      </c>
      <c r="F53" s="47">
        <f>F52*E53</f>
        <v>0.026800000000000004</v>
      </c>
      <c r="G53" s="47"/>
      <c r="H53" s="222">
        <f>G53*F53</f>
        <v>0</v>
      </c>
    </row>
    <row r="54" spans="1:8" ht="33" customHeight="1">
      <c r="A54" s="317"/>
      <c r="B54" s="317" t="s">
        <v>657</v>
      </c>
      <c r="C54" s="317" t="s">
        <v>658</v>
      </c>
      <c r="D54" s="317" t="s">
        <v>23</v>
      </c>
      <c r="E54" s="317">
        <v>0.13</v>
      </c>
      <c r="F54" s="317">
        <f>E54*F52</f>
        <v>0.026000000000000002</v>
      </c>
      <c r="G54" s="460"/>
      <c r="H54" s="460">
        <f>F54*G54</f>
        <v>0</v>
      </c>
    </row>
    <row r="55" spans="1:8" ht="89.25" customHeight="1">
      <c r="A55" s="376" t="s">
        <v>88</v>
      </c>
      <c r="B55" s="378" t="s">
        <v>2</v>
      </c>
      <c r="C55" s="375" t="s">
        <v>1683</v>
      </c>
      <c r="D55" s="375" t="s">
        <v>15</v>
      </c>
      <c r="E55" s="484"/>
      <c r="F55" s="226">
        <v>2</v>
      </c>
      <c r="G55" s="226"/>
      <c r="H55" s="380">
        <f>H56+H57</f>
        <v>0</v>
      </c>
    </row>
    <row r="56" spans="1:8" ht="28.5" customHeight="1">
      <c r="A56" s="482"/>
      <c r="B56" s="224" t="s">
        <v>2</v>
      </c>
      <c r="C56" s="481" t="s">
        <v>201</v>
      </c>
      <c r="D56" s="481" t="s">
        <v>15</v>
      </c>
      <c r="E56" s="222">
        <v>1</v>
      </c>
      <c r="F56" s="222">
        <f>F55*E56</f>
        <v>2</v>
      </c>
      <c r="G56" s="222"/>
      <c r="H56" s="222">
        <f>G56*F56</f>
        <v>0</v>
      </c>
    </row>
    <row r="57" spans="1:8" ht="32.25" customHeight="1">
      <c r="A57" s="482"/>
      <c r="B57" s="224" t="s">
        <v>2</v>
      </c>
      <c r="C57" s="481" t="s">
        <v>598</v>
      </c>
      <c r="D57" s="481" t="s">
        <v>15</v>
      </c>
      <c r="E57" s="222">
        <v>1</v>
      </c>
      <c r="F57" s="222">
        <f>F56*E57</f>
        <v>2</v>
      </c>
      <c r="G57" s="222"/>
      <c r="H57" s="222">
        <f>G57*F57</f>
        <v>0</v>
      </c>
    </row>
    <row r="58" spans="1:8" ht="74.25" customHeight="1">
      <c r="A58" s="437">
        <v>13</v>
      </c>
      <c r="B58" s="378" t="s">
        <v>907</v>
      </c>
      <c r="C58" s="438" t="s">
        <v>1240</v>
      </c>
      <c r="D58" s="439" t="s">
        <v>20</v>
      </c>
      <c r="E58" s="467"/>
      <c r="F58" s="485">
        <v>142.2</v>
      </c>
      <c r="G58" s="467"/>
      <c r="H58" s="380">
        <f>H59+H60+H62+H65+H66+H67+H63+H64+H61</f>
        <v>0</v>
      </c>
    </row>
    <row r="59" spans="1:8" ht="32.25" customHeight="1">
      <c r="A59" s="82"/>
      <c r="B59" s="48" t="s">
        <v>4</v>
      </c>
      <c r="C59" s="46" t="s">
        <v>136</v>
      </c>
      <c r="D59" s="46" t="s">
        <v>5</v>
      </c>
      <c r="E59" s="481">
        <v>0.216</v>
      </c>
      <c r="F59" s="222">
        <f>F58*E59</f>
        <v>30.715199999999996</v>
      </c>
      <c r="G59" s="222"/>
      <c r="H59" s="222">
        <f aca="true" t="shared" si="2" ref="H59:H66">G59*F59</f>
        <v>0</v>
      </c>
    </row>
    <row r="60" spans="1:8" ht="32.25" customHeight="1">
      <c r="A60" s="82"/>
      <c r="B60" s="223" t="s">
        <v>441</v>
      </c>
      <c r="C60" s="46" t="s">
        <v>221</v>
      </c>
      <c r="D60" s="45" t="s">
        <v>23</v>
      </c>
      <c r="E60" s="481">
        <v>0.0124</v>
      </c>
      <c r="F60" s="222">
        <f>F58*E60</f>
        <v>1.7632799999999997</v>
      </c>
      <c r="G60" s="432"/>
      <c r="H60" s="222">
        <f t="shared" si="2"/>
        <v>0</v>
      </c>
    </row>
    <row r="61" spans="1:8" ht="32.25" customHeight="1">
      <c r="A61" s="82"/>
      <c r="B61" s="223" t="s">
        <v>1050</v>
      </c>
      <c r="C61" s="46" t="s">
        <v>1245</v>
      </c>
      <c r="D61" s="45" t="s">
        <v>23</v>
      </c>
      <c r="E61" s="481">
        <v>0.0258</v>
      </c>
      <c r="F61" s="222">
        <f>E61*F58</f>
        <v>3.66876</v>
      </c>
      <c r="G61" s="222"/>
      <c r="H61" s="222">
        <f t="shared" si="2"/>
        <v>0</v>
      </c>
    </row>
    <row r="62" spans="1:8" ht="32.25" customHeight="1">
      <c r="A62" s="82"/>
      <c r="B62" s="223" t="s">
        <v>442</v>
      </c>
      <c r="C62" s="46" t="s">
        <v>222</v>
      </c>
      <c r="D62" s="45" t="s">
        <v>23</v>
      </c>
      <c r="E62" s="225">
        <v>0.0041</v>
      </c>
      <c r="F62" s="222">
        <f>F58*E62</f>
        <v>0.58302</v>
      </c>
      <c r="G62" s="222"/>
      <c r="H62" s="222">
        <f t="shared" si="2"/>
        <v>0</v>
      </c>
    </row>
    <row r="63" spans="1:8" ht="32.25" customHeight="1">
      <c r="A63" s="82"/>
      <c r="B63" s="223" t="s">
        <v>908</v>
      </c>
      <c r="C63" s="46" t="s">
        <v>909</v>
      </c>
      <c r="D63" s="45" t="s">
        <v>23</v>
      </c>
      <c r="E63" s="225">
        <v>0.076</v>
      </c>
      <c r="F63" s="222">
        <f>E63*F58</f>
        <v>10.807199999999998</v>
      </c>
      <c r="G63" s="432"/>
      <c r="H63" s="222">
        <f t="shared" si="2"/>
        <v>0</v>
      </c>
    </row>
    <row r="64" spans="1:8" ht="32.25" customHeight="1">
      <c r="A64" s="82"/>
      <c r="B64" s="223" t="s">
        <v>910</v>
      </c>
      <c r="C64" s="46" t="s">
        <v>911</v>
      </c>
      <c r="D64" s="45" t="s">
        <v>23</v>
      </c>
      <c r="E64" s="225">
        <v>0.151</v>
      </c>
      <c r="F64" s="222">
        <f>E64*F58</f>
        <v>21.472199999999997</v>
      </c>
      <c r="G64" s="432"/>
      <c r="H64" s="222">
        <f t="shared" si="2"/>
        <v>0</v>
      </c>
    </row>
    <row r="65" spans="1:8" ht="32.25" customHeight="1">
      <c r="A65" s="82"/>
      <c r="B65" s="223" t="s">
        <v>912</v>
      </c>
      <c r="C65" s="46" t="s">
        <v>223</v>
      </c>
      <c r="D65" s="45" t="s">
        <v>23</v>
      </c>
      <c r="E65" s="225">
        <f>0.0097</f>
        <v>0.0097</v>
      </c>
      <c r="F65" s="222">
        <f>E65*F58</f>
        <v>1.37934</v>
      </c>
      <c r="G65" s="222"/>
      <c r="H65" s="222">
        <f t="shared" si="2"/>
        <v>0</v>
      </c>
    </row>
    <row r="66" spans="1:8" ht="32.25" customHeight="1">
      <c r="A66" s="82"/>
      <c r="B66" s="341" t="s">
        <v>585</v>
      </c>
      <c r="C66" s="46" t="s">
        <v>141</v>
      </c>
      <c r="D66" s="46" t="s">
        <v>14</v>
      </c>
      <c r="E66" s="222">
        <v>1.26</v>
      </c>
      <c r="F66" s="222">
        <f>F58*E66</f>
        <v>179.172</v>
      </c>
      <c r="G66" s="222"/>
      <c r="H66" s="222">
        <f t="shared" si="2"/>
        <v>0</v>
      </c>
    </row>
    <row r="67" spans="1:8" ht="32.25" customHeight="1">
      <c r="A67" s="82"/>
      <c r="B67" s="362" t="s">
        <v>916</v>
      </c>
      <c r="C67" s="46" t="s">
        <v>224</v>
      </c>
      <c r="D67" s="46" t="s">
        <v>14</v>
      </c>
      <c r="E67" s="372">
        <v>0.07</v>
      </c>
      <c r="F67" s="222">
        <f>F58*E67</f>
        <v>9.954</v>
      </c>
      <c r="G67" s="468"/>
      <c r="H67" s="222">
        <f>F67*G67</f>
        <v>0</v>
      </c>
    </row>
    <row r="68" spans="1:8" ht="135.75" customHeight="1">
      <c r="A68" s="71">
        <v>14</v>
      </c>
      <c r="B68" s="79" t="s">
        <v>791</v>
      </c>
      <c r="C68" s="375" t="s">
        <v>1678</v>
      </c>
      <c r="D68" s="55" t="s">
        <v>43</v>
      </c>
      <c r="E68" s="55"/>
      <c r="F68" s="379">
        <v>1187</v>
      </c>
      <c r="G68" s="70"/>
      <c r="H68" s="380">
        <f>SUM(H69:H79)</f>
        <v>0</v>
      </c>
    </row>
    <row r="69" spans="1:8" ht="36" customHeight="1">
      <c r="A69" s="48"/>
      <c r="B69" s="48" t="s">
        <v>4</v>
      </c>
      <c r="C69" s="481" t="s">
        <v>793</v>
      </c>
      <c r="D69" s="481" t="s">
        <v>5</v>
      </c>
      <c r="E69" s="46">
        <f>(405-10*4.64)/1000</f>
        <v>0.35860000000000003</v>
      </c>
      <c r="F69" s="157">
        <f>E69*F68</f>
        <v>425.6582</v>
      </c>
      <c r="G69" s="52"/>
      <c r="H69" s="222">
        <f aca="true" t="shared" si="3" ref="H69:H77">G69*F69</f>
        <v>0</v>
      </c>
    </row>
    <row r="70" spans="1:8" ht="33.75" customHeight="1">
      <c r="A70" s="48"/>
      <c r="B70" s="48" t="s">
        <v>794</v>
      </c>
      <c r="C70" s="481" t="s">
        <v>795</v>
      </c>
      <c r="D70" s="481" t="s">
        <v>796</v>
      </c>
      <c r="E70" s="46">
        <v>0.0226</v>
      </c>
      <c r="F70" s="157">
        <f>E70*F68</f>
        <v>26.8262</v>
      </c>
      <c r="G70" s="52"/>
      <c r="H70" s="222">
        <f t="shared" si="3"/>
        <v>0</v>
      </c>
    </row>
    <row r="71" spans="1:8" ht="34.5" customHeight="1">
      <c r="A71" s="48"/>
      <c r="B71" s="48" t="s">
        <v>4</v>
      </c>
      <c r="C71" s="481" t="s">
        <v>797</v>
      </c>
      <c r="D71" s="46" t="s">
        <v>16</v>
      </c>
      <c r="E71" s="46">
        <f>(13.5-10*0.1)/1000</f>
        <v>0.0125</v>
      </c>
      <c r="F71" s="157">
        <f>F68*E71</f>
        <v>14.8375</v>
      </c>
      <c r="G71" s="52"/>
      <c r="H71" s="222">
        <f t="shared" si="3"/>
        <v>0</v>
      </c>
    </row>
    <row r="72" spans="1:8" ht="31.5" customHeight="1">
      <c r="A72" s="48"/>
      <c r="B72" s="341" t="s">
        <v>1334</v>
      </c>
      <c r="C72" s="481" t="s">
        <v>1288</v>
      </c>
      <c r="D72" s="46" t="s">
        <v>14</v>
      </c>
      <c r="E72" s="46">
        <v>0.1015</v>
      </c>
      <c r="F72" s="157">
        <f>F68*E72</f>
        <v>120.4805</v>
      </c>
      <c r="G72" s="47"/>
      <c r="H72" s="222">
        <f t="shared" si="3"/>
        <v>0</v>
      </c>
    </row>
    <row r="73" spans="1:8" ht="31.5" customHeight="1">
      <c r="A73" s="48"/>
      <c r="B73" s="341" t="s">
        <v>1389</v>
      </c>
      <c r="C73" s="481" t="s">
        <v>1323</v>
      </c>
      <c r="D73" s="46" t="s">
        <v>43</v>
      </c>
      <c r="E73" s="46">
        <v>1.02</v>
      </c>
      <c r="F73" s="157">
        <f>E73*F68</f>
        <v>1210.74</v>
      </c>
      <c r="G73" s="47"/>
      <c r="H73" s="222">
        <f t="shared" si="3"/>
        <v>0</v>
      </c>
    </row>
    <row r="74" spans="1:8" ht="33" customHeight="1">
      <c r="A74" s="48"/>
      <c r="B74" s="223" t="s">
        <v>1346</v>
      </c>
      <c r="C74" s="481" t="s">
        <v>799</v>
      </c>
      <c r="D74" s="46" t="s">
        <v>48</v>
      </c>
      <c r="E74" s="46">
        <f>(11.7-10*0.59)/1000</f>
        <v>0.0058</v>
      </c>
      <c r="F74" s="157">
        <f>E74*F68</f>
        <v>6.8846</v>
      </c>
      <c r="G74" s="47"/>
      <c r="H74" s="377">
        <f t="shared" si="3"/>
        <v>0</v>
      </c>
    </row>
    <row r="75" spans="1:8" ht="33" customHeight="1">
      <c r="A75" s="48"/>
      <c r="B75" s="223" t="s">
        <v>1432</v>
      </c>
      <c r="C75" s="481" t="s">
        <v>896</v>
      </c>
      <c r="D75" s="46" t="s">
        <v>42</v>
      </c>
      <c r="E75" s="46">
        <f>(0.23-10*0.01)/1000</f>
        <v>0.00013000000000000002</v>
      </c>
      <c r="F75" s="157">
        <f>E75*F68</f>
        <v>0.15431000000000003</v>
      </c>
      <c r="G75" s="47"/>
      <c r="H75" s="377">
        <f t="shared" si="3"/>
        <v>0</v>
      </c>
    </row>
    <row r="76" spans="1:8" ht="30.75" customHeight="1">
      <c r="A76" s="224"/>
      <c r="B76" s="223" t="s">
        <v>2</v>
      </c>
      <c r="C76" s="481" t="s">
        <v>894</v>
      </c>
      <c r="D76" s="481" t="s">
        <v>43</v>
      </c>
      <c r="E76" s="481">
        <v>0.11</v>
      </c>
      <c r="F76" s="225">
        <f>E76*F68</f>
        <v>130.57</v>
      </c>
      <c r="G76" s="222"/>
      <c r="H76" s="377">
        <f t="shared" si="3"/>
        <v>0</v>
      </c>
    </row>
    <row r="77" spans="1:8" ht="29.25" customHeight="1">
      <c r="A77" s="48"/>
      <c r="B77" s="223" t="s">
        <v>542</v>
      </c>
      <c r="C77" s="481" t="s">
        <v>125</v>
      </c>
      <c r="D77" s="46" t="s">
        <v>20</v>
      </c>
      <c r="E77" s="46">
        <v>0.04</v>
      </c>
      <c r="F77" s="157">
        <f>E77*F68</f>
        <v>47.480000000000004</v>
      </c>
      <c r="G77" s="47"/>
      <c r="H77" s="377">
        <f t="shared" si="3"/>
        <v>0</v>
      </c>
    </row>
    <row r="78" spans="1:8" ht="36" customHeight="1">
      <c r="A78" s="82"/>
      <c r="B78" s="362" t="s">
        <v>916</v>
      </c>
      <c r="C78" s="356" t="s">
        <v>337</v>
      </c>
      <c r="D78" s="357" t="s">
        <v>317</v>
      </c>
      <c r="E78" s="358">
        <v>0.178</v>
      </c>
      <c r="F78" s="372">
        <f>E78*F68</f>
        <v>211.286</v>
      </c>
      <c r="G78" s="468"/>
      <c r="H78" s="222">
        <f>F78*G78</f>
        <v>0</v>
      </c>
    </row>
    <row r="79" spans="1:8" ht="33" customHeight="1">
      <c r="A79" s="48"/>
      <c r="B79" s="48" t="s">
        <v>4</v>
      </c>
      <c r="C79" s="481" t="s">
        <v>801</v>
      </c>
      <c r="D79" s="46" t="s">
        <v>16</v>
      </c>
      <c r="E79" s="46">
        <f>(6.4-10*0.19)/1000</f>
        <v>0.0045</v>
      </c>
      <c r="F79" s="157">
        <f>E79*F68</f>
        <v>5.3415</v>
      </c>
      <c r="G79" s="52"/>
      <c r="H79" s="222">
        <f>G79*F79</f>
        <v>0</v>
      </c>
    </row>
    <row r="80" spans="1:8" ht="100.5" customHeight="1">
      <c r="A80" s="221">
        <v>15</v>
      </c>
      <c r="B80" s="378" t="s">
        <v>101</v>
      </c>
      <c r="C80" s="375" t="s">
        <v>1251</v>
      </c>
      <c r="D80" s="375" t="s">
        <v>43</v>
      </c>
      <c r="E80" s="375"/>
      <c r="F80" s="379">
        <v>1657</v>
      </c>
      <c r="G80" s="226"/>
      <c r="H80" s="380">
        <f>SUM(H81:H85)</f>
        <v>0</v>
      </c>
    </row>
    <row r="81" spans="1:8" ht="29.25" customHeight="1">
      <c r="A81" s="482"/>
      <c r="B81" s="48" t="s">
        <v>4</v>
      </c>
      <c r="C81" s="46" t="s">
        <v>225</v>
      </c>
      <c r="D81" s="46" t="s">
        <v>5</v>
      </c>
      <c r="E81" s="46">
        <v>0.402</v>
      </c>
      <c r="F81" s="51">
        <f>F80*E81</f>
        <v>666.114</v>
      </c>
      <c r="G81" s="47"/>
      <c r="H81" s="222">
        <f>F81*G81</f>
        <v>0</v>
      </c>
    </row>
    <row r="82" spans="1:8" ht="27" customHeight="1">
      <c r="A82" s="482"/>
      <c r="B82" s="224" t="s">
        <v>4</v>
      </c>
      <c r="C82" s="481" t="s">
        <v>137</v>
      </c>
      <c r="D82" s="481" t="s">
        <v>16</v>
      </c>
      <c r="E82" s="481">
        <v>0.129</v>
      </c>
      <c r="F82" s="372">
        <f>F80*E82</f>
        <v>213.75300000000001</v>
      </c>
      <c r="G82" s="52"/>
      <c r="H82" s="47">
        <f>F82*G82</f>
        <v>0</v>
      </c>
    </row>
    <row r="83" spans="1:8" ht="30.75" customHeight="1">
      <c r="A83" s="82"/>
      <c r="B83" s="48" t="s">
        <v>290</v>
      </c>
      <c r="C83" s="46" t="s">
        <v>436</v>
      </c>
      <c r="D83" s="46" t="s">
        <v>48</v>
      </c>
      <c r="E83" s="46">
        <v>1</v>
      </c>
      <c r="F83" s="51">
        <f>F80*E83</f>
        <v>1657</v>
      </c>
      <c r="G83" s="222"/>
      <c r="H83" s="47">
        <f>F83*G83</f>
        <v>0</v>
      </c>
    </row>
    <row r="84" spans="1:8" ht="30" customHeight="1">
      <c r="A84" s="82"/>
      <c r="B84" s="48" t="s">
        <v>1429</v>
      </c>
      <c r="C84" s="46" t="s">
        <v>1679</v>
      </c>
      <c r="D84" s="46" t="s">
        <v>20</v>
      </c>
      <c r="E84" s="46">
        <f>0.05</f>
        <v>0.05</v>
      </c>
      <c r="F84" s="51">
        <f>F80*E84</f>
        <v>82.85000000000001</v>
      </c>
      <c r="G84" s="47"/>
      <c r="H84" s="47">
        <f>F84*G84</f>
        <v>0</v>
      </c>
    </row>
    <row r="85" spans="1:8" ht="39" customHeight="1">
      <c r="A85" s="482"/>
      <c r="B85" s="48" t="s">
        <v>1430</v>
      </c>
      <c r="C85" s="481" t="s">
        <v>149</v>
      </c>
      <c r="D85" s="481" t="s">
        <v>14</v>
      </c>
      <c r="E85" s="481">
        <v>0.0005</v>
      </c>
      <c r="F85" s="372">
        <f>F80*E85</f>
        <v>0.8285</v>
      </c>
      <c r="G85" s="47"/>
      <c r="H85" s="47">
        <f>F85*G85</f>
        <v>0</v>
      </c>
    </row>
    <row r="86" spans="1:8" ht="72" customHeight="1">
      <c r="A86" s="221">
        <v>16</v>
      </c>
      <c r="B86" s="378" t="s">
        <v>918</v>
      </c>
      <c r="C86" s="375" t="s">
        <v>917</v>
      </c>
      <c r="D86" s="375" t="s">
        <v>20</v>
      </c>
      <c r="E86" s="375"/>
      <c r="F86" s="379">
        <v>30.4</v>
      </c>
      <c r="G86" s="226"/>
      <c r="H86" s="380">
        <f>H87+H88+H89</f>
        <v>0</v>
      </c>
    </row>
    <row r="87" spans="1:8" ht="29.25" customHeight="1">
      <c r="A87" s="482"/>
      <c r="B87" s="48" t="s">
        <v>4</v>
      </c>
      <c r="C87" s="46" t="s">
        <v>225</v>
      </c>
      <c r="D87" s="46" t="s">
        <v>5</v>
      </c>
      <c r="E87" s="46">
        <v>0.0155</v>
      </c>
      <c r="F87" s="51">
        <f>F86*E87</f>
        <v>0.47119999999999995</v>
      </c>
      <c r="G87" s="47"/>
      <c r="H87" s="222">
        <f>F87*G87</f>
        <v>0</v>
      </c>
    </row>
    <row r="88" spans="1:8" ht="29.25" customHeight="1">
      <c r="A88" s="482"/>
      <c r="B88" s="48" t="s">
        <v>921</v>
      </c>
      <c r="C88" s="46" t="s">
        <v>919</v>
      </c>
      <c r="D88" s="46" t="s">
        <v>920</v>
      </c>
      <c r="E88" s="46">
        <v>0.0347</v>
      </c>
      <c r="F88" s="51">
        <f>E88*F86</f>
        <v>1.05488</v>
      </c>
      <c r="G88" s="47"/>
      <c r="H88" s="222">
        <f>F88*G88</f>
        <v>0</v>
      </c>
    </row>
    <row r="89" spans="1:8" ht="31.5" customHeight="1">
      <c r="A89" s="482"/>
      <c r="B89" s="224" t="s">
        <v>4</v>
      </c>
      <c r="C89" s="481" t="s">
        <v>137</v>
      </c>
      <c r="D89" s="481" t="s">
        <v>16</v>
      </c>
      <c r="E89" s="481">
        <v>0.00209</v>
      </c>
      <c r="F89" s="372">
        <f>F86*E89</f>
        <v>0.063536</v>
      </c>
      <c r="G89" s="52"/>
      <c r="H89" s="47">
        <f>F89*G89</f>
        <v>0</v>
      </c>
    </row>
    <row r="90" spans="1:8" ht="48.75" customHeight="1">
      <c r="A90" s="71">
        <v>17</v>
      </c>
      <c r="B90" s="79" t="s">
        <v>349</v>
      </c>
      <c r="C90" s="375" t="s">
        <v>922</v>
      </c>
      <c r="D90" s="158" t="s">
        <v>42</v>
      </c>
      <c r="E90" s="158"/>
      <c r="F90" s="137">
        <f>F86*1.75</f>
        <v>53.199999999999996</v>
      </c>
      <c r="G90" s="160"/>
      <c r="H90" s="228">
        <f>SUM(H91:H91)</f>
        <v>0</v>
      </c>
    </row>
    <row r="91" spans="1:8" ht="29.25" customHeight="1">
      <c r="A91" s="48"/>
      <c r="B91" s="224" t="s">
        <v>1424</v>
      </c>
      <c r="C91" s="46" t="s">
        <v>285</v>
      </c>
      <c r="D91" s="49" t="s">
        <v>42</v>
      </c>
      <c r="E91" s="49">
        <v>1</v>
      </c>
      <c r="F91" s="52">
        <f>F90*E91</f>
        <v>53.199999999999996</v>
      </c>
      <c r="G91" s="52"/>
      <c r="H91" s="377">
        <f>F91*G91</f>
        <v>0</v>
      </c>
    </row>
    <row r="92" spans="1:8" ht="55.5" customHeight="1">
      <c r="A92" s="376" t="s">
        <v>82</v>
      </c>
      <c r="B92" s="79" t="s">
        <v>913</v>
      </c>
      <c r="C92" s="375" t="s">
        <v>923</v>
      </c>
      <c r="D92" s="374" t="s">
        <v>43</v>
      </c>
      <c r="E92" s="374"/>
      <c r="F92" s="349">
        <v>304</v>
      </c>
      <c r="G92" s="137"/>
      <c r="H92" s="228">
        <f>H93</f>
        <v>0</v>
      </c>
    </row>
    <row r="93" spans="1:8" ht="33.75" customHeight="1">
      <c r="A93" s="482"/>
      <c r="B93" s="300" t="s">
        <v>4</v>
      </c>
      <c r="C93" s="481" t="s">
        <v>587</v>
      </c>
      <c r="D93" s="305" t="s">
        <v>5</v>
      </c>
      <c r="E93" s="305">
        <v>0.184</v>
      </c>
      <c r="F93" s="442">
        <f>F92*E93</f>
        <v>55.936</v>
      </c>
      <c r="G93" s="303"/>
      <c r="H93" s="303">
        <f>G93*F93</f>
        <v>0</v>
      </c>
    </row>
    <row r="94" spans="1:8" ht="54" customHeight="1">
      <c r="A94" s="376" t="s">
        <v>95</v>
      </c>
      <c r="B94" s="79" t="s">
        <v>913</v>
      </c>
      <c r="C94" s="375" t="s">
        <v>914</v>
      </c>
      <c r="D94" s="374" t="s">
        <v>43</v>
      </c>
      <c r="E94" s="374"/>
      <c r="F94" s="349">
        <f>F92</f>
        <v>304</v>
      </c>
      <c r="G94" s="137"/>
      <c r="H94" s="228">
        <f>H97+H95+H96</f>
        <v>0</v>
      </c>
    </row>
    <row r="95" spans="1:8" ht="30.75" customHeight="1">
      <c r="A95" s="482"/>
      <c r="B95" s="300" t="s">
        <v>4</v>
      </c>
      <c r="C95" s="481" t="s">
        <v>587</v>
      </c>
      <c r="D95" s="305" t="s">
        <v>5</v>
      </c>
      <c r="E95" s="305">
        <v>0.0439</v>
      </c>
      <c r="F95" s="442">
        <f>F94*E95</f>
        <v>13.345600000000001</v>
      </c>
      <c r="G95" s="303"/>
      <c r="H95" s="303">
        <f>G95*F95</f>
        <v>0</v>
      </c>
    </row>
    <row r="96" spans="1:8" ht="24.75" customHeight="1">
      <c r="A96" s="482"/>
      <c r="B96" s="300" t="s">
        <v>2</v>
      </c>
      <c r="C96" s="481" t="s">
        <v>915</v>
      </c>
      <c r="D96" s="305" t="s">
        <v>503</v>
      </c>
      <c r="E96" s="305">
        <v>0.02</v>
      </c>
      <c r="F96" s="442">
        <f>E96*F94</f>
        <v>6.08</v>
      </c>
      <c r="G96" s="303"/>
      <c r="H96" s="303">
        <f>G96*F96</f>
        <v>0</v>
      </c>
    </row>
    <row r="97" spans="1:8" ht="31.5" customHeight="1">
      <c r="A97" s="482"/>
      <c r="B97" s="362" t="s">
        <v>924</v>
      </c>
      <c r="C97" s="357" t="s">
        <v>337</v>
      </c>
      <c r="D97" s="357" t="s">
        <v>317</v>
      </c>
      <c r="E97" s="358">
        <v>0.1</v>
      </c>
      <c r="F97" s="372">
        <f>E97*F94</f>
        <v>30.400000000000002</v>
      </c>
      <c r="G97" s="468"/>
      <c r="H97" s="222">
        <f>F97*G97</f>
        <v>0</v>
      </c>
    </row>
    <row r="98" spans="1:8" ht="79.5" customHeight="1">
      <c r="A98" s="443" t="s">
        <v>96</v>
      </c>
      <c r="B98" s="444" t="s">
        <v>290</v>
      </c>
      <c r="C98" s="445" t="s">
        <v>925</v>
      </c>
      <c r="D98" s="446" t="s">
        <v>291</v>
      </c>
      <c r="E98" s="447"/>
      <c r="F98" s="448">
        <v>2</v>
      </c>
      <c r="G98" s="449"/>
      <c r="H98" s="450">
        <f>H99+H100</f>
        <v>0</v>
      </c>
    </row>
    <row r="99" spans="1:9" ht="34.5" customHeight="1">
      <c r="A99" s="451"/>
      <c r="B99" s="452" t="s">
        <v>290</v>
      </c>
      <c r="C99" s="453" t="s">
        <v>597</v>
      </c>
      <c r="D99" s="454" t="s">
        <v>291</v>
      </c>
      <c r="E99" s="435">
        <v>1</v>
      </c>
      <c r="F99" s="435">
        <f>E99*F98</f>
        <v>2</v>
      </c>
      <c r="G99" s="435"/>
      <c r="H99" s="435">
        <f>F99*G99</f>
        <v>0</v>
      </c>
      <c r="I99" s="197"/>
    </row>
    <row r="100" spans="1:8" ht="32.25" customHeight="1">
      <c r="A100" s="451"/>
      <c r="B100" s="452" t="s">
        <v>290</v>
      </c>
      <c r="C100" s="453" t="s">
        <v>926</v>
      </c>
      <c r="D100" s="454" t="s">
        <v>291</v>
      </c>
      <c r="E100" s="435">
        <v>1</v>
      </c>
      <c r="F100" s="435">
        <f>E100*F99</f>
        <v>2</v>
      </c>
      <c r="G100" s="435"/>
      <c r="H100" s="435">
        <f>F100*G100</f>
        <v>0</v>
      </c>
    </row>
    <row r="101" spans="1:8" ht="45" customHeight="1">
      <c r="A101" s="455" t="s">
        <v>69</v>
      </c>
      <c r="B101" s="444" t="s">
        <v>290</v>
      </c>
      <c r="C101" s="445" t="s">
        <v>437</v>
      </c>
      <c r="D101" s="456" t="s">
        <v>291</v>
      </c>
      <c r="E101" s="449"/>
      <c r="F101" s="448">
        <v>12</v>
      </c>
      <c r="G101" s="449"/>
      <c r="H101" s="450">
        <f>H103+H102</f>
        <v>0</v>
      </c>
    </row>
    <row r="102" spans="1:8" ht="32.25" customHeight="1">
      <c r="A102" s="451"/>
      <c r="B102" s="452" t="s">
        <v>290</v>
      </c>
      <c r="C102" s="453" t="s">
        <v>597</v>
      </c>
      <c r="D102" s="454" t="s">
        <v>291</v>
      </c>
      <c r="E102" s="435">
        <v>1</v>
      </c>
      <c r="F102" s="435">
        <f>F101*E102</f>
        <v>12</v>
      </c>
      <c r="G102" s="435"/>
      <c r="H102" s="435">
        <f>F102*G102</f>
        <v>0</v>
      </c>
    </row>
    <row r="103" spans="1:8" ht="33" customHeight="1">
      <c r="A103" s="451"/>
      <c r="B103" s="452" t="s">
        <v>290</v>
      </c>
      <c r="C103" s="453" t="s">
        <v>1125</v>
      </c>
      <c r="D103" s="454" t="s">
        <v>291</v>
      </c>
      <c r="E103" s="435">
        <v>1</v>
      </c>
      <c r="F103" s="435">
        <f>E103*F101</f>
        <v>12</v>
      </c>
      <c r="G103" s="435"/>
      <c r="H103" s="435">
        <f>F103*G103</f>
        <v>0</v>
      </c>
    </row>
    <row r="104" spans="1:8" ht="32.25" customHeight="1">
      <c r="A104" s="72"/>
      <c r="B104" s="48"/>
      <c r="C104" s="55" t="s">
        <v>89</v>
      </c>
      <c r="D104" s="55" t="s">
        <v>16</v>
      </c>
      <c r="E104" s="46"/>
      <c r="F104" s="222"/>
      <c r="G104" s="47"/>
      <c r="H104" s="137">
        <f>H7+H10+H12+H16+H18+H27+H34+H41+H43+H50+H52+H55+H58+H68+H80+H86+H90+H92+H94+H98+H101</f>
        <v>0</v>
      </c>
    </row>
    <row r="105" spans="1:8" ht="32.25" customHeight="1">
      <c r="A105" s="82"/>
      <c r="B105" s="48"/>
      <c r="C105" s="46" t="s">
        <v>227</v>
      </c>
      <c r="D105" s="46" t="s">
        <v>16</v>
      </c>
      <c r="E105" s="46"/>
      <c r="F105" s="53">
        <v>0.1</v>
      </c>
      <c r="G105" s="47"/>
      <c r="H105" s="52">
        <f>H104*F105</f>
        <v>0</v>
      </c>
    </row>
    <row r="106" spans="1:8" ht="33" customHeight="1">
      <c r="A106" s="82"/>
      <c r="B106" s="54"/>
      <c r="C106" s="55" t="s">
        <v>127</v>
      </c>
      <c r="D106" s="55" t="s">
        <v>16</v>
      </c>
      <c r="E106" s="55"/>
      <c r="F106" s="55"/>
      <c r="G106" s="70"/>
      <c r="H106" s="160">
        <f>H104+H105</f>
        <v>0</v>
      </c>
    </row>
    <row r="107" spans="1:8" ht="32.25" customHeight="1">
      <c r="A107" s="82"/>
      <c r="B107" s="48"/>
      <c r="C107" s="46" t="s">
        <v>39</v>
      </c>
      <c r="D107" s="46" t="s">
        <v>16</v>
      </c>
      <c r="E107" s="46"/>
      <c r="F107" s="53">
        <v>0.08</v>
      </c>
      <c r="G107" s="47"/>
      <c r="H107" s="52">
        <f>H106*F107</f>
        <v>0</v>
      </c>
    </row>
    <row r="108" spans="1:8" ht="62.25" customHeight="1">
      <c r="A108" s="72"/>
      <c r="B108" s="54"/>
      <c r="C108" s="363" t="s">
        <v>1613</v>
      </c>
      <c r="D108" s="55" t="s">
        <v>16</v>
      </c>
      <c r="E108" s="55"/>
      <c r="F108" s="162"/>
      <c r="G108" s="70"/>
      <c r="H108" s="160">
        <f>SUM(H106:H107)</f>
        <v>0</v>
      </c>
    </row>
    <row r="109" spans="1:8" ht="32.25" customHeight="1">
      <c r="A109" s="56"/>
      <c r="B109" s="57"/>
      <c r="C109" s="58"/>
      <c r="D109" s="59"/>
      <c r="E109" s="60"/>
      <c r="F109" s="199"/>
      <c r="G109" s="60"/>
      <c r="H109" s="78"/>
    </row>
    <row r="110" spans="1:8" ht="32.25" customHeight="1">
      <c r="A110" s="62"/>
      <c r="B110" s="57"/>
      <c r="C110" s="63"/>
      <c r="D110" s="659"/>
      <c r="E110" s="659"/>
      <c r="F110" s="659"/>
      <c r="G110" s="123"/>
      <c r="H110" s="196"/>
    </row>
  </sheetData>
  <sheetProtection/>
  <autoFilter ref="A6:I104"/>
  <mergeCells count="10">
    <mergeCell ref="G4:H4"/>
    <mergeCell ref="A1:H1"/>
    <mergeCell ref="A2:H2"/>
    <mergeCell ref="A3:H3"/>
    <mergeCell ref="D110:F110"/>
    <mergeCell ref="A4:A5"/>
    <mergeCell ref="B4:B5"/>
    <mergeCell ref="C4:C5"/>
    <mergeCell ref="D4:D5"/>
    <mergeCell ref="E4:F4"/>
  </mergeCells>
  <printOptions/>
  <pageMargins left="0.56" right="0.62" top="0.33" bottom="0.42"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Q764"/>
  <sheetViews>
    <sheetView zoomScalePageLayoutView="0" workbookViewId="0" topLeftCell="A1">
      <selection activeCell="A3" sqref="A3:H3"/>
    </sheetView>
  </sheetViews>
  <sheetFormatPr defaultColWidth="9.140625" defaultRowHeight="12.75"/>
  <cols>
    <col min="1" max="1" width="5.140625" style="14" customWidth="1"/>
    <col min="2" max="2" width="11.421875" style="15" customWidth="1"/>
    <col min="3" max="3" width="38.140625" style="1" customWidth="1"/>
    <col min="4" max="4" width="6.421875" style="1" customWidth="1"/>
    <col min="5" max="5" width="8.421875" style="1" customWidth="1"/>
    <col min="6" max="6" width="8.8515625" style="1" customWidth="1"/>
    <col min="7" max="7" width="7.8515625" style="1" customWidth="1"/>
    <col min="8" max="8" width="11.8515625" style="180" customWidth="1"/>
    <col min="9" max="9" width="10.28125" style="11" hidden="1" customWidth="1"/>
    <col min="10" max="10" width="9.00390625" style="11" hidden="1" customWidth="1"/>
    <col min="11" max="11" width="7.57421875" style="3" hidden="1" customWidth="1"/>
    <col min="12" max="14" width="9.140625" style="3" hidden="1" customWidth="1"/>
    <col min="15" max="15" width="9.140625" style="1" hidden="1" customWidth="1"/>
    <col min="16" max="16" width="0.42578125" style="1" hidden="1" customWidth="1"/>
    <col min="17" max="17" width="13.28125" style="1" customWidth="1"/>
    <col min="18" max="20" width="9.140625" style="1" customWidth="1"/>
    <col min="21" max="21" width="5.28125" style="1" customWidth="1"/>
    <col min="22" max="16384" width="9.140625" style="1" customWidth="1"/>
  </cols>
  <sheetData>
    <row r="1" spans="1:10" ht="32.25" customHeight="1">
      <c r="A1" s="660" t="str">
        <f>'ობ.ხ.№1'!A1</f>
        <v>qobuleTis municipalitetis sofel xucubanSi sajaro skolis Zveli korpusebis demontaJi da axali skolis Senobis mSenebloba</v>
      </c>
      <c r="B1" s="660"/>
      <c r="C1" s="660"/>
      <c r="D1" s="660"/>
      <c r="E1" s="660"/>
      <c r="F1" s="660"/>
      <c r="G1" s="660"/>
      <c r="H1" s="660"/>
      <c r="I1" s="33"/>
      <c r="J1" s="3"/>
    </row>
    <row r="2" spans="1:10" ht="21" customHeight="1">
      <c r="A2" s="661" t="s">
        <v>343</v>
      </c>
      <c r="B2" s="661"/>
      <c r="C2" s="661"/>
      <c r="D2" s="661"/>
      <c r="E2" s="661"/>
      <c r="F2" s="661"/>
      <c r="G2" s="661"/>
      <c r="H2" s="661"/>
      <c r="I2" s="19"/>
      <c r="J2" s="3"/>
    </row>
    <row r="3" spans="1:10" ht="21.75" customHeight="1">
      <c r="A3" s="662" t="s">
        <v>427</v>
      </c>
      <c r="B3" s="662"/>
      <c r="C3" s="662"/>
      <c r="D3" s="662"/>
      <c r="E3" s="662"/>
      <c r="F3" s="662"/>
      <c r="G3" s="662"/>
      <c r="H3" s="662"/>
      <c r="I3" s="19"/>
      <c r="J3" s="3"/>
    </row>
    <row r="4" spans="1:10" ht="18.75" customHeight="1">
      <c r="A4" s="661" t="s">
        <v>19</v>
      </c>
      <c r="B4" s="661"/>
      <c r="C4" s="661"/>
      <c r="D4" s="661"/>
      <c r="E4" s="661"/>
      <c r="F4" s="661"/>
      <c r="G4" s="661"/>
      <c r="H4" s="661"/>
      <c r="I4" s="19"/>
      <c r="J4" s="3"/>
    </row>
    <row r="5" spans="1:11" ht="28.5" customHeight="1">
      <c r="A5" s="651" t="s">
        <v>7</v>
      </c>
      <c r="B5" s="668" t="s">
        <v>8</v>
      </c>
      <c r="C5" s="666" t="s">
        <v>9</v>
      </c>
      <c r="D5" s="667" t="s">
        <v>6</v>
      </c>
      <c r="E5" s="654" t="s">
        <v>10</v>
      </c>
      <c r="F5" s="654"/>
      <c r="G5" s="654" t="s">
        <v>1</v>
      </c>
      <c r="H5" s="654"/>
      <c r="I5" s="17"/>
      <c r="J5" s="10"/>
      <c r="K5" s="10"/>
    </row>
    <row r="6" spans="1:14" ht="58.5" customHeight="1">
      <c r="A6" s="651"/>
      <c r="B6" s="668"/>
      <c r="C6" s="666"/>
      <c r="D6" s="667"/>
      <c r="E6" s="44" t="s">
        <v>11</v>
      </c>
      <c r="F6" s="44" t="s">
        <v>12</v>
      </c>
      <c r="G6" s="266" t="s">
        <v>11</v>
      </c>
      <c r="H6" s="179" t="s">
        <v>12</v>
      </c>
      <c r="I6" s="12"/>
      <c r="J6" s="12"/>
      <c r="K6" s="10"/>
      <c r="N6" s="3" t="s">
        <v>99</v>
      </c>
    </row>
    <row r="7" spans="1:14" s="5" customFormat="1" ht="15.75" customHeight="1">
      <c r="A7" s="235" t="s">
        <v>13</v>
      </c>
      <c r="B7" s="288">
        <v>2</v>
      </c>
      <c r="C7" s="236">
        <v>3</v>
      </c>
      <c r="D7" s="236">
        <v>4</v>
      </c>
      <c r="E7" s="236">
        <v>5</v>
      </c>
      <c r="F7" s="236">
        <v>6</v>
      </c>
      <c r="G7" s="268">
        <v>7</v>
      </c>
      <c r="H7" s="236">
        <v>8</v>
      </c>
      <c r="I7" s="9"/>
      <c r="J7" s="9"/>
      <c r="K7" s="16"/>
      <c r="L7" s="6"/>
      <c r="M7" s="6"/>
      <c r="N7" s="6"/>
    </row>
    <row r="8" spans="1:14" s="5" customFormat="1" ht="37.5" customHeight="1">
      <c r="A8" s="235"/>
      <c r="B8" s="663" t="s">
        <v>1261</v>
      </c>
      <c r="C8" s="664"/>
      <c r="D8" s="664"/>
      <c r="E8" s="665"/>
      <c r="F8" s="236"/>
      <c r="G8" s="267"/>
      <c r="H8" s="236"/>
      <c r="I8" s="9"/>
      <c r="J8" s="9"/>
      <c r="K8" s="16"/>
      <c r="L8" s="6"/>
      <c r="M8" s="6"/>
      <c r="N8" s="6"/>
    </row>
    <row r="9" spans="1:14" s="5" customFormat="1" ht="71.25" customHeight="1">
      <c r="A9" s="81" t="s">
        <v>13</v>
      </c>
      <c r="B9" s="54" t="s">
        <v>1031</v>
      </c>
      <c r="C9" s="55" t="s">
        <v>1317</v>
      </c>
      <c r="D9" s="55" t="s">
        <v>14</v>
      </c>
      <c r="E9" s="156"/>
      <c r="F9" s="379">
        <v>3768</v>
      </c>
      <c r="G9" s="70"/>
      <c r="H9" s="380">
        <f>H10+H11</f>
        <v>0</v>
      </c>
      <c r="I9" s="9"/>
      <c r="J9" s="9"/>
      <c r="K9" s="16"/>
      <c r="L9" s="6"/>
      <c r="M9" s="6"/>
      <c r="N9" s="6"/>
    </row>
    <row r="10" spans="1:14" s="5" customFormat="1" ht="28.5" customHeight="1">
      <c r="A10" s="82"/>
      <c r="B10" s="48" t="s">
        <v>4</v>
      </c>
      <c r="C10" s="46" t="s">
        <v>136</v>
      </c>
      <c r="D10" s="46" t="s">
        <v>5</v>
      </c>
      <c r="E10" s="546">
        <v>0.00996</v>
      </c>
      <c r="F10" s="161">
        <f>F9*E10</f>
        <v>37.52928</v>
      </c>
      <c r="G10" s="47"/>
      <c r="H10" s="222">
        <f>G10*F10</f>
        <v>0</v>
      </c>
      <c r="I10" s="9"/>
      <c r="J10" s="9"/>
      <c r="K10" s="16"/>
      <c r="L10" s="6"/>
      <c r="M10" s="6"/>
      <c r="N10" s="6"/>
    </row>
    <row r="11" spans="1:14" s="5" customFormat="1" ht="36" customHeight="1">
      <c r="A11" s="82"/>
      <c r="B11" s="45" t="s">
        <v>1048</v>
      </c>
      <c r="C11" s="46" t="s">
        <v>1032</v>
      </c>
      <c r="D11" s="46" t="s">
        <v>143</v>
      </c>
      <c r="E11" s="161">
        <v>0.0223</v>
      </c>
      <c r="F11" s="161">
        <f>F9*E11</f>
        <v>84.0264</v>
      </c>
      <c r="G11" s="52"/>
      <c r="H11" s="222">
        <f>G11*F11</f>
        <v>0</v>
      </c>
      <c r="I11" s="9"/>
      <c r="J11" s="9"/>
      <c r="K11" s="16"/>
      <c r="L11" s="6"/>
      <c r="M11" s="6"/>
      <c r="N11" s="6"/>
    </row>
    <row r="12" spans="1:14" s="5" customFormat="1" ht="58.5" customHeight="1">
      <c r="A12" s="221">
        <v>2</v>
      </c>
      <c r="B12" s="378" t="s">
        <v>36</v>
      </c>
      <c r="C12" s="375" t="s">
        <v>1149</v>
      </c>
      <c r="D12" s="375" t="s">
        <v>20</v>
      </c>
      <c r="E12" s="229"/>
      <c r="F12" s="379">
        <v>188</v>
      </c>
      <c r="G12" s="226"/>
      <c r="H12" s="380">
        <f>H13</f>
        <v>0</v>
      </c>
      <c r="I12" s="9"/>
      <c r="J12" s="9"/>
      <c r="K12" s="16"/>
      <c r="L12" s="6"/>
      <c r="M12" s="6"/>
      <c r="N12" s="6"/>
    </row>
    <row r="13" spans="1:14" s="5" customFormat="1" ht="24.75" customHeight="1">
      <c r="A13" s="497"/>
      <c r="B13" s="224" t="s">
        <v>4</v>
      </c>
      <c r="C13" s="496" t="s">
        <v>136</v>
      </c>
      <c r="D13" s="496" t="s">
        <v>5</v>
      </c>
      <c r="E13" s="496">
        <v>2.06</v>
      </c>
      <c r="F13" s="222">
        <f>F12*E13</f>
        <v>387.28000000000003</v>
      </c>
      <c r="G13" s="222"/>
      <c r="H13" s="222">
        <f>G13*F13</f>
        <v>0</v>
      </c>
      <c r="I13" s="9"/>
      <c r="J13" s="9"/>
      <c r="K13" s="16"/>
      <c r="L13" s="6"/>
      <c r="M13" s="6"/>
      <c r="N13" s="6"/>
    </row>
    <row r="14" spans="1:14" s="5" customFormat="1" ht="45" customHeight="1">
      <c r="A14" s="376" t="s">
        <v>63</v>
      </c>
      <c r="B14" s="79" t="s">
        <v>140</v>
      </c>
      <c r="C14" s="375" t="s">
        <v>1051</v>
      </c>
      <c r="D14" s="375" t="s">
        <v>14</v>
      </c>
      <c r="E14" s="375"/>
      <c r="F14" s="226">
        <v>40.7</v>
      </c>
      <c r="G14" s="70"/>
      <c r="H14" s="380">
        <f>SUM(H15:H18)</f>
        <v>0</v>
      </c>
      <c r="I14" s="9"/>
      <c r="J14" s="9"/>
      <c r="K14" s="16"/>
      <c r="L14" s="6"/>
      <c r="M14" s="6"/>
      <c r="N14" s="6"/>
    </row>
    <row r="15" spans="1:14" s="5" customFormat="1" ht="21.75" customHeight="1">
      <c r="A15" s="82"/>
      <c r="B15" s="48" t="s">
        <v>4</v>
      </c>
      <c r="C15" s="46" t="s">
        <v>136</v>
      </c>
      <c r="D15" s="496" t="s">
        <v>5</v>
      </c>
      <c r="E15" s="46">
        <v>3.52</v>
      </c>
      <c r="F15" s="47">
        <f>E15*F14</f>
        <v>143.264</v>
      </c>
      <c r="G15" s="52"/>
      <c r="H15" s="222">
        <f>G15*F15</f>
        <v>0</v>
      </c>
      <c r="I15" s="9"/>
      <c r="J15" s="9"/>
      <c r="K15" s="16"/>
      <c r="L15" s="6"/>
      <c r="M15" s="6"/>
      <c r="N15" s="6"/>
    </row>
    <row r="16" spans="1:14" s="5" customFormat="1" ht="21" customHeight="1">
      <c r="A16" s="82"/>
      <c r="B16" s="45" t="s">
        <v>4</v>
      </c>
      <c r="C16" s="496" t="s">
        <v>137</v>
      </c>
      <c r="D16" s="46" t="s">
        <v>16</v>
      </c>
      <c r="E16" s="46">
        <v>1.06</v>
      </c>
      <c r="F16" s="157">
        <f>F14*E16</f>
        <v>43.142</v>
      </c>
      <c r="G16" s="47"/>
      <c r="H16" s="47">
        <f>G16*F16</f>
        <v>0</v>
      </c>
      <c r="I16" s="9"/>
      <c r="J16" s="9"/>
      <c r="K16" s="16"/>
      <c r="L16" s="6"/>
      <c r="M16" s="6"/>
      <c r="N16" s="6"/>
    </row>
    <row r="17" spans="1:14" s="5" customFormat="1" ht="20.25" customHeight="1">
      <c r="A17" s="82"/>
      <c r="B17" s="45" t="s">
        <v>585</v>
      </c>
      <c r="C17" s="46" t="s">
        <v>141</v>
      </c>
      <c r="D17" s="46" t="s">
        <v>14</v>
      </c>
      <c r="E17" s="46">
        <v>1.24</v>
      </c>
      <c r="F17" s="47">
        <f>E17*F14</f>
        <v>50.468</v>
      </c>
      <c r="G17" s="47"/>
      <c r="H17" s="47">
        <f>G17*F17</f>
        <v>0</v>
      </c>
      <c r="I17" s="9"/>
      <c r="J17" s="9"/>
      <c r="K17" s="16"/>
      <c r="L17" s="6"/>
      <c r="M17" s="6"/>
      <c r="N17" s="6"/>
    </row>
    <row r="18" spans="1:14" s="5" customFormat="1" ht="21.75" customHeight="1">
      <c r="A18" s="82"/>
      <c r="B18" s="48" t="s">
        <v>4</v>
      </c>
      <c r="C18" s="496" t="s">
        <v>24</v>
      </c>
      <c r="D18" s="46" t="s">
        <v>16</v>
      </c>
      <c r="E18" s="46">
        <v>0.01</v>
      </c>
      <c r="F18" s="47">
        <f>E18*F14</f>
        <v>0.40700000000000003</v>
      </c>
      <c r="G18" s="47"/>
      <c r="H18" s="47">
        <f>G18*F18</f>
        <v>0</v>
      </c>
      <c r="I18" s="9"/>
      <c r="J18" s="9"/>
      <c r="K18" s="16"/>
      <c r="L18" s="6"/>
      <c r="M18" s="6"/>
      <c r="N18" s="6"/>
    </row>
    <row r="19" spans="1:14" s="5" customFormat="1" ht="50.25" customHeight="1">
      <c r="A19" s="378" t="s">
        <v>64</v>
      </c>
      <c r="B19" s="378" t="s">
        <v>1034</v>
      </c>
      <c r="C19" s="375" t="s">
        <v>1049</v>
      </c>
      <c r="D19" s="375" t="s">
        <v>20</v>
      </c>
      <c r="E19" s="375"/>
      <c r="F19" s="226">
        <f>F14+0</f>
        <v>40.7</v>
      </c>
      <c r="G19" s="226"/>
      <c r="H19" s="380">
        <f>H20+H21</f>
        <v>0</v>
      </c>
      <c r="I19" s="9"/>
      <c r="J19" s="9"/>
      <c r="K19" s="16"/>
      <c r="L19" s="6"/>
      <c r="M19" s="6"/>
      <c r="N19" s="6"/>
    </row>
    <row r="20" spans="1:14" s="5" customFormat="1" ht="28.5" customHeight="1">
      <c r="A20" s="224"/>
      <c r="B20" s="227" t="s">
        <v>443</v>
      </c>
      <c r="C20" s="496" t="s">
        <v>1035</v>
      </c>
      <c r="D20" s="496" t="s">
        <v>5</v>
      </c>
      <c r="E20" s="313">
        <f>(12.9-2*1.27)/1000</f>
        <v>0.01036</v>
      </c>
      <c r="F20" s="225">
        <f>E20*F19</f>
        <v>0.421652</v>
      </c>
      <c r="G20" s="222"/>
      <c r="H20" s="222">
        <f>G20*F20</f>
        <v>0</v>
      </c>
      <c r="I20" s="9"/>
      <c r="J20" s="9"/>
      <c r="K20" s="16"/>
      <c r="L20" s="6"/>
      <c r="M20" s="6"/>
      <c r="N20" s="6"/>
    </row>
    <row r="21" spans="1:14" s="5" customFormat="1" ht="31.5" customHeight="1">
      <c r="A21" s="224"/>
      <c r="B21" s="227" t="s">
        <v>1050</v>
      </c>
      <c r="C21" s="496" t="s">
        <v>1036</v>
      </c>
      <c r="D21" s="496" t="s">
        <v>5</v>
      </c>
      <c r="E21" s="313">
        <f>(3.18-2*0.32)/1000</f>
        <v>0.00254</v>
      </c>
      <c r="F21" s="313">
        <f>E21*F19</f>
        <v>0.10337800000000001</v>
      </c>
      <c r="G21" s="222"/>
      <c r="H21" s="222">
        <f>G21*F21</f>
        <v>0</v>
      </c>
      <c r="I21" s="9"/>
      <c r="J21" s="9"/>
      <c r="K21" s="16"/>
      <c r="L21" s="6"/>
      <c r="M21" s="6"/>
      <c r="N21" s="6"/>
    </row>
    <row r="22" spans="1:14" s="5" customFormat="1" ht="42" customHeight="1">
      <c r="A22" s="81" t="s">
        <v>41</v>
      </c>
      <c r="B22" s="68" t="s">
        <v>1037</v>
      </c>
      <c r="C22" s="375" t="s">
        <v>1585</v>
      </c>
      <c r="D22" s="55" t="s">
        <v>14</v>
      </c>
      <c r="E22" s="55"/>
      <c r="F22" s="379">
        <v>40.7</v>
      </c>
      <c r="G22" s="70"/>
      <c r="H22" s="380">
        <f>SUM(H23:H26)</f>
        <v>0</v>
      </c>
      <c r="I22" s="9"/>
      <c r="J22" s="9"/>
      <c r="K22" s="16"/>
      <c r="L22" s="6"/>
      <c r="M22" s="6"/>
      <c r="N22" s="6"/>
    </row>
    <row r="23" spans="1:14" s="5" customFormat="1" ht="20.25" customHeight="1">
      <c r="A23" s="82"/>
      <c r="B23" s="45" t="s">
        <v>4</v>
      </c>
      <c r="C23" s="496" t="s">
        <v>136</v>
      </c>
      <c r="D23" s="46" t="s">
        <v>5</v>
      </c>
      <c r="E23" s="46">
        <v>1.37</v>
      </c>
      <c r="F23" s="157">
        <f>E23*F22</f>
        <v>55.75900000000001</v>
      </c>
      <c r="G23" s="47"/>
      <c r="H23" s="222">
        <f>G23*F23</f>
        <v>0</v>
      </c>
      <c r="I23" s="9"/>
      <c r="J23" s="9"/>
      <c r="K23" s="16"/>
      <c r="L23" s="6"/>
      <c r="M23" s="6"/>
      <c r="N23" s="6"/>
    </row>
    <row r="24" spans="1:14" s="5" customFormat="1" ht="23.25" customHeight="1">
      <c r="A24" s="82"/>
      <c r="B24" s="45" t="s">
        <v>4</v>
      </c>
      <c r="C24" s="496" t="s">
        <v>137</v>
      </c>
      <c r="D24" s="46" t="s">
        <v>16</v>
      </c>
      <c r="E24" s="46">
        <v>0.283</v>
      </c>
      <c r="F24" s="157">
        <f>F22*E24</f>
        <v>11.5181</v>
      </c>
      <c r="G24" s="47"/>
      <c r="H24" s="47">
        <f>G24*F24</f>
        <v>0</v>
      </c>
      <c r="I24" s="9"/>
      <c r="J24" s="9"/>
      <c r="K24" s="16"/>
      <c r="L24" s="6"/>
      <c r="M24" s="6"/>
      <c r="N24" s="6"/>
    </row>
    <row r="25" spans="1:14" s="5" customFormat="1" ht="20.25" customHeight="1">
      <c r="A25" s="82"/>
      <c r="B25" s="45" t="s">
        <v>1333</v>
      </c>
      <c r="C25" s="496" t="s">
        <v>1586</v>
      </c>
      <c r="D25" s="46" t="s">
        <v>14</v>
      </c>
      <c r="E25" s="46">
        <v>1.02</v>
      </c>
      <c r="F25" s="157">
        <f>E25*F22</f>
        <v>41.514</v>
      </c>
      <c r="G25" s="222"/>
      <c r="H25" s="47">
        <f>G25*F25</f>
        <v>0</v>
      </c>
      <c r="I25" s="9"/>
      <c r="J25" s="9"/>
      <c r="K25" s="16"/>
      <c r="L25" s="6"/>
      <c r="M25" s="6"/>
      <c r="N25" s="6"/>
    </row>
    <row r="26" spans="1:14" s="5" customFormat="1" ht="26.25" customHeight="1">
      <c r="A26" s="82"/>
      <c r="B26" s="223" t="s">
        <v>4</v>
      </c>
      <c r="C26" s="46" t="s">
        <v>18</v>
      </c>
      <c r="D26" s="46" t="s">
        <v>16</v>
      </c>
      <c r="E26" s="46">
        <v>0.62</v>
      </c>
      <c r="F26" s="157">
        <f>E26*F22</f>
        <v>25.234</v>
      </c>
      <c r="G26" s="47"/>
      <c r="H26" s="47">
        <f>G26*F26</f>
        <v>0</v>
      </c>
      <c r="I26" s="9"/>
      <c r="J26" s="9"/>
      <c r="K26" s="16"/>
      <c r="L26" s="6"/>
      <c r="M26" s="6"/>
      <c r="N26" s="6"/>
    </row>
    <row r="27" spans="1:14" s="5" customFormat="1" ht="49.5" customHeight="1">
      <c r="A27" s="81" t="s">
        <v>44</v>
      </c>
      <c r="B27" s="79" t="s">
        <v>1052</v>
      </c>
      <c r="C27" s="55" t="s">
        <v>1587</v>
      </c>
      <c r="D27" s="55" t="s">
        <v>20</v>
      </c>
      <c r="E27" s="55"/>
      <c r="F27" s="226">
        <v>147.9</v>
      </c>
      <c r="G27" s="70"/>
      <c r="H27" s="380">
        <f>SUM(H28:H35)</f>
        <v>0</v>
      </c>
      <c r="I27" s="9"/>
      <c r="J27" s="9"/>
      <c r="K27" s="16"/>
      <c r="L27" s="6"/>
      <c r="M27" s="6"/>
      <c r="N27" s="6"/>
    </row>
    <row r="28" spans="1:14" s="5" customFormat="1" ht="26.25" customHeight="1">
      <c r="A28" s="82"/>
      <c r="B28" s="48" t="s">
        <v>4</v>
      </c>
      <c r="C28" s="46" t="s">
        <v>136</v>
      </c>
      <c r="D28" s="496" t="s">
        <v>5</v>
      </c>
      <c r="E28" s="46">
        <v>6.66</v>
      </c>
      <c r="F28" s="157">
        <f>E28*F27</f>
        <v>985.014</v>
      </c>
      <c r="G28" s="52"/>
      <c r="H28" s="222">
        <f aca="true" t="shared" si="0" ref="H28:H35">G28*F28</f>
        <v>0</v>
      </c>
      <c r="I28" s="9"/>
      <c r="J28" s="9"/>
      <c r="K28" s="16"/>
      <c r="L28" s="6"/>
      <c r="M28" s="6"/>
      <c r="N28" s="6"/>
    </row>
    <row r="29" spans="1:14" s="5" customFormat="1" ht="26.25" customHeight="1">
      <c r="A29" s="82"/>
      <c r="B29" s="48" t="s">
        <v>4</v>
      </c>
      <c r="C29" s="46" t="s">
        <v>137</v>
      </c>
      <c r="D29" s="46" t="s">
        <v>16</v>
      </c>
      <c r="E29" s="46">
        <v>0.59</v>
      </c>
      <c r="F29" s="157">
        <f>F27*E29</f>
        <v>87.261</v>
      </c>
      <c r="G29" s="47"/>
      <c r="H29" s="47">
        <f t="shared" si="0"/>
        <v>0</v>
      </c>
      <c r="I29" s="9"/>
      <c r="J29" s="9"/>
      <c r="K29" s="16"/>
      <c r="L29" s="6"/>
      <c r="M29" s="6"/>
      <c r="N29" s="6"/>
    </row>
    <row r="30" spans="1:14" s="5" customFormat="1" ht="26.25" customHeight="1">
      <c r="A30" s="82"/>
      <c r="B30" s="48" t="s">
        <v>2</v>
      </c>
      <c r="C30" s="46" t="s">
        <v>1038</v>
      </c>
      <c r="D30" s="46" t="s">
        <v>14</v>
      </c>
      <c r="E30" s="46">
        <v>1.015</v>
      </c>
      <c r="F30" s="157">
        <f>F27*E30</f>
        <v>150.11849999999998</v>
      </c>
      <c r="G30" s="47"/>
      <c r="H30" s="52">
        <f t="shared" si="0"/>
        <v>0</v>
      </c>
      <c r="I30" s="9"/>
      <c r="J30" s="9"/>
      <c r="K30" s="16"/>
      <c r="L30" s="6"/>
      <c r="M30" s="6"/>
      <c r="N30" s="6"/>
    </row>
    <row r="31" spans="1:14" s="5" customFormat="1" ht="26.25" customHeight="1">
      <c r="A31" s="82"/>
      <c r="B31" s="48" t="s">
        <v>594</v>
      </c>
      <c r="C31" s="46" t="s">
        <v>1588</v>
      </c>
      <c r="D31" s="46" t="s">
        <v>14</v>
      </c>
      <c r="E31" s="46">
        <v>1.015</v>
      </c>
      <c r="F31" s="157">
        <f>E31*F27</f>
        <v>150.11849999999998</v>
      </c>
      <c r="G31" s="222"/>
      <c r="H31" s="47">
        <f t="shared" si="0"/>
        <v>0</v>
      </c>
      <c r="I31" s="9"/>
      <c r="J31" s="9"/>
      <c r="K31" s="16"/>
      <c r="L31" s="6"/>
      <c r="M31" s="6"/>
      <c r="N31" s="6"/>
    </row>
    <row r="32" spans="1:14" s="5" customFormat="1" ht="28.5" customHeight="1">
      <c r="A32" s="82"/>
      <c r="B32" s="496" t="s">
        <v>1340</v>
      </c>
      <c r="C32" s="46" t="s">
        <v>1055</v>
      </c>
      <c r="D32" s="46" t="s">
        <v>42</v>
      </c>
      <c r="E32" s="46" t="s">
        <v>179</v>
      </c>
      <c r="F32" s="157">
        <v>10.069</v>
      </c>
      <c r="G32" s="222"/>
      <c r="H32" s="47">
        <f t="shared" si="0"/>
        <v>0</v>
      </c>
      <c r="I32" s="9"/>
      <c r="J32" s="9"/>
      <c r="K32" s="16"/>
      <c r="L32" s="6"/>
      <c r="M32" s="6"/>
      <c r="N32" s="6"/>
    </row>
    <row r="33" spans="1:14" s="5" customFormat="1" ht="30" customHeight="1">
      <c r="A33" s="82"/>
      <c r="B33" s="496" t="s">
        <v>1330</v>
      </c>
      <c r="C33" s="46" t="s">
        <v>1039</v>
      </c>
      <c r="D33" s="46" t="s">
        <v>48</v>
      </c>
      <c r="E33" s="46">
        <v>1.6</v>
      </c>
      <c r="F33" s="157">
        <f>F27*E33</f>
        <v>236.64000000000001</v>
      </c>
      <c r="G33" s="47"/>
      <c r="H33" s="47">
        <f t="shared" si="0"/>
        <v>0</v>
      </c>
      <c r="I33" s="9"/>
      <c r="J33" s="9"/>
      <c r="K33" s="16"/>
      <c r="L33" s="6"/>
      <c r="M33" s="6"/>
      <c r="N33" s="6"/>
    </row>
    <row r="34" spans="1:14" s="5" customFormat="1" ht="29.25" customHeight="1">
      <c r="A34" s="82"/>
      <c r="B34" s="48" t="s">
        <v>1331</v>
      </c>
      <c r="C34" s="46" t="s">
        <v>1040</v>
      </c>
      <c r="D34" s="46" t="s">
        <v>14</v>
      </c>
      <c r="E34" s="46">
        <v>0.0183</v>
      </c>
      <c r="F34" s="157">
        <f>F27*E34</f>
        <v>2.70657</v>
      </c>
      <c r="G34" s="47"/>
      <c r="H34" s="47">
        <f t="shared" si="0"/>
        <v>0</v>
      </c>
      <c r="I34" s="9"/>
      <c r="J34" s="9"/>
      <c r="K34" s="16"/>
      <c r="L34" s="6"/>
      <c r="M34" s="6"/>
      <c r="N34" s="6"/>
    </row>
    <row r="35" spans="1:14" s="5" customFormat="1" ht="26.25" customHeight="1">
      <c r="A35" s="82"/>
      <c r="B35" s="45" t="s">
        <v>4</v>
      </c>
      <c r="C35" s="496" t="s">
        <v>24</v>
      </c>
      <c r="D35" s="46" t="s">
        <v>16</v>
      </c>
      <c r="E35" s="46">
        <v>0.4</v>
      </c>
      <c r="F35" s="157">
        <f>E35*F27</f>
        <v>59.160000000000004</v>
      </c>
      <c r="G35" s="47"/>
      <c r="H35" s="47">
        <f t="shared" si="0"/>
        <v>0</v>
      </c>
      <c r="I35" s="9"/>
      <c r="J35" s="9"/>
      <c r="K35" s="16"/>
      <c r="L35" s="6"/>
      <c r="M35" s="6"/>
      <c r="N35" s="6"/>
    </row>
    <row r="36" spans="1:14" s="5" customFormat="1" ht="44.25" customHeight="1">
      <c r="A36" s="81" t="s">
        <v>45</v>
      </c>
      <c r="B36" s="79" t="s">
        <v>1056</v>
      </c>
      <c r="C36" s="55" t="s">
        <v>1589</v>
      </c>
      <c r="D36" s="55" t="s">
        <v>20</v>
      </c>
      <c r="E36" s="55"/>
      <c r="F36" s="226">
        <v>173.4</v>
      </c>
      <c r="G36" s="70"/>
      <c r="H36" s="380">
        <f>SUM(H37:H46)</f>
        <v>0</v>
      </c>
      <c r="I36" s="9"/>
      <c r="J36" s="9"/>
      <c r="K36" s="16"/>
      <c r="L36" s="6"/>
      <c r="M36" s="6"/>
      <c r="N36" s="6"/>
    </row>
    <row r="37" spans="1:14" s="5" customFormat="1" ht="26.25" customHeight="1">
      <c r="A37" s="82"/>
      <c r="B37" s="48" t="s">
        <v>4</v>
      </c>
      <c r="C37" s="46" t="s">
        <v>136</v>
      </c>
      <c r="D37" s="496" t="s">
        <v>5</v>
      </c>
      <c r="E37" s="46">
        <v>11.1</v>
      </c>
      <c r="F37" s="708">
        <f>E37*F36</f>
        <v>1924.74</v>
      </c>
      <c r="G37" s="52"/>
      <c r="H37" s="222">
        <f aca="true" t="shared" si="1" ref="H37:H44">G37*F37</f>
        <v>0</v>
      </c>
      <c r="I37" s="9"/>
      <c r="J37" s="9"/>
      <c r="K37" s="16"/>
      <c r="L37" s="6"/>
      <c r="M37" s="6"/>
      <c r="N37" s="6"/>
    </row>
    <row r="38" spans="1:14" s="5" customFormat="1" ht="23.25" customHeight="1">
      <c r="A38" s="82"/>
      <c r="B38" s="48" t="s">
        <v>4</v>
      </c>
      <c r="C38" s="46" t="s">
        <v>137</v>
      </c>
      <c r="D38" s="46" t="s">
        <v>16</v>
      </c>
      <c r="E38" s="46">
        <v>0.96</v>
      </c>
      <c r="F38" s="157">
        <f>F36*E38</f>
        <v>166.464</v>
      </c>
      <c r="G38" s="47"/>
      <c r="H38" s="47">
        <f t="shared" si="1"/>
        <v>0</v>
      </c>
      <c r="I38" s="9"/>
      <c r="J38" s="9"/>
      <c r="K38" s="16"/>
      <c r="L38" s="6"/>
      <c r="M38" s="6"/>
      <c r="N38" s="6"/>
    </row>
    <row r="39" spans="1:14" s="5" customFormat="1" ht="26.25" customHeight="1">
      <c r="A39" s="82"/>
      <c r="B39" s="48" t="s">
        <v>2</v>
      </c>
      <c r="C39" s="46" t="s">
        <v>1038</v>
      </c>
      <c r="D39" s="46" t="s">
        <v>14</v>
      </c>
      <c r="E39" s="46">
        <v>1.015</v>
      </c>
      <c r="F39" s="157">
        <f>F36*E39</f>
        <v>176.00099999999998</v>
      </c>
      <c r="G39" s="47"/>
      <c r="H39" s="52">
        <f t="shared" si="1"/>
        <v>0</v>
      </c>
      <c r="I39" s="9"/>
      <c r="J39" s="9"/>
      <c r="K39" s="16"/>
      <c r="L39" s="6"/>
      <c r="M39" s="6"/>
      <c r="N39" s="6"/>
    </row>
    <row r="40" spans="1:14" s="5" customFormat="1" ht="26.25" customHeight="1">
      <c r="A40" s="82"/>
      <c r="B40" s="48" t="s">
        <v>594</v>
      </c>
      <c r="C40" s="46" t="s">
        <v>1588</v>
      </c>
      <c r="D40" s="46" t="s">
        <v>14</v>
      </c>
      <c r="E40" s="46">
        <v>1.015</v>
      </c>
      <c r="F40" s="157">
        <f>E40*F36</f>
        <v>176.00099999999998</v>
      </c>
      <c r="G40" s="222"/>
      <c r="H40" s="47">
        <f t="shared" si="1"/>
        <v>0</v>
      </c>
      <c r="I40" s="9"/>
      <c r="J40" s="9"/>
      <c r="K40" s="16"/>
      <c r="L40" s="6"/>
      <c r="M40" s="6"/>
      <c r="N40" s="6"/>
    </row>
    <row r="41" spans="1:14" s="5" customFormat="1" ht="26.25" customHeight="1">
      <c r="A41" s="82"/>
      <c r="B41" s="496" t="s">
        <v>1338</v>
      </c>
      <c r="C41" s="46" t="s">
        <v>1054</v>
      </c>
      <c r="D41" s="46" t="s">
        <v>42</v>
      </c>
      <c r="E41" s="46" t="s">
        <v>179</v>
      </c>
      <c r="F41" s="157">
        <v>1.36</v>
      </c>
      <c r="G41" s="222"/>
      <c r="H41" s="47">
        <f t="shared" si="1"/>
        <v>0</v>
      </c>
      <c r="I41" s="9"/>
      <c r="J41" s="9"/>
      <c r="K41" s="16"/>
      <c r="L41" s="6"/>
      <c r="M41" s="6"/>
      <c r="N41" s="6"/>
    </row>
    <row r="42" spans="1:14" s="5" customFormat="1" ht="26.25" customHeight="1">
      <c r="A42" s="82"/>
      <c r="B42" s="496" t="s">
        <v>1340</v>
      </c>
      <c r="C42" s="46" t="s">
        <v>1055</v>
      </c>
      <c r="D42" s="46" t="s">
        <v>42</v>
      </c>
      <c r="E42" s="46" t="s">
        <v>179</v>
      </c>
      <c r="F42" s="157">
        <v>11.417</v>
      </c>
      <c r="G42" s="222"/>
      <c r="H42" s="47">
        <f t="shared" si="1"/>
        <v>0</v>
      </c>
      <c r="I42" s="9"/>
      <c r="J42" s="9"/>
      <c r="K42" s="16"/>
      <c r="L42" s="6"/>
      <c r="M42" s="6"/>
      <c r="N42" s="6"/>
    </row>
    <row r="43" spans="1:14" s="5" customFormat="1" ht="26.25" customHeight="1">
      <c r="A43" s="82"/>
      <c r="B43" s="496" t="s">
        <v>1330</v>
      </c>
      <c r="C43" s="46" t="s">
        <v>1039</v>
      </c>
      <c r="D43" s="46" t="s">
        <v>48</v>
      </c>
      <c r="E43" s="46">
        <v>2.05</v>
      </c>
      <c r="F43" s="157">
        <f>F36*E43</f>
        <v>355.46999999999997</v>
      </c>
      <c r="G43" s="47"/>
      <c r="H43" s="47">
        <f t="shared" si="1"/>
        <v>0</v>
      </c>
      <c r="I43" s="9"/>
      <c r="J43" s="9"/>
      <c r="K43" s="16"/>
      <c r="L43" s="6"/>
      <c r="M43" s="6"/>
      <c r="N43" s="6"/>
    </row>
    <row r="44" spans="1:14" s="5" customFormat="1" ht="26.25" customHeight="1">
      <c r="A44" s="82"/>
      <c r="B44" s="48" t="s">
        <v>1331</v>
      </c>
      <c r="C44" s="46" t="s">
        <v>1040</v>
      </c>
      <c r="D44" s="46" t="s">
        <v>14</v>
      </c>
      <c r="E44" s="46">
        <v>0.0308</v>
      </c>
      <c r="F44" s="157">
        <f>F36*E44</f>
        <v>5.34072</v>
      </c>
      <c r="G44" s="47"/>
      <c r="H44" s="47">
        <f t="shared" si="1"/>
        <v>0</v>
      </c>
      <c r="I44" s="9"/>
      <c r="J44" s="9"/>
      <c r="K44" s="16"/>
      <c r="L44" s="6"/>
      <c r="M44" s="6"/>
      <c r="N44" s="6"/>
    </row>
    <row r="45" spans="1:14" s="5" customFormat="1" ht="26.25" customHeight="1">
      <c r="A45" s="48"/>
      <c r="B45" s="48" t="s">
        <v>425</v>
      </c>
      <c r="C45" s="46" t="s">
        <v>97</v>
      </c>
      <c r="D45" s="46" t="s">
        <v>53</v>
      </c>
      <c r="E45" s="47">
        <v>1.7</v>
      </c>
      <c r="F45" s="47">
        <f>E45*F36</f>
        <v>294.78000000000003</v>
      </c>
      <c r="G45" s="47"/>
      <c r="H45" s="512">
        <f>G45*F45</f>
        <v>0</v>
      </c>
      <c r="I45" s="9"/>
      <c r="J45" s="9"/>
      <c r="K45" s="16"/>
      <c r="L45" s="6"/>
      <c r="M45" s="6"/>
      <c r="N45" s="6"/>
    </row>
    <row r="46" spans="1:14" s="5" customFormat="1" ht="26.25" customHeight="1">
      <c r="A46" s="82"/>
      <c r="B46" s="45" t="s">
        <v>4</v>
      </c>
      <c r="C46" s="496" t="s">
        <v>24</v>
      </c>
      <c r="D46" s="46" t="s">
        <v>16</v>
      </c>
      <c r="E46" s="46">
        <v>0.7</v>
      </c>
      <c r="F46" s="157">
        <f>E46*F36</f>
        <v>121.38</v>
      </c>
      <c r="G46" s="47"/>
      <c r="H46" s="47">
        <f>G46*F46</f>
        <v>0</v>
      </c>
      <c r="I46" s="9"/>
      <c r="J46" s="9"/>
      <c r="K46" s="16"/>
      <c r="L46" s="6"/>
      <c r="M46" s="6"/>
      <c r="N46" s="6"/>
    </row>
    <row r="47" spans="1:14" s="5" customFormat="1" ht="39" customHeight="1">
      <c r="A47" s="376" t="s">
        <v>71</v>
      </c>
      <c r="B47" s="378" t="s">
        <v>73</v>
      </c>
      <c r="C47" s="375" t="s">
        <v>1042</v>
      </c>
      <c r="D47" s="375" t="s">
        <v>20</v>
      </c>
      <c r="E47" s="375"/>
      <c r="F47" s="226">
        <v>50</v>
      </c>
      <c r="G47" s="226"/>
      <c r="H47" s="380">
        <f>H48+0</f>
        <v>0</v>
      </c>
      <c r="I47" s="9"/>
      <c r="J47" s="9"/>
      <c r="K47" s="16"/>
      <c r="L47" s="6"/>
      <c r="M47" s="6"/>
      <c r="N47" s="6"/>
    </row>
    <row r="48" spans="1:14" s="5" customFormat="1" ht="25.5" customHeight="1">
      <c r="A48" s="497"/>
      <c r="B48" s="227" t="s">
        <v>4</v>
      </c>
      <c r="C48" s="496" t="s">
        <v>136</v>
      </c>
      <c r="D48" s="496" t="s">
        <v>5</v>
      </c>
      <c r="E48" s="225">
        <v>1.21</v>
      </c>
      <c r="F48" s="222">
        <f>F47*E48</f>
        <v>60.5</v>
      </c>
      <c r="G48" s="222"/>
      <c r="H48" s="222">
        <f>G48*F48</f>
        <v>0</v>
      </c>
      <c r="I48" s="9"/>
      <c r="J48" s="9"/>
      <c r="K48" s="16"/>
      <c r="L48" s="6"/>
      <c r="M48" s="6"/>
      <c r="N48" s="6"/>
    </row>
    <row r="49" spans="1:14" s="5" customFormat="1" ht="84" customHeight="1">
      <c r="A49" s="376" t="s">
        <v>66</v>
      </c>
      <c r="B49" s="378" t="s">
        <v>1043</v>
      </c>
      <c r="C49" s="375" t="s">
        <v>1058</v>
      </c>
      <c r="D49" s="375" t="s">
        <v>20</v>
      </c>
      <c r="E49" s="375"/>
      <c r="F49" s="226">
        <v>2998</v>
      </c>
      <c r="G49" s="226"/>
      <c r="H49" s="380">
        <f>H50+0</f>
        <v>0</v>
      </c>
      <c r="I49" s="9"/>
      <c r="J49" s="9"/>
      <c r="K49" s="16"/>
      <c r="L49" s="6"/>
      <c r="M49" s="6"/>
      <c r="N49" s="6"/>
    </row>
    <row r="50" spans="1:14" s="5" customFormat="1" ht="31.5" customHeight="1">
      <c r="A50" s="497"/>
      <c r="B50" s="227" t="s">
        <v>1057</v>
      </c>
      <c r="C50" s="496" t="s">
        <v>1044</v>
      </c>
      <c r="D50" s="496" t="s">
        <v>23</v>
      </c>
      <c r="E50" s="313">
        <f>(9.21+4*4.97)/1000</f>
        <v>0.02909</v>
      </c>
      <c r="F50" s="313">
        <f>F49*E50</f>
        <v>87.21182</v>
      </c>
      <c r="G50" s="222"/>
      <c r="H50" s="222">
        <f>G50*F50</f>
        <v>0</v>
      </c>
      <c r="I50" s="9"/>
      <c r="J50" s="9"/>
      <c r="K50" s="16"/>
      <c r="L50" s="6"/>
      <c r="M50" s="6"/>
      <c r="N50" s="6"/>
    </row>
    <row r="51" spans="1:14" s="5" customFormat="1" ht="59.25" customHeight="1">
      <c r="A51" s="376" t="s">
        <v>67</v>
      </c>
      <c r="B51" s="79" t="s">
        <v>280</v>
      </c>
      <c r="C51" s="375" t="s">
        <v>1133</v>
      </c>
      <c r="D51" s="375" t="s">
        <v>14</v>
      </c>
      <c r="E51" s="375"/>
      <c r="F51" s="226">
        <v>637</v>
      </c>
      <c r="G51" s="70"/>
      <c r="H51" s="380">
        <f>SUM(H52:H54)</f>
        <v>0</v>
      </c>
      <c r="I51" s="9"/>
      <c r="J51" s="9"/>
      <c r="K51" s="16"/>
      <c r="L51" s="6"/>
      <c r="M51" s="6"/>
      <c r="N51" s="6"/>
    </row>
    <row r="52" spans="1:14" s="5" customFormat="1" ht="24" customHeight="1">
      <c r="A52" s="82"/>
      <c r="B52" s="48" t="s">
        <v>4</v>
      </c>
      <c r="C52" s="46" t="s">
        <v>136</v>
      </c>
      <c r="D52" s="496" t="s">
        <v>5</v>
      </c>
      <c r="E52" s="46">
        <v>3.16</v>
      </c>
      <c r="F52" s="47">
        <f>E52*F51</f>
        <v>2012.92</v>
      </c>
      <c r="G52" s="52"/>
      <c r="H52" s="222">
        <f>G52*F52</f>
        <v>0</v>
      </c>
      <c r="I52" s="9"/>
      <c r="J52" s="9"/>
      <c r="K52" s="16"/>
      <c r="L52" s="6"/>
      <c r="M52" s="6"/>
      <c r="N52" s="6"/>
    </row>
    <row r="53" spans="1:14" s="5" customFormat="1" ht="22.5" customHeight="1">
      <c r="A53" s="82"/>
      <c r="B53" s="45" t="s">
        <v>1341</v>
      </c>
      <c r="C53" s="46" t="s">
        <v>1033</v>
      </c>
      <c r="D53" s="46" t="s">
        <v>14</v>
      </c>
      <c r="E53" s="46">
        <v>1.25</v>
      </c>
      <c r="F53" s="47">
        <f>E53*F51</f>
        <v>796.25</v>
      </c>
      <c r="G53" s="47"/>
      <c r="H53" s="47">
        <f>G53*F53</f>
        <v>0</v>
      </c>
      <c r="I53" s="9"/>
      <c r="J53" s="9"/>
      <c r="K53" s="16"/>
      <c r="L53" s="6"/>
      <c r="M53" s="6"/>
      <c r="N53" s="6"/>
    </row>
    <row r="54" spans="1:14" s="5" customFormat="1" ht="24.75" customHeight="1">
      <c r="A54" s="82"/>
      <c r="B54" s="48" t="s">
        <v>4</v>
      </c>
      <c r="C54" s="496" t="s">
        <v>24</v>
      </c>
      <c r="D54" s="46" t="s">
        <v>16</v>
      </c>
      <c r="E54" s="46">
        <v>0.01</v>
      </c>
      <c r="F54" s="47">
        <f>E54*F51</f>
        <v>6.37</v>
      </c>
      <c r="G54" s="47"/>
      <c r="H54" s="47">
        <f>G54*F54</f>
        <v>0</v>
      </c>
      <c r="I54" s="9"/>
      <c r="J54" s="9"/>
      <c r="K54" s="16"/>
      <c r="L54" s="6"/>
      <c r="M54" s="6"/>
      <c r="N54" s="6"/>
    </row>
    <row r="55" spans="1:14" s="5" customFormat="1" ht="51.75" customHeight="1">
      <c r="A55" s="378" t="s">
        <v>81</v>
      </c>
      <c r="B55" s="378" t="s">
        <v>1034</v>
      </c>
      <c r="C55" s="375" t="s">
        <v>1059</v>
      </c>
      <c r="D55" s="375" t="s">
        <v>20</v>
      </c>
      <c r="E55" s="375"/>
      <c r="F55" s="226">
        <f>F47+F49+F51</f>
        <v>3685</v>
      </c>
      <c r="G55" s="226"/>
      <c r="H55" s="380">
        <f>H56+H57</f>
        <v>0</v>
      </c>
      <c r="I55" s="9"/>
      <c r="J55" s="9"/>
      <c r="K55" s="16"/>
      <c r="L55" s="6"/>
      <c r="M55" s="6"/>
      <c r="N55" s="6"/>
    </row>
    <row r="56" spans="1:14" s="5" customFormat="1" ht="31.5" customHeight="1">
      <c r="A56" s="224"/>
      <c r="B56" s="227" t="s">
        <v>443</v>
      </c>
      <c r="C56" s="496" t="s">
        <v>1035</v>
      </c>
      <c r="D56" s="496" t="s">
        <v>5</v>
      </c>
      <c r="E56" s="313">
        <f>(12.9-2*1.27)/1000</f>
        <v>0.01036</v>
      </c>
      <c r="F56" s="225">
        <f>E56*F55</f>
        <v>38.1766</v>
      </c>
      <c r="G56" s="222"/>
      <c r="H56" s="222">
        <f>G56*F56</f>
        <v>0</v>
      </c>
      <c r="I56" s="9"/>
      <c r="J56" s="9"/>
      <c r="K56" s="16"/>
      <c r="L56" s="6"/>
      <c r="M56" s="6"/>
      <c r="N56" s="6"/>
    </row>
    <row r="57" spans="1:14" s="5" customFormat="1" ht="34.5" customHeight="1">
      <c r="A57" s="224"/>
      <c r="B57" s="227" t="s">
        <v>1050</v>
      </c>
      <c r="C57" s="496" t="s">
        <v>1036</v>
      </c>
      <c r="D57" s="496" t="s">
        <v>5</v>
      </c>
      <c r="E57" s="313">
        <f>(3.18-2*0.32)/1000</f>
        <v>0.00254</v>
      </c>
      <c r="F57" s="313">
        <f>E57*F55</f>
        <v>9.359900000000001</v>
      </c>
      <c r="G57" s="222"/>
      <c r="H57" s="222">
        <f>G57*F57</f>
        <v>0</v>
      </c>
      <c r="I57" s="9"/>
      <c r="J57" s="9"/>
      <c r="K57" s="16"/>
      <c r="L57" s="6"/>
      <c r="M57" s="6"/>
      <c r="N57" s="6"/>
    </row>
    <row r="58" spans="1:14" s="5" customFormat="1" ht="54" customHeight="1">
      <c r="A58" s="376" t="s">
        <v>88</v>
      </c>
      <c r="B58" s="79" t="s">
        <v>98</v>
      </c>
      <c r="C58" s="375" t="s">
        <v>1590</v>
      </c>
      <c r="D58" s="375" t="s">
        <v>14</v>
      </c>
      <c r="E58" s="375"/>
      <c r="F58" s="226">
        <v>200.7</v>
      </c>
      <c r="G58" s="226"/>
      <c r="H58" s="380">
        <f>SUM(H59:H62)</f>
        <v>0</v>
      </c>
      <c r="I58" s="9"/>
      <c r="J58" s="9"/>
      <c r="K58" s="16"/>
      <c r="L58" s="6"/>
      <c r="M58" s="6"/>
      <c r="N58" s="6"/>
    </row>
    <row r="59" spans="1:14" s="5" customFormat="1" ht="21.75" customHeight="1">
      <c r="A59" s="82"/>
      <c r="B59" s="48" t="s">
        <v>4</v>
      </c>
      <c r="C59" s="46" t="s">
        <v>136</v>
      </c>
      <c r="D59" s="496" t="s">
        <v>5</v>
      </c>
      <c r="E59" s="46">
        <v>2.9</v>
      </c>
      <c r="F59" s="47">
        <f>E59*F58</f>
        <v>582.03</v>
      </c>
      <c r="G59" s="52"/>
      <c r="H59" s="222">
        <f>G59*F59</f>
        <v>0</v>
      </c>
      <c r="I59" s="9"/>
      <c r="J59" s="9"/>
      <c r="K59" s="16"/>
      <c r="L59" s="6"/>
      <c r="M59" s="6"/>
      <c r="N59" s="6"/>
    </row>
    <row r="60" spans="1:14" s="5" customFormat="1" ht="24" customHeight="1">
      <c r="A60" s="82"/>
      <c r="B60" s="48" t="s">
        <v>2</v>
      </c>
      <c r="C60" s="46" t="s">
        <v>1038</v>
      </c>
      <c r="D60" s="46" t="s">
        <v>14</v>
      </c>
      <c r="E60" s="46">
        <v>1.015</v>
      </c>
      <c r="F60" s="157">
        <f>E60*F58</f>
        <v>203.71049999999997</v>
      </c>
      <c r="G60" s="47"/>
      <c r="H60" s="52">
        <f>G60*F60</f>
        <v>0</v>
      </c>
      <c r="I60" s="9"/>
      <c r="J60" s="9"/>
      <c r="K60" s="16"/>
      <c r="L60" s="6"/>
      <c r="M60" s="6"/>
      <c r="N60" s="6"/>
    </row>
    <row r="61" spans="1:14" s="5" customFormat="1" ht="18.75" customHeight="1">
      <c r="A61" s="82"/>
      <c r="B61" s="48" t="s">
        <v>594</v>
      </c>
      <c r="C61" s="46" t="s">
        <v>1588</v>
      </c>
      <c r="D61" s="46" t="s">
        <v>14</v>
      </c>
      <c r="E61" s="46">
        <v>1.015</v>
      </c>
      <c r="F61" s="47">
        <f>F58*E61</f>
        <v>203.71049999999997</v>
      </c>
      <c r="G61" s="222"/>
      <c r="H61" s="47">
        <f>G61*F61</f>
        <v>0</v>
      </c>
      <c r="I61" s="9"/>
      <c r="J61" s="9"/>
      <c r="K61" s="16"/>
      <c r="L61" s="6"/>
      <c r="M61" s="6"/>
      <c r="N61" s="6"/>
    </row>
    <row r="62" spans="1:14" s="5" customFormat="1" ht="25.5" customHeight="1">
      <c r="A62" s="82"/>
      <c r="B62" s="48" t="s">
        <v>4</v>
      </c>
      <c r="C62" s="496" t="s">
        <v>24</v>
      </c>
      <c r="D62" s="46" t="s">
        <v>16</v>
      </c>
      <c r="E62" s="46">
        <v>0.88</v>
      </c>
      <c r="F62" s="47">
        <f>E62*F58</f>
        <v>176.61599999999999</v>
      </c>
      <c r="G62" s="47"/>
      <c r="H62" s="47">
        <f>G62*F62</f>
        <v>0</v>
      </c>
      <c r="I62" s="9"/>
      <c r="J62" s="9"/>
      <c r="K62" s="16"/>
      <c r="L62" s="6"/>
      <c r="M62" s="6"/>
      <c r="N62" s="6"/>
    </row>
    <row r="63" spans="1:14" s="5" customFormat="1" ht="54.75" customHeight="1">
      <c r="A63" s="71">
        <v>13</v>
      </c>
      <c r="B63" s="68" t="s">
        <v>887</v>
      </c>
      <c r="C63" s="55" t="s">
        <v>1060</v>
      </c>
      <c r="D63" s="55" t="s">
        <v>42</v>
      </c>
      <c r="E63" s="55"/>
      <c r="F63" s="547">
        <v>5.483</v>
      </c>
      <c r="G63" s="70"/>
      <c r="H63" s="380">
        <f>H64+H65+H66</f>
        <v>0</v>
      </c>
      <c r="I63" s="9"/>
      <c r="J63" s="9"/>
      <c r="K63" s="16"/>
      <c r="L63" s="6"/>
      <c r="M63" s="6"/>
      <c r="N63" s="6"/>
    </row>
    <row r="64" spans="1:14" s="5" customFormat="1" ht="21.75" customHeight="1">
      <c r="A64" s="71"/>
      <c r="B64" s="48" t="s">
        <v>4</v>
      </c>
      <c r="C64" s="46" t="s">
        <v>201</v>
      </c>
      <c r="D64" s="496" t="s">
        <v>5</v>
      </c>
      <c r="E64" s="51">
        <v>23.8</v>
      </c>
      <c r="F64" s="51">
        <f>F63*E64</f>
        <v>130.4954</v>
      </c>
      <c r="G64" s="47"/>
      <c r="H64" s="377">
        <f>F64*G64</f>
        <v>0</v>
      </c>
      <c r="I64" s="9"/>
      <c r="J64" s="9"/>
      <c r="K64" s="16"/>
      <c r="L64" s="6"/>
      <c r="M64" s="6"/>
      <c r="N64" s="6"/>
    </row>
    <row r="65" spans="1:14" s="5" customFormat="1" ht="21" customHeight="1">
      <c r="A65" s="48"/>
      <c r="B65" s="496" t="s">
        <v>1340</v>
      </c>
      <c r="C65" s="46" t="s">
        <v>1055</v>
      </c>
      <c r="D65" s="46" t="s">
        <v>42</v>
      </c>
      <c r="E65" s="46">
        <v>1.01</v>
      </c>
      <c r="F65" s="51">
        <f>E65*F63</f>
        <v>5.53783</v>
      </c>
      <c r="G65" s="222"/>
      <c r="H65" s="377">
        <f>F65*G65</f>
        <v>0</v>
      </c>
      <c r="I65" s="9"/>
      <c r="J65" s="9"/>
      <c r="K65" s="16"/>
      <c r="L65" s="6"/>
      <c r="M65" s="6"/>
      <c r="N65" s="6"/>
    </row>
    <row r="66" spans="1:14" s="5" customFormat="1" ht="21" customHeight="1">
      <c r="A66" s="48"/>
      <c r="B66" s="50" t="s">
        <v>1363</v>
      </c>
      <c r="C66" s="46" t="s">
        <v>50</v>
      </c>
      <c r="D66" s="46" t="s">
        <v>53</v>
      </c>
      <c r="E66" s="47">
        <v>5</v>
      </c>
      <c r="F66" s="51">
        <f>E66*F63</f>
        <v>27.415</v>
      </c>
      <c r="G66" s="47"/>
      <c r="H66" s="377">
        <f>F66*G66</f>
        <v>0</v>
      </c>
      <c r="I66" s="9"/>
      <c r="J66" s="9"/>
      <c r="K66" s="16"/>
      <c r="L66" s="6"/>
      <c r="M66" s="6"/>
      <c r="N66" s="6"/>
    </row>
    <row r="67" spans="1:14" s="5" customFormat="1" ht="51" customHeight="1">
      <c r="A67" s="81" t="s">
        <v>74</v>
      </c>
      <c r="B67" s="68" t="s">
        <v>152</v>
      </c>
      <c r="C67" s="55" t="s">
        <v>1591</v>
      </c>
      <c r="D67" s="55" t="s">
        <v>20</v>
      </c>
      <c r="E67" s="55"/>
      <c r="F67" s="226">
        <v>143.4</v>
      </c>
      <c r="G67" s="70"/>
      <c r="H67" s="228">
        <f>SUM(H68:H76)</f>
        <v>0</v>
      </c>
      <c r="I67" s="9"/>
      <c r="J67" s="9"/>
      <c r="K67" s="16"/>
      <c r="L67" s="6"/>
      <c r="M67" s="6"/>
      <c r="N67" s="6"/>
    </row>
    <row r="68" spans="1:14" s="5" customFormat="1" ht="23.25" customHeight="1">
      <c r="A68" s="82"/>
      <c r="B68" s="45" t="s">
        <v>4</v>
      </c>
      <c r="C68" s="496" t="s">
        <v>136</v>
      </c>
      <c r="D68" s="496" t="s">
        <v>5</v>
      </c>
      <c r="E68" s="46">
        <v>13.3</v>
      </c>
      <c r="F68" s="157">
        <f>E68*F67</f>
        <v>1907.2200000000003</v>
      </c>
      <c r="G68" s="47"/>
      <c r="H68" s="377">
        <f aca="true" t="shared" si="2" ref="H68:H76">G68*F68</f>
        <v>0</v>
      </c>
      <c r="I68" s="9"/>
      <c r="J68" s="9"/>
      <c r="K68" s="16"/>
      <c r="L68" s="6"/>
      <c r="M68" s="6"/>
      <c r="N68" s="6"/>
    </row>
    <row r="69" spans="1:14" s="5" customFormat="1" ht="18" customHeight="1">
      <c r="A69" s="82"/>
      <c r="B69" s="48" t="s">
        <v>4</v>
      </c>
      <c r="C69" s="46" t="s">
        <v>137</v>
      </c>
      <c r="D69" s="46" t="s">
        <v>16</v>
      </c>
      <c r="E69" s="46">
        <v>3.36</v>
      </c>
      <c r="F69" s="157">
        <f>E69*F67</f>
        <v>481.824</v>
      </c>
      <c r="G69" s="47"/>
      <c r="H69" s="52">
        <f t="shared" si="2"/>
        <v>0</v>
      </c>
      <c r="I69" s="9"/>
      <c r="J69" s="9"/>
      <c r="K69" s="16"/>
      <c r="L69" s="6"/>
      <c r="M69" s="6"/>
      <c r="N69" s="6"/>
    </row>
    <row r="70" spans="1:14" s="5" customFormat="1" ht="19.5" customHeight="1">
      <c r="A70" s="82"/>
      <c r="B70" s="48" t="s">
        <v>2</v>
      </c>
      <c r="C70" s="46" t="s">
        <v>1038</v>
      </c>
      <c r="D70" s="46" t="s">
        <v>14</v>
      </c>
      <c r="E70" s="46">
        <v>1.015</v>
      </c>
      <c r="F70" s="157">
        <f>F67*E70</f>
        <v>145.551</v>
      </c>
      <c r="G70" s="47"/>
      <c r="H70" s="52">
        <f t="shared" si="2"/>
        <v>0</v>
      </c>
      <c r="I70" s="9"/>
      <c r="J70" s="9"/>
      <c r="K70" s="16"/>
      <c r="L70" s="6"/>
      <c r="M70" s="6"/>
      <c r="N70" s="6"/>
    </row>
    <row r="71" spans="1:14" s="5" customFormat="1" ht="24.75" customHeight="1">
      <c r="A71" s="82"/>
      <c r="B71" s="48" t="s">
        <v>594</v>
      </c>
      <c r="C71" s="46" t="s">
        <v>1588</v>
      </c>
      <c r="D71" s="46" t="s">
        <v>14</v>
      </c>
      <c r="E71" s="46">
        <v>1.015</v>
      </c>
      <c r="F71" s="157">
        <f>E71*F67</f>
        <v>145.551</v>
      </c>
      <c r="G71" s="222"/>
      <c r="H71" s="47">
        <f t="shared" si="2"/>
        <v>0</v>
      </c>
      <c r="I71" s="9"/>
      <c r="J71" s="9"/>
      <c r="K71" s="16"/>
      <c r="L71" s="6"/>
      <c r="M71" s="6"/>
      <c r="N71" s="6"/>
    </row>
    <row r="72" spans="1:14" s="5" customFormat="1" ht="19.5" customHeight="1">
      <c r="A72" s="82"/>
      <c r="B72" s="496" t="s">
        <v>1338</v>
      </c>
      <c r="C72" s="46" t="s">
        <v>1054</v>
      </c>
      <c r="D72" s="46" t="s">
        <v>42</v>
      </c>
      <c r="E72" s="46" t="s">
        <v>179</v>
      </c>
      <c r="F72" s="157">
        <v>2.232</v>
      </c>
      <c r="G72" s="222"/>
      <c r="H72" s="47">
        <f t="shared" si="2"/>
        <v>0</v>
      </c>
      <c r="I72" s="9"/>
      <c r="J72" s="9"/>
      <c r="K72" s="16"/>
      <c r="L72" s="6"/>
      <c r="M72" s="6"/>
      <c r="N72" s="6"/>
    </row>
    <row r="73" spans="1:14" s="5" customFormat="1" ht="21.75" customHeight="1">
      <c r="A73" s="82"/>
      <c r="B73" s="496" t="s">
        <v>1340</v>
      </c>
      <c r="C73" s="46" t="s">
        <v>1055</v>
      </c>
      <c r="D73" s="46" t="s">
        <v>42</v>
      </c>
      <c r="E73" s="46" t="s">
        <v>179</v>
      </c>
      <c r="F73" s="157">
        <v>29.354</v>
      </c>
      <c r="G73" s="222"/>
      <c r="H73" s="47">
        <f t="shared" si="2"/>
        <v>0</v>
      </c>
      <c r="I73" s="9"/>
      <c r="J73" s="9"/>
      <c r="K73" s="16"/>
      <c r="L73" s="6"/>
      <c r="M73" s="6"/>
      <c r="N73" s="6"/>
    </row>
    <row r="74" spans="1:14" s="5" customFormat="1" ht="24" customHeight="1">
      <c r="A74" s="82"/>
      <c r="B74" s="496" t="s">
        <v>1330</v>
      </c>
      <c r="C74" s="46" t="s">
        <v>200</v>
      </c>
      <c r="D74" s="46" t="s">
        <v>48</v>
      </c>
      <c r="E74" s="46">
        <v>2.42</v>
      </c>
      <c r="F74" s="157">
        <f>E74*F67</f>
        <v>347.028</v>
      </c>
      <c r="G74" s="47"/>
      <c r="H74" s="52">
        <f t="shared" si="2"/>
        <v>0</v>
      </c>
      <c r="I74" s="9"/>
      <c r="J74" s="9"/>
      <c r="K74" s="16"/>
      <c r="L74" s="6"/>
      <c r="M74" s="6"/>
      <c r="N74" s="6"/>
    </row>
    <row r="75" spans="1:14" s="5" customFormat="1" ht="31.5" customHeight="1">
      <c r="A75" s="82"/>
      <c r="B75" s="48" t="s">
        <v>1331</v>
      </c>
      <c r="C75" s="46" t="s">
        <v>213</v>
      </c>
      <c r="D75" s="46" t="s">
        <v>14</v>
      </c>
      <c r="E75" s="46">
        <f>(5.81+0.67)/100</f>
        <v>0.0648</v>
      </c>
      <c r="F75" s="157">
        <f>E75*F67</f>
        <v>9.29232</v>
      </c>
      <c r="G75" s="47"/>
      <c r="H75" s="52">
        <f t="shared" si="2"/>
        <v>0</v>
      </c>
      <c r="I75" s="9"/>
      <c r="J75" s="9"/>
      <c r="K75" s="16"/>
      <c r="L75" s="6"/>
      <c r="M75" s="6"/>
      <c r="N75" s="6"/>
    </row>
    <row r="76" spans="1:14" s="5" customFormat="1" ht="24.75" customHeight="1">
      <c r="A76" s="82"/>
      <c r="B76" s="45" t="s">
        <v>4</v>
      </c>
      <c r="C76" s="46" t="s">
        <v>18</v>
      </c>
      <c r="D76" s="46" t="s">
        <v>16</v>
      </c>
      <c r="E76" s="46">
        <v>0.6</v>
      </c>
      <c r="F76" s="47">
        <f>E76*F67</f>
        <v>86.04</v>
      </c>
      <c r="G76" s="47"/>
      <c r="H76" s="52">
        <f t="shared" si="2"/>
        <v>0</v>
      </c>
      <c r="I76" s="9"/>
      <c r="J76" s="9"/>
      <c r="K76" s="16"/>
      <c r="L76" s="6"/>
      <c r="M76" s="6"/>
      <c r="N76" s="6"/>
    </row>
    <row r="77" spans="1:14" s="5" customFormat="1" ht="52.5" customHeight="1">
      <c r="A77" s="81" t="s">
        <v>55</v>
      </c>
      <c r="B77" s="68" t="s">
        <v>1061</v>
      </c>
      <c r="C77" s="55" t="s">
        <v>1592</v>
      </c>
      <c r="D77" s="55" t="s">
        <v>20</v>
      </c>
      <c r="E77" s="55"/>
      <c r="F77" s="226">
        <v>38.6</v>
      </c>
      <c r="G77" s="70"/>
      <c r="H77" s="228">
        <f>SUM(H78:H87)</f>
        <v>0</v>
      </c>
      <c r="I77" s="9"/>
      <c r="J77" s="9"/>
      <c r="K77" s="16"/>
      <c r="L77" s="6"/>
      <c r="M77" s="6"/>
      <c r="N77" s="6"/>
    </row>
    <row r="78" spans="1:14" s="5" customFormat="1" ht="24.75" customHeight="1">
      <c r="A78" s="82"/>
      <c r="B78" s="45" t="s">
        <v>4</v>
      </c>
      <c r="C78" s="496" t="s">
        <v>136</v>
      </c>
      <c r="D78" s="496" t="s">
        <v>5</v>
      </c>
      <c r="E78" s="46">
        <v>9.25</v>
      </c>
      <c r="F78" s="157">
        <f>E78*F77</f>
        <v>357.05</v>
      </c>
      <c r="G78" s="47"/>
      <c r="H78" s="377">
        <f aca="true" t="shared" si="3" ref="H78:H87">G78*F78</f>
        <v>0</v>
      </c>
      <c r="I78" s="9"/>
      <c r="J78" s="9"/>
      <c r="K78" s="16"/>
      <c r="L78" s="6"/>
      <c r="M78" s="6"/>
      <c r="N78" s="6"/>
    </row>
    <row r="79" spans="1:14" s="5" customFormat="1" ht="24.75" customHeight="1">
      <c r="A79" s="82"/>
      <c r="B79" s="48" t="s">
        <v>4</v>
      </c>
      <c r="C79" s="46" t="s">
        <v>137</v>
      </c>
      <c r="D79" s="46" t="s">
        <v>16</v>
      </c>
      <c r="E79" s="46">
        <v>1.14</v>
      </c>
      <c r="F79" s="157">
        <f>E79*F77</f>
        <v>44.004</v>
      </c>
      <c r="G79" s="47"/>
      <c r="H79" s="52">
        <f t="shared" si="3"/>
        <v>0</v>
      </c>
      <c r="I79" s="9"/>
      <c r="J79" s="9"/>
      <c r="K79" s="16"/>
      <c r="L79" s="6"/>
      <c r="M79" s="6"/>
      <c r="N79" s="6"/>
    </row>
    <row r="80" spans="1:14" s="5" customFormat="1" ht="24.75" customHeight="1">
      <c r="A80" s="82"/>
      <c r="B80" s="48" t="s">
        <v>2</v>
      </c>
      <c r="C80" s="46" t="s">
        <v>1038</v>
      </c>
      <c r="D80" s="46" t="s">
        <v>14</v>
      </c>
      <c r="E80" s="46">
        <v>1.015</v>
      </c>
      <c r="F80" s="157">
        <f>F77*E80</f>
        <v>39.178999999999995</v>
      </c>
      <c r="G80" s="47"/>
      <c r="H80" s="52">
        <f t="shared" si="3"/>
        <v>0</v>
      </c>
      <c r="I80" s="9"/>
      <c r="J80" s="9"/>
      <c r="K80" s="16"/>
      <c r="L80" s="6"/>
      <c r="M80" s="6"/>
      <c r="N80" s="6"/>
    </row>
    <row r="81" spans="1:14" s="5" customFormat="1" ht="19.5" customHeight="1">
      <c r="A81" s="82"/>
      <c r="B81" s="48" t="s">
        <v>594</v>
      </c>
      <c r="C81" s="46" t="s">
        <v>1588</v>
      </c>
      <c r="D81" s="46" t="s">
        <v>14</v>
      </c>
      <c r="E81" s="46">
        <v>1.015</v>
      </c>
      <c r="F81" s="157">
        <f>E81*F77</f>
        <v>39.178999999999995</v>
      </c>
      <c r="G81" s="222"/>
      <c r="H81" s="47">
        <f t="shared" si="3"/>
        <v>0</v>
      </c>
      <c r="I81" s="9"/>
      <c r="J81" s="9"/>
      <c r="K81" s="16"/>
      <c r="L81" s="6"/>
      <c r="M81" s="6"/>
      <c r="N81" s="6"/>
    </row>
    <row r="82" spans="1:14" s="5" customFormat="1" ht="21" customHeight="1">
      <c r="A82" s="82"/>
      <c r="B82" s="496" t="s">
        <v>1339</v>
      </c>
      <c r="C82" s="46" t="s">
        <v>1054</v>
      </c>
      <c r="D82" s="46" t="s">
        <v>42</v>
      </c>
      <c r="E82" s="46" t="s">
        <v>179</v>
      </c>
      <c r="F82" s="157">
        <v>0.134</v>
      </c>
      <c r="G82" s="222"/>
      <c r="H82" s="47">
        <f t="shared" si="3"/>
        <v>0</v>
      </c>
      <c r="I82" s="9"/>
      <c r="J82" s="9"/>
      <c r="K82" s="16"/>
      <c r="L82" s="6"/>
      <c r="M82" s="6"/>
      <c r="N82" s="6"/>
    </row>
    <row r="83" spans="1:14" s="5" customFormat="1" ht="23.25" customHeight="1">
      <c r="A83" s="82"/>
      <c r="B83" s="496" t="s">
        <v>1340</v>
      </c>
      <c r="C83" s="46" t="s">
        <v>1055</v>
      </c>
      <c r="D83" s="46" t="s">
        <v>42</v>
      </c>
      <c r="E83" s="46" t="s">
        <v>179</v>
      </c>
      <c r="F83" s="157">
        <v>4.129</v>
      </c>
      <c r="G83" s="222"/>
      <c r="H83" s="47">
        <f t="shared" si="3"/>
        <v>0</v>
      </c>
      <c r="I83" s="9"/>
      <c r="J83" s="9"/>
      <c r="K83" s="16"/>
      <c r="L83" s="6"/>
      <c r="M83" s="6"/>
      <c r="N83" s="6"/>
    </row>
    <row r="84" spans="1:14" s="5" customFormat="1" ht="22.5" customHeight="1">
      <c r="A84" s="82"/>
      <c r="B84" s="496" t="s">
        <v>1330</v>
      </c>
      <c r="C84" s="46" t="s">
        <v>200</v>
      </c>
      <c r="D84" s="46" t="s">
        <v>48</v>
      </c>
      <c r="E84" s="46">
        <v>1.76</v>
      </c>
      <c r="F84" s="157">
        <f>E84*F77</f>
        <v>67.936</v>
      </c>
      <c r="G84" s="47"/>
      <c r="H84" s="52">
        <f t="shared" si="3"/>
        <v>0</v>
      </c>
      <c r="I84" s="9"/>
      <c r="J84" s="9"/>
      <c r="K84" s="16"/>
      <c r="L84" s="6"/>
      <c r="M84" s="6"/>
      <c r="N84" s="6"/>
    </row>
    <row r="85" spans="1:14" s="5" customFormat="1" ht="29.25" customHeight="1">
      <c r="A85" s="82"/>
      <c r="B85" s="48" t="s">
        <v>1331</v>
      </c>
      <c r="C85" s="46" t="s">
        <v>1062</v>
      </c>
      <c r="D85" s="46" t="s">
        <v>14</v>
      </c>
      <c r="E85" s="46">
        <f>(3.66+0.33)/100</f>
        <v>0.039900000000000005</v>
      </c>
      <c r="F85" s="157">
        <f>E85*F77</f>
        <v>1.5401400000000003</v>
      </c>
      <c r="G85" s="47"/>
      <c r="H85" s="52">
        <f t="shared" si="3"/>
        <v>0</v>
      </c>
      <c r="I85" s="9"/>
      <c r="J85" s="9"/>
      <c r="K85" s="16"/>
      <c r="L85" s="6"/>
      <c r="M85" s="6"/>
      <c r="N85" s="6"/>
    </row>
    <row r="86" spans="1:14" s="5" customFormat="1" ht="29.25" customHeight="1">
      <c r="A86" s="48"/>
      <c r="B86" s="48" t="s">
        <v>425</v>
      </c>
      <c r="C86" s="46" t="s">
        <v>97</v>
      </c>
      <c r="D86" s="46" t="s">
        <v>53</v>
      </c>
      <c r="E86" s="47">
        <v>2.7</v>
      </c>
      <c r="F86" s="47">
        <f>E86*F77</f>
        <v>104.22000000000001</v>
      </c>
      <c r="G86" s="47"/>
      <c r="H86" s="512">
        <f>G86*F86</f>
        <v>0</v>
      </c>
      <c r="I86" s="9"/>
      <c r="J86" s="9"/>
      <c r="K86" s="16"/>
      <c r="L86" s="6"/>
      <c r="M86" s="6"/>
      <c r="N86" s="6"/>
    </row>
    <row r="87" spans="1:14" s="5" customFormat="1" ht="20.25" customHeight="1">
      <c r="A87" s="82"/>
      <c r="B87" s="45" t="s">
        <v>4</v>
      </c>
      <c r="C87" s="46" t="s">
        <v>18</v>
      </c>
      <c r="D87" s="46" t="s">
        <v>16</v>
      </c>
      <c r="E87" s="46">
        <v>0.32</v>
      </c>
      <c r="F87" s="47">
        <f>E87*F77</f>
        <v>12.352</v>
      </c>
      <c r="G87" s="47"/>
      <c r="H87" s="52">
        <f t="shared" si="3"/>
        <v>0</v>
      </c>
      <c r="I87" s="9"/>
      <c r="J87" s="9"/>
      <c r="K87" s="16"/>
      <c r="L87" s="6"/>
      <c r="M87" s="6"/>
      <c r="N87" s="6"/>
    </row>
    <row r="88" spans="1:14" s="5" customFormat="1" ht="48" customHeight="1">
      <c r="A88" s="376" t="s">
        <v>51</v>
      </c>
      <c r="B88" s="79" t="s">
        <v>1045</v>
      </c>
      <c r="C88" s="375" t="s">
        <v>1593</v>
      </c>
      <c r="D88" s="375" t="s">
        <v>14</v>
      </c>
      <c r="E88" s="375"/>
      <c r="F88" s="226">
        <v>183.3</v>
      </c>
      <c r="G88" s="226"/>
      <c r="H88" s="228">
        <f>SUM(H89:H97)</f>
        <v>0</v>
      </c>
      <c r="I88" s="9"/>
      <c r="J88" s="9"/>
      <c r="K88" s="16"/>
      <c r="L88" s="6"/>
      <c r="M88" s="6"/>
      <c r="N88" s="6"/>
    </row>
    <row r="89" spans="1:14" s="5" customFormat="1" ht="23.25" customHeight="1">
      <c r="A89" s="497"/>
      <c r="B89" s="223" t="s">
        <v>4</v>
      </c>
      <c r="C89" s="496" t="s">
        <v>136</v>
      </c>
      <c r="D89" s="496" t="s">
        <v>5</v>
      </c>
      <c r="E89" s="225">
        <v>14.7</v>
      </c>
      <c r="F89" s="225">
        <f>E89*F88</f>
        <v>2694.51</v>
      </c>
      <c r="G89" s="222"/>
      <c r="H89" s="377">
        <f aca="true" t="shared" si="4" ref="H89:H97">G89*F89</f>
        <v>0</v>
      </c>
      <c r="I89" s="9"/>
      <c r="J89" s="9"/>
      <c r="K89" s="16"/>
      <c r="L89" s="6"/>
      <c r="M89" s="6"/>
      <c r="N89" s="6"/>
    </row>
    <row r="90" spans="1:14" s="5" customFormat="1" ht="24" customHeight="1">
      <c r="A90" s="497"/>
      <c r="B90" s="224" t="s">
        <v>4</v>
      </c>
      <c r="C90" s="496" t="s">
        <v>137</v>
      </c>
      <c r="D90" s="496" t="s">
        <v>16</v>
      </c>
      <c r="E90" s="225">
        <v>1.21</v>
      </c>
      <c r="F90" s="225">
        <f>E90*F88</f>
        <v>221.793</v>
      </c>
      <c r="G90" s="47"/>
      <c r="H90" s="377">
        <f t="shared" si="4"/>
        <v>0</v>
      </c>
      <c r="I90" s="9"/>
      <c r="J90" s="9"/>
      <c r="K90" s="16"/>
      <c r="L90" s="6"/>
      <c r="M90" s="6"/>
      <c r="N90" s="6"/>
    </row>
    <row r="91" spans="1:14" s="5" customFormat="1" ht="25.5" customHeight="1">
      <c r="A91" s="497"/>
      <c r="B91" s="224" t="s">
        <v>2</v>
      </c>
      <c r="C91" s="496" t="s">
        <v>1038</v>
      </c>
      <c r="D91" s="496" t="s">
        <v>14</v>
      </c>
      <c r="E91" s="225">
        <v>1.015</v>
      </c>
      <c r="F91" s="225">
        <f>F88*E91</f>
        <v>186.0495</v>
      </c>
      <c r="G91" s="222"/>
      <c r="H91" s="377">
        <f t="shared" si="4"/>
        <v>0</v>
      </c>
      <c r="I91" s="9"/>
      <c r="J91" s="9"/>
      <c r="K91" s="16"/>
      <c r="L91" s="6"/>
      <c r="M91" s="6"/>
      <c r="N91" s="6"/>
    </row>
    <row r="92" spans="1:14" s="5" customFormat="1" ht="20.25" customHeight="1">
      <c r="A92" s="497"/>
      <c r="B92" s="48" t="s">
        <v>594</v>
      </c>
      <c r="C92" s="496" t="s">
        <v>1588</v>
      </c>
      <c r="D92" s="496" t="s">
        <v>14</v>
      </c>
      <c r="E92" s="225">
        <v>1.015</v>
      </c>
      <c r="F92" s="225">
        <f>E92*F88</f>
        <v>186.0495</v>
      </c>
      <c r="G92" s="222"/>
      <c r="H92" s="222">
        <f t="shared" si="4"/>
        <v>0</v>
      </c>
      <c r="I92" s="9"/>
      <c r="J92" s="9"/>
      <c r="K92" s="16"/>
      <c r="L92" s="6"/>
      <c r="M92" s="6"/>
      <c r="N92" s="6"/>
    </row>
    <row r="93" spans="1:14" s="5" customFormat="1" ht="21" customHeight="1">
      <c r="A93" s="82"/>
      <c r="B93" s="496" t="s">
        <v>1338</v>
      </c>
      <c r="C93" s="46" t="s">
        <v>1054</v>
      </c>
      <c r="D93" s="46" t="s">
        <v>42</v>
      </c>
      <c r="E93" s="46" t="s">
        <v>179</v>
      </c>
      <c r="F93" s="157">
        <v>4.061</v>
      </c>
      <c r="G93" s="222"/>
      <c r="H93" s="47">
        <f t="shared" si="4"/>
        <v>0</v>
      </c>
      <c r="I93" s="9"/>
      <c r="J93" s="9"/>
      <c r="K93" s="16"/>
      <c r="L93" s="6"/>
      <c r="M93" s="6"/>
      <c r="N93" s="6"/>
    </row>
    <row r="94" spans="1:14" s="5" customFormat="1" ht="24" customHeight="1">
      <c r="A94" s="82"/>
      <c r="B94" s="496" t="s">
        <v>1340</v>
      </c>
      <c r="C94" s="46" t="s">
        <v>1055</v>
      </c>
      <c r="D94" s="46" t="s">
        <v>42</v>
      </c>
      <c r="E94" s="46" t="s">
        <v>179</v>
      </c>
      <c r="F94" s="157">
        <v>28.567</v>
      </c>
      <c r="G94" s="222"/>
      <c r="H94" s="47">
        <f t="shared" si="4"/>
        <v>0</v>
      </c>
      <c r="I94" s="9"/>
      <c r="J94" s="9"/>
      <c r="K94" s="16"/>
      <c r="L94" s="6"/>
      <c r="M94" s="6"/>
      <c r="N94" s="6"/>
    </row>
    <row r="95" spans="1:14" s="5" customFormat="1" ht="27.75" customHeight="1">
      <c r="A95" s="497"/>
      <c r="B95" s="496" t="s">
        <v>1330</v>
      </c>
      <c r="C95" s="496" t="s">
        <v>1046</v>
      </c>
      <c r="D95" s="496" t="s">
        <v>48</v>
      </c>
      <c r="E95" s="225">
        <v>2.46</v>
      </c>
      <c r="F95" s="225">
        <f>E95*F88</f>
        <v>450.918</v>
      </c>
      <c r="G95" s="222"/>
      <c r="H95" s="377">
        <f t="shared" si="4"/>
        <v>0</v>
      </c>
      <c r="I95" s="9"/>
      <c r="J95" s="9"/>
      <c r="K95" s="16"/>
      <c r="L95" s="6"/>
      <c r="M95" s="6"/>
      <c r="N95" s="6"/>
    </row>
    <row r="96" spans="1:14" s="5" customFormat="1" ht="30.75" customHeight="1">
      <c r="A96" s="497"/>
      <c r="B96" s="48" t="s">
        <v>1331</v>
      </c>
      <c r="C96" s="496" t="s">
        <v>1047</v>
      </c>
      <c r="D96" s="496" t="s">
        <v>14</v>
      </c>
      <c r="E96" s="225">
        <f>(1.6+0.7)/100</f>
        <v>0.023</v>
      </c>
      <c r="F96" s="225">
        <f>E96*F88</f>
        <v>4.2159</v>
      </c>
      <c r="G96" s="47"/>
      <c r="H96" s="377">
        <f t="shared" si="4"/>
        <v>0</v>
      </c>
      <c r="I96" s="9"/>
      <c r="J96" s="9"/>
      <c r="K96" s="16"/>
      <c r="L96" s="6"/>
      <c r="M96" s="6"/>
      <c r="N96" s="6"/>
    </row>
    <row r="97" spans="1:14" s="5" customFormat="1" ht="27" customHeight="1">
      <c r="A97" s="497"/>
      <c r="B97" s="223" t="s">
        <v>4</v>
      </c>
      <c r="C97" s="496" t="s">
        <v>18</v>
      </c>
      <c r="D97" s="496" t="s">
        <v>16</v>
      </c>
      <c r="E97" s="225">
        <v>0.9</v>
      </c>
      <c r="F97" s="225">
        <f>E97*F88</f>
        <v>164.97000000000003</v>
      </c>
      <c r="G97" s="47"/>
      <c r="H97" s="377">
        <f t="shared" si="4"/>
        <v>0</v>
      </c>
      <c r="I97" s="9"/>
      <c r="J97" s="9"/>
      <c r="K97" s="16"/>
      <c r="L97" s="6"/>
      <c r="M97" s="6"/>
      <c r="N97" s="6"/>
    </row>
    <row r="98" spans="1:14" s="5" customFormat="1" ht="45.75" customHeight="1">
      <c r="A98" s="81" t="s">
        <v>49</v>
      </c>
      <c r="B98" s="79" t="s">
        <v>732</v>
      </c>
      <c r="C98" s="55" t="s">
        <v>1594</v>
      </c>
      <c r="D98" s="55" t="s">
        <v>20</v>
      </c>
      <c r="E98" s="55"/>
      <c r="F98" s="226">
        <v>646.4</v>
      </c>
      <c r="G98" s="70"/>
      <c r="H98" s="228">
        <f>SUM(H99:H107)</f>
        <v>0</v>
      </c>
      <c r="I98" s="9"/>
      <c r="J98" s="9"/>
      <c r="K98" s="16"/>
      <c r="L98" s="6"/>
      <c r="M98" s="6"/>
      <c r="N98" s="6"/>
    </row>
    <row r="99" spans="1:14" s="5" customFormat="1" ht="31.5" customHeight="1">
      <c r="A99" s="82"/>
      <c r="B99" s="48" t="s">
        <v>4</v>
      </c>
      <c r="C99" s="46" t="s">
        <v>201</v>
      </c>
      <c r="D99" s="496" t="s">
        <v>5</v>
      </c>
      <c r="E99" s="51">
        <v>8.4</v>
      </c>
      <c r="F99" s="51">
        <f>E99*F98</f>
        <v>5429.76</v>
      </c>
      <c r="G99" s="47"/>
      <c r="H99" s="377">
        <f aca="true" t="shared" si="5" ref="H99:H107">G99*F99</f>
        <v>0</v>
      </c>
      <c r="I99" s="9"/>
      <c r="J99" s="9"/>
      <c r="K99" s="16"/>
      <c r="L99" s="6"/>
      <c r="M99" s="6"/>
      <c r="N99" s="6"/>
    </row>
    <row r="100" spans="1:14" s="5" customFormat="1" ht="27" customHeight="1">
      <c r="A100" s="82"/>
      <c r="B100" s="48" t="s">
        <v>4</v>
      </c>
      <c r="C100" s="46" t="s">
        <v>137</v>
      </c>
      <c r="D100" s="46" t="s">
        <v>16</v>
      </c>
      <c r="E100" s="51">
        <v>0.81</v>
      </c>
      <c r="F100" s="51">
        <f>E100*F98</f>
        <v>523.5840000000001</v>
      </c>
      <c r="G100" s="47"/>
      <c r="H100" s="52">
        <f t="shared" si="5"/>
        <v>0</v>
      </c>
      <c r="I100" s="9"/>
      <c r="J100" s="9"/>
      <c r="K100" s="16"/>
      <c r="L100" s="6"/>
      <c r="M100" s="6"/>
      <c r="N100" s="6"/>
    </row>
    <row r="101" spans="1:14" s="5" customFormat="1" ht="26.25" customHeight="1">
      <c r="A101" s="82"/>
      <c r="B101" s="48" t="s">
        <v>2</v>
      </c>
      <c r="C101" s="46" t="s">
        <v>1038</v>
      </c>
      <c r="D101" s="46" t="s">
        <v>14</v>
      </c>
      <c r="E101" s="51">
        <v>1.015</v>
      </c>
      <c r="F101" s="51">
        <f>F98*E101</f>
        <v>656.0959999999999</v>
      </c>
      <c r="G101" s="47"/>
      <c r="H101" s="52">
        <f t="shared" si="5"/>
        <v>0</v>
      </c>
      <c r="I101" s="9"/>
      <c r="J101" s="9"/>
      <c r="K101" s="16"/>
      <c r="L101" s="6"/>
      <c r="M101" s="6"/>
      <c r="N101" s="6"/>
    </row>
    <row r="102" spans="1:14" s="5" customFormat="1" ht="26.25" customHeight="1">
      <c r="A102" s="82"/>
      <c r="B102" s="48" t="s">
        <v>594</v>
      </c>
      <c r="C102" s="46" t="s">
        <v>1588</v>
      </c>
      <c r="D102" s="46" t="s">
        <v>14</v>
      </c>
      <c r="E102" s="51">
        <v>1.015</v>
      </c>
      <c r="F102" s="51">
        <f>E102*F98</f>
        <v>656.0959999999999</v>
      </c>
      <c r="G102" s="222"/>
      <c r="H102" s="47">
        <f t="shared" si="5"/>
        <v>0</v>
      </c>
      <c r="I102" s="9"/>
      <c r="J102" s="9"/>
      <c r="K102" s="16"/>
      <c r="L102" s="6"/>
      <c r="M102" s="6"/>
      <c r="N102" s="6"/>
    </row>
    <row r="103" spans="1:14" s="5" customFormat="1" ht="21" customHeight="1">
      <c r="A103" s="82"/>
      <c r="B103" s="496" t="s">
        <v>1338</v>
      </c>
      <c r="C103" s="46" t="s">
        <v>1054</v>
      </c>
      <c r="D103" s="46" t="s">
        <v>42</v>
      </c>
      <c r="E103" s="46" t="s">
        <v>179</v>
      </c>
      <c r="F103" s="157">
        <v>1.315</v>
      </c>
      <c r="G103" s="222"/>
      <c r="H103" s="47">
        <f t="shared" si="5"/>
        <v>0</v>
      </c>
      <c r="I103" s="9"/>
      <c r="J103" s="9"/>
      <c r="K103" s="16"/>
      <c r="L103" s="6"/>
      <c r="M103" s="6"/>
      <c r="N103" s="6"/>
    </row>
    <row r="104" spans="1:14" s="5" customFormat="1" ht="22.5" customHeight="1">
      <c r="A104" s="82"/>
      <c r="B104" s="496" t="s">
        <v>1340</v>
      </c>
      <c r="C104" s="46" t="s">
        <v>1055</v>
      </c>
      <c r="D104" s="46" t="s">
        <v>42</v>
      </c>
      <c r="E104" s="46" t="s">
        <v>179</v>
      </c>
      <c r="F104" s="157">
        <v>68.029</v>
      </c>
      <c r="G104" s="222"/>
      <c r="H104" s="47">
        <f t="shared" si="5"/>
        <v>0</v>
      </c>
      <c r="I104" s="9"/>
      <c r="J104" s="9"/>
      <c r="K104" s="16"/>
      <c r="L104" s="6"/>
      <c r="M104" s="6"/>
      <c r="N104" s="6"/>
    </row>
    <row r="105" spans="1:14" s="5" customFormat="1" ht="21" customHeight="1">
      <c r="A105" s="82"/>
      <c r="B105" s="496" t="s">
        <v>1330</v>
      </c>
      <c r="C105" s="46" t="s">
        <v>202</v>
      </c>
      <c r="D105" s="46" t="s">
        <v>48</v>
      </c>
      <c r="E105" s="51">
        <v>1.37</v>
      </c>
      <c r="F105" s="51">
        <f>E105*F98</f>
        <v>885.568</v>
      </c>
      <c r="G105" s="47"/>
      <c r="H105" s="52">
        <f t="shared" si="5"/>
        <v>0</v>
      </c>
      <c r="I105" s="9"/>
      <c r="J105" s="9"/>
      <c r="K105" s="16"/>
      <c r="L105" s="6"/>
      <c r="M105" s="6"/>
      <c r="N105" s="6"/>
    </row>
    <row r="106" spans="1:14" s="5" customFormat="1" ht="27.75" customHeight="1">
      <c r="A106" s="82"/>
      <c r="B106" s="48" t="s">
        <v>1331</v>
      </c>
      <c r="C106" s="46" t="s">
        <v>733</v>
      </c>
      <c r="D106" s="46" t="s">
        <v>14</v>
      </c>
      <c r="E106" s="157">
        <f>(0.84+2.56+0.26)/100</f>
        <v>0.0366</v>
      </c>
      <c r="F106" s="157">
        <f>F98*E106</f>
        <v>23.65824</v>
      </c>
      <c r="G106" s="47"/>
      <c r="H106" s="52">
        <f t="shared" si="5"/>
        <v>0</v>
      </c>
      <c r="I106" s="9"/>
      <c r="J106" s="9"/>
      <c r="K106" s="16"/>
      <c r="L106" s="6"/>
      <c r="M106" s="6"/>
      <c r="N106" s="6"/>
    </row>
    <row r="107" spans="1:14" s="5" customFormat="1" ht="27" customHeight="1">
      <c r="A107" s="82"/>
      <c r="B107" s="45" t="s">
        <v>4</v>
      </c>
      <c r="C107" s="46" t="s">
        <v>18</v>
      </c>
      <c r="D107" s="46" t="s">
        <v>16</v>
      </c>
      <c r="E107" s="157">
        <v>0.39</v>
      </c>
      <c r="F107" s="157">
        <f>E107*F98</f>
        <v>252.096</v>
      </c>
      <c r="G107" s="47"/>
      <c r="H107" s="52">
        <f t="shared" si="5"/>
        <v>0</v>
      </c>
      <c r="I107" s="9"/>
      <c r="J107" s="9"/>
      <c r="K107" s="16"/>
      <c r="L107" s="6"/>
      <c r="M107" s="6"/>
      <c r="N107" s="6"/>
    </row>
    <row r="108" spans="1:14" s="5" customFormat="1" ht="44.25" customHeight="1">
      <c r="A108" s="376" t="s">
        <v>82</v>
      </c>
      <c r="B108" s="79" t="s">
        <v>1063</v>
      </c>
      <c r="C108" s="55" t="s">
        <v>1595</v>
      </c>
      <c r="D108" s="374" t="s">
        <v>14</v>
      </c>
      <c r="E108" s="374"/>
      <c r="F108" s="137">
        <v>20.8</v>
      </c>
      <c r="G108" s="137"/>
      <c r="H108" s="190">
        <f>SUM(H109:H117)</f>
        <v>0</v>
      </c>
      <c r="I108" s="9"/>
      <c r="J108" s="9"/>
      <c r="K108" s="16"/>
      <c r="L108" s="6"/>
      <c r="M108" s="6"/>
      <c r="N108" s="6"/>
    </row>
    <row r="109" spans="1:14" s="5" customFormat="1" ht="24.75" customHeight="1">
      <c r="A109" s="497"/>
      <c r="B109" s="223" t="s">
        <v>4</v>
      </c>
      <c r="C109" s="46" t="s">
        <v>148</v>
      </c>
      <c r="D109" s="373" t="s">
        <v>5</v>
      </c>
      <c r="E109" s="373">
        <f>14.7</f>
        <v>14.7</v>
      </c>
      <c r="F109" s="295">
        <f>E109*F108</f>
        <v>305.76</v>
      </c>
      <c r="G109" s="377"/>
      <c r="H109" s="124">
        <f aca="true" t="shared" si="6" ref="H109:H117">G109*F109</f>
        <v>0</v>
      </c>
      <c r="I109" s="9"/>
      <c r="J109" s="9"/>
      <c r="K109" s="16"/>
      <c r="L109" s="6"/>
      <c r="M109" s="6"/>
      <c r="N109" s="6"/>
    </row>
    <row r="110" spans="1:14" s="5" customFormat="1" ht="21" customHeight="1">
      <c r="A110" s="497"/>
      <c r="B110" s="224" t="s">
        <v>4</v>
      </c>
      <c r="C110" s="46" t="s">
        <v>153</v>
      </c>
      <c r="D110" s="373" t="s">
        <v>16</v>
      </c>
      <c r="E110" s="373">
        <v>1.32</v>
      </c>
      <c r="F110" s="377">
        <f>E110*F108</f>
        <v>27.456000000000003</v>
      </c>
      <c r="G110" s="47"/>
      <c r="H110" s="124">
        <f t="shared" si="6"/>
        <v>0</v>
      </c>
      <c r="I110" s="9"/>
      <c r="J110" s="9"/>
      <c r="K110" s="16"/>
      <c r="L110" s="6"/>
      <c r="M110" s="6"/>
      <c r="N110" s="6"/>
    </row>
    <row r="111" spans="1:14" s="5" customFormat="1" ht="23.25" customHeight="1">
      <c r="A111" s="82"/>
      <c r="B111" s="48" t="s">
        <v>594</v>
      </c>
      <c r="C111" s="46" t="s">
        <v>1588</v>
      </c>
      <c r="D111" s="46" t="s">
        <v>14</v>
      </c>
      <c r="E111" s="51">
        <v>1.015</v>
      </c>
      <c r="F111" s="51">
        <f>E111*F108</f>
        <v>21.112</v>
      </c>
      <c r="G111" s="222"/>
      <c r="H111" s="47">
        <f t="shared" si="6"/>
        <v>0</v>
      </c>
      <c r="I111" s="9"/>
      <c r="J111" s="9"/>
      <c r="K111" s="16"/>
      <c r="L111" s="6"/>
      <c r="M111" s="6"/>
      <c r="N111" s="6"/>
    </row>
    <row r="112" spans="1:14" s="5" customFormat="1" ht="27" customHeight="1">
      <c r="A112" s="82"/>
      <c r="B112" s="496" t="s">
        <v>1337</v>
      </c>
      <c r="C112" s="46" t="s">
        <v>1054</v>
      </c>
      <c r="D112" s="46" t="s">
        <v>42</v>
      </c>
      <c r="E112" s="46" t="s">
        <v>179</v>
      </c>
      <c r="F112" s="157">
        <v>0.105</v>
      </c>
      <c r="G112" s="222"/>
      <c r="H112" s="47">
        <f t="shared" si="6"/>
        <v>0</v>
      </c>
      <c r="I112" s="9"/>
      <c r="J112" s="9"/>
      <c r="K112" s="16"/>
      <c r="L112" s="6"/>
      <c r="M112" s="6"/>
      <c r="N112" s="6"/>
    </row>
    <row r="113" spans="1:14" s="5" customFormat="1" ht="23.25" customHeight="1">
      <c r="A113" s="82"/>
      <c r="B113" s="496" t="s">
        <v>1340</v>
      </c>
      <c r="C113" s="46" t="s">
        <v>1055</v>
      </c>
      <c r="D113" s="46" t="s">
        <v>42</v>
      </c>
      <c r="E113" s="46" t="s">
        <v>179</v>
      </c>
      <c r="F113" s="157">
        <v>3.017</v>
      </c>
      <c r="G113" s="222"/>
      <c r="H113" s="47">
        <f t="shared" si="6"/>
        <v>0</v>
      </c>
      <c r="I113" s="9"/>
      <c r="J113" s="9"/>
      <c r="K113" s="16"/>
      <c r="L113" s="6"/>
      <c r="M113" s="6"/>
      <c r="N113" s="6"/>
    </row>
    <row r="114" spans="1:14" s="5" customFormat="1" ht="23.25" customHeight="1">
      <c r="A114" s="497"/>
      <c r="B114" s="496" t="s">
        <v>1330</v>
      </c>
      <c r="C114" s="46" t="s">
        <v>806</v>
      </c>
      <c r="D114" s="373" t="s">
        <v>48</v>
      </c>
      <c r="E114" s="373">
        <v>2.29</v>
      </c>
      <c r="F114" s="377">
        <f>E114*F108</f>
        <v>47.632000000000005</v>
      </c>
      <c r="G114" s="377"/>
      <c r="H114" s="124">
        <f t="shared" si="6"/>
        <v>0</v>
      </c>
      <c r="I114" s="9"/>
      <c r="J114" s="9"/>
      <c r="K114" s="16"/>
      <c r="L114" s="6"/>
      <c r="M114" s="6"/>
      <c r="N114" s="6"/>
    </row>
    <row r="115" spans="1:14" s="5" customFormat="1" ht="27.75" customHeight="1">
      <c r="A115" s="497"/>
      <c r="B115" s="48" t="s">
        <v>1331</v>
      </c>
      <c r="C115" s="46" t="s">
        <v>1064</v>
      </c>
      <c r="D115" s="373" t="s">
        <v>14</v>
      </c>
      <c r="E115" s="373">
        <f>0.014+0.0429+0.0034</f>
        <v>0.0603</v>
      </c>
      <c r="F115" s="377">
        <f>E115*F108</f>
        <v>1.25424</v>
      </c>
      <c r="G115" s="47"/>
      <c r="H115" s="124">
        <f t="shared" si="6"/>
        <v>0</v>
      </c>
      <c r="I115" s="9"/>
      <c r="J115" s="9"/>
      <c r="K115" s="16"/>
      <c r="L115" s="6"/>
      <c r="M115" s="6"/>
      <c r="N115" s="6"/>
    </row>
    <row r="116" spans="1:14" s="5" customFormat="1" ht="20.25" customHeight="1">
      <c r="A116" s="497"/>
      <c r="B116" s="48" t="s">
        <v>425</v>
      </c>
      <c r="C116" s="46" t="s">
        <v>97</v>
      </c>
      <c r="D116" s="373" t="s">
        <v>42</v>
      </c>
      <c r="E116" s="373">
        <v>0.0025</v>
      </c>
      <c r="F116" s="206">
        <f>F108*E116</f>
        <v>0.052000000000000005</v>
      </c>
      <c r="G116" s="377"/>
      <c r="H116" s="124">
        <f t="shared" si="6"/>
        <v>0</v>
      </c>
      <c r="I116" s="9"/>
      <c r="J116" s="9"/>
      <c r="K116" s="16"/>
      <c r="L116" s="6"/>
      <c r="M116" s="6"/>
      <c r="N116" s="6"/>
    </row>
    <row r="117" spans="1:14" s="5" customFormat="1" ht="21.75" customHeight="1">
      <c r="A117" s="497"/>
      <c r="B117" s="223" t="s">
        <v>4</v>
      </c>
      <c r="C117" s="46" t="s">
        <v>18</v>
      </c>
      <c r="D117" s="373" t="s">
        <v>16</v>
      </c>
      <c r="E117" s="373">
        <v>1.2</v>
      </c>
      <c r="F117" s="377">
        <f>E117*F108</f>
        <v>24.96</v>
      </c>
      <c r="G117" s="47"/>
      <c r="H117" s="124">
        <f t="shared" si="6"/>
        <v>0</v>
      </c>
      <c r="I117" s="9"/>
      <c r="J117" s="9"/>
      <c r="K117" s="16"/>
      <c r="L117" s="6"/>
      <c r="M117" s="6"/>
      <c r="N117" s="6"/>
    </row>
    <row r="118" spans="1:14" s="5" customFormat="1" ht="84.75" customHeight="1">
      <c r="A118" s="376" t="s">
        <v>95</v>
      </c>
      <c r="B118" s="79" t="s">
        <v>1135</v>
      </c>
      <c r="C118" s="55" t="s">
        <v>1596</v>
      </c>
      <c r="D118" s="374" t="s">
        <v>14</v>
      </c>
      <c r="E118" s="374"/>
      <c r="F118" s="137">
        <v>4.6</v>
      </c>
      <c r="G118" s="137"/>
      <c r="H118" s="190">
        <f>SUM(H119:H126)</f>
        <v>0</v>
      </c>
      <c r="I118" s="9"/>
      <c r="J118" s="9"/>
      <c r="K118" s="16"/>
      <c r="L118" s="6"/>
      <c r="M118" s="6"/>
      <c r="N118" s="6"/>
    </row>
    <row r="119" spans="1:14" s="5" customFormat="1" ht="24.75" customHeight="1">
      <c r="A119" s="497"/>
      <c r="B119" s="223" t="s">
        <v>4</v>
      </c>
      <c r="C119" s="46" t="s">
        <v>148</v>
      </c>
      <c r="D119" s="373" t="s">
        <v>5</v>
      </c>
      <c r="E119" s="373">
        <v>21.9</v>
      </c>
      <c r="F119" s="295">
        <f>E119*F118</f>
        <v>100.73999999999998</v>
      </c>
      <c r="G119" s="377"/>
      <c r="H119" s="124">
        <f aca="true" t="shared" si="7" ref="H119:H126">G119*F119</f>
        <v>0</v>
      </c>
      <c r="I119" s="9"/>
      <c r="J119" s="9"/>
      <c r="K119" s="16"/>
      <c r="L119" s="6"/>
      <c r="M119" s="6"/>
      <c r="N119" s="6"/>
    </row>
    <row r="120" spans="1:14" s="5" customFormat="1" ht="21.75" customHeight="1">
      <c r="A120" s="497"/>
      <c r="B120" s="224" t="s">
        <v>4</v>
      </c>
      <c r="C120" s="46" t="s">
        <v>153</v>
      </c>
      <c r="D120" s="373" t="s">
        <v>16</v>
      </c>
      <c r="E120" s="373">
        <v>1.14</v>
      </c>
      <c r="F120" s="377">
        <f>E120*F118</f>
        <v>5.243999999999999</v>
      </c>
      <c r="G120" s="47"/>
      <c r="H120" s="124">
        <f t="shared" si="7"/>
        <v>0</v>
      </c>
      <c r="I120" s="9"/>
      <c r="J120" s="9"/>
      <c r="K120" s="16"/>
      <c r="L120" s="6"/>
      <c r="M120" s="6"/>
      <c r="N120" s="6"/>
    </row>
    <row r="121" spans="1:14" s="5" customFormat="1" ht="21.75" customHeight="1">
      <c r="A121" s="82"/>
      <c r="B121" s="48" t="s">
        <v>594</v>
      </c>
      <c r="C121" s="46" t="s">
        <v>1588</v>
      </c>
      <c r="D121" s="46" t="s">
        <v>14</v>
      </c>
      <c r="E121" s="51">
        <v>1.015</v>
      </c>
      <c r="F121" s="51">
        <f>E121*F118</f>
        <v>4.669</v>
      </c>
      <c r="G121" s="222"/>
      <c r="H121" s="47">
        <f t="shared" si="7"/>
        <v>0</v>
      </c>
      <c r="I121" s="9"/>
      <c r="J121" s="9"/>
      <c r="K121" s="16"/>
      <c r="L121" s="6"/>
      <c r="M121" s="6"/>
      <c r="N121" s="6"/>
    </row>
    <row r="122" spans="1:14" s="5" customFormat="1" ht="24" customHeight="1">
      <c r="A122" s="82"/>
      <c r="B122" s="496" t="s">
        <v>1338</v>
      </c>
      <c r="C122" s="46" t="s">
        <v>1054</v>
      </c>
      <c r="D122" s="46" t="s">
        <v>42</v>
      </c>
      <c r="E122" s="46" t="s">
        <v>179</v>
      </c>
      <c r="F122" s="157">
        <v>0.134</v>
      </c>
      <c r="G122" s="222"/>
      <c r="H122" s="47">
        <f t="shared" si="7"/>
        <v>0</v>
      </c>
      <c r="I122" s="9"/>
      <c r="J122" s="9"/>
      <c r="K122" s="16"/>
      <c r="L122" s="6"/>
      <c r="M122" s="6"/>
      <c r="N122" s="6"/>
    </row>
    <row r="123" spans="1:14" s="5" customFormat="1" ht="24" customHeight="1">
      <c r="A123" s="82"/>
      <c r="B123" s="496" t="s">
        <v>1340</v>
      </c>
      <c r="C123" s="46" t="s">
        <v>1055</v>
      </c>
      <c r="D123" s="46" t="s">
        <v>42</v>
      </c>
      <c r="E123" s="46" t="s">
        <v>179</v>
      </c>
      <c r="F123" s="157">
        <v>0.92</v>
      </c>
      <c r="G123" s="222"/>
      <c r="H123" s="47">
        <f t="shared" si="7"/>
        <v>0</v>
      </c>
      <c r="I123" s="9"/>
      <c r="J123" s="9"/>
      <c r="K123" s="16"/>
      <c r="L123" s="6"/>
      <c r="M123" s="6"/>
      <c r="N123" s="6"/>
    </row>
    <row r="124" spans="1:14" s="5" customFormat="1" ht="21.75" customHeight="1">
      <c r="A124" s="497"/>
      <c r="B124" s="496" t="s">
        <v>1330</v>
      </c>
      <c r="C124" s="46" t="s">
        <v>806</v>
      </c>
      <c r="D124" s="373" t="s">
        <v>48</v>
      </c>
      <c r="E124" s="373">
        <v>7.07</v>
      </c>
      <c r="F124" s="377">
        <f>E124*F118</f>
        <v>32.522</v>
      </c>
      <c r="G124" s="377"/>
      <c r="H124" s="124">
        <f t="shared" si="7"/>
        <v>0</v>
      </c>
      <c r="I124" s="9"/>
      <c r="J124" s="9"/>
      <c r="K124" s="16"/>
      <c r="L124" s="6"/>
      <c r="M124" s="6"/>
      <c r="N124" s="6"/>
    </row>
    <row r="125" spans="1:14" s="5" customFormat="1" ht="21.75" customHeight="1">
      <c r="A125" s="497"/>
      <c r="B125" s="48" t="s">
        <v>1331</v>
      </c>
      <c r="C125" s="46" t="s">
        <v>1064</v>
      </c>
      <c r="D125" s="373" t="s">
        <v>14</v>
      </c>
      <c r="E125" s="373">
        <v>0.1711</v>
      </c>
      <c r="F125" s="377">
        <f>E125*F118</f>
        <v>0.78706</v>
      </c>
      <c r="G125" s="47"/>
      <c r="H125" s="124">
        <f t="shared" si="7"/>
        <v>0</v>
      </c>
      <c r="I125" s="9"/>
      <c r="J125" s="9"/>
      <c r="K125" s="16"/>
      <c r="L125" s="6"/>
      <c r="M125" s="6"/>
      <c r="N125" s="6"/>
    </row>
    <row r="126" spans="1:14" s="5" customFormat="1" ht="21.75" customHeight="1">
      <c r="A126" s="497"/>
      <c r="B126" s="223" t="s">
        <v>4</v>
      </c>
      <c r="C126" s="46" t="s">
        <v>18</v>
      </c>
      <c r="D126" s="373" t="s">
        <v>16</v>
      </c>
      <c r="E126" s="373">
        <v>1.5</v>
      </c>
      <c r="F126" s="377">
        <f>E126*F118</f>
        <v>6.8999999999999995</v>
      </c>
      <c r="G126" s="47"/>
      <c r="H126" s="124">
        <f t="shared" si="7"/>
        <v>0</v>
      </c>
      <c r="I126" s="9"/>
      <c r="J126" s="9"/>
      <c r="K126" s="16"/>
      <c r="L126" s="6"/>
      <c r="M126" s="6"/>
      <c r="N126" s="6"/>
    </row>
    <row r="127" spans="1:14" s="5" customFormat="1" ht="46.5" customHeight="1">
      <c r="A127" s="54"/>
      <c r="B127" s="378"/>
      <c r="C127" s="619" t="s">
        <v>1620</v>
      </c>
      <c r="D127" s="158" t="s">
        <v>16</v>
      </c>
      <c r="E127" s="158"/>
      <c r="F127" s="159"/>
      <c r="G127" s="160"/>
      <c r="H127" s="137">
        <f>H9+H12+H14+H19+H22+H27+H36+H47+H49+H51+H55+H58+H63+H67+H77+H88+H98+H108+H118</f>
        <v>0</v>
      </c>
      <c r="I127" s="9"/>
      <c r="J127" s="9"/>
      <c r="K127" s="16"/>
      <c r="L127" s="6"/>
      <c r="M127" s="6"/>
      <c r="N127" s="6"/>
    </row>
    <row r="128" spans="1:16" s="2" customFormat="1" ht="30" customHeight="1">
      <c r="A128" s="48"/>
      <c r="B128" s="227"/>
      <c r="C128" s="238" t="s">
        <v>1192</v>
      </c>
      <c r="D128" s="46"/>
      <c r="E128" s="46"/>
      <c r="F128" s="51"/>
      <c r="G128" s="47"/>
      <c r="H128" s="47"/>
      <c r="I128" s="40"/>
      <c r="J128" s="21" t="e">
        <f>#REF!</f>
        <v>#REF!</v>
      </c>
      <c r="K128" s="41"/>
      <c r="L128" s="17"/>
      <c r="M128" s="17"/>
      <c r="N128" s="17"/>
      <c r="O128" s="17"/>
      <c r="P128" s="17"/>
    </row>
    <row r="129" spans="1:16" s="2" customFormat="1" ht="61.5" customHeight="1">
      <c r="A129" s="71">
        <v>1</v>
      </c>
      <c r="B129" s="378" t="s">
        <v>350</v>
      </c>
      <c r="C129" s="55" t="s">
        <v>1193</v>
      </c>
      <c r="D129" s="55" t="s">
        <v>20</v>
      </c>
      <c r="E129" s="158"/>
      <c r="F129" s="137">
        <v>37.8</v>
      </c>
      <c r="G129" s="160"/>
      <c r="H129" s="228">
        <f>SUM(H130:H137)</f>
        <v>0</v>
      </c>
      <c r="I129" s="40"/>
      <c r="J129" s="21"/>
      <c r="K129" s="41"/>
      <c r="L129" s="17"/>
      <c r="M129" s="17"/>
      <c r="N129" s="17"/>
      <c r="O129" s="17"/>
      <c r="P129" s="17"/>
    </row>
    <row r="130" spans="1:16" s="2" customFormat="1" ht="30" customHeight="1">
      <c r="A130" s="50"/>
      <c r="B130" s="227" t="s">
        <v>4</v>
      </c>
      <c r="C130" s="49" t="s">
        <v>136</v>
      </c>
      <c r="D130" s="49" t="s">
        <v>5</v>
      </c>
      <c r="E130" s="49">
        <v>23.8</v>
      </c>
      <c r="F130" s="52">
        <f>E130*F129</f>
        <v>899.64</v>
      </c>
      <c r="G130" s="52"/>
      <c r="H130" s="377">
        <f>G130*F130</f>
        <v>0</v>
      </c>
      <c r="I130" s="40"/>
      <c r="J130" s="21"/>
      <c r="K130" s="41"/>
      <c r="L130" s="17"/>
      <c r="M130" s="17"/>
      <c r="N130" s="17"/>
      <c r="O130" s="17"/>
      <c r="P130" s="17"/>
    </row>
    <row r="131" spans="1:16" s="2" customFormat="1" ht="30" customHeight="1">
      <c r="A131" s="50"/>
      <c r="B131" s="227" t="s">
        <v>4</v>
      </c>
      <c r="C131" s="49" t="s">
        <v>137</v>
      </c>
      <c r="D131" s="49" t="s">
        <v>16</v>
      </c>
      <c r="E131" s="49">
        <v>2.1</v>
      </c>
      <c r="F131" s="52">
        <f>E131*F129</f>
        <v>79.38</v>
      </c>
      <c r="G131" s="47"/>
      <c r="H131" s="377">
        <f>G131*F131</f>
        <v>0</v>
      </c>
      <c r="I131" s="40"/>
      <c r="J131" s="21"/>
      <c r="K131" s="41"/>
      <c r="L131" s="17"/>
      <c r="M131" s="17"/>
      <c r="N131" s="17"/>
      <c r="O131" s="17"/>
      <c r="P131" s="17"/>
    </row>
    <row r="132" spans="1:16" s="2" customFormat="1" ht="27" customHeight="1">
      <c r="A132" s="50"/>
      <c r="B132" s="48" t="s">
        <v>1331</v>
      </c>
      <c r="C132" s="49" t="s">
        <v>351</v>
      </c>
      <c r="D132" s="49" t="s">
        <v>14</v>
      </c>
      <c r="E132" s="49">
        <v>1.05</v>
      </c>
      <c r="F132" s="52">
        <f>E132*F129</f>
        <v>39.69</v>
      </c>
      <c r="G132" s="47"/>
      <c r="H132" s="377">
        <f>F132*G132</f>
        <v>0</v>
      </c>
      <c r="I132" s="40"/>
      <c r="J132" s="21"/>
      <c r="K132" s="41"/>
      <c r="L132" s="17"/>
      <c r="M132" s="17"/>
      <c r="N132" s="17"/>
      <c r="O132" s="17"/>
      <c r="P132" s="17"/>
    </row>
    <row r="133" spans="1:16" s="2" customFormat="1" ht="30" customHeight="1">
      <c r="A133" s="50"/>
      <c r="B133" s="227" t="s">
        <v>2</v>
      </c>
      <c r="C133" s="49" t="s">
        <v>1375</v>
      </c>
      <c r="D133" s="49" t="s">
        <v>53</v>
      </c>
      <c r="E133" s="49">
        <v>1.96</v>
      </c>
      <c r="F133" s="52">
        <f>E133*F129</f>
        <v>74.088</v>
      </c>
      <c r="G133" s="52"/>
      <c r="H133" s="377">
        <f>G133*F133</f>
        <v>0</v>
      </c>
      <c r="I133" s="40"/>
      <c r="J133" s="21"/>
      <c r="K133" s="41"/>
      <c r="L133" s="17"/>
      <c r="M133" s="17"/>
      <c r="N133" s="17"/>
      <c r="O133" s="17"/>
      <c r="P133" s="17"/>
    </row>
    <row r="134" spans="1:16" s="2" customFormat="1" ht="26.25" customHeight="1">
      <c r="A134" s="50"/>
      <c r="B134" s="227" t="s">
        <v>1376</v>
      </c>
      <c r="C134" s="49" t="s">
        <v>1065</v>
      </c>
      <c r="D134" s="49" t="s">
        <v>43</v>
      </c>
      <c r="E134" s="49">
        <v>3.38</v>
      </c>
      <c r="F134" s="52">
        <f>E134*F129</f>
        <v>127.76399999999998</v>
      </c>
      <c r="G134" s="52"/>
      <c r="H134" s="377">
        <f>G134*F134</f>
        <v>0</v>
      </c>
      <c r="I134" s="40"/>
      <c r="J134" s="21"/>
      <c r="K134" s="41"/>
      <c r="L134" s="17"/>
      <c r="M134" s="17"/>
      <c r="N134" s="17"/>
      <c r="O134" s="17"/>
      <c r="P134" s="17"/>
    </row>
    <row r="135" spans="1:16" s="2" customFormat="1" ht="30" customHeight="1">
      <c r="A135" s="50"/>
      <c r="B135" s="227" t="s">
        <v>1339</v>
      </c>
      <c r="C135" s="49" t="s">
        <v>1273</v>
      </c>
      <c r="D135" s="49" t="s">
        <v>53</v>
      </c>
      <c r="E135" s="49" t="s">
        <v>179</v>
      </c>
      <c r="F135" s="52">
        <v>260</v>
      </c>
      <c r="G135" s="117"/>
      <c r="H135" s="377">
        <f>G135*F135</f>
        <v>0</v>
      </c>
      <c r="I135" s="40"/>
      <c r="J135" s="21"/>
      <c r="K135" s="41"/>
      <c r="L135" s="17"/>
      <c r="M135" s="17"/>
      <c r="N135" s="17"/>
      <c r="O135" s="17"/>
      <c r="P135" s="17"/>
    </row>
    <row r="136" spans="1:16" s="2" customFormat="1" ht="30" customHeight="1">
      <c r="A136" s="50"/>
      <c r="B136" s="227" t="s">
        <v>352</v>
      </c>
      <c r="C136" s="49" t="s">
        <v>65</v>
      </c>
      <c r="D136" s="49" t="s">
        <v>53</v>
      </c>
      <c r="E136" s="49">
        <v>7.2</v>
      </c>
      <c r="F136" s="52">
        <f>F129*E136</f>
        <v>272.15999999999997</v>
      </c>
      <c r="G136" s="52"/>
      <c r="H136" s="377">
        <f>G136*F136</f>
        <v>0</v>
      </c>
      <c r="I136" s="40"/>
      <c r="J136" s="21"/>
      <c r="K136" s="41"/>
      <c r="L136" s="17"/>
      <c r="M136" s="17"/>
      <c r="N136" s="17"/>
      <c r="O136" s="17"/>
      <c r="P136" s="17"/>
    </row>
    <row r="137" spans="1:16" s="2" customFormat="1" ht="30" customHeight="1">
      <c r="A137" s="50"/>
      <c r="B137" s="223" t="s">
        <v>4</v>
      </c>
      <c r="C137" s="46" t="s">
        <v>38</v>
      </c>
      <c r="D137" s="49" t="s">
        <v>16</v>
      </c>
      <c r="E137" s="49">
        <v>0.93</v>
      </c>
      <c r="F137" s="52">
        <f>E137*F129</f>
        <v>35.153999999999996</v>
      </c>
      <c r="G137" s="47"/>
      <c r="H137" s="377">
        <f>G137*F137</f>
        <v>0</v>
      </c>
      <c r="I137" s="40"/>
      <c r="J137" s="21"/>
      <c r="K137" s="41"/>
      <c r="L137" s="17"/>
      <c r="M137" s="17"/>
      <c r="N137" s="17"/>
      <c r="O137" s="17"/>
      <c r="P137" s="17"/>
    </row>
    <row r="138" spans="1:16" s="2" customFormat="1" ht="70.5" customHeight="1">
      <c r="A138" s="221">
        <v>2</v>
      </c>
      <c r="B138" s="378" t="s">
        <v>1066</v>
      </c>
      <c r="C138" s="375" t="s">
        <v>1067</v>
      </c>
      <c r="D138" s="375" t="s">
        <v>43</v>
      </c>
      <c r="E138" s="374"/>
      <c r="F138" s="137">
        <v>1634</v>
      </c>
      <c r="G138" s="137"/>
      <c r="H138" s="548">
        <f>H139+H140+H141+H142+H143</f>
        <v>0</v>
      </c>
      <c r="I138" s="40"/>
      <c r="J138" s="21"/>
      <c r="K138" s="41"/>
      <c r="L138" s="17"/>
      <c r="M138" s="17"/>
      <c r="N138" s="17"/>
      <c r="O138" s="17"/>
      <c r="P138" s="17"/>
    </row>
    <row r="139" spans="1:16" s="2" customFormat="1" ht="30" customHeight="1">
      <c r="A139" s="227"/>
      <c r="B139" s="227" t="s">
        <v>4</v>
      </c>
      <c r="C139" s="373" t="s">
        <v>136</v>
      </c>
      <c r="D139" s="373" t="s">
        <v>5</v>
      </c>
      <c r="E139" s="373">
        <v>0.284</v>
      </c>
      <c r="F139" s="377">
        <f>E139*F138</f>
        <v>464.056</v>
      </c>
      <c r="G139" s="377"/>
      <c r="H139" s="377">
        <f>G139*F139</f>
        <v>0</v>
      </c>
      <c r="I139" s="40"/>
      <c r="J139" s="21"/>
      <c r="K139" s="41"/>
      <c r="L139" s="17"/>
      <c r="M139" s="17"/>
      <c r="N139" s="17"/>
      <c r="O139" s="17"/>
      <c r="P139" s="17"/>
    </row>
    <row r="140" spans="1:16" s="2" customFormat="1" ht="30" customHeight="1">
      <c r="A140" s="227"/>
      <c r="B140" s="227" t="s">
        <v>4</v>
      </c>
      <c r="C140" s="373" t="s">
        <v>137</v>
      </c>
      <c r="D140" s="373" t="s">
        <v>16</v>
      </c>
      <c r="E140" s="373">
        <v>0.0231</v>
      </c>
      <c r="F140" s="377">
        <f>E140*F138</f>
        <v>37.7454</v>
      </c>
      <c r="G140" s="47"/>
      <c r="H140" s="377">
        <f>G140*F140</f>
        <v>0</v>
      </c>
      <c r="I140" s="40"/>
      <c r="J140" s="21"/>
      <c r="K140" s="41"/>
      <c r="L140" s="17"/>
      <c r="M140" s="17"/>
      <c r="N140" s="17"/>
      <c r="O140" s="17"/>
      <c r="P140" s="17"/>
    </row>
    <row r="141" spans="1:16" s="2" customFormat="1" ht="30.75" customHeight="1">
      <c r="A141" s="227"/>
      <c r="B141" s="227" t="s">
        <v>1332</v>
      </c>
      <c r="C141" s="373" t="s">
        <v>351</v>
      </c>
      <c r="D141" s="373" t="s">
        <v>14</v>
      </c>
      <c r="E141" s="373">
        <v>0.018</v>
      </c>
      <c r="F141" s="377">
        <f>E141*F138</f>
        <v>29.412</v>
      </c>
      <c r="G141" s="377"/>
      <c r="H141" s="377">
        <f>F141*G141</f>
        <v>0</v>
      </c>
      <c r="I141" s="40"/>
      <c r="J141" s="21"/>
      <c r="K141" s="41"/>
      <c r="L141" s="17"/>
      <c r="M141" s="17"/>
      <c r="N141" s="17"/>
      <c r="O141" s="17"/>
      <c r="P141" s="17"/>
    </row>
    <row r="142" spans="1:16" s="2" customFormat="1" ht="30" customHeight="1">
      <c r="A142" s="227"/>
      <c r="B142" s="227" t="s">
        <v>352</v>
      </c>
      <c r="C142" s="373" t="s">
        <v>65</v>
      </c>
      <c r="D142" s="373" t="s">
        <v>53</v>
      </c>
      <c r="E142" s="373">
        <v>0.079</v>
      </c>
      <c r="F142" s="377">
        <f>F138*E142</f>
        <v>129.086</v>
      </c>
      <c r="G142" s="52"/>
      <c r="H142" s="377">
        <f>G142*F142</f>
        <v>0</v>
      </c>
      <c r="I142" s="40"/>
      <c r="J142" s="21"/>
      <c r="K142" s="41"/>
      <c r="L142" s="17"/>
      <c r="M142" s="17"/>
      <c r="N142" s="17"/>
      <c r="O142" s="17"/>
      <c r="P142" s="17"/>
    </row>
    <row r="143" spans="1:16" s="2" customFormat="1" ht="30" customHeight="1">
      <c r="A143" s="227"/>
      <c r="B143" s="223" t="s">
        <v>4</v>
      </c>
      <c r="C143" s="46" t="s">
        <v>38</v>
      </c>
      <c r="D143" s="373" t="s">
        <v>16</v>
      </c>
      <c r="E143" s="373">
        <v>0.0523</v>
      </c>
      <c r="F143" s="377">
        <f>E143*F138</f>
        <v>85.4582</v>
      </c>
      <c r="G143" s="47"/>
      <c r="H143" s="377">
        <f>G143*F143</f>
        <v>0</v>
      </c>
      <c r="I143" s="40"/>
      <c r="J143" s="21"/>
      <c r="K143" s="41"/>
      <c r="L143" s="17"/>
      <c r="M143" s="17"/>
      <c r="N143" s="17"/>
      <c r="O143" s="17"/>
      <c r="P143" s="17"/>
    </row>
    <row r="144" spans="1:16" s="2" customFormat="1" ht="56.25" customHeight="1">
      <c r="A144" s="71">
        <v>3</v>
      </c>
      <c r="B144" s="79" t="s">
        <v>356</v>
      </c>
      <c r="C144" s="55" t="s">
        <v>815</v>
      </c>
      <c r="D144" s="55" t="s">
        <v>48</v>
      </c>
      <c r="E144" s="55"/>
      <c r="F144" s="379">
        <v>1634</v>
      </c>
      <c r="G144" s="70"/>
      <c r="H144" s="380">
        <f>SUM(H145:H148)</f>
        <v>0</v>
      </c>
      <c r="I144" s="40"/>
      <c r="J144" s="21"/>
      <c r="K144" s="41"/>
      <c r="L144" s="17"/>
      <c r="M144" s="17"/>
      <c r="N144" s="17"/>
      <c r="O144" s="17"/>
      <c r="P144" s="17"/>
    </row>
    <row r="145" spans="1:16" s="2" customFormat="1" ht="30" customHeight="1">
      <c r="A145" s="48"/>
      <c r="B145" s="224" t="s">
        <v>4</v>
      </c>
      <c r="C145" s="46" t="s">
        <v>148</v>
      </c>
      <c r="D145" s="46" t="s">
        <v>5</v>
      </c>
      <c r="E145" s="46">
        <v>0.0303</v>
      </c>
      <c r="F145" s="222">
        <f>E145*F144</f>
        <v>49.5102</v>
      </c>
      <c r="G145" s="47"/>
      <c r="H145" s="222">
        <f>F145*G145</f>
        <v>0</v>
      </c>
      <c r="I145" s="40"/>
      <c r="J145" s="21"/>
      <c r="K145" s="41"/>
      <c r="L145" s="17"/>
      <c r="M145" s="17"/>
      <c r="N145" s="17"/>
      <c r="O145" s="17"/>
      <c r="P145" s="17"/>
    </row>
    <row r="146" spans="1:16" s="2" customFormat="1" ht="30" customHeight="1">
      <c r="A146" s="48"/>
      <c r="B146" s="224" t="s">
        <v>4</v>
      </c>
      <c r="C146" s="46" t="s">
        <v>137</v>
      </c>
      <c r="D146" s="46" t="s">
        <v>16</v>
      </c>
      <c r="E146" s="46">
        <f>0.0041</f>
        <v>0.0041</v>
      </c>
      <c r="F146" s="222">
        <f>F144*E146</f>
        <v>6.699400000000001</v>
      </c>
      <c r="G146" s="47"/>
      <c r="H146" s="47">
        <f>G146*F146</f>
        <v>0</v>
      </c>
      <c r="I146" s="40"/>
      <c r="J146" s="21"/>
      <c r="K146" s="41"/>
      <c r="L146" s="17"/>
      <c r="M146" s="17"/>
      <c r="N146" s="17"/>
      <c r="O146" s="17"/>
      <c r="P146" s="17"/>
    </row>
    <row r="147" spans="1:16" s="2" customFormat="1" ht="30" customHeight="1">
      <c r="A147" s="48"/>
      <c r="B147" s="224" t="s">
        <v>2</v>
      </c>
      <c r="C147" s="46" t="s">
        <v>278</v>
      </c>
      <c r="D147" s="46" t="s">
        <v>53</v>
      </c>
      <c r="E147" s="46">
        <v>0.324</v>
      </c>
      <c r="F147" s="222">
        <f>F144*E147</f>
        <v>529.416</v>
      </c>
      <c r="G147" s="47"/>
      <c r="H147" s="47">
        <f>G147*F147</f>
        <v>0</v>
      </c>
      <c r="I147" s="40"/>
      <c r="J147" s="21"/>
      <c r="K147" s="41"/>
      <c r="L147" s="17"/>
      <c r="M147" s="17"/>
      <c r="N147" s="17"/>
      <c r="O147" s="17"/>
      <c r="P147" s="17"/>
    </row>
    <row r="148" spans="1:16" s="2" customFormat="1" ht="30" customHeight="1">
      <c r="A148" s="48"/>
      <c r="B148" s="223" t="s">
        <v>4</v>
      </c>
      <c r="C148" s="46" t="s">
        <v>38</v>
      </c>
      <c r="D148" s="46" t="s">
        <v>16</v>
      </c>
      <c r="E148" s="46">
        <v>0.0004</v>
      </c>
      <c r="F148" s="222">
        <f>F144*E148</f>
        <v>0.6536000000000001</v>
      </c>
      <c r="G148" s="47"/>
      <c r="H148" s="47">
        <f>G148*F148</f>
        <v>0</v>
      </c>
      <c r="I148" s="40"/>
      <c r="J148" s="21"/>
      <c r="K148" s="41"/>
      <c r="L148" s="17"/>
      <c r="M148" s="17"/>
      <c r="N148" s="17"/>
      <c r="O148" s="17"/>
      <c r="P148" s="17"/>
    </row>
    <row r="149" spans="1:16" s="2" customFormat="1" ht="49.5" customHeight="1">
      <c r="A149" s="71">
        <v>4</v>
      </c>
      <c r="B149" s="79" t="s">
        <v>357</v>
      </c>
      <c r="C149" s="55" t="s">
        <v>816</v>
      </c>
      <c r="D149" s="55" t="s">
        <v>48</v>
      </c>
      <c r="E149" s="55"/>
      <c r="F149" s="379">
        <f>F144+0</f>
        <v>1634</v>
      </c>
      <c r="G149" s="70"/>
      <c r="H149" s="380">
        <f>H150+H151+H152</f>
        <v>0</v>
      </c>
      <c r="I149" s="40"/>
      <c r="J149" s="21"/>
      <c r="K149" s="41"/>
      <c r="L149" s="17"/>
      <c r="M149" s="17"/>
      <c r="N149" s="17"/>
      <c r="O149" s="17"/>
      <c r="P149" s="17"/>
    </row>
    <row r="150" spans="1:16" s="2" customFormat="1" ht="30" customHeight="1">
      <c r="A150" s="48"/>
      <c r="B150" s="224" t="s">
        <v>4</v>
      </c>
      <c r="C150" s="46" t="s">
        <v>136</v>
      </c>
      <c r="D150" s="46" t="s">
        <v>5</v>
      </c>
      <c r="E150" s="46">
        <v>0.0424</v>
      </c>
      <c r="F150" s="47">
        <f>E150*F149</f>
        <v>69.2816</v>
      </c>
      <c r="G150" s="47"/>
      <c r="H150" s="222">
        <f>G150*F150</f>
        <v>0</v>
      </c>
      <c r="I150" s="40"/>
      <c r="J150" s="21"/>
      <c r="K150" s="41"/>
      <c r="L150" s="17"/>
      <c r="M150" s="17"/>
      <c r="N150" s="17"/>
      <c r="O150" s="17"/>
      <c r="P150" s="17"/>
    </row>
    <row r="151" spans="1:16" s="2" customFormat="1" ht="30" customHeight="1">
      <c r="A151" s="48"/>
      <c r="B151" s="224" t="s">
        <v>4</v>
      </c>
      <c r="C151" s="46" t="s">
        <v>137</v>
      </c>
      <c r="D151" s="46" t="s">
        <v>16</v>
      </c>
      <c r="E151" s="46">
        <f>0.0021</f>
        <v>0.0021</v>
      </c>
      <c r="F151" s="47">
        <f>F149*E151</f>
        <v>3.4314</v>
      </c>
      <c r="G151" s="47"/>
      <c r="H151" s="47">
        <f>G151*F151</f>
        <v>0</v>
      </c>
      <c r="I151" s="40"/>
      <c r="J151" s="21"/>
      <c r="K151" s="41"/>
      <c r="L151" s="17"/>
      <c r="M151" s="17"/>
      <c r="N151" s="17"/>
      <c r="O151" s="17"/>
      <c r="P151" s="17"/>
    </row>
    <row r="152" spans="1:17" s="2" customFormat="1" ht="30" customHeight="1">
      <c r="A152" s="48"/>
      <c r="B152" s="227" t="s">
        <v>2</v>
      </c>
      <c r="C152" s="46" t="s">
        <v>279</v>
      </c>
      <c r="D152" s="46" t="s">
        <v>42</v>
      </c>
      <c r="E152" s="45">
        <v>0.00015</v>
      </c>
      <c r="F152" s="47">
        <f>F149*E152</f>
        <v>0.24509999999999998</v>
      </c>
      <c r="G152" s="47"/>
      <c r="H152" s="47">
        <f>G152*F152</f>
        <v>0</v>
      </c>
      <c r="I152" s="40"/>
      <c r="J152" s="21"/>
      <c r="K152" s="41"/>
      <c r="L152" s="17"/>
      <c r="M152" s="17"/>
      <c r="N152" s="17"/>
      <c r="O152" s="17"/>
      <c r="P152" s="17"/>
      <c r="Q152" s="202"/>
    </row>
    <row r="153" spans="1:16" s="202" customFormat="1" ht="60.75" customHeight="1">
      <c r="A153" s="81" t="s">
        <v>41</v>
      </c>
      <c r="B153" s="79" t="s">
        <v>204</v>
      </c>
      <c r="C153" s="55" t="s">
        <v>825</v>
      </c>
      <c r="D153" s="55" t="s">
        <v>15</v>
      </c>
      <c r="E153" s="55"/>
      <c r="F153" s="226">
        <v>13</v>
      </c>
      <c r="G153" s="70"/>
      <c r="H153" s="380">
        <f>SUM(H154:H157)</f>
        <v>0</v>
      </c>
      <c r="I153" s="194"/>
      <c r="J153" s="107"/>
      <c r="K153" s="125"/>
      <c r="L153" s="205"/>
      <c r="M153" s="205"/>
      <c r="N153" s="205"/>
      <c r="O153" s="205"/>
      <c r="P153" s="205"/>
    </row>
    <row r="154" spans="1:16" s="202" customFormat="1" ht="24" customHeight="1">
      <c r="A154" s="48"/>
      <c r="B154" s="224" t="s">
        <v>4</v>
      </c>
      <c r="C154" s="46" t="s">
        <v>201</v>
      </c>
      <c r="D154" s="46" t="s">
        <v>5</v>
      </c>
      <c r="E154" s="46">
        <v>2.7</v>
      </c>
      <c r="F154" s="47">
        <f>E154*F153</f>
        <v>35.1</v>
      </c>
      <c r="G154" s="47"/>
      <c r="H154" s="222">
        <f>G154*F154</f>
        <v>0</v>
      </c>
      <c r="I154" s="194"/>
      <c r="J154" s="107"/>
      <c r="K154" s="125"/>
      <c r="L154" s="205"/>
      <c r="M154" s="205"/>
      <c r="N154" s="205"/>
      <c r="O154" s="205"/>
      <c r="P154" s="205"/>
    </row>
    <row r="155" spans="1:16" s="202" customFormat="1" ht="32.25" customHeight="1">
      <c r="A155" s="48"/>
      <c r="B155" s="224" t="s">
        <v>4</v>
      </c>
      <c r="C155" s="46" t="s">
        <v>153</v>
      </c>
      <c r="D155" s="46" t="s">
        <v>16</v>
      </c>
      <c r="E155" s="46">
        <v>0.45</v>
      </c>
      <c r="F155" s="47">
        <f>E155*F153</f>
        <v>5.8500000000000005</v>
      </c>
      <c r="G155" s="47"/>
      <c r="H155" s="47">
        <f>G155*F155</f>
        <v>0</v>
      </c>
      <c r="I155" s="194"/>
      <c r="J155" s="107"/>
      <c r="K155" s="125"/>
      <c r="L155" s="205"/>
      <c r="M155" s="205"/>
      <c r="N155" s="205"/>
      <c r="O155" s="205"/>
      <c r="P155" s="205"/>
    </row>
    <row r="156" spans="1:16" s="202" customFormat="1" ht="39.75" customHeight="1">
      <c r="A156" s="48"/>
      <c r="B156" s="227" t="s">
        <v>1378</v>
      </c>
      <c r="C156" s="46" t="s">
        <v>818</v>
      </c>
      <c r="D156" s="46" t="s">
        <v>15</v>
      </c>
      <c r="E156" s="47">
        <v>1</v>
      </c>
      <c r="F156" s="47">
        <f>E156*F153</f>
        <v>13</v>
      </c>
      <c r="G156" s="47"/>
      <c r="H156" s="47">
        <f>G156*F156</f>
        <v>0</v>
      </c>
      <c r="I156" s="194"/>
      <c r="J156" s="107"/>
      <c r="K156" s="125"/>
      <c r="L156" s="205"/>
      <c r="M156" s="205"/>
      <c r="N156" s="205"/>
      <c r="O156" s="205"/>
      <c r="P156" s="205"/>
    </row>
    <row r="157" spans="1:16" s="202" customFormat="1" ht="27.75" customHeight="1">
      <c r="A157" s="48"/>
      <c r="B157" s="223" t="s">
        <v>4</v>
      </c>
      <c r="C157" s="46" t="s">
        <v>38</v>
      </c>
      <c r="D157" s="46" t="s">
        <v>16</v>
      </c>
      <c r="E157" s="46">
        <v>0.14</v>
      </c>
      <c r="F157" s="47">
        <f>E157*F153</f>
        <v>1.8200000000000003</v>
      </c>
      <c r="G157" s="47"/>
      <c r="H157" s="47">
        <f>G157*F157</f>
        <v>0</v>
      </c>
      <c r="I157" s="194"/>
      <c r="J157" s="107"/>
      <c r="K157" s="125"/>
      <c r="L157" s="205"/>
      <c r="M157" s="205"/>
      <c r="N157" s="205"/>
      <c r="O157" s="205"/>
      <c r="P157" s="205"/>
    </row>
    <row r="158" spans="1:16" s="202" customFormat="1" ht="45.75" customHeight="1">
      <c r="A158" s="221">
        <v>6</v>
      </c>
      <c r="B158" s="378" t="s">
        <v>1069</v>
      </c>
      <c r="C158" s="375" t="s">
        <v>1070</v>
      </c>
      <c r="D158" s="375" t="s">
        <v>15</v>
      </c>
      <c r="E158" s="374"/>
      <c r="F158" s="137">
        <v>2</v>
      </c>
      <c r="G158" s="160"/>
      <c r="H158" s="228">
        <f>SUM(H159:H162)</f>
        <v>0</v>
      </c>
      <c r="I158" s="194"/>
      <c r="J158" s="107"/>
      <c r="K158" s="125"/>
      <c r="L158" s="205"/>
      <c r="M158" s="205"/>
      <c r="N158" s="205"/>
      <c r="O158" s="205"/>
      <c r="P158" s="205"/>
    </row>
    <row r="159" spans="1:16" s="202" customFormat="1" ht="27.75" customHeight="1">
      <c r="A159" s="50"/>
      <c r="B159" s="227" t="s">
        <v>4</v>
      </c>
      <c r="C159" s="49" t="s">
        <v>136</v>
      </c>
      <c r="D159" s="49" t="s">
        <v>5</v>
      </c>
      <c r="E159" s="49">
        <v>6.03</v>
      </c>
      <c r="F159" s="52">
        <f>E159*F158</f>
        <v>12.06</v>
      </c>
      <c r="G159" s="52"/>
      <c r="H159" s="377">
        <f>G159*F159</f>
        <v>0</v>
      </c>
      <c r="I159" s="194"/>
      <c r="J159" s="107"/>
      <c r="K159" s="125"/>
      <c r="L159" s="205"/>
      <c r="M159" s="205"/>
      <c r="N159" s="205"/>
      <c r="O159" s="205"/>
      <c r="P159" s="205"/>
    </row>
    <row r="160" spans="1:16" s="202" customFormat="1" ht="27.75" customHeight="1">
      <c r="A160" s="50"/>
      <c r="B160" s="227" t="s">
        <v>4</v>
      </c>
      <c r="C160" s="49" t="s">
        <v>137</v>
      </c>
      <c r="D160" s="49" t="s">
        <v>16</v>
      </c>
      <c r="E160" s="49">
        <v>0.33</v>
      </c>
      <c r="F160" s="52">
        <f>E160*F158</f>
        <v>0.66</v>
      </c>
      <c r="G160" s="47"/>
      <c r="H160" s="377">
        <f>G160*F160</f>
        <v>0</v>
      </c>
      <c r="I160" s="194"/>
      <c r="J160" s="107"/>
      <c r="K160" s="125"/>
      <c r="L160" s="205"/>
      <c r="M160" s="205"/>
      <c r="N160" s="205"/>
      <c r="O160" s="205"/>
      <c r="P160" s="205"/>
    </row>
    <row r="161" spans="1:16" s="202" customFormat="1" ht="27.75" customHeight="1">
      <c r="A161" s="50"/>
      <c r="B161" s="227" t="s">
        <v>1332</v>
      </c>
      <c r="C161" s="49" t="s">
        <v>351</v>
      </c>
      <c r="D161" s="49" t="s">
        <v>14</v>
      </c>
      <c r="E161" s="49">
        <v>0.22</v>
      </c>
      <c r="F161" s="52">
        <f>E161*F158</f>
        <v>0.44</v>
      </c>
      <c r="G161" s="52"/>
      <c r="H161" s="377">
        <f>F161*G161</f>
        <v>0</v>
      </c>
      <c r="I161" s="194"/>
      <c r="J161" s="107"/>
      <c r="K161" s="125"/>
      <c r="L161" s="205"/>
      <c r="M161" s="205"/>
      <c r="N161" s="205"/>
      <c r="O161" s="205"/>
      <c r="P161" s="205"/>
    </row>
    <row r="162" spans="1:16" s="202" customFormat="1" ht="27.75" customHeight="1">
      <c r="A162" s="50"/>
      <c r="B162" s="223" t="s">
        <v>4</v>
      </c>
      <c r="C162" s="46" t="s">
        <v>38</v>
      </c>
      <c r="D162" s="49" t="s">
        <v>16</v>
      </c>
      <c r="E162" s="49">
        <v>0.5</v>
      </c>
      <c r="F162" s="52">
        <f>E162*F158</f>
        <v>1</v>
      </c>
      <c r="G162" s="47"/>
      <c r="H162" s="377">
        <f>G162*F162</f>
        <v>0</v>
      </c>
      <c r="I162" s="194"/>
      <c r="J162" s="107"/>
      <c r="K162" s="125"/>
      <c r="L162" s="205"/>
      <c r="M162" s="205"/>
      <c r="N162" s="205"/>
      <c r="O162" s="205"/>
      <c r="P162" s="205"/>
    </row>
    <row r="163" spans="1:16" s="202" customFormat="1" ht="96" customHeight="1">
      <c r="A163" s="549">
        <v>7</v>
      </c>
      <c r="B163" s="550" t="s">
        <v>353</v>
      </c>
      <c r="C163" s="551" t="s">
        <v>1068</v>
      </c>
      <c r="D163" s="551" t="s">
        <v>43</v>
      </c>
      <c r="E163" s="552"/>
      <c r="F163" s="553">
        <v>576</v>
      </c>
      <c r="G163" s="554"/>
      <c r="H163" s="548">
        <f>H164+H165+H166+H168+H169+H167</f>
        <v>0</v>
      </c>
      <c r="I163" s="194"/>
      <c r="J163" s="107"/>
      <c r="K163" s="125"/>
      <c r="L163" s="205"/>
      <c r="M163" s="205"/>
      <c r="N163" s="205"/>
      <c r="O163" s="205"/>
      <c r="P163" s="205"/>
    </row>
    <row r="164" spans="1:16" s="202" customFormat="1" ht="27.75" customHeight="1">
      <c r="A164" s="555"/>
      <c r="B164" s="555" t="s">
        <v>4</v>
      </c>
      <c r="C164" s="556" t="s">
        <v>136</v>
      </c>
      <c r="D164" s="557" t="s">
        <v>5</v>
      </c>
      <c r="E164" s="556">
        <v>0.439</v>
      </c>
      <c r="F164" s="237">
        <f>E164*F163</f>
        <v>252.864</v>
      </c>
      <c r="G164" s="237"/>
      <c r="H164" s="237">
        <f aca="true" t="shared" si="8" ref="H164:H169">F164*G164</f>
        <v>0</v>
      </c>
      <c r="I164" s="194"/>
      <c r="J164" s="107"/>
      <c r="K164" s="125"/>
      <c r="L164" s="205"/>
      <c r="M164" s="205"/>
      <c r="N164" s="205"/>
      <c r="O164" s="205"/>
      <c r="P164" s="205"/>
    </row>
    <row r="165" spans="1:16" s="202" customFormat="1" ht="27" customHeight="1">
      <c r="A165" s="555"/>
      <c r="B165" s="555" t="s">
        <v>4</v>
      </c>
      <c r="C165" s="556" t="s">
        <v>137</v>
      </c>
      <c r="D165" s="557" t="s">
        <v>16</v>
      </c>
      <c r="E165" s="556">
        <v>0.035</v>
      </c>
      <c r="F165" s="237">
        <f>F163*E165</f>
        <v>20.160000000000004</v>
      </c>
      <c r="G165" s="47"/>
      <c r="H165" s="237">
        <f t="shared" si="8"/>
        <v>0</v>
      </c>
      <c r="I165" s="194"/>
      <c r="J165" s="107"/>
      <c r="K165" s="125"/>
      <c r="L165" s="205"/>
      <c r="M165" s="205"/>
      <c r="N165" s="205"/>
      <c r="O165" s="205"/>
      <c r="P165" s="205"/>
    </row>
    <row r="166" spans="1:16" s="202" customFormat="1" ht="41.25" customHeight="1">
      <c r="A166" s="555"/>
      <c r="B166" s="370" t="s">
        <v>1377</v>
      </c>
      <c r="C166" s="557" t="s">
        <v>355</v>
      </c>
      <c r="D166" s="557" t="s">
        <v>43</v>
      </c>
      <c r="E166" s="556">
        <v>1.12</v>
      </c>
      <c r="F166" s="237">
        <f>F163*E166</f>
        <v>645.1200000000001</v>
      </c>
      <c r="G166" s="237"/>
      <c r="H166" s="237">
        <f t="shared" si="8"/>
        <v>0</v>
      </c>
      <c r="I166" s="194"/>
      <c r="J166" s="107"/>
      <c r="K166" s="125"/>
      <c r="L166" s="205"/>
      <c r="M166" s="205"/>
      <c r="N166" s="205"/>
      <c r="O166" s="205"/>
      <c r="P166" s="205"/>
    </row>
    <row r="167" spans="1:16" s="202" customFormat="1" ht="26.25" customHeight="1">
      <c r="A167" s="555"/>
      <c r="B167" s="370" t="s">
        <v>1368</v>
      </c>
      <c r="C167" s="556" t="s">
        <v>238</v>
      </c>
      <c r="D167" s="556" t="s">
        <v>15</v>
      </c>
      <c r="E167" s="556">
        <v>8</v>
      </c>
      <c r="F167" s="237">
        <f>E167*F163</f>
        <v>4608</v>
      </c>
      <c r="G167" s="237"/>
      <c r="H167" s="237">
        <f t="shared" si="8"/>
        <v>0</v>
      </c>
      <c r="I167" s="194"/>
      <c r="J167" s="107"/>
      <c r="K167" s="125"/>
      <c r="L167" s="205"/>
      <c r="M167" s="205"/>
      <c r="N167" s="205"/>
      <c r="O167" s="205"/>
      <c r="P167" s="205"/>
    </row>
    <row r="168" spans="1:16" s="202" customFormat="1" ht="26.25" customHeight="1">
      <c r="A168" s="555"/>
      <c r="B168" s="370" t="s">
        <v>360</v>
      </c>
      <c r="C168" s="556" t="s">
        <v>237</v>
      </c>
      <c r="D168" s="556" t="s">
        <v>53</v>
      </c>
      <c r="E168" s="556">
        <v>0.15</v>
      </c>
      <c r="F168" s="237">
        <f>E168*F163</f>
        <v>86.39999999999999</v>
      </c>
      <c r="G168" s="237"/>
      <c r="H168" s="237">
        <f t="shared" si="8"/>
        <v>0</v>
      </c>
      <c r="I168" s="194"/>
      <c r="J168" s="107"/>
      <c r="K168" s="125"/>
      <c r="L168" s="205"/>
      <c r="M168" s="205"/>
      <c r="N168" s="205"/>
      <c r="O168" s="205"/>
      <c r="P168" s="205"/>
    </row>
    <row r="169" spans="1:16" s="202" customFormat="1" ht="27" customHeight="1">
      <c r="A169" s="555"/>
      <c r="B169" s="555" t="s">
        <v>4</v>
      </c>
      <c r="C169" s="46" t="s">
        <v>38</v>
      </c>
      <c r="D169" s="557" t="s">
        <v>16</v>
      </c>
      <c r="E169" s="556">
        <v>0.0816</v>
      </c>
      <c r="F169" s="237">
        <f>E169*F163</f>
        <v>47.0016</v>
      </c>
      <c r="G169" s="47"/>
      <c r="H169" s="237">
        <f t="shared" si="8"/>
        <v>0</v>
      </c>
      <c r="I169" s="194"/>
      <c r="J169" s="107"/>
      <c r="K169" s="125"/>
      <c r="L169" s="205"/>
      <c r="M169" s="205"/>
      <c r="N169" s="205"/>
      <c r="O169" s="205"/>
      <c r="P169" s="205"/>
    </row>
    <row r="170" spans="1:16" s="202" customFormat="1" ht="88.5" customHeight="1">
      <c r="A170" s="549">
        <v>8</v>
      </c>
      <c r="B170" s="550" t="s">
        <v>353</v>
      </c>
      <c r="C170" s="551" t="s">
        <v>607</v>
      </c>
      <c r="D170" s="551" t="s">
        <v>43</v>
      </c>
      <c r="E170" s="552"/>
      <c r="F170" s="554">
        <v>1546</v>
      </c>
      <c r="G170" s="554"/>
      <c r="H170" s="548">
        <f>H171+H172+H173+H174+H175+H176+H177</f>
        <v>0</v>
      </c>
      <c r="I170" s="194"/>
      <c r="J170" s="107"/>
      <c r="K170" s="125"/>
      <c r="L170" s="205"/>
      <c r="M170" s="205"/>
      <c r="N170" s="205"/>
      <c r="O170" s="205"/>
      <c r="P170" s="205"/>
    </row>
    <row r="171" spans="1:16" s="202" customFormat="1" ht="27" customHeight="1">
      <c r="A171" s="555"/>
      <c r="B171" s="555" t="s">
        <v>4</v>
      </c>
      <c r="C171" s="556" t="s">
        <v>136</v>
      </c>
      <c r="D171" s="557" t="s">
        <v>5</v>
      </c>
      <c r="E171" s="556">
        <v>0.439</v>
      </c>
      <c r="F171" s="237">
        <f>E171*F170</f>
        <v>678.694</v>
      </c>
      <c r="G171" s="237"/>
      <c r="H171" s="237">
        <f aca="true" t="shared" si="9" ref="H171:H177">F171*G171</f>
        <v>0</v>
      </c>
      <c r="I171" s="194"/>
      <c r="J171" s="107"/>
      <c r="K171" s="125"/>
      <c r="L171" s="205"/>
      <c r="M171" s="205"/>
      <c r="N171" s="205"/>
      <c r="O171" s="205"/>
      <c r="P171" s="205"/>
    </row>
    <row r="172" spans="1:16" s="202" customFormat="1" ht="27" customHeight="1">
      <c r="A172" s="555"/>
      <c r="B172" s="555" t="s">
        <v>4</v>
      </c>
      <c r="C172" s="556" t="s">
        <v>137</v>
      </c>
      <c r="D172" s="557" t="s">
        <v>16</v>
      </c>
      <c r="E172" s="556">
        <v>0.035</v>
      </c>
      <c r="F172" s="237">
        <f>F170*E172</f>
        <v>54.11000000000001</v>
      </c>
      <c r="G172" s="47"/>
      <c r="H172" s="237">
        <f t="shared" si="9"/>
        <v>0</v>
      </c>
      <c r="I172" s="194"/>
      <c r="J172" s="107"/>
      <c r="K172" s="125"/>
      <c r="L172" s="205"/>
      <c r="M172" s="205"/>
      <c r="N172" s="205"/>
      <c r="O172" s="205"/>
      <c r="P172" s="205"/>
    </row>
    <row r="173" spans="1:16" s="202" customFormat="1" ht="36" customHeight="1">
      <c r="A173" s="555"/>
      <c r="B173" s="370" t="s">
        <v>1379</v>
      </c>
      <c r="C173" s="557" t="s">
        <v>1622</v>
      </c>
      <c r="D173" s="557" t="s">
        <v>43</v>
      </c>
      <c r="E173" s="556">
        <v>1.12</v>
      </c>
      <c r="F173" s="237">
        <f>F170*E173</f>
        <v>1731.5200000000002</v>
      </c>
      <c r="G173" s="237"/>
      <c r="H173" s="237">
        <f t="shared" si="9"/>
        <v>0</v>
      </c>
      <c r="I173" s="194"/>
      <c r="J173" s="107"/>
      <c r="K173" s="125"/>
      <c r="L173" s="205"/>
      <c r="M173" s="205"/>
      <c r="N173" s="205"/>
      <c r="O173" s="205"/>
      <c r="P173" s="205"/>
    </row>
    <row r="174" spans="1:16" s="202" customFormat="1" ht="39.75" customHeight="1">
      <c r="A174" s="555"/>
      <c r="B174" s="370" t="s">
        <v>361</v>
      </c>
      <c r="C174" s="557" t="s">
        <v>1621</v>
      </c>
      <c r="D174" s="557" t="s">
        <v>42</v>
      </c>
      <c r="E174" s="556">
        <v>0.0003</v>
      </c>
      <c r="F174" s="237">
        <f>E174*F170</f>
        <v>0.46379999999999993</v>
      </c>
      <c r="G174" s="237"/>
      <c r="H174" s="237">
        <f t="shared" si="9"/>
        <v>0</v>
      </c>
      <c r="I174" s="194"/>
      <c r="J174" s="107"/>
      <c r="K174" s="125"/>
      <c r="L174" s="205"/>
      <c r="M174" s="205"/>
      <c r="N174" s="205"/>
      <c r="O174" s="205"/>
      <c r="P174" s="205"/>
    </row>
    <row r="175" spans="1:16" s="202" customFormat="1" ht="27" customHeight="1">
      <c r="A175" s="555"/>
      <c r="B175" s="370" t="s">
        <v>360</v>
      </c>
      <c r="C175" s="556" t="s">
        <v>237</v>
      </c>
      <c r="D175" s="556" t="s">
        <v>53</v>
      </c>
      <c r="E175" s="556">
        <v>0.15</v>
      </c>
      <c r="F175" s="237">
        <f>E175*F170</f>
        <v>231.89999999999998</v>
      </c>
      <c r="G175" s="237"/>
      <c r="H175" s="237">
        <f t="shared" si="9"/>
        <v>0</v>
      </c>
      <c r="I175" s="194"/>
      <c r="J175" s="107"/>
      <c r="K175" s="125"/>
      <c r="L175" s="205"/>
      <c r="M175" s="205"/>
      <c r="N175" s="205"/>
      <c r="O175" s="205"/>
      <c r="P175" s="205"/>
    </row>
    <row r="176" spans="1:16" s="202" customFormat="1" ht="27" customHeight="1">
      <c r="A176" s="555"/>
      <c r="B176" s="370" t="s">
        <v>1368</v>
      </c>
      <c r="C176" s="556" t="s">
        <v>238</v>
      </c>
      <c r="D176" s="556" t="s">
        <v>15</v>
      </c>
      <c r="E176" s="556">
        <v>8</v>
      </c>
      <c r="F176" s="237">
        <f>E176*F170</f>
        <v>12368</v>
      </c>
      <c r="G176" s="237"/>
      <c r="H176" s="237">
        <f t="shared" si="9"/>
        <v>0</v>
      </c>
      <c r="I176" s="194"/>
      <c r="J176" s="107"/>
      <c r="K176" s="125"/>
      <c r="L176" s="205"/>
      <c r="M176" s="205"/>
      <c r="N176" s="205"/>
      <c r="O176" s="205"/>
      <c r="P176" s="205"/>
    </row>
    <row r="177" spans="1:16" s="202" customFormat="1" ht="27" customHeight="1">
      <c r="A177" s="555"/>
      <c r="B177" s="555" t="s">
        <v>4</v>
      </c>
      <c r="C177" s="46" t="s">
        <v>38</v>
      </c>
      <c r="D177" s="557" t="s">
        <v>16</v>
      </c>
      <c r="E177" s="556">
        <v>0.0816</v>
      </c>
      <c r="F177" s="237">
        <f>E177*F170</f>
        <v>126.15360000000001</v>
      </c>
      <c r="G177" s="47"/>
      <c r="H177" s="237">
        <f t="shared" si="9"/>
        <v>0</v>
      </c>
      <c r="I177" s="194"/>
      <c r="J177" s="107"/>
      <c r="K177" s="125"/>
      <c r="L177" s="205"/>
      <c r="M177" s="205"/>
      <c r="N177" s="205"/>
      <c r="O177" s="205"/>
      <c r="P177" s="205"/>
    </row>
    <row r="178" spans="1:16" s="202" customFormat="1" ht="56.25" customHeight="1">
      <c r="A178" s="376" t="s">
        <v>66</v>
      </c>
      <c r="B178" s="79" t="s">
        <v>414</v>
      </c>
      <c r="C178" s="511" t="s">
        <v>827</v>
      </c>
      <c r="D178" s="375" t="s">
        <v>22</v>
      </c>
      <c r="E178" s="374"/>
      <c r="F178" s="379">
        <v>21</v>
      </c>
      <c r="G178" s="160"/>
      <c r="H178" s="190">
        <f>SUM(H179:H180)</f>
        <v>0</v>
      </c>
      <c r="I178" s="194"/>
      <c r="J178" s="107"/>
      <c r="K178" s="125"/>
      <c r="L178" s="205"/>
      <c r="M178" s="205"/>
      <c r="N178" s="205"/>
      <c r="O178" s="205"/>
      <c r="P178" s="205"/>
    </row>
    <row r="179" spans="1:16" s="202" customFormat="1" ht="30" customHeight="1">
      <c r="A179" s="497"/>
      <c r="B179" s="224" t="s">
        <v>4</v>
      </c>
      <c r="C179" s="496" t="s">
        <v>136</v>
      </c>
      <c r="D179" s="496" t="s">
        <v>5</v>
      </c>
      <c r="E179" s="373">
        <v>0.246</v>
      </c>
      <c r="F179" s="377">
        <f>E179*F178</f>
        <v>5.166</v>
      </c>
      <c r="G179" s="377"/>
      <c r="H179" s="124">
        <f>G179*F179</f>
        <v>0</v>
      </c>
      <c r="I179" s="194"/>
      <c r="J179" s="107"/>
      <c r="K179" s="125"/>
      <c r="L179" s="205"/>
      <c r="M179" s="205"/>
      <c r="N179" s="205"/>
      <c r="O179" s="205"/>
      <c r="P179" s="205"/>
    </row>
    <row r="180" spans="1:16" s="202" customFormat="1" ht="27" customHeight="1">
      <c r="A180" s="497"/>
      <c r="B180" s="224" t="s">
        <v>4</v>
      </c>
      <c r="C180" s="496" t="s">
        <v>153</v>
      </c>
      <c r="D180" s="496" t="s">
        <v>16</v>
      </c>
      <c r="E180" s="373">
        <v>0.093</v>
      </c>
      <c r="F180" s="377">
        <f>F178*E180</f>
        <v>1.953</v>
      </c>
      <c r="G180" s="47"/>
      <c r="H180" s="292">
        <f>G180*F180</f>
        <v>0</v>
      </c>
      <c r="I180" s="194"/>
      <c r="J180" s="107"/>
      <c r="K180" s="125"/>
      <c r="L180" s="205"/>
      <c r="M180" s="205"/>
      <c r="N180" s="205"/>
      <c r="O180" s="205"/>
      <c r="P180" s="205"/>
    </row>
    <row r="181" spans="1:16" s="202" customFormat="1" ht="50.25" customHeight="1">
      <c r="A181" s="221">
        <v>10</v>
      </c>
      <c r="B181" s="378" t="s">
        <v>416</v>
      </c>
      <c r="C181" s="375" t="s">
        <v>826</v>
      </c>
      <c r="D181" s="374" t="s">
        <v>22</v>
      </c>
      <c r="E181" s="374"/>
      <c r="F181" s="192">
        <f>F178</f>
        <v>21</v>
      </c>
      <c r="G181" s="137"/>
      <c r="H181" s="228">
        <f>SUM(H182:H186)</f>
        <v>0</v>
      </c>
      <c r="I181" s="194"/>
      <c r="J181" s="107"/>
      <c r="K181" s="125"/>
      <c r="L181" s="205"/>
      <c r="M181" s="205"/>
      <c r="N181" s="205"/>
      <c r="O181" s="205"/>
      <c r="P181" s="205"/>
    </row>
    <row r="182" spans="1:16" s="202" customFormat="1" ht="27" customHeight="1">
      <c r="A182" s="224"/>
      <c r="B182" s="224" t="s">
        <v>4</v>
      </c>
      <c r="C182" s="496" t="s">
        <v>136</v>
      </c>
      <c r="D182" s="373" t="s">
        <v>5</v>
      </c>
      <c r="E182" s="373">
        <v>0.525</v>
      </c>
      <c r="F182" s="377">
        <f>E182*F181</f>
        <v>11.025</v>
      </c>
      <c r="G182" s="377"/>
      <c r="H182" s="377">
        <f>G182*F182</f>
        <v>0</v>
      </c>
      <c r="I182" s="194"/>
      <c r="J182" s="107"/>
      <c r="K182" s="125"/>
      <c r="L182" s="205"/>
      <c r="M182" s="205"/>
      <c r="N182" s="205"/>
      <c r="O182" s="205"/>
      <c r="P182" s="205"/>
    </row>
    <row r="183" spans="1:16" s="202" customFormat="1" ht="27" customHeight="1">
      <c r="A183" s="224"/>
      <c r="B183" s="224" t="s">
        <v>4</v>
      </c>
      <c r="C183" s="496" t="s">
        <v>129</v>
      </c>
      <c r="D183" s="373" t="s">
        <v>16</v>
      </c>
      <c r="E183" s="373">
        <v>0.0067</v>
      </c>
      <c r="F183" s="377">
        <f>F181*E183</f>
        <v>0.1407</v>
      </c>
      <c r="G183" s="47"/>
      <c r="H183" s="377">
        <f>G183*F183</f>
        <v>0</v>
      </c>
      <c r="I183" s="194"/>
      <c r="J183" s="107"/>
      <c r="K183" s="125"/>
      <c r="L183" s="205"/>
      <c r="M183" s="205"/>
      <c r="N183" s="205"/>
      <c r="O183" s="205"/>
      <c r="P183" s="205"/>
    </row>
    <row r="184" spans="1:16" s="202" customFormat="1" ht="27" customHeight="1">
      <c r="A184" s="224"/>
      <c r="B184" s="224" t="s">
        <v>1348</v>
      </c>
      <c r="C184" s="496" t="s">
        <v>418</v>
      </c>
      <c r="D184" s="373" t="s">
        <v>14</v>
      </c>
      <c r="E184" s="373">
        <v>0.0026</v>
      </c>
      <c r="F184" s="206">
        <f>F181*E184</f>
        <v>0.054599999999999996</v>
      </c>
      <c r="G184" s="377"/>
      <c r="H184" s="377">
        <f>G184*F184</f>
        <v>0</v>
      </c>
      <c r="I184" s="194"/>
      <c r="J184" s="107"/>
      <c r="K184" s="125"/>
      <c r="L184" s="205"/>
      <c r="M184" s="205"/>
      <c r="N184" s="205"/>
      <c r="O184" s="205"/>
      <c r="P184" s="205"/>
    </row>
    <row r="185" spans="1:16" s="202" customFormat="1" ht="27" customHeight="1">
      <c r="A185" s="224"/>
      <c r="B185" s="224" t="s">
        <v>2</v>
      </c>
      <c r="C185" s="496" t="s">
        <v>419</v>
      </c>
      <c r="D185" s="373" t="s">
        <v>53</v>
      </c>
      <c r="E185" s="373">
        <v>0.22</v>
      </c>
      <c r="F185" s="295">
        <f>F181*E185</f>
        <v>4.62</v>
      </c>
      <c r="G185" s="377"/>
      <c r="H185" s="377">
        <f>G185*F185</f>
        <v>0</v>
      </c>
      <c r="I185" s="194"/>
      <c r="J185" s="107"/>
      <c r="K185" s="125"/>
      <c r="L185" s="205"/>
      <c r="M185" s="205"/>
      <c r="N185" s="205"/>
      <c r="O185" s="205"/>
      <c r="P185" s="205"/>
    </row>
    <row r="186" spans="1:16" s="202" customFormat="1" ht="27" customHeight="1">
      <c r="A186" s="224"/>
      <c r="B186" s="224" t="s">
        <v>1369</v>
      </c>
      <c r="C186" s="496" t="s">
        <v>420</v>
      </c>
      <c r="D186" s="373" t="s">
        <v>1370</v>
      </c>
      <c r="E186" s="373">
        <v>0.178</v>
      </c>
      <c r="F186" s="377">
        <f>E186*F181</f>
        <v>3.738</v>
      </c>
      <c r="G186" s="377"/>
      <c r="H186" s="377">
        <f>F186*G186</f>
        <v>0</v>
      </c>
      <c r="I186" s="194"/>
      <c r="J186" s="107"/>
      <c r="K186" s="125"/>
      <c r="L186" s="205"/>
      <c r="M186" s="205"/>
      <c r="N186" s="205"/>
      <c r="O186" s="205"/>
      <c r="P186" s="205"/>
    </row>
    <row r="187" spans="1:16" s="202" customFormat="1" ht="49.5" customHeight="1">
      <c r="A187" s="558">
        <v>11</v>
      </c>
      <c r="B187" s="443" t="s">
        <v>364</v>
      </c>
      <c r="C187" s="559" t="s">
        <v>828</v>
      </c>
      <c r="D187" s="560" t="s">
        <v>194</v>
      </c>
      <c r="E187" s="558"/>
      <c r="F187" s="561">
        <v>1</v>
      </c>
      <c r="G187" s="561"/>
      <c r="H187" s="562">
        <f>H188+H189+H190+H191</f>
        <v>0</v>
      </c>
      <c r="I187" s="194"/>
      <c r="J187" s="107"/>
      <c r="K187" s="125"/>
      <c r="L187" s="205"/>
      <c r="M187" s="205"/>
      <c r="N187" s="205"/>
      <c r="O187" s="205"/>
      <c r="P187" s="205"/>
    </row>
    <row r="188" spans="1:16" s="202" customFormat="1" ht="27" customHeight="1">
      <c r="A188" s="461"/>
      <c r="B188" s="252" t="s">
        <v>4</v>
      </c>
      <c r="C188" s="563" t="s">
        <v>135</v>
      </c>
      <c r="D188" s="564" t="s">
        <v>105</v>
      </c>
      <c r="E188" s="564">
        <v>1.11</v>
      </c>
      <c r="F188" s="563">
        <f>E188*F187</f>
        <v>1.11</v>
      </c>
      <c r="G188" s="183"/>
      <c r="H188" s="183">
        <f>F188*G188</f>
        <v>0</v>
      </c>
      <c r="I188" s="194"/>
      <c r="J188" s="107"/>
      <c r="K188" s="125"/>
      <c r="L188" s="205"/>
      <c r="M188" s="205"/>
      <c r="N188" s="205"/>
      <c r="O188" s="205"/>
      <c r="P188" s="205"/>
    </row>
    <row r="189" spans="1:16" s="202" customFormat="1" ht="27" customHeight="1">
      <c r="A189" s="461"/>
      <c r="B189" s="252" t="s">
        <v>4</v>
      </c>
      <c r="C189" s="563" t="s">
        <v>106</v>
      </c>
      <c r="D189" s="563" t="s">
        <v>16</v>
      </c>
      <c r="E189" s="563">
        <v>0.516</v>
      </c>
      <c r="F189" s="563">
        <f>E189*F187</f>
        <v>0.516</v>
      </c>
      <c r="G189" s="47"/>
      <c r="H189" s="183">
        <f>F189*G189</f>
        <v>0</v>
      </c>
      <c r="I189" s="194"/>
      <c r="J189" s="107"/>
      <c r="K189" s="125"/>
      <c r="L189" s="205"/>
      <c r="M189" s="205"/>
      <c r="N189" s="205"/>
      <c r="O189" s="205"/>
      <c r="P189" s="205"/>
    </row>
    <row r="190" spans="1:16" s="202" customFormat="1" ht="27" customHeight="1">
      <c r="A190" s="461"/>
      <c r="B190" s="298" t="s">
        <v>1387</v>
      </c>
      <c r="C190" s="563" t="s">
        <v>829</v>
      </c>
      <c r="D190" s="563" t="s">
        <v>194</v>
      </c>
      <c r="E190" s="565">
        <v>1</v>
      </c>
      <c r="F190" s="565">
        <f>E190*F187</f>
        <v>1</v>
      </c>
      <c r="G190" s="462"/>
      <c r="H190" s="183">
        <f>F190*G190</f>
        <v>0</v>
      </c>
      <c r="I190" s="194"/>
      <c r="J190" s="107"/>
      <c r="K190" s="125"/>
      <c r="L190" s="205"/>
      <c r="M190" s="205"/>
      <c r="N190" s="205"/>
      <c r="O190" s="205"/>
      <c r="P190" s="205"/>
    </row>
    <row r="191" spans="1:16" s="202" customFormat="1" ht="27" customHeight="1">
      <c r="A191" s="461"/>
      <c r="B191" s="252" t="s">
        <v>4</v>
      </c>
      <c r="C191" s="508" t="s">
        <v>38</v>
      </c>
      <c r="D191" s="563" t="s">
        <v>16</v>
      </c>
      <c r="E191" s="563">
        <v>0.054</v>
      </c>
      <c r="F191" s="563">
        <f>E191*F187</f>
        <v>0.054</v>
      </c>
      <c r="G191" s="47"/>
      <c r="H191" s="183">
        <f>F191*G191</f>
        <v>0</v>
      </c>
      <c r="I191" s="194"/>
      <c r="J191" s="107"/>
      <c r="K191" s="125"/>
      <c r="L191" s="205"/>
      <c r="M191" s="205"/>
      <c r="N191" s="205"/>
      <c r="O191" s="205"/>
      <c r="P191" s="205"/>
    </row>
    <row r="192" spans="1:16" s="202" customFormat="1" ht="43.5" customHeight="1">
      <c r="A192" s="443" t="s">
        <v>88</v>
      </c>
      <c r="B192" s="566" t="s">
        <v>228</v>
      </c>
      <c r="C192" s="567" t="s">
        <v>830</v>
      </c>
      <c r="D192" s="567" t="s">
        <v>43</v>
      </c>
      <c r="E192" s="567"/>
      <c r="F192" s="561">
        <v>2.4</v>
      </c>
      <c r="G192" s="568"/>
      <c r="H192" s="562">
        <f>SUM(H193:H196)</f>
        <v>0</v>
      </c>
      <c r="I192" s="194"/>
      <c r="J192" s="107"/>
      <c r="K192" s="125"/>
      <c r="L192" s="205"/>
      <c r="M192" s="205"/>
      <c r="N192" s="205"/>
      <c r="O192" s="205"/>
      <c r="P192" s="205"/>
    </row>
    <row r="193" spans="1:16" s="202" customFormat="1" ht="27" customHeight="1">
      <c r="A193" s="244"/>
      <c r="B193" s="245" t="s">
        <v>4</v>
      </c>
      <c r="C193" s="208" t="s">
        <v>136</v>
      </c>
      <c r="D193" s="208" t="s">
        <v>5</v>
      </c>
      <c r="E193" s="208">
        <v>0.0238</v>
      </c>
      <c r="F193" s="569">
        <v>0.057120000000000004</v>
      </c>
      <c r="G193" s="286"/>
      <c r="H193" s="570">
        <f>F193*G193</f>
        <v>0</v>
      </c>
      <c r="I193" s="194"/>
      <c r="J193" s="107"/>
      <c r="K193" s="125"/>
      <c r="L193" s="205"/>
      <c r="M193" s="205"/>
      <c r="N193" s="205"/>
      <c r="O193" s="205"/>
      <c r="P193" s="205"/>
    </row>
    <row r="194" spans="1:16" s="202" customFormat="1" ht="27" customHeight="1">
      <c r="A194" s="244"/>
      <c r="B194" s="245" t="s">
        <v>4</v>
      </c>
      <c r="C194" s="208" t="s">
        <v>137</v>
      </c>
      <c r="D194" s="208" t="s">
        <v>16</v>
      </c>
      <c r="E194" s="208">
        <v>0.0026</v>
      </c>
      <c r="F194" s="509">
        <v>0.00624</v>
      </c>
      <c r="G194" s="47"/>
      <c r="H194" s="570">
        <f>F194*G194</f>
        <v>0</v>
      </c>
      <c r="I194" s="194"/>
      <c r="J194" s="107"/>
      <c r="K194" s="125"/>
      <c r="L194" s="205"/>
      <c r="M194" s="205"/>
      <c r="N194" s="205"/>
      <c r="O194" s="205"/>
      <c r="P194" s="205"/>
    </row>
    <row r="195" spans="1:16" s="202" customFormat="1" ht="27" customHeight="1">
      <c r="A195" s="244"/>
      <c r="B195" s="245" t="s">
        <v>777</v>
      </c>
      <c r="C195" s="496" t="s">
        <v>229</v>
      </c>
      <c r="D195" s="208" t="s">
        <v>53</v>
      </c>
      <c r="E195" s="208">
        <v>0.146</v>
      </c>
      <c r="F195" s="509">
        <v>0.3504</v>
      </c>
      <c r="G195" s="183"/>
      <c r="H195" s="570">
        <f>F195*G195</f>
        <v>0</v>
      </c>
      <c r="I195" s="194"/>
      <c r="J195" s="107"/>
      <c r="K195" s="125"/>
      <c r="L195" s="205"/>
      <c r="M195" s="205"/>
      <c r="N195" s="205"/>
      <c r="O195" s="205"/>
      <c r="P195" s="205"/>
    </row>
    <row r="196" spans="1:16" s="202" customFormat="1" ht="27" customHeight="1">
      <c r="A196" s="244"/>
      <c r="B196" s="245" t="s">
        <v>617</v>
      </c>
      <c r="C196" s="496" t="s">
        <v>230</v>
      </c>
      <c r="D196" s="208" t="s">
        <v>16</v>
      </c>
      <c r="E196" s="208">
        <v>0.0219</v>
      </c>
      <c r="F196" s="509">
        <v>0.052559999999999996</v>
      </c>
      <c r="G196" s="183"/>
      <c r="H196" s="570">
        <f>F196*G196</f>
        <v>0</v>
      </c>
      <c r="I196" s="194"/>
      <c r="J196" s="107"/>
      <c r="K196" s="125"/>
      <c r="L196" s="205"/>
      <c r="M196" s="205"/>
      <c r="N196" s="205"/>
      <c r="O196" s="205"/>
      <c r="P196" s="205"/>
    </row>
    <row r="197" spans="1:16" s="202" customFormat="1" ht="53.25" customHeight="1">
      <c r="A197" s="443" t="s">
        <v>68</v>
      </c>
      <c r="B197" s="566" t="s">
        <v>231</v>
      </c>
      <c r="C197" s="567" t="s">
        <v>831</v>
      </c>
      <c r="D197" s="567" t="s">
        <v>43</v>
      </c>
      <c r="E197" s="567"/>
      <c r="F197" s="561">
        <f>F192</f>
        <v>2.4</v>
      </c>
      <c r="G197" s="568"/>
      <c r="H197" s="562">
        <f>SUM(H198:H202)</f>
        <v>0</v>
      </c>
      <c r="I197" s="194"/>
      <c r="J197" s="107"/>
      <c r="K197" s="125"/>
      <c r="L197" s="205"/>
      <c r="M197" s="205"/>
      <c r="N197" s="205"/>
      <c r="O197" s="205"/>
      <c r="P197" s="205"/>
    </row>
    <row r="198" spans="1:16" s="202" customFormat="1" ht="25.5" customHeight="1">
      <c r="A198" s="244"/>
      <c r="B198" s="245" t="s">
        <v>4</v>
      </c>
      <c r="C198" s="208" t="s">
        <v>148</v>
      </c>
      <c r="D198" s="208" t="s">
        <v>5</v>
      </c>
      <c r="E198" s="208">
        <v>0.68</v>
      </c>
      <c r="F198" s="571">
        <v>1.6320000000000001</v>
      </c>
      <c r="G198" s="183"/>
      <c r="H198" s="570">
        <f>F198*G198</f>
        <v>0</v>
      </c>
      <c r="I198" s="194"/>
      <c r="J198" s="107"/>
      <c r="K198" s="125"/>
      <c r="L198" s="205"/>
      <c r="M198" s="205"/>
      <c r="N198" s="205"/>
      <c r="O198" s="205"/>
      <c r="P198" s="205"/>
    </row>
    <row r="199" spans="1:16" s="202" customFormat="1" ht="27" customHeight="1">
      <c r="A199" s="244"/>
      <c r="B199" s="245" t="s">
        <v>4</v>
      </c>
      <c r="C199" s="208" t="s">
        <v>137</v>
      </c>
      <c r="D199" s="208" t="s">
        <v>16</v>
      </c>
      <c r="E199" s="208">
        <v>0.0003</v>
      </c>
      <c r="F199" s="569">
        <v>0.0007199999999999999</v>
      </c>
      <c r="G199" s="47"/>
      <c r="H199" s="570">
        <f>F199*G199</f>
        <v>0</v>
      </c>
      <c r="I199" s="194"/>
      <c r="J199" s="107"/>
      <c r="K199" s="125"/>
      <c r="L199" s="205"/>
      <c r="M199" s="205"/>
      <c r="N199" s="205"/>
      <c r="O199" s="205"/>
      <c r="P199" s="205"/>
    </row>
    <row r="200" spans="1:16" s="202" customFormat="1" ht="27" customHeight="1">
      <c r="A200" s="244"/>
      <c r="B200" s="251" t="s">
        <v>1357</v>
      </c>
      <c r="C200" s="208" t="s">
        <v>326</v>
      </c>
      <c r="D200" s="208" t="s">
        <v>53</v>
      </c>
      <c r="E200" s="208">
        <v>0.246</v>
      </c>
      <c r="F200" s="569">
        <v>0.5903999999999999</v>
      </c>
      <c r="G200" s="183"/>
      <c r="H200" s="570">
        <f>F200*G200</f>
        <v>0</v>
      </c>
      <c r="I200" s="194"/>
      <c r="J200" s="107"/>
      <c r="K200" s="125"/>
      <c r="L200" s="205"/>
      <c r="M200" s="205"/>
      <c r="N200" s="205"/>
      <c r="O200" s="205"/>
      <c r="P200" s="205"/>
    </row>
    <row r="201" spans="1:16" s="202" customFormat="1" ht="27" customHeight="1">
      <c r="A201" s="244"/>
      <c r="B201" s="572" t="s">
        <v>1353</v>
      </c>
      <c r="C201" s="208" t="s">
        <v>232</v>
      </c>
      <c r="D201" s="208" t="s">
        <v>53</v>
      </c>
      <c r="E201" s="208">
        <v>0.027</v>
      </c>
      <c r="F201" s="569">
        <v>0.0648</v>
      </c>
      <c r="G201" s="183"/>
      <c r="H201" s="570">
        <f>F201*G201</f>
        <v>0</v>
      </c>
      <c r="I201" s="194"/>
      <c r="J201" s="107"/>
      <c r="K201" s="125"/>
      <c r="L201" s="205"/>
      <c r="M201" s="205"/>
      <c r="N201" s="205"/>
      <c r="O201" s="205"/>
      <c r="P201" s="205"/>
    </row>
    <row r="202" spans="1:16" s="202" customFormat="1" ht="27" customHeight="1">
      <c r="A202" s="244"/>
      <c r="B202" s="245" t="s">
        <v>4</v>
      </c>
      <c r="C202" s="508" t="s">
        <v>38</v>
      </c>
      <c r="D202" s="208" t="s">
        <v>16</v>
      </c>
      <c r="E202" s="208">
        <v>0.0019</v>
      </c>
      <c r="F202" s="569">
        <v>0.00456</v>
      </c>
      <c r="G202" s="47"/>
      <c r="H202" s="570">
        <f>F202*G202</f>
        <v>0</v>
      </c>
      <c r="I202" s="194"/>
      <c r="J202" s="107"/>
      <c r="K202" s="125"/>
      <c r="L202" s="205"/>
      <c r="M202" s="205"/>
      <c r="N202" s="205"/>
      <c r="O202" s="205"/>
      <c r="P202" s="205"/>
    </row>
    <row r="203" spans="1:16" s="202" customFormat="1" ht="62.25" customHeight="1">
      <c r="A203" s="81" t="s">
        <v>74</v>
      </c>
      <c r="B203" s="79" t="s">
        <v>170</v>
      </c>
      <c r="C203" s="55" t="s">
        <v>817</v>
      </c>
      <c r="D203" s="55" t="s">
        <v>22</v>
      </c>
      <c r="E203" s="55"/>
      <c r="F203" s="226">
        <v>130</v>
      </c>
      <c r="G203" s="70"/>
      <c r="H203" s="380">
        <f>SUM(H204:H208)</f>
        <v>0</v>
      </c>
      <c r="I203" s="194"/>
      <c r="J203" s="107"/>
      <c r="K203" s="125"/>
      <c r="L203" s="205"/>
      <c r="M203" s="205"/>
      <c r="N203" s="205"/>
      <c r="O203" s="205"/>
      <c r="P203" s="205"/>
    </row>
    <row r="204" spans="1:16" s="202" customFormat="1" ht="30.75" customHeight="1">
      <c r="A204" s="224"/>
      <c r="B204" s="224" t="s">
        <v>4</v>
      </c>
      <c r="C204" s="496" t="s">
        <v>136</v>
      </c>
      <c r="D204" s="496" t="s">
        <v>5</v>
      </c>
      <c r="E204" s="496">
        <v>0.583</v>
      </c>
      <c r="F204" s="222">
        <f>E204*F203</f>
        <v>75.78999999999999</v>
      </c>
      <c r="G204" s="222"/>
      <c r="H204" s="222">
        <f>G204*F204</f>
        <v>0</v>
      </c>
      <c r="I204" s="194"/>
      <c r="J204" s="107"/>
      <c r="K204" s="125"/>
      <c r="L204" s="205"/>
      <c r="M204" s="205"/>
      <c r="N204" s="205"/>
      <c r="O204" s="205"/>
      <c r="P204" s="205"/>
    </row>
    <row r="205" spans="1:16" s="202" customFormat="1" ht="30.75" customHeight="1">
      <c r="A205" s="48"/>
      <c r="B205" s="224" t="s">
        <v>4</v>
      </c>
      <c r="C205" s="46" t="s">
        <v>153</v>
      </c>
      <c r="D205" s="46" t="s">
        <v>16</v>
      </c>
      <c r="E205" s="46">
        <v>0.0046</v>
      </c>
      <c r="F205" s="47">
        <f>E205*F203</f>
        <v>0.598</v>
      </c>
      <c r="G205" s="47"/>
      <c r="H205" s="47">
        <f>G205*F205</f>
        <v>0</v>
      </c>
      <c r="I205" s="194"/>
      <c r="J205" s="107"/>
      <c r="K205" s="125"/>
      <c r="L205" s="205"/>
      <c r="M205" s="205"/>
      <c r="N205" s="205"/>
      <c r="O205" s="205"/>
      <c r="P205" s="205"/>
    </row>
    <row r="206" spans="1:16" s="202" customFormat="1" ht="31.5" customHeight="1">
      <c r="A206" s="48"/>
      <c r="B206" s="227" t="s">
        <v>1383</v>
      </c>
      <c r="C206" s="46" t="s">
        <v>359</v>
      </c>
      <c r="D206" s="46" t="s">
        <v>358</v>
      </c>
      <c r="E206" s="46">
        <v>1.02</v>
      </c>
      <c r="F206" s="47">
        <f>E206*F203</f>
        <v>132.6</v>
      </c>
      <c r="G206" s="47"/>
      <c r="H206" s="47">
        <f>G206*F206</f>
        <v>0</v>
      </c>
      <c r="I206" s="194"/>
      <c r="J206" s="107"/>
      <c r="K206" s="125"/>
      <c r="L206" s="205"/>
      <c r="M206" s="205"/>
      <c r="N206" s="205"/>
      <c r="O206" s="205"/>
      <c r="P206" s="205"/>
    </row>
    <row r="207" spans="1:16" s="202" customFormat="1" ht="27" customHeight="1">
      <c r="A207" s="48"/>
      <c r="B207" s="370" t="s">
        <v>360</v>
      </c>
      <c r="C207" s="46" t="s">
        <v>205</v>
      </c>
      <c r="D207" s="46" t="s">
        <v>53</v>
      </c>
      <c r="E207" s="46">
        <v>0.235</v>
      </c>
      <c r="F207" s="47">
        <f>F203*E207</f>
        <v>30.549999999999997</v>
      </c>
      <c r="G207" s="47"/>
      <c r="H207" s="47">
        <f>G207*F207</f>
        <v>0</v>
      </c>
      <c r="I207" s="194"/>
      <c r="J207" s="107"/>
      <c r="K207" s="125"/>
      <c r="L207" s="205"/>
      <c r="M207" s="205"/>
      <c r="N207" s="205"/>
      <c r="O207" s="205"/>
      <c r="P207" s="205"/>
    </row>
    <row r="208" spans="1:16" s="202" customFormat="1" ht="32.25" customHeight="1">
      <c r="A208" s="48"/>
      <c r="B208" s="223" t="s">
        <v>4</v>
      </c>
      <c r="C208" s="46" t="s">
        <v>38</v>
      </c>
      <c r="D208" s="46" t="s">
        <v>16</v>
      </c>
      <c r="E208" s="46">
        <v>0.20800000000000002</v>
      </c>
      <c r="F208" s="47">
        <f>F203*E208</f>
        <v>27.040000000000003</v>
      </c>
      <c r="G208" s="47"/>
      <c r="H208" s="47">
        <f>G208*F208</f>
        <v>0</v>
      </c>
      <c r="I208" s="194"/>
      <c r="J208" s="107"/>
      <c r="K208" s="125"/>
      <c r="L208" s="205"/>
      <c r="M208" s="205"/>
      <c r="N208" s="205"/>
      <c r="O208" s="205"/>
      <c r="P208" s="205"/>
    </row>
    <row r="209" spans="1:16" s="202" customFormat="1" ht="53.25" customHeight="1">
      <c r="A209" s="54"/>
      <c r="B209" s="79"/>
      <c r="C209" s="619" t="s">
        <v>1623</v>
      </c>
      <c r="D209" s="55" t="s">
        <v>16</v>
      </c>
      <c r="E209" s="55"/>
      <c r="F209" s="70"/>
      <c r="G209" s="70"/>
      <c r="H209" s="226">
        <f>H129+H138+H144+H149+H153+H158+H163+H170+H178+H181+H187+H192+H197+H203</f>
        <v>0</v>
      </c>
      <c r="I209" s="48"/>
      <c r="J209" s="45"/>
      <c r="K209" s="46"/>
      <c r="L209" s="46"/>
      <c r="M209" s="46"/>
      <c r="N209" s="47"/>
      <c r="O209" s="46"/>
      <c r="P209" s="47"/>
    </row>
    <row r="210" spans="1:16" s="202" customFormat="1" ht="30.75" customHeight="1">
      <c r="A210" s="244"/>
      <c r="B210" s="245"/>
      <c r="C210" s="246" t="s">
        <v>362</v>
      </c>
      <c r="D210" s="208"/>
      <c r="E210" s="208"/>
      <c r="F210" s="225"/>
      <c r="G210" s="183"/>
      <c r="H210" s="222"/>
      <c r="I210" s="48"/>
      <c r="J210" s="45"/>
      <c r="K210" s="46"/>
      <c r="L210" s="46"/>
      <c r="M210" s="46"/>
      <c r="N210" s="47"/>
      <c r="O210" s="46"/>
      <c r="P210" s="47"/>
    </row>
    <row r="211" spans="1:16" s="202" customFormat="1" ht="48" customHeight="1">
      <c r="A211" s="163">
        <v>1</v>
      </c>
      <c r="B211" s="376" t="s">
        <v>835</v>
      </c>
      <c r="C211" s="163" t="s">
        <v>1173</v>
      </c>
      <c r="D211" s="163" t="s">
        <v>194</v>
      </c>
      <c r="E211" s="163"/>
      <c r="F211" s="226">
        <v>195.5</v>
      </c>
      <c r="G211" s="226"/>
      <c r="H211" s="380">
        <f>H212+H213+H215+H216+H214</f>
        <v>0</v>
      </c>
      <c r="I211" s="224"/>
      <c r="J211" s="223"/>
      <c r="K211" s="496"/>
      <c r="L211" s="496"/>
      <c r="M211" s="496"/>
      <c r="N211" s="222"/>
      <c r="O211" s="496"/>
      <c r="P211" s="222"/>
    </row>
    <row r="212" spans="1:16" s="202" customFormat="1" ht="33.75" customHeight="1">
      <c r="A212" s="181"/>
      <c r="B212" s="252" t="s">
        <v>4</v>
      </c>
      <c r="C212" s="373" t="s">
        <v>136</v>
      </c>
      <c r="D212" s="182" t="s">
        <v>105</v>
      </c>
      <c r="E212" s="182">
        <v>1.86</v>
      </c>
      <c r="F212" s="182">
        <f>F211*E212</f>
        <v>363.63</v>
      </c>
      <c r="G212" s="183"/>
      <c r="H212" s="183">
        <f>F212*G212</f>
        <v>0</v>
      </c>
      <c r="I212" s="224"/>
      <c r="J212" s="223"/>
      <c r="K212" s="496"/>
      <c r="L212" s="496"/>
      <c r="M212" s="496"/>
      <c r="N212" s="222"/>
      <c r="O212" s="496"/>
      <c r="P212" s="222"/>
    </row>
    <row r="213" spans="1:16" s="202" customFormat="1" ht="32.25" customHeight="1">
      <c r="A213" s="181"/>
      <c r="B213" s="223" t="s">
        <v>897</v>
      </c>
      <c r="C213" s="252" t="s">
        <v>898</v>
      </c>
      <c r="D213" s="182" t="s">
        <v>143</v>
      </c>
      <c r="E213" s="182">
        <v>0.024</v>
      </c>
      <c r="F213" s="182">
        <f>E213*F211</f>
        <v>4.692</v>
      </c>
      <c r="G213" s="462"/>
      <c r="H213" s="183">
        <f>F213*G213</f>
        <v>0</v>
      </c>
      <c r="I213" s="224"/>
      <c r="J213" s="223"/>
      <c r="K213" s="496"/>
      <c r="L213" s="496"/>
      <c r="M213" s="496"/>
      <c r="N213" s="222"/>
      <c r="O213" s="496"/>
      <c r="P213" s="222"/>
    </row>
    <row r="214" spans="1:16" s="202" customFormat="1" ht="32.25" customHeight="1">
      <c r="A214" s="181"/>
      <c r="B214" s="223" t="s">
        <v>946</v>
      </c>
      <c r="C214" s="252" t="s">
        <v>947</v>
      </c>
      <c r="D214" s="182" t="s">
        <v>143</v>
      </c>
      <c r="E214" s="182">
        <v>0.628</v>
      </c>
      <c r="F214" s="182">
        <f>E214*F211</f>
        <v>122.774</v>
      </c>
      <c r="G214" s="462"/>
      <c r="H214" s="183">
        <f>F214*G214</f>
        <v>0</v>
      </c>
      <c r="I214" s="224"/>
      <c r="J214" s="223"/>
      <c r="K214" s="496"/>
      <c r="L214" s="496"/>
      <c r="M214" s="496"/>
      <c r="N214" s="222"/>
      <c r="O214" s="496"/>
      <c r="P214" s="222"/>
    </row>
    <row r="215" spans="1:16" s="202" customFormat="1" ht="33" customHeight="1">
      <c r="A215" s="181"/>
      <c r="B215" s="298" t="s">
        <v>489</v>
      </c>
      <c r="C215" s="182" t="s">
        <v>833</v>
      </c>
      <c r="D215" s="182" t="s">
        <v>194</v>
      </c>
      <c r="E215" s="182">
        <v>1</v>
      </c>
      <c r="F215" s="182">
        <f>F211*E215</f>
        <v>195.5</v>
      </c>
      <c r="G215" s="462"/>
      <c r="H215" s="183">
        <f>F215*G215</f>
        <v>0</v>
      </c>
      <c r="I215" s="224"/>
      <c r="J215" s="223"/>
      <c r="K215" s="496"/>
      <c r="L215" s="496"/>
      <c r="M215" s="496"/>
      <c r="N215" s="222"/>
      <c r="O215" s="496"/>
      <c r="P215" s="222"/>
    </row>
    <row r="216" spans="1:16" s="202" customFormat="1" ht="30.75" customHeight="1">
      <c r="A216" s="181"/>
      <c r="B216" s="298" t="s">
        <v>834</v>
      </c>
      <c r="C216" s="182" t="s">
        <v>832</v>
      </c>
      <c r="D216" s="182" t="s">
        <v>15</v>
      </c>
      <c r="E216" s="182"/>
      <c r="F216" s="182">
        <v>64</v>
      </c>
      <c r="G216" s="462"/>
      <c r="H216" s="183">
        <f>F216*G216</f>
        <v>0</v>
      </c>
      <c r="I216" s="224"/>
      <c r="J216" s="223"/>
      <c r="K216" s="496"/>
      <c r="L216" s="496"/>
      <c r="M216" s="496"/>
      <c r="N216" s="222"/>
      <c r="O216" s="496"/>
      <c r="P216" s="222"/>
    </row>
    <row r="217" spans="1:16" s="202" customFormat="1" ht="49.5" customHeight="1">
      <c r="A217" s="163">
        <v>2</v>
      </c>
      <c r="B217" s="376" t="s">
        <v>835</v>
      </c>
      <c r="C217" s="163" t="s">
        <v>1174</v>
      </c>
      <c r="D217" s="163" t="s">
        <v>194</v>
      </c>
      <c r="E217" s="163"/>
      <c r="F217" s="226">
        <v>10.2</v>
      </c>
      <c r="G217" s="226"/>
      <c r="H217" s="380">
        <f>H218+H219+H221+H222+H220</f>
        <v>0</v>
      </c>
      <c r="I217" s="224"/>
      <c r="J217" s="223"/>
      <c r="K217" s="496"/>
      <c r="L217" s="496"/>
      <c r="M217" s="496"/>
      <c r="N217" s="222"/>
      <c r="O217" s="496"/>
      <c r="P217" s="222"/>
    </row>
    <row r="218" spans="1:16" s="202" customFormat="1" ht="30.75" customHeight="1">
      <c r="A218" s="181"/>
      <c r="B218" s="252" t="s">
        <v>4</v>
      </c>
      <c r="C218" s="373" t="s">
        <v>136</v>
      </c>
      <c r="D218" s="182" t="s">
        <v>105</v>
      </c>
      <c r="E218" s="182">
        <v>1.86</v>
      </c>
      <c r="F218" s="182">
        <f>F217*E218</f>
        <v>18.972</v>
      </c>
      <c r="G218" s="183"/>
      <c r="H218" s="183">
        <f>F218*G218</f>
        <v>0</v>
      </c>
      <c r="I218" s="224"/>
      <c r="J218" s="223"/>
      <c r="K218" s="496"/>
      <c r="L218" s="496"/>
      <c r="M218" s="496"/>
      <c r="N218" s="222"/>
      <c r="O218" s="496"/>
      <c r="P218" s="222"/>
    </row>
    <row r="219" spans="1:16" s="202" customFormat="1" ht="30.75" customHeight="1">
      <c r="A219" s="181"/>
      <c r="B219" s="223" t="s">
        <v>897</v>
      </c>
      <c r="C219" s="252" t="s">
        <v>898</v>
      </c>
      <c r="D219" s="182" t="s">
        <v>143</v>
      </c>
      <c r="E219" s="182">
        <v>0.024</v>
      </c>
      <c r="F219" s="182">
        <f>E219*F217</f>
        <v>0.2448</v>
      </c>
      <c r="G219" s="462"/>
      <c r="H219" s="183">
        <f>F219*G219</f>
        <v>0</v>
      </c>
      <c r="I219" s="224"/>
      <c r="J219" s="223"/>
      <c r="K219" s="496"/>
      <c r="L219" s="496"/>
      <c r="M219" s="496"/>
      <c r="N219" s="222"/>
      <c r="O219" s="496"/>
      <c r="P219" s="222"/>
    </row>
    <row r="220" spans="1:16" s="202" customFormat="1" ht="30.75" customHeight="1">
      <c r="A220" s="181"/>
      <c r="B220" s="223" t="s">
        <v>946</v>
      </c>
      <c r="C220" s="252" t="s">
        <v>947</v>
      </c>
      <c r="D220" s="182" t="s">
        <v>143</v>
      </c>
      <c r="E220" s="182">
        <v>0.628</v>
      </c>
      <c r="F220" s="182">
        <f>E220*F217</f>
        <v>6.4056</v>
      </c>
      <c r="G220" s="462"/>
      <c r="H220" s="183">
        <f>F220*G220</f>
        <v>0</v>
      </c>
      <c r="I220" s="224"/>
      <c r="J220" s="223"/>
      <c r="K220" s="496"/>
      <c r="L220" s="496"/>
      <c r="M220" s="496"/>
      <c r="N220" s="222"/>
      <c r="O220" s="496"/>
      <c r="P220" s="222"/>
    </row>
    <row r="221" spans="1:16" s="202" customFormat="1" ht="30.75" customHeight="1">
      <c r="A221" s="181"/>
      <c r="B221" s="298" t="s">
        <v>489</v>
      </c>
      <c r="C221" s="182" t="s">
        <v>1106</v>
      </c>
      <c r="D221" s="182" t="s">
        <v>194</v>
      </c>
      <c r="E221" s="183">
        <v>1</v>
      </c>
      <c r="F221" s="183">
        <f>F217*E221</f>
        <v>10.2</v>
      </c>
      <c r="G221" s="462"/>
      <c r="H221" s="183">
        <f>F221*G221</f>
        <v>0</v>
      </c>
      <c r="I221" s="224"/>
      <c r="J221" s="223"/>
      <c r="K221" s="496"/>
      <c r="L221" s="496"/>
      <c r="M221" s="496"/>
      <c r="N221" s="222"/>
      <c r="O221" s="496"/>
      <c r="P221" s="222"/>
    </row>
    <row r="222" spans="1:16" s="202" customFormat="1" ht="30.75" customHeight="1">
      <c r="A222" s="181"/>
      <c r="B222" s="298" t="s">
        <v>834</v>
      </c>
      <c r="C222" s="182" t="s">
        <v>832</v>
      </c>
      <c r="D222" s="182" t="s">
        <v>15</v>
      </c>
      <c r="E222" s="183"/>
      <c r="F222" s="183">
        <v>11</v>
      </c>
      <c r="G222" s="462"/>
      <c r="H222" s="183">
        <f>F222*G222</f>
        <v>0</v>
      </c>
      <c r="I222" s="224"/>
      <c r="J222" s="223"/>
      <c r="K222" s="496"/>
      <c r="L222" s="496"/>
      <c r="M222" s="496"/>
      <c r="N222" s="222"/>
      <c r="O222" s="496"/>
      <c r="P222" s="222"/>
    </row>
    <row r="223" spans="1:16" s="202" customFormat="1" ht="55.5" customHeight="1">
      <c r="A223" s="163">
        <v>3</v>
      </c>
      <c r="B223" s="376" t="s">
        <v>835</v>
      </c>
      <c r="C223" s="163" t="s">
        <v>1624</v>
      </c>
      <c r="D223" s="163" t="s">
        <v>194</v>
      </c>
      <c r="E223" s="163"/>
      <c r="F223" s="226">
        <v>81</v>
      </c>
      <c r="G223" s="226"/>
      <c r="H223" s="380">
        <f>H224+H225+H227+H226</f>
        <v>0</v>
      </c>
      <c r="I223" s="224"/>
      <c r="J223" s="223"/>
      <c r="K223" s="496"/>
      <c r="L223" s="496"/>
      <c r="M223" s="496"/>
      <c r="N223" s="222"/>
      <c r="O223" s="496"/>
      <c r="P223" s="222"/>
    </row>
    <row r="224" spans="1:16" s="202" customFormat="1" ht="30.75" customHeight="1">
      <c r="A224" s="181"/>
      <c r="B224" s="252" t="s">
        <v>4</v>
      </c>
      <c r="C224" s="373" t="s">
        <v>136</v>
      </c>
      <c r="D224" s="182" t="s">
        <v>105</v>
      </c>
      <c r="E224" s="182">
        <v>1.86</v>
      </c>
      <c r="F224" s="182">
        <f>F223*E224</f>
        <v>150.66</v>
      </c>
      <c r="G224" s="183"/>
      <c r="H224" s="183">
        <f>F224*G224</f>
        <v>0</v>
      </c>
      <c r="I224" s="224"/>
      <c r="J224" s="223"/>
      <c r="K224" s="496"/>
      <c r="L224" s="496"/>
      <c r="M224" s="496"/>
      <c r="N224" s="222"/>
      <c r="O224" s="496"/>
      <c r="P224" s="222"/>
    </row>
    <row r="225" spans="1:16" s="202" customFormat="1" ht="30.75" customHeight="1">
      <c r="A225" s="181"/>
      <c r="B225" s="223" t="s">
        <v>897</v>
      </c>
      <c r="C225" s="252" t="s">
        <v>898</v>
      </c>
      <c r="D225" s="182" t="s">
        <v>143</v>
      </c>
      <c r="E225" s="182">
        <v>0.024</v>
      </c>
      <c r="F225" s="182">
        <f>E225*F223</f>
        <v>1.944</v>
      </c>
      <c r="G225" s="462"/>
      <c r="H225" s="183">
        <f>F225*G225</f>
        <v>0</v>
      </c>
      <c r="I225" s="224"/>
      <c r="J225" s="223"/>
      <c r="K225" s="496"/>
      <c r="L225" s="496"/>
      <c r="M225" s="496"/>
      <c r="N225" s="222"/>
      <c r="O225" s="496"/>
      <c r="P225" s="222"/>
    </row>
    <row r="226" spans="1:16" s="202" customFormat="1" ht="30.75" customHeight="1">
      <c r="A226" s="181"/>
      <c r="B226" s="223" t="s">
        <v>946</v>
      </c>
      <c r="C226" s="252" t="s">
        <v>947</v>
      </c>
      <c r="D226" s="182" t="s">
        <v>143</v>
      </c>
      <c r="E226" s="182">
        <v>0.628</v>
      </c>
      <c r="F226" s="182">
        <f>E226*F223</f>
        <v>50.868</v>
      </c>
      <c r="G226" s="462"/>
      <c r="H226" s="183">
        <f>F226*G226</f>
        <v>0</v>
      </c>
      <c r="I226" s="224"/>
      <c r="J226" s="223"/>
      <c r="K226" s="496"/>
      <c r="L226" s="496"/>
      <c r="M226" s="496"/>
      <c r="N226" s="222"/>
      <c r="O226" s="496"/>
      <c r="P226" s="222"/>
    </row>
    <row r="227" spans="1:16" s="202" customFormat="1" ht="30.75" customHeight="1">
      <c r="A227" s="181"/>
      <c r="B227" s="298" t="s">
        <v>489</v>
      </c>
      <c r="C227" s="182" t="s">
        <v>833</v>
      </c>
      <c r="D227" s="182" t="s">
        <v>194</v>
      </c>
      <c r="E227" s="182">
        <v>1</v>
      </c>
      <c r="F227" s="182">
        <f>F223*E227</f>
        <v>81</v>
      </c>
      <c r="G227" s="462"/>
      <c r="H227" s="183">
        <f>F227*G227</f>
        <v>0</v>
      </c>
      <c r="I227" s="224"/>
      <c r="J227" s="223"/>
      <c r="K227" s="496"/>
      <c r="L227" s="496"/>
      <c r="M227" s="496"/>
      <c r="N227" s="222"/>
      <c r="O227" s="496"/>
      <c r="P227" s="222"/>
    </row>
    <row r="228" spans="1:16" s="202" customFormat="1" ht="45.75" customHeight="1">
      <c r="A228" s="163">
        <v>4</v>
      </c>
      <c r="B228" s="376" t="s">
        <v>835</v>
      </c>
      <c r="C228" s="163" t="s">
        <v>1175</v>
      </c>
      <c r="D228" s="163" t="s">
        <v>194</v>
      </c>
      <c r="E228" s="163"/>
      <c r="F228" s="226">
        <v>86.4</v>
      </c>
      <c r="G228" s="226"/>
      <c r="H228" s="380">
        <f>H229+H230+H231+H232</f>
        <v>0</v>
      </c>
      <c r="I228" s="224"/>
      <c r="J228" s="223"/>
      <c r="K228" s="496"/>
      <c r="L228" s="496"/>
      <c r="M228" s="496"/>
      <c r="N228" s="222"/>
      <c r="O228" s="496"/>
      <c r="P228" s="222"/>
    </row>
    <row r="229" spans="1:16" s="202" customFormat="1" ht="30.75" customHeight="1">
      <c r="A229" s="181"/>
      <c r="B229" s="252" t="s">
        <v>4</v>
      </c>
      <c r="C229" s="373" t="s">
        <v>136</v>
      </c>
      <c r="D229" s="182" t="s">
        <v>105</v>
      </c>
      <c r="E229" s="182">
        <v>1.86</v>
      </c>
      <c r="F229" s="182">
        <f>F228*E229</f>
        <v>160.704</v>
      </c>
      <c r="G229" s="183"/>
      <c r="H229" s="183">
        <f>F229*G229</f>
        <v>0</v>
      </c>
      <c r="I229" s="224"/>
      <c r="J229" s="223"/>
      <c r="K229" s="496"/>
      <c r="L229" s="496"/>
      <c r="M229" s="496"/>
      <c r="N229" s="222"/>
      <c r="O229" s="496"/>
      <c r="P229" s="222"/>
    </row>
    <row r="230" spans="1:16" s="202" customFormat="1" ht="30.75" customHeight="1">
      <c r="A230" s="181"/>
      <c r="B230" s="223" t="s">
        <v>897</v>
      </c>
      <c r="C230" s="252" t="s">
        <v>898</v>
      </c>
      <c r="D230" s="182" t="s">
        <v>143</v>
      </c>
      <c r="E230" s="182">
        <v>0.024</v>
      </c>
      <c r="F230" s="182">
        <f>E230*F228</f>
        <v>2.0736000000000003</v>
      </c>
      <c r="G230" s="462"/>
      <c r="H230" s="183">
        <f>F230*G230</f>
        <v>0</v>
      </c>
      <c r="I230" s="224"/>
      <c r="J230" s="223"/>
      <c r="K230" s="496"/>
      <c r="L230" s="496"/>
      <c r="M230" s="496"/>
      <c r="N230" s="222"/>
      <c r="O230" s="496"/>
      <c r="P230" s="222"/>
    </row>
    <row r="231" spans="1:16" s="202" customFormat="1" ht="30.75" customHeight="1">
      <c r="A231" s="181"/>
      <c r="B231" s="223" t="s">
        <v>946</v>
      </c>
      <c r="C231" s="252" t="s">
        <v>947</v>
      </c>
      <c r="D231" s="182" t="s">
        <v>143</v>
      </c>
      <c r="E231" s="182">
        <v>0.628</v>
      </c>
      <c r="F231" s="182">
        <f>E231*F228</f>
        <v>54.25920000000001</v>
      </c>
      <c r="G231" s="462"/>
      <c r="H231" s="183">
        <f>F231*G231</f>
        <v>0</v>
      </c>
      <c r="I231" s="224"/>
      <c r="J231" s="223"/>
      <c r="K231" s="496"/>
      <c r="L231" s="496"/>
      <c r="M231" s="496"/>
      <c r="N231" s="222"/>
      <c r="O231" s="496"/>
      <c r="P231" s="222"/>
    </row>
    <row r="232" spans="1:16" s="202" customFormat="1" ht="30.75" customHeight="1">
      <c r="A232" s="181"/>
      <c r="B232" s="298" t="s">
        <v>1108</v>
      </c>
      <c r="C232" s="182" t="s">
        <v>1107</v>
      </c>
      <c r="D232" s="182" t="s">
        <v>194</v>
      </c>
      <c r="E232" s="183">
        <v>1</v>
      </c>
      <c r="F232" s="182">
        <f>F228*E232</f>
        <v>86.4</v>
      </c>
      <c r="G232" s="462"/>
      <c r="H232" s="183">
        <f>F232*G232</f>
        <v>0</v>
      </c>
      <c r="I232" s="224"/>
      <c r="J232" s="223"/>
      <c r="K232" s="496"/>
      <c r="L232" s="496"/>
      <c r="M232" s="496"/>
      <c r="N232" s="222"/>
      <c r="O232" s="496"/>
      <c r="P232" s="222"/>
    </row>
    <row r="233" spans="1:16" s="202" customFormat="1" ht="47.25" customHeight="1">
      <c r="A233" s="163">
        <v>5</v>
      </c>
      <c r="B233" s="376" t="s">
        <v>364</v>
      </c>
      <c r="C233" s="461" t="s">
        <v>1176</v>
      </c>
      <c r="D233" s="299" t="s">
        <v>194</v>
      </c>
      <c r="E233" s="163"/>
      <c r="F233" s="226">
        <v>17.9</v>
      </c>
      <c r="G233" s="226"/>
      <c r="H233" s="380">
        <f>H234+H235+H236+H237</f>
        <v>0</v>
      </c>
      <c r="I233" s="48"/>
      <c r="J233" s="45"/>
      <c r="K233" s="46"/>
      <c r="L233" s="46"/>
      <c r="M233" s="46"/>
      <c r="N233" s="47"/>
      <c r="O233" s="46"/>
      <c r="P233" s="47"/>
    </row>
    <row r="234" spans="1:16" s="202" customFormat="1" ht="30" customHeight="1">
      <c r="A234" s="461"/>
      <c r="B234" s="252" t="s">
        <v>4</v>
      </c>
      <c r="C234" s="563" t="s">
        <v>135</v>
      </c>
      <c r="D234" s="169" t="s">
        <v>105</v>
      </c>
      <c r="E234" s="169">
        <v>1.11</v>
      </c>
      <c r="F234" s="563">
        <f>F233*E234</f>
        <v>19.869</v>
      </c>
      <c r="G234" s="183"/>
      <c r="H234" s="183">
        <f>F234*G234</f>
        <v>0</v>
      </c>
      <c r="I234" s="48"/>
      <c r="J234" s="45"/>
      <c r="K234" s="46"/>
      <c r="L234" s="46"/>
      <c r="M234" s="46"/>
      <c r="N234" s="47"/>
      <c r="O234" s="46"/>
      <c r="P234" s="47"/>
    </row>
    <row r="235" spans="1:16" s="202" customFormat="1" ht="30" customHeight="1">
      <c r="A235" s="461"/>
      <c r="B235" s="252" t="s">
        <v>4</v>
      </c>
      <c r="C235" s="563" t="s">
        <v>106</v>
      </c>
      <c r="D235" s="563" t="s">
        <v>16</v>
      </c>
      <c r="E235" s="563">
        <v>0.516</v>
      </c>
      <c r="F235" s="563">
        <f>F233*E235</f>
        <v>9.2364</v>
      </c>
      <c r="G235" s="47"/>
      <c r="H235" s="183">
        <f>F235*G235</f>
        <v>0</v>
      </c>
      <c r="I235" s="48"/>
      <c r="J235" s="45"/>
      <c r="K235" s="46"/>
      <c r="L235" s="46"/>
      <c r="M235" s="46"/>
      <c r="N235" s="47"/>
      <c r="O235" s="46"/>
      <c r="P235" s="47"/>
    </row>
    <row r="236" spans="1:16" s="202" customFormat="1" ht="31.5" customHeight="1">
      <c r="A236" s="461"/>
      <c r="B236" s="573" t="s">
        <v>1388</v>
      </c>
      <c r="C236" s="563" t="s">
        <v>1178</v>
      </c>
      <c r="D236" s="563" t="s">
        <v>194</v>
      </c>
      <c r="E236" s="565">
        <v>1</v>
      </c>
      <c r="F236" s="565">
        <f>F233*E236</f>
        <v>17.9</v>
      </c>
      <c r="G236" s="462"/>
      <c r="H236" s="183">
        <f>F236*G236</f>
        <v>0</v>
      </c>
      <c r="I236" s="48"/>
      <c r="J236" s="45"/>
      <c r="K236" s="46"/>
      <c r="L236" s="46"/>
      <c r="M236" s="46"/>
      <c r="N236" s="47"/>
      <c r="O236" s="46"/>
      <c r="P236" s="47"/>
    </row>
    <row r="237" spans="1:16" s="202" customFormat="1" ht="32.25" customHeight="1">
      <c r="A237" s="461"/>
      <c r="B237" s="252" t="s">
        <v>4</v>
      </c>
      <c r="C237" s="46" t="s">
        <v>38</v>
      </c>
      <c r="D237" s="563" t="s">
        <v>16</v>
      </c>
      <c r="E237" s="563">
        <v>0.054</v>
      </c>
      <c r="F237" s="563">
        <f>F233*E237</f>
        <v>0.9665999999999999</v>
      </c>
      <c r="G237" s="47"/>
      <c r="H237" s="183">
        <f>F237*G237</f>
        <v>0</v>
      </c>
      <c r="I237" s="48"/>
      <c r="J237" s="45"/>
      <c r="K237" s="46"/>
      <c r="L237" s="46"/>
      <c r="M237" s="46"/>
      <c r="N237" s="47"/>
      <c r="O237" s="46"/>
      <c r="P237" s="47"/>
    </row>
    <row r="238" spans="1:16" s="202" customFormat="1" ht="47.25" customHeight="1">
      <c r="A238" s="163">
        <v>6</v>
      </c>
      <c r="B238" s="376" t="s">
        <v>364</v>
      </c>
      <c r="C238" s="461" t="s">
        <v>1177</v>
      </c>
      <c r="D238" s="299" t="s">
        <v>194</v>
      </c>
      <c r="E238" s="163"/>
      <c r="F238" s="226">
        <v>10.9</v>
      </c>
      <c r="G238" s="226"/>
      <c r="H238" s="380">
        <f>H239+H240+H241+H242</f>
        <v>0</v>
      </c>
      <c r="I238" s="48"/>
      <c r="J238" s="45"/>
      <c r="K238" s="46"/>
      <c r="L238" s="46"/>
      <c r="M238" s="46"/>
      <c r="N238" s="47"/>
      <c r="O238" s="46"/>
      <c r="P238" s="47"/>
    </row>
    <row r="239" spans="1:16" s="202" customFormat="1" ht="32.25" customHeight="1">
      <c r="A239" s="461"/>
      <c r="B239" s="252" t="s">
        <v>4</v>
      </c>
      <c r="C239" s="563" t="s">
        <v>135</v>
      </c>
      <c r="D239" s="169" t="s">
        <v>105</v>
      </c>
      <c r="E239" s="169">
        <v>1.11</v>
      </c>
      <c r="F239" s="563">
        <f>F238*E239</f>
        <v>12.099000000000002</v>
      </c>
      <c r="G239" s="183"/>
      <c r="H239" s="183">
        <f>F239*G239</f>
        <v>0</v>
      </c>
      <c r="I239" s="48"/>
      <c r="J239" s="45"/>
      <c r="K239" s="46"/>
      <c r="L239" s="46"/>
      <c r="M239" s="46"/>
      <c r="N239" s="47"/>
      <c r="O239" s="46"/>
      <c r="P239" s="47"/>
    </row>
    <row r="240" spans="1:16" s="202" customFormat="1" ht="32.25" customHeight="1">
      <c r="A240" s="461"/>
      <c r="B240" s="252" t="s">
        <v>4</v>
      </c>
      <c r="C240" s="563" t="s">
        <v>106</v>
      </c>
      <c r="D240" s="563" t="s">
        <v>16</v>
      </c>
      <c r="E240" s="563">
        <v>0.516</v>
      </c>
      <c r="F240" s="563">
        <f>F238*E240</f>
        <v>5.6244000000000005</v>
      </c>
      <c r="G240" s="47"/>
      <c r="H240" s="183">
        <f>F240*G240</f>
        <v>0</v>
      </c>
      <c r="I240" s="48"/>
      <c r="J240" s="45"/>
      <c r="K240" s="46"/>
      <c r="L240" s="46"/>
      <c r="M240" s="46"/>
      <c r="N240" s="47"/>
      <c r="O240" s="46"/>
      <c r="P240" s="47"/>
    </row>
    <row r="241" spans="1:16" s="202" customFormat="1" ht="32.25" customHeight="1">
      <c r="A241" s="461"/>
      <c r="B241" s="573">
        <v>43893</v>
      </c>
      <c r="C241" s="563" t="s">
        <v>1179</v>
      </c>
      <c r="D241" s="563" t="s">
        <v>194</v>
      </c>
      <c r="E241" s="563">
        <v>1</v>
      </c>
      <c r="F241" s="563">
        <f>F238*E241</f>
        <v>10.9</v>
      </c>
      <c r="G241" s="462"/>
      <c r="H241" s="183">
        <f>F241*G241</f>
        <v>0</v>
      </c>
      <c r="I241" s="48"/>
      <c r="J241" s="45"/>
      <c r="K241" s="46"/>
      <c r="L241" s="46"/>
      <c r="M241" s="46"/>
      <c r="N241" s="47"/>
      <c r="O241" s="46"/>
      <c r="P241" s="47"/>
    </row>
    <row r="242" spans="1:16" s="202" customFormat="1" ht="32.25" customHeight="1">
      <c r="A242" s="461"/>
      <c r="B242" s="252" t="s">
        <v>4</v>
      </c>
      <c r="C242" s="46" t="s">
        <v>38</v>
      </c>
      <c r="D242" s="563" t="s">
        <v>16</v>
      </c>
      <c r="E242" s="563">
        <v>0.054</v>
      </c>
      <c r="F242" s="563">
        <f>F238*E242</f>
        <v>0.5886</v>
      </c>
      <c r="G242" s="47"/>
      <c r="H242" s="183">
        <f>F242*G242</f>
        <v>0</v>
      </c>
      <c r="I242" s="48"/>
      <c r="J242" s="45"/>
      <c r="K242" s="46"/>
      <c r="L242" s="46"/>
      <c r="M242" s="46"/>
      <c r="N242" s="47"/>
      <c r="O242" s="46"/>
      <c r="P242" s="47"/>
    </row>
    <row r="243" spans="1:16" s="202" customFormat="1" ht="48.75" customHeight="1">
      <c r="A243" s="163">
        <v>7</v>
      </c>
      <c r="B243" s="376" t="s">
        <v>364</v>
      </c>
      <c r="C243" s="163" t="s">
        <v>1180</v>
      </c>
      <c r="D243" s="299" t="s">
        <v>194</v>
      </c>
      <c r="E243" s="163"/>
      <c r="F243" s="226">
        <v>11.2</v>
      </c>
      <c r="G243" s="226"/>
      <c r="H243" s="380">
        <f>H244+H245+H246+H247</f>
        <v>0</v>
      </c>
      <c r="I243" s="48"/>
      <c r="J243" s="45"/>
      <c r="K243" s="46"/>
      <c r="L243" s="46"/>
      <c r="M243" s="46"/>
      <c r="N243" s="47"/>
      <c r="O243" s="46"/>
      <c r="P243" s="47"/>
    </row>
    <row r="244" spans="1:16" s="202" customFormat="1" ht="23.25" customHeight="1">
      <c r="A244" s="461"/>
      <c r="B244" s="252" t="s">
        <v>4</v>
      </c>
      <c r="C244" s="563" t="s">
        <v>544</v>
      </c>
      <c r="D244" s="169" t="s">
        <v>105</v>
      </c>
      <c r="E244" s="169">
        <v>1.11</v>
      </c>
      <c r="F244" s="563">
        <f>F243*E244</f>
        <v>12.432</v>
      </c>
      <c r="G244" s="183"/>
      <c r="H244" s="183">
        <f>F244*G244</f>
        <v>0</v>
      </c>
      <c r="I244" s="48"/>
      <c r="J244" s="45"/>
      <c r="K244" s="46"/>
      <c r="L244" s="46"/>
      <c r="M244" s="46"/>
      <c r="N244" s="47"/>
      <c r="O244" s="46"/>
      <c r="P244" s="47"/>
    </row>
    <row r="245" spans="1:16" s="202" customFormat="1" ht="25.5" customHeight="1">
      <c r="A245" s="461"/>
      <c r="B245" s="252" t="s">
        <v>4</v>
      </c>
      <c r="C245" s="563" t="s">
        <v>106</v>
      </c>
      <c r="D245" s="563" t="s">
        <v>16</v>
      </c>
      <c r="E245" s="563">
        <v>0.516</v>
      </c>
      <c r="F245" s="563">
        <f>F243*E245</f>
        <v>5.7791999999999994</v>
      </c>
      <c r="G245" s="47"/>
      <c r="H245" s="183">
        <f>F245*G245</f>
        <v>0</v>
      </c>
      <c r="I245" s="48"/>
      <c r="J245" s="45"/>
      <c r="K245" s="46"/>
      <c r="L245" s="46"/>
      <c r="M245" s="46"/>
      <c r="N245" s="47"/>
      <c r="O245" s="46"/>
      <c r="P245" s="47"/>
    </row>
    <row r="246" spans="1:16" s="202" customFormat="1" ht="27.75" customHeight="1">
      <c r="A246" s="461"/>
      <c r="B246" s="298" t="s">
        <v>1342</v>
      </c>
      <c r="C246" s="563" t="s">
        <v>1181</v>
      </c>
      <c r="D246" s="563" t="s">
        <v>194</v>
      </c>
      <c r="E246" s="563">
        <v>1</v>
      </c>
      <c r="F246" s="563">
        <f>F243*E246</f>
        <v>11.2</v>
      </c>
      <c r="G246" s="462"/>
      <c r="H246" s="183">
        <f>F246*G246</f>
        <v>0</v>
      </c>
      <c r="I246" s="48"/>
      <c r="J246" s="45"/>
      <c r="K246" s="46"/>
      <c r="L246" s="46"/>
      <c r="M246" s="46"/>
      <c r="N246" s="47"/>
      <c r="O246" s="46"/>
      <c r="P246" s="47"/>
    </row>
    <row r="247" spans="1:16" s="202" customFormat="1" ht="27.75" customHeight="1">
      <c r="A247" s="461"/>
      <c r="B247" s="252" t="s">
        <v>4</v>
      </c>
      <c r="C247" s="46" t="s">
        <v>38</v>
      </c>
      <c r="D247" s="563" t="s">
        <v>16</v>
      </c>
      <c r="E247" s="563">
        <v>0.054</v>
      </c>
      <c r="F247" s="563">
        <f>F243*E247</f>
        <v>0.6048</v>
      </c>
      <c r="G247" s="47"/>
      <c r="H247" s="183">
        <f>F247*G247</f>
        <v>0</v>
      </c>
      <c r="I247" s="48"/>
      <c r="J247" s="45"/>
      <c r="K247" s="46"/>
      <c r="L247" s="46"/>
      <c r="M247" s="46"/>
      <c r="N247" s="47"/>
      <c r="O247" s="46"/>
      <c r="P247" s="47"/>
    </row>
    <row r="248" spans="1:16" s="202" customFormat="1" ht="44.25" customHeight="1">
      <c r="A248" s="163">
        <v>8</v>
      </c>
      <c r="B248" s="376" t="s">
        <v>364</v>
      </c>
      <c r="C248" s="163" t="s">
        <v>366</v>
      </c>
      <c r="D248" s="299" t="s">
        <v>194</v>
      </c>
      <c r="E248" s="163"/>
      <c r="F248" s="226">
        <v>55</v>
      </c>
      <c r="G248" s="226"/>
      <c r="H248" s="380">
        <f>H249+H250+H251+H252</f>
        <v>0</v>
      </c>
      <c r="I248" s="48"/>
      <c r="J248" s="45"/>
      <c r="K248" s="46"/>
      <c r="L248" s="46"/>
      <c r="M248" s="46"/>
      <c r="N248" s="47"/>
      <c r="O248" s="46"/>
      <c r="P248" s="47"/>
    </row>
    <row r="249" spans="1:16" s="202" customFormat="1" ht="27.75" customHeight="1">
      <c r="A249" s="461"/>
      <c r="B249" s="252" t="s">
        <v>4</v>
      </c>
      <c r="C249" s="563" t="s">
        <v>544</v>
      </c>
      <c r="D249" s="169" t="s">
        <v>105</v>
      </c>
      <c r="E249" s="169">
        <v>1.11</v>
      </c>
      <c r="F249" s="563">
        <f>F248*E249</f>
        <v>61.050000000000004</v>
      </c>
      <c r="G249" s="183"/>
      <c r="H249" s="183">
        <f>F249*G249</f>
        <v>0</v>
      </c>
      <c r="I249" s="48"/>
      <c r="J249" s="45"/>
      <c r="K249" s="46"/>
      <c r="L249" s="46"/>
      <c r="M249" s="46"/>
      <c r="N249" s="47"/>
      <c r="O249" s="46"/>
      <c r="P249" s="47"/>
    </row>
    <row r="250" spans="1:16" s="202" customFormat="1" ht="27.75" customHeight="1">
      <c r="A250" s="461"/>
      <c r="B250" s="252" t="s">
        <v>4</v>
      </c>
      <c r="C250" s="563" t="s">
        <v>106</v>
      </c>
      <c r="D250" s="563" t="s">
        <v>16</v>
      </c>
      <c r="E250" s="563">
        <v>0.516</v>
      </c>
      <c r="F250" s="563">
        <f>F248*E250</f>
        <v>28.380000000000003</v>
      </c>
      <c r="G250" s="47"/>
      <c r="H250" s="183">
        <f>F250*G250</f>
        <v>0</v>
      </c>
      <c r="I250" s="48"/>
      <c r="J250" s="45"/>
      <c r="K250" s="46"/>
      <c r="L250" s="46"/>
      <c r="M250" s="46"/>
      <c r="N250" s="47"/>
      <c r="O250" s="46"/>
      <c r="P250" s="47"/>
    </row>
    <row r="251" spans="1:16" s="202" customFormat="1" ht="27.75" customHeight="1">
      <c r="A251" s="461"/>
      <c r="B251" s="298" t="s">
        <v>1342</v>
      </c>
      <c r="C251" s="563" t="s">
        <v>367</v>
      </c>
      <c r="D251" s="563" t="s">
        <v>194</v>
      </c>
      <c r="E251" s="563">
        <v>1</v>
      </c>
      <c r="F251" s="563">
        <f>F248*E251</f>
        <v>55</v>
      </c>
      <c r="G251" s="462"/>
      <c r="H251" s="183">
        <f>F251*G251</f>
        <v>0</v>
      </c>
      <c r="I251" s="48"/>
      <c r="J251" s="45"/>
      <c r="K251" s="46"/>
      <c r="L251" s="46"/>
      <c r="M251" s="46"/>
      <c r="N251" s="47"/>
      <c r="O251" s="46"/>
      <c r="P251" s="47"/>
    </row>
    <row r="252" spans="1:16" s="202" customFormat="1" ht="32.25" customHeight="1">
      <c r="A252" s="461"/>
      <c r="B252" s="252" t="s">
        <v>4</v>
      </c>
      <c r="C252" s="46" t="s">
        <v>38</v>
      </c>
      <c r="D252" s="563" t="s">
        <v>16</v>
      </c>
      <c r="E252" s="563">
        <v>0.054</v>
      </c>
      <c r="F252" s="563">
        <f>F248*E252</f>
        <v>2.9699999999999998</v>
      </c>
      <c r="G252" s="47"/>
      <c r="H252" s="183">
        <f>F252*G252</f>
        <v>0</v>
      </c>
      <c r="I252" s="48"/>
      <c r="J252" s="45"/>
      <c r="K252" s="46"/>
      <c r="L252" s="46"/>
      <c r="M252" s="46"/>
      <c r="N252" s="47"/>
      <c r="O252" s="46"/>
      <c r="P252" s="47"/>
    </row>
    <row r="253" spans="1:16" s="202" customFormat="1" ht="76.5" customHeight="1">
      <c r="A253" s="163">
        <v>9</v>
      </c>
      <c r="B253" s="376" t="s">
        <v>365</v>
      </c>
      <c r="C253" s="163" t="s">
        <v>618</v>
      </c>
      <c r="D253" s="299" t="s">
        <v>194</v>
      </c>
      <c r="E253" s="163"/>
      <c r="F253" s="226">
        <v>14.7</v>
      </c>
      <c r="G253" s="226"/>
      <c r="H253" s="380">
        <f>H254+H255+H256+H258+H257</f>
        <v>0</v>
      </c>
      <c r="I253" s="48"/>
      <c r="J253" s="45"/>
      <c r="K253" s="46"/>
      <c r="L253" s="46"/>
      <c r="M253" s="46"/>
      <c r="N253" s="47"/>
      <c r="O253" s="46"/>
      <c r="P253" s="47"/>
    </row>
    <row r="254" spans="1:16" s="202" customFormat="1" ht="31.5" customHeight="1">
      <c r="A254" s="461"/>
      <c r="B254" s="252" t="s">
        <v>4</v>
      </c>
      <c r="C254" s="563" t="s">
        <v>135</v>
      </c>
      <c r="D254" s="169" t="s">
        <v>105</v>
      </c>
      <c r="E254" s="169">
        <v>2.59</v>
      </c>
      <c r="F254" s="563">
        <f>F253*E254</f>
        <v>38.07299999999999</v>
      </c>
      <c r="G254" s="183"/>
      <c r="H254" s="183">
        <f>F254*G254</f>
        <v>0</v>
      </c>
      <c r="I254" s="48"/>
      <c r="J254" s="45"/>
      <c r="K254" s="46"/>
      <c r="L254" s="46"/>
      <c r="M254" s="46"/>
      <c r="N254" s="47"/>
      <c r="O254" s="46"/>
      <c r="P254" s="47"/>
    </row>
    <row r="255" spans="1:16" s="202" customFormat="1" ht="25.5" customHeight="1">
      <c r="A255" s="461"/>
      <c r="B255" s="252" t="s">
        <v>4</v>
      </c>
      <c r="C255" s="563" t="s">
        <v>106</v>
      </c>
      <c r="D255" s="563" t="s">
        <v>16</v>
      </c>
      <c r="E255" s="563">
        <v>0.03</v>
      </c>
      <c r="F255" s="563">
        <f>F253*E255</f>
        <v>0.44099999999999995</v>
      </c>
      <c r="G255" s="47"/>
      <c r="H255" s="183">
        <f>F255*G255</f>
        <v>0</v>
      </c>
      <c r="I255" s="48"/>
      <c r="J255" s="45"/>
      <c r="K255" s="46"/>
      <c r="L255" s="46"/>
      <c r="M255" s="46"/>
      <c r="N255" s="47"/>
      <c r="O255" s="46"/>
      <c r="P255" s="47"/>
    </row>
    <row r="256" spans="1:16" s="202" customFormat="1" ht="35.25" customHeight="1">
      <c r="A256" s="461"/>
      <c r="B256" s="252" t="s">
        <v>1364</v>
      </c>
      <c r="C256" s="563" t="s">
        <v>619</v>
      </c>
      <c r="D256" s="563" t="s">
        <v>194</v>
      </c>
      <c r="E256" s="565">
        <v>1</v>
      </c>
      <c r="F256" s="563">
        <f>F253*E256</f>
        <v>14.7</v>
      </c>
      <c r="G256" s="462"/>
      <c r="H256" s="183">
        <f>F256*G256</f>
        <v>0</v>
      </c>
      <c r="I256" s="48"/>
      <c r="J256" s="45"/>
      <c r="K256" s="46"/>
      <c r="L256" s="46"/>
      <c r="M256" s="46"/>
      <c r="N256" s="47"/>
      <c r="O256" s="46"/>
      <c r="P256" s="47"/>
    </row>
    <row r="257" spans="1:16" s="202" customFormat="1" ht="32.25" customHeight="1">
      <c r="A257" s="224"/>
      <c r="B257" s="496" t="s">
        <v>360</v>
      </c>
      <c r="C257" s="496" t="s">
        <v>562</v>
      </c>
      <c r="D257" s="373" t="s">
        <v>53</v>
      </c>
      <c r="E257" s="377">
        <v>1.56</v>
      </c>
      <c r="F257" s="377">
        <f>F253*E257</f>
        <v>22.932</v>
      </c>
      <c r="G257" s="377"/>
      <c r="H257" s="124">
        <f>G257*F257</f>
        <v>0</v>
      </c>
      <c r="I257" s="48"/>
      <c r="J257" s="45"/>
      <c r="K257" s="46"/>
      <c r="L257" s="46"/>
      <c r="M257" s="46"/>
      <c r="N257" s="47"/>
      <c r="O257" s="46"/>
      <c r="P257" s="47"/>
    </row>
    <row r="258" spans="1:16" s="202" customFormat="1" ht="27.75" customHeight="1">
      <c r="A258" s="461"/>
      <c r="B258" s="252" t="s">
        <v>4</v>
      </c>
      <c r="C258" s="46" t="s">
        <v>38</v>
      </c>
      <c r="D258" s="563" t="s">
        <v>16</v>
      </c>
      <c r="E258" s="563">
        <v>1.33</v>
      </c>
      <c r="F258" s="563">
        <f>F253*E258</f>
        <v>19.551</v>
      </c>
      <c r="G258" s="47"/>
      <c r="H258" s="183">
        <f>F258*G258</f>
        <v>0</v>
      </c>
      <c r="I258" s="48"/>
      <c r="J258" s="45"/>
      <c r="K258" s="46"/>
      <c r="L258" s="46"/>
      <c r="M258" s="46"/>
      <c r="N258" s="47"/>
      <c r="O258" s="46"/>
      <c r="P258" s="47"/>
    </row>
    <row r="259" spans="1:16" s="202" customFormat="1" ht="168" customHeight="1">
      <c r="A259" s="163">
        <v>10</v>
      </c>
      <c r="B259" s="376" t="s">
        <v>837</v>
      </c>
      <c r="C259" s="163" t="s">
        <v>1625</v>
      </c>
      <c r="D259" s="163" t="s">
        <v>194</v>
      </c>
      <c r="E259" s="163"/>
      <c r="F259" s="226">
        <v>87.1</v>
      </c>
      <c r="G259" s="226"/>
      <c r="H259" s="380">
        <f>H260+H261+H262+H263</f>
        <v>0</v>
      </c>
      <c r="I259" s="48"/>
      <c r="J259" s="45"/>
      <c r="K259" s="46"/>
      <c r="L259" s="46"/>
      <c r="M259" s="46"/>
      <c r="N259" s="47"/>
      <c r="O259" s="46"/>
      <c r="P259" s="47"/>
    </row>
    <row r="260" spans="1:16" s="202" customFormat="1" ht="27.75" customHeight="1">
      <c r="A260" s="461"/>
      <c r="B260" s="252" t="s">
        <v>4</v>
      </c>
      <c r="C260" s="563" t="s">
        <v>544</v>
      </c>
      <c r="D260" s="169" t="s">
        <v>105</v>
      </c>
      <c r="E260" s="574">
        <v>0.914</v>
      </c>
      <c r="F260" s="563">
        <f>F259*E260</f>
        <v>79.6094</v>
      </c>
      <c r="G260" s="183"/>
      <c r="H260" s="183">
        <f>F260*G260</f>
        <v>0</v>
      </c>
      <c r="I260" s="48"/>
      <c r="J260" s="45"/>
      <c r="K260" s="46"/>
      <c r="L260" s="46"/>
      <c r="M260" s="46"/>
      <c r="N260" s="47"/>
      <c r="O260" s="46"/>
      <c r="P260" s="47"/>
    </row>
    <row r="261" spans="1:16" s="202" customFormat="1" ht="28.5" customHeight="1">
      <c r="A261" s="461"/>
      <c r="B261" s="252" t="s">
        <v>4</v>
      </c>
      <c r="C261" s="563" t="s">
        <v>106</v>
      </c>
      <c r="D261" s="563" t="s">
        <v>16</v>
      </c>
      <c r="E261" s="574">
        <v>0.353</v>
      </c>
      <c r="F261" s="563">
        <f>F259*E261</f>
        <v>30.746299999999998</v>
      </c>
      <c r="G261" s="47"/>
      <c r="H261" s="183">
        <f>F261*G261</f>
        <v>0</v>
      </c>
      <c r="I261" s="48"/>
      <c r="J261" s="45"/>
      <c r="K261" s="46"/>
      <c r="L261" s="46"/>
      <c r="M261" s="46"/>
      <c r="N261" s="47"/>
      <c r="O261" s="46"/>
      <c r="P261" s="47"/>
    </row>
    <row r="262" spans="1:16" s="202" customFormat="1" ht="27.75" customHeight="1">
      <c r="A262" s="461"/>
      <c r="B262" s="497" t="s">
        <v>1360</v>
      </c>
      <c r="C262" s="563" t="s">
        <v>836</v>
      </c>
      <c r="D262" s="563" t="s">
        <v>194</v>
      </c>
      <c r="E262" s="575">
        <v>1</v>
      </c>
      <c r="F262" s="563">
        <f>F259*E262</f>
        <v>87.1</v>
      </c>
      <c r="G262" s="462"/>
      <c r="H262" s="183">
        <f>F262*G262</f>
        <v>0</v>
      </c>
      <c r="I262" s="48"/>
      <c r="J262" s="45"/>
      <c r="K262" s="46"/>
      <c r="L262" s="46"/>
      <c r="M262" s="46"/>
      <c r="N262" s="47"/>
      <c r="O262" s="46"/>
      <c r="P262" s="47"/>
    </row>
    <row r="263" spans="1:16" s="202" customFormat="1" ht="27.75" customHeight="1">
      <c r="A263" s="461"/>
      <c r="B263" s="252" t="s">
        <v>4</v>
      </c>
      <c r="C263" s="46" t="s">
        <v>38</v>
      </c>
      <c r="D263" s="563" t="s">
        <v>16</v>
      </c>
      <c r="E263" s="574">
        <v>0.276</v>
      </c>
      <c r="F263" s="563">
        <f>F259*E263</f>
        <v>24.0396</v>
      </c>
      <c r="G263" s="47"/>
      <c r="H263" s="183">
        <f>F263*G263</f>
        <v>0</v>
      </c>
      <c r="I263" s="48"/>
      <c r="J263" s="45"/>
      <c r="K263" s="46"/>
      <c r="L263" s="46"/>
      <c r="M263" s="46"/>
      <c r="N263" s="47"/>
      <c r="O263" s="46"/>
      <c r="P263" s="47"/>
    </row>
    <row r="264" spans="1:16" s="202" customFormat="1" ht="57" customHeight="1">
      <c r="A264" s="163">
        <v>11</v>
      </c>
      <c r="B264" s="376" t="s">
        <v>364</v>
      </c>
      <c r="C264" s="219" t="s">
        <v>1626</v>
      </c>
      <c r="D264" s="299" t="s">
        <v>194</v>
      </c>
      <c r="E264" s="163"/>
      <c r="F264" s="226">
        <v>86.4</v>
      </c>
      <c r="G264" s="226"/>
      <c r="H264" s="380">
        <f>H265+H266+H267+H268</f>
        <v>0</v>
      </c>
      <c r="I264" s="48"/>
      <c r="J264" s="45"/>
      <c r="K264" s="46"/>
      <c r="L264" s="46"/>
      <c r="M264" s="46"/>
      <c r="N264" s="47"/>
      <c r="O264" s="46"/>
      <c r="P264" s="47"/>
    </row>
    <row r="265" spans="1:16" s="202" customFormat="1" ht="23.25" customHeight="1">
      <c r="A265" s="461"/>
      <c r="B265" s="252" t="s">
        <v>4</v>
      </c>
      <c r="C265" s="563" t="s">
        <v>135</v>
      </c>
      <c r="D265" s="169" t="s">
        <v>105</v>
      </c>
      <c r="E265" s="169">
        <v>1.11</v>
      </c>
      <c r="F265" s="563">
        <f>F264*E265</f>
        <v>95.90400000000001</v>
      </c>
      <c r="G265" s="183"/>
      <c r="H265" s="183">
        <f>F265*G265</f>
        <v>0</v>
      </c>
      <c r="I265" s="48"/>
      <c r="J265" s="45"/>
      <c r="K265" s="46"/>
      <c r="L265" s="46"/>
      <c r="M265" s="46"/>
      <c r="N265" s="47"/>
      <c r="O265" s="46"/>
      <c r="P265" s="47"/>
    </row>
    <row r="266" spans="1:16" s="202" customFormat="1" ht="27.75" customHeight="1">
      <c r="A266" s="461"/>
      <c r="B266" s="252" t="s">
        <v>4</v>
      </c>
      <c r="C266" s="563" t="s">
        <v>106</v>
      </c>
      <c r="D266" s="563" t="s">
        <v>16</v>
      </c>
      <c r="E266" s="563">
        <v>0.516</v>
      </c>
      <c r="F266" s="563">
        <f>F264*E266</f>
        <v>44.58240000000001</v>
      </c>
      <c r="G266" s="47"/>
      <c r="H266" s="183">
        <f>F266*G266</f>
        <v>0</v>
      </c>
      <c r="I266" s="48"/>
      <c r="J266" s="45"/>
      <c r="K266" s="46"/>
      <c r="L266" s="46"/>
      <c r="M266" s="46"/>
      <c r="N266" s="47"/>
      <c r="O266" s="46"/>
      <c r="P266" s="47"/>
    </row>
    <row r="267" spans="1:16" s="202" customFormat="1" ht="25.5" customHeight="1">
      <c r="A267" s="461"/>
      <c r="B267" s="298" t="s">
        <v>1365</v>
      </c>
      <c r="C267" s="563" t="s">
        <v>838</v>
      </c>
      <c r="D267" s="563" t="s">
        <v>194</v>
      </c>
      <c r="E267" s="565">
        <v>1</v>
      </c>
      <c r="F267" s="563">
        <f>F264*E267</f>
        <v>86.4</v>
      </c>
      <c r="G267" s="462"/>
      <c r="H267" s="183">
        <f>F267*G267</f>
        <v>0</v>
      </c>
      <c r="I267" s="48"/>
      <c r="J267" s="45"/>
      <c r="K267" s="46"/>
      <c r="L267" s="46"/>
      <c r="M267" s="46"/>
      <c r="N267" s="47"/>
      <c r="O267" s="46"/>
      <c r="P267" s="47"/>
    </row>
    <row r="268" spans="1:17" s="202" customFormat="1" ht="27.75" customHeight="1">
      <c r="A268" s="461"/>
      <c r="B268" s="252" t="s">
        <v>4</v>
      </c>
      <c r="C268" s="46" t="s">
        <v>38</v>
      </c>
      <c r="D268" s="563" t="s">
        <v>16</v>
      </c>
      <c r="E268" s="563">
        <v>0.054</v>
      </c>
      <c r="F268" s="563">
        <f>F264*E268</f>
        <v>4.6656</v>
      </c>
      <c r="G268" s="47"/>
      <c r="H268" s="183">
        <f>F268*G268</f>
        <v>0</v>
      </c>
      <c r="I268" s="48"/>
      <c r="J268" s="45"/>
      <c r="K268" s="46"/>
      <c r="L268" s="46"/>
      <c r="M268" s="46"/>
      <c r="N268" s="47"/>
      <c r="O268" s="46"/>
      <c r="P268" s="47"/>
      <c r="Q268" s="2"/>
    </row>
    <row r="269" spans="1:16" s="2" customFormat="1" ht="50.25" customHeight="1">
      <c r="A269" s="81" t="s">
        <v>88</v>
      </c>
      <c r="B269" s="378" t="s">
        <v>139</v>
      </c>
      <c r="C269" s="55" t="s">
        <v>218</v>
      </c>
      <c r="D269" s="158" t="s">
        <v>22</v>
      </c>
      <c r="E269" s="158"/>
      <c r="F269" s="192">
        <v>2359</v>
      </c>
      <c r="G269" s="160"/>
      <c r="H269" s="190">
        <f>SUM(H270:H272)</f>
        <v>0</v>
      </c>
      <c r="I269" s="239"/>
      <c r="J269" s="240"/>
      <c r="K269" s="241"/>
      <c r="L269" s="242"/>
      <c r="M269" s="242"/>
      <c r="N269" s="243"/>
      <c r="O269" s="237"/>
      <c r="P269" s="237"/>
    </row>
    <row r="270" spans="1:16" s="2" customFormat="1" ht="30" customHeight="1">
      <c r="A270" s="82"/>
      <c r="B270" s="224" t="s">
        <v>4</v>
      </c>
      <c r="C270" s="46" t="s">
        <v>136</v>
      </c>
      <c r="D270" s="49" t="s">
        <v>5</v>
      </c>
      <c r="E270" s="49">
        <v>0.3</v>
      </c>
      <c r="F270" s="117">
        <f>F269*E270</f>
        <v>707.6999999999999</v>
      </c>
      <c r="G270" s="52"/>
      <c r="H270" s="124">
        <f>G270*F270</f>
        <v>0</v>
      </c>
      <c r="I270" s="71"/>
      <c r="J270" s="54"/>
      <c r="K270" s="55"/>
      <c r="L270" s="55"/>
      <c r="M270" s="158"/>
      <c r="N270" s="137"/>
      <c r="O270" s="158"/>
      <c r="P270" s="228"/>
    </row>
    <row r="271" spans="1:16" s="2" customFormat="1" ht="29.25" customHeight="1">
      <c r="A271" s="82"/>
      <c r="B271" s="224" t="s">
        <v>4</v>
      </c>
      <c r="C271" s="46" t="s">
        <v>129</v>
      </c>
      <c r="D271" s="49" t="s">
        <v>16</v>
      </c>
      <c r="E271" s="49">
        <v>0.011</v>
      </c>
      <c r="F271" s="117">
        <f>E271*F269</f>
        <v>25.948999999999998</v>
      </c>
      <c r="G271" s="47"/>
      <c r="H271" s="292">
        <f>G271*F271</f>
        <v>0</v>
      </c>
      <c r="I271" s="50"/>
      <c r="J271" s="50"/>
      <c r="K271" s="49"/>
      <c r="L271" s="49"/>
      <c r="M271" s="49"/>
      <c r="N271" s="52"/>
      <c r="O271" s="52"/>
      <c r="P271" s="377"/>
    </row>
    <row r="272" spans="1:17" s="2" customFormat="1" ht="34.5" customHeight="1">
      <c r="A272" s="82"/>
      <c r="B272" s="224" t="s">
        <v>1348</v>
      </c>
      <c r="C272" s="46" t="s">
        <v>58</v>
      </c>
      <c r="D272" s="49" t="s">
        <v>14</v>
      </c>
      <c r="E272" s="49">
        <v>0.0067</v>
      </c>
      <c r="F272" s="167">
        <f>E272*F269</f>
        <v>15.8053</v>
      </c>
      <c r="G272" s="52"/>
      <c r="H272" s="292">
        <f>G272*F272</f>
        <v>0</v>
      </c>
      <c r="I272" s="50"/>
      <c r="J272" s="50"/>
      <c r="K272" s="49"/>
      <c r="L272" s="49"/>
      <c r="M272" s="49"/>
      <c r="N272" s="52"/>
      <c r="O272" s="49"/>
      <c r="P272" s="377"/>
      <c r="Q272" s="202"/>
    </row>
    <row r="273" spans="1:13" s="202" customFormat="1" ht="52.5" customHeight="1">
      <c r="A273" s="376" t="s">
        <v>68</v>
      </c>
      <c r="B273" s="378" t="s">
        <v>228</v>
      </c>
      <c r="C273" s="375" t="s">
        <v>1182</v>
      </c>
      <c r="D273" s="375" t="s">
        <v>43</v>
      </c>
      <c r="E273" s="375"/>
      <c r="F273" s="226">
        <v>127.3</v>
      </c>
      <c r="G273" s="70"/>
      <c r="H273" s="380">
        <f>SUM(H274:H277)</f>
        <v>0</v>
      </c>
      <c r="I273" s="194"/>
      <c r="J273" s="107"/>
      <c r="K273" s="76"/>
      <c r="M273" s="141"/>
    </row>
    <row r="274" spans="1:13" s="202" customFormat="1" ht="30.75" customHeight="1">
      <c r="A274" s="244"/>
      <c r="B274" s="245" t="s">
        <v>4</v>
      </c>
      <c r="C274" s="208" t="s">
        <v>136</v>
      </c>
      <c r="D274" s="208" t="s">
        <v>5</v>
      </c>
      <c r="E274" s="208">
        <v>0.0238</v>
      </c>
      <c r="F274" s="225">
        <f>E274*F273</f>
        <v>3.0297400000000003</v>
      </c>
      <c r="G274" s="286"/>
      <c r="H274" s="222">
        <f>G274*F274</f>
        <v>0</v>
      </c>
      <c r="I274" s="194"/>
      <c r="J274" s="107"/>
      <c r="K274" s="76"/>
      <c r="M274" s="141"/>
    </row>
    <row r="275" spans="1:13" s="202" customFormat="1" ht="31.5" customHeight="1">
      <c r="A275" s="244"/>
      <c r="B275" s="245" t="s">
        <v>4</v>
      </c>
      <c r="C275" s="208" t="s">
        <v>137</v>
      </c>
      <c r="D275" s="208" t="s">
        <v>16</v>
      </c>
      <c r="E275" s="208">
        <v>0.0026</v>
      </c>
      <c r="F275" s="157">
        <f>E275*F273</f>
        <v>0.33098</v>
      </c>
      <c r="G275" s="47"/>
      <c r="H275" s="47">
        <f>G275*F275</f>
        <v>0</v>
      </c>
      <c r="I275" s="194"/>
      <c r="J275" s="107"/>
      <c r="K275" s="76"/>
      <c r="M275" s="141"/>
    </row>
    <row r="276" spans="1:13" s="202" customFormat="1" ht="30" customHeight="1">
      <c r="A276" s="244"/>
      <c r="B276" s="245" t="s">
        <v>777</v>
      </c>
      <c r="C276" s="496" t="s">
        <v>229</v>
      </c>
      <c r="D276" s="208" t="s">
        <v>53</v>
      </c>
      <c r="E276" s="208">
        <v>0.146</v>
      </c>
      <c r="F276" s="157">
        <f>E276*F273</f>
        <v>18.5858</v>
      </c>
      <c r="G276" s="183"/>
      <c r="H276" s="47">
        <f>G276*F276</f>
        <v>0</v>
      </c>
      <c r="I276" s="194"/>
      <c r="J276" s="107"/>
      <c r="K276" s="76"/>
      <c r="M276" s="141"/>
    </row>
    <row r="277" spans="1:13" s="202" customFormat="1" ht="31.5" customHeight="1">
      <c r="A277" s="244"/>
      <c r="B277" s="245" t="s">
        <v>617</v>
      </c>
      <c r="C277" s="496" t="s">
        <v>230</v>
      </c>
      <c r="D277" s="208" t="s">
        <v>16</v>
      </c>
      <c r="E277" s="208">
        <v>0.0219</v>
      </c>
      <c r="F277" s="157">
        <f>E277*F273</f>
        <v>2.78787</v>
      </c>
      <c r="G277" s="183"/>
      <c r="H277" s="47">
        <f>G277*F277</f>
        <v>0</v>
      </c>
      <c r="I277" s="194"/>
      <c r="J277" s="107"/>
      <c r="K277" s="76"/>
      <c r="M277" s="141"/>
    </row>
    <row r="278" spans="1:13" s="202" customFormat="1" ht="54" customHeight="1">
      <c r="A278" s="376" t="s">
        <v>74</v>
      </c>
      <c r="B278" s="378" t="s">
        <v>231</v>
      </c>
      <c r="C278" s="375" t="s">
        <v>1183</v>
      </c>
      <c r="D278" s="375" t="s">
        <v>43</v>
      </c>
      <c r="E278" s="375"/>
      <c r="F278" s="226">
        <f>F273</f>
        <v>127.3</v>
      </c>
      <c r="G278" s="70"/>
      <c r="H278" s="380">
        <f>SUM(H279:H283)</f>
        <v>0</v>
      </c>
      <c r="I278" s="194"/>
      <c r="J278" s="107"/>
      <c r="K278" s="76"/>
      <c r="M278" s="141"/>
    </row>
    <row r="279" spans="1:13" s="202" customFormat="1" ht="28.5" customHeight="1">
      <c r="A279" s="244"/>
      <c r="B279" s="245" t="s">
        <v>4</v>
      </c>
      <c r="C279" s="208" t="s">
        <v>148</v>
      </c>
      <c r="D279" s="208" t="s">
        <v>5</v>
      </c>
      <c r="E279" s="208">
        <v>0.68</v>
      </c>
      <c r="F279" s="372">
        <f>E279*F278</f>
        <v>86.56400000000001</v>
      </c>
      <c r="G279" s="183"/>
      <c r="H279" s="222">
        <f>G279*F279</f>
        <v>0</v>
      </c>
      <c r="I279" s="194"/>
      <c r="J279" s="107"/>
      <c r="K279" s="76"/>
      <c r="M279" s="141"/>
    </row>
    <row r="280" spans="1:13" s="202" customFormat="1" ht="24.75" customHeight="1">
      <c r="A280" s="244"/>
      <c r="B280" s="245" t="s">
        <v>4</v>
      </c>
      <c r="C280" s="208" t="s">
        <v>137</v>
      </c>
      <c r="D280" s="208" t="s">
        <v>16</v>
      </c>
      <c r="E280" s="208">
        <v>0.0003</v>
      </c>
      <c r="F280" s="225">
        <f>E280*F278</f>
        <v>0.038189999999999995</v>
      </c>
      <c r="G280" s="47"/>
      <c r="H280" s="222">
        <f>G280*F280</f>
        <v>0</v>
      </c>
      <c r="I280" s="194"/>
      <c r="J280" s="107"/>
      <c r="K280" s="76"/>
      <c r="M280" s="141"/>
    </row>
    <row r="281" spans="1:13" s="202" customFormat="1" ht="29.25" customHeight="1">
      <c r="A281" s="244"/>
      <c r="B281" s="251" t="s">
        <v>1357</v>
      </c>
      <c r="C281" s="208" t="s">
        <v>326</v>
      </c>
      <c r="D281" s="208" t="s">
        <v>53</v>
      </c>
      <c r="E281" s="208">
        <v>0.246</v>
      </c>
      <c r="F281" s="225">
        <f>E281*F278</f>
        <v>31.3158</v>
      </c>
      <c r="G281" s="183"/>
      <c r="H281" s="222">
        <f>G281*F281</f>
        <v>0</v>
      </c>
      <c r="I281" s="194"/>
      <c r="J281" s="107"/>
      <c r="K281" s="76"/>
      <c r="M281" s="141"/>
    </row>
    <row r="282" spans="1:13" s="202" customFormat="1" ht="29.25" customHeight="1">
      <c r="A282" s="244"/>
      <c r="B282" s="572" t="s">
        <v>1353</v>
      </c>
      <c r="C282" s="208" t="s">
        <v>232</v>
      </c>
      <c r="D282" s="208" t="s">
        <v>53</v>
      </c>
      <c r="E282" s="208">
        <v>0.027</v>
      </c>
      <c r="F282" s="225">
        <f>E282*F278</f>
        <v>3.4371</v>
      </c>
      <c r="G282" s="183"/>
      <c r="H282" s="222">
        <f>G282*F282</f>
        <v>0</v>
      </c>
      <c r="I282" s="194"/>
      <c r="J282" s="107"/>
      <c r="K282" s="76"/>
      <c r="M282" s="141"/>
    </row>
    <row r="283" spans="1:13" s="202" customFormat="1" ht="31.5" customHeight="1">
      <c r="A283" s="244"/>
      <c r="B283" s="245" t="s">
        <v>4</v>
      </c>
      <c r="C283" s="46" t="s">
        <v>38</v>
      </c>
      <c r="D283" s="208" t="s">
        <v>16</v>
      </c>
      <c r="E283" s="208">
        <v>0.0019</v>
      </c>
      <c r="F283" s="225">
        <f>E283*F278</f>
        <v>0.24187</v>
      </c>
      <c r="G283" s="47"/>
      <c r="H283" s="222">
        <f>G283*F283</f>
        <v>0</v>
      </c>
      <c r="I283" s="194"/>
      <c r="J283" s="107"/>
      <c r="K283" s="76"/>
      <c r="M283" s="141"/>
    </row>
    <row r="284" spans="1:13" s="202" customFormat="1" ht="48" customHeight="1">
      <c r="A284" s="376" t="s">
        <v>55</v>
      </c>
      <c r="B284" s="378" t="s">
        <v>1184</v>
      </c>
      <c r="C284" s="375" t="s">
        <v>1191</v>
      </c>
      <c r="D284" s="375" t="s">
        <v>22</v>
      </c>
      <c r="E284" s="547"/>
      <c r="F284" s="379">
        <v>172</v>
      </c>
      <c r="G284" s="226"/>
      <c r="H284" s="380">
        <f>H285+H286+H287+H288+H289</f>
        <v>0</v>
      </c>
      <c r="I284" s="194"/>
      <c r="J284" s="107"/>
      <c r="K284" s="76"/>
      <c r="M284" s="141"/>
    </row>
    <row r="285" spans="1:13" s="202" customFormat="1" ht="34.5" customHeight="1">
      <c r="A285" s="181"/>
      <c r="B285" s="182" t="s">
        <v>4</v>
      </c>
      <c r="C285" s="182" t="s">
        <v>1185</v>
      </c>
      <c r="D285" s="182" t="s">
        <v>105</v>
      </c>
      <c r="E285" s="253">
        <f>112/140</f>
        <v>0.8</v>
      </c>
      <c r="F285" s="253">
        <f>F284*E285</f>
        <v>137.6</v>
      </c>
      <c r="G285" s="183"/>
      <c r="H285" s="183">
        <f>F285*G285</f>
        <v>0</v>
      </c>
      <c r="I285" s="194"/>
      <c r="J285" s="107"/>
      <c r="K285" s="76"/>
      <c r="M285" s="141"/>
    </row>
    <row r="286" spans="1:13" s="202" customFormat="1" ht="33.75" customHeight="1">
      <c r="A286" s="181"/>
      <c r="B286" s="182" t="s">
        <v>4</v>
      </c>
      <c r="C286" s="182" t="s">
        <v>1186</v>
      </c>
      <c r="D286" s="182" t="s">
        <v>16</v>
      </c>
      <c r="E286" s="253">
        <f>5.28/140</f>
        <v>0.037714285714285714</v>
      </c>
      <c r="F286" s="182">
        <f>F284*E286</f>
        <v>6.486857142857143</v>
      </c>
      <c r="G286" s="47"/>
      <c r="H286" s="183">
        <f>F286*G286</f>
        <v>0</v>
      </c>
      <c r="I286" s="194"/>
      <c r="J286" s="107"/>
      <c r="K286" s="76"/>
      <c r="M286" s="141"/>
    </row>
    <row r="287" spans="1:13" s="202" customFormat="1" ht="31.5" customHeight="1">
      <c r="A287" s="181"/>
      <c r="B287" s="298" t="s">
        <v>1366</v>
      </c>
      <c r="C287" s="182" t="s">
        <v>1190</v>
      </c>
      <c r="D287" s="182" t="s">
        <v>22</v>
      </c>
      <c r="E287" s="183">
        <v>1</v>
      </c>
      <c r="F287" s="183">
        <f>F284*E287</f>
        <v>172</v>
      </c>
      <c r="G287" s="462"/>
      <c r="H287" s="183">
        <f>F287*G287</f>
        <v>0</v>
      </c>
      <c r="I287" s="194"/>
      <c r="J287" s="107"/>
      <c r="K287" s="76"/>
      <c r="M287" s="141"/>
    </row>
    <row r="288" spans="1:13" s="202" customFormat="1" ht="31.5" customHeight="1">
      <c r="A288" s="181"/>
      <c r="B288" s="224" t="s">
        <v>1348</v>
      </c>
      <c r="C288" s="46" t="s">
        <v>1187</v>
      </c>
      <c r="D288" s="182" t="s">
        <v>20</v>
      </c>
      <c r="E288" s="253">
        <f>0.63/140</f>
        <v>0.0045</v>
      </c>
      <c r="F288" s="182">
        <f>E288*F284</f>
        <v>0.7739999999999999</v>
      </c>
      <c r="G288" s="52"/>
      <c r="H288" s="183">
        <f>F288*G288</f>
        <v>0</v>
      </c>
      <c r="I288" s="194"/>
      <c r="J288" s="107"/>
      <c r="K288" s="76"/>
      <c r="M288" s="141"/>
    </row>
    <row r="289" spans="1:13" s="202" customFormat="1" ht="31.5" customHeight="1">
      <c r="A289" s="181"/>
      <c r="B289" s="182" t="s">
        <v>4</v>
      </c>
      <c r="C289" s="182" t="s">
        <v>1325</v>
      </c>
      <c r="D289" s="182" t="s">
        <v>16</v>
      </c>
      <c r="E289" s="253">
        <f>8.5/140</f>
        <v>0.060714285714285714</v>
      </c>
      <c r="F289" s="182">
        <f>F284*E289</f>
        <v>10.442857142857143</v>
      </c>
      <c r="G289" s="47"/>
      <c r="H289" s="183">
        <f>F289*G289</f>
        <v>0</v>
      </c>
      <c r="I289" s="194"/>
      <c r="J289" s="107"/>
      <c r="K289" s="76"/>
      <c r="M289" s="141"/>
    </row>
    <row r="290" spans="1:13" s="202" customFormat="1" ht="48" customHeight="1">
      <c r="A290" s="81" t="s">
        <v>51</v>
      </c>
      <c r="B290" s="54" t="s">
        <v>860</v>
      </c>
      <c r="C290" s="55" t="s">
        <v>1627</v>
      </c>
      <c r="D290" s="293" t="s">
        <v>861</v>
      </c>
      <c r="E290" s="55"/>
      <c r="F290" s="226">
        <v>69</v>
      </c>
      <c r="G290" s="70"/>
      <c r="H290" s="380">
        <f>SUM(H291:H295)</f>
        <v>0</v>
      </c>
      <c r="I290" s="194"/>
      <c r="J290" s="107"/>
      <c r="K290" s="76"/>
      <c r="M290" s="141"/>
    </row>
    <row r="291" spans="1:13" s="202" customFormat="1" ht="31.5" customHeight="1">
      <c r="A291" s="82"/>
      <c r="B291" s="223" t="s">
        <v>4</v>
      </c>
      <c r="C291" s="46" t="s">
        <v>1188</v>
      </c>
      <c r="D291" s="46" t="s">
        <v>5</v>
      </c>
      <c r="E291" s="157">
        <v>0.741</v>
      </c>
      <c r="F291" s="157">
        <f>E291*F290</f>
        <v>51.129</v>
      </c>
      <c r="G291" s="47"/>
      <c r="H291" s="222">
        <f aca="true" t="shared" si="10" ref="H291:H296">F291*G291</f>
        <v>0</v>
      </c>
      <c r="I291" s="194"/>
      <c r="J291" s="107"/>
      <c r="K291" s="76"/>
      <c r="M291" s="141"/>
    </row>
    <row r="292" spans="1:13" s="202" customFormat="1" ht="31.5" customHeight="1">
      <c r="A292" s="82"/>
      <c r="B292" s="223" t="s">
        <v>4</v>
      </c>
      <c r="C292" s="46" t="s">
        <v>129</v>
      </c>
      <c r="D292" s="46" t="s">
        <v>16</v>
      </c>
      <c r="E292" s="161">
        <v>0.001</v>
      </c>
      <c r="F292" s="157">
        <f>F290*E292</f>
        <v>0.069</v>
      </c>
      <c r="G292" s="47"/>
      <c r="H292" s="47">
        <f t="shared" si="10"/>
        <v>0</v>
      </c>
      <c r="I292" s="194"/>
      <c r="J292" s="107"/>
      <c r="K292" s="76"/>
      <c r="M292" s="141"/>
    </row>
    <row r="293" spans="1:13" s="202" customFormat="1" ht="31.5" customHeight="1">
      <c r="A293" s="82"/>
      <c r="B293" s="48" t="s">
        <v>1390</v>
      </c>
      <c r="C293" s="46" t="s">
        <v>862</v>
      </c>
      <c r="D293" s="46" t="s">
        <v>53</v>
      </c>
      <c r="E293" s="157">
        <v>0.255</v>
      </c>
      <c r="F293" s="157">
        <f>F290*E293</f>
        <v>17.595</v>
      </c>
      <c r="G293" s="222"/>
      <c r="H293" s="47">
        <f t="shared" si="10"/>
        <v>0</v>
      </c>
      <c r="I293" s="194"/>
      <c r="J293" s="107"/>
      <c r="K293" s="76"/>
      <c r="M293" s="141"/>
    </row>
    <row r="294" spans="1:13" s="202" customFormat="1" ht="31.5" customHeight="1">
      <c r="A294" s="82"/>
      <c r="B294" s="48" t="s">
        <v>384</v>
      </c>
      <c r="C294" s="46" t="s">
        <v>864</v>
      </c>
      <c r="D294" s="46" t="s">
        <v>53</v>
      </c>
      <c r="E294" s="157">
        <v>0.127</v>
      </c>
      <c r="F294" s="157">
        <f>F290*E294</f>
        <v>8.763</v>
      </c>
      <c r="G294" s="47"/>
      <c r="H294" s="47">
        <f t="shared" si="10"/>
        <v>0</v>
      </c>
      <c r="I294" s="194"/>
      <c r="J294" s="107"/>
      <c r="K294" s="76"/>
      <c r="M294" s="141"/>
    </row>
    <row r="295" spans="1:13" s="202" customFormat="1" ht="31.5" customHeight="1">
      <c r="A295" s="82"/>
      <c r="B295" s="223" t="s">
        <v>4</v>
      </c>
      <c r="C295" s="46" t="s">
        <v>1189</v>
      </c>
      <c r="D295" s="46" t="s">
        <v>16</v>
      </c>
      <c r="E295" s="157">
        <v>0.017</v>
      </c>
      <c r="F295" s="157">
        <f>F290*E295</f>
        <v>1.173</v>
      </c>
      <c r="G295" s="47"/>
      <c r="H295" s="47">
        <f t="shared" si="10"/>
        <v>0</v>
      </c>
      <c r="I295" s="194"/>
      <c r="J295" s="107"/>
      <c r="K295" s="76"/>
      <c r="M295" s="141"/>
    </row>
    <row r="296" spans="1:13" s="202" customFormat="1" ht="46.5" customHeight="1">
      <c r="A296" s="81" t="s">
        <v>49</v>
      </c>
      <c r="B296" s="79" t="s">
        <v>290</v>
      </c>
      <c r="C296" s="55" t="s">
        <v>1726</v>
      </c>
      <c r="D296" s="55" t="s">
        <v>1720</v>
      </c>
      <c r="E296" s="640"/>
      <c r="F296" s="71">
        <v>15</v>
      </c>
      <c r="G296" s="70"/>
      <c r="H296" s="70">
        <f t="shared" si="10"/>
        <v>0</v>
      </c>
      <c r="I296" s="194"/>
      <c r="J296" s="107"/>
      <c r="K296" s="76"/>
      <c r="M296" s="141"/>
    </row>
    <row r="297" spans="1:13" s="202" customFormat="1" ht="52.5" customHeight="1">
      <c r="A297" s="54"/>
      <c r="B297" s="79"/>
      <c r="C297" s="619" t="s">
        <v>1628</v>
      </c>
      <c r="D297" s="55" t="s">
        <v>16</v>
      </c>
      <c r="E297" s="55"/>
      <c r="F297" s="70"/>
      <c r="G297" s="70"/>
      <c r="H297" s="380">
        <f>H211+H217+H228+H233+H253+H259+H264+H269+H273+H278+H284+H290+H238+H243+H248+H223+H296</f>
        <v>0</v>
      </c>
      <c r="I297" s="194"/>
      <c r="J297" s="107"/>
      <c r="K297" s="76"/>
      <c r="M297" s="141"/>
    </row>
    <row r="298" spans="1:13" s="202" customFormat="1" ht="32.25" customHeight="1">
      <c r="A298" s="247"/>
      <c r="B298" s="247"/>
      <c r="C298" s="479" t="s">
        <v>382</v>
      </c>
      <c r="D298" s="480"/>
      <c r="E298" s="248"/>
      <c r="F298" s="249"/>
      <c r="G298" s="250"/>
      <c r="H298" s="250"/>
      <c r="I298" s="194"/>
      <c r="J298" s="107"/>
      <c r="K298" s="76"/>
      <c r="M298" s="141"/>
    </row>
    <row r="299" spans="1:13" s="202" customFormat="1" ht="47.25" customHeight="1">
      <c r="A299" s="81" t="s">
        <v>13</v>
      </c>
      <c r="B299" s="378" t="s">
        <v>234</v>
      </c>
      <c r="C299" s="55" t="s">
        <v>505</v>
      </c>
      <c r="D299" s="55" t="s">
        <v>43</v>
      </c>
      <c r="E299" s="55"/>
      <c r="F299" s="226">
        <v>921.2</v>
      </c>
      <c r="G299" s="70"/>
      <c r="H299" s="380">
        <f>SUM(H300:H305)</f>
        <v>0</v>
      </c>
      <c r="I299" s="194"/>
      <c r="J299" s="107"/>
      <c r="K299" s="76"/>
      <c r="M299" s="141"/>
    </row>
    <row r="300" spans="1:13" s="202" customFormat="1" ht="27.75" customHeight="1">
      <c r="A300" s="48"/>
      <c r="B300" s="224" t="s">
        <v>4</v>
      </c>
      <c r="C300" s="46" t="s">
        <v>148</v>
      </c>
      <c r="D300" s="46" t="s">
        <v>5</v>
      </c>
      <c r="E300" s="157">
        <v>0.312</v>
      </c>
      <c r="F300" s="225">
        <f>E300*F299</f>
        <v>287.4144</v>
      </c>
      <c r="G300" s="47"/>
      <c r="H300" s="222">
        <f>G300*F300</f>
        <v>0</v>
      </c>
      <c r="I300" s="194"/>
      <c r="J300" s="107"/>
      <c r="K300" s="76"/>
      <c r="M300" s="141"/>
    </row>
    <row r="301" spans="1:13" s="202" customFormat="1" ht="25.5" customHeight="1">
      <c r="A301" s="48"/>
      <c r="B301" s="223" t="s">
        <v>4</v>
      </c>
      <c r="C301" s="46" t="s">
        <v>137</v>
      </c>
      <c r="D301" s="46" t="s">
        <v>16</v>
      </c>
      <c r="E301" s="157">
        <v>0.0138</v>
      </c>
      <c r="F301" s="206">
        <f>F299*E301</f>
        <v>12.71256</v>
      </c>
      <c r="G301" s="47"/>
      <c r="H301" s="52">
        <f>F301*G301</f>
        <v>0</v>
      </c>
      <c r="I301" s="194"/>
      <c r="J301" s="107"/>
      <c r="K301" s="76"/>
      <c r="M301" s="141"/>
    </row>
    <row r="302" spans="1:13" s="202" customFormat="1" ht="27.75" customHeight="1">
      <c r="A302" s="48"/>
      <c r="B302" s="227" t="s">
        <v>1391</v>
      </c>
      <c r="C302" s="46" t="s">
        <v>368</v>
      </c>
      <c r="D302" s="46" t="s">
        <v>48</v>
      </c>
      <c r="E302" s="157">
        <v>1.12</v>
      </c>
      <c r="F302" s="296">
        <f>F299*E302</f>
        <v>1031.7440000000001</v>
      </c>
      <c r="G302" s="47"/>
      <c r="H302" s="52">
        <f>F302*G302</f>
        <v>0</v>
      </c>
      <c r="I302" s="194"/>
      <c r="J302" s="107"/>
      <c r="K302" s="76"/>
      <c r="M302" s="141"/>
    </row>
    <row r="303" spans="1:13" s="202" customFormat="1" ht="25.5" customHeight="1">
      <c r="A303" s="48"/>
      <c r="B303" s="227" t="s">
        <v>2</v>
      </c>
      <c r="C303" s="46" t="s">
        <v>369</v>
      </c>
      <c r="D303" s="46" t="s">
        <v>53</v>
      </c>
      <c r="E303" s="157">
        <v>0.04</v>
      </c>
      <c r="F303" s="296">
        <f>F299*E303</f>
        <v>36.848000000000006</v>
      </c>
      <c r="G303" s="47"/>
      <c r="H303" s="52">
        <f>F303*G303</f>
        <v>0</v>
      </c>
      <c r="I303" s="194"/>
      <c r="J303" s="107"/>
      <c r="K303" s="76"/>
      <c r="M303" s="141"/>
    </row>
    <row r="304" spans="1:13" s="202" customFormat="1" ht="26.25" customHeight="1">
      <c r="A304" s="48"/>
      <c r="B304" s="227" t="s">
        <v>1380</v>
      </c>
      <c r="C304" s="46" t="s">
        <v>370</v>
      </c>
      <c r="D304" s="46" t="s">
        <v>53</v>
      </c>
      <c r="E304" s="157">
        <v>0.76</v>
      </c>
      <c r="F304" s="296">
        <f>F299*E304</f>
        <v>700.1120000000001</v>
      </c>
      <c r="G304" s="51"/>
      <c r="H304" s="52">
        <f>F304*G304</f>
        <v>0</v>
      </c>
      <c r="I304" s="194"/>
      <c r="J304" s="107"/>
      <c r="K304" s="76"/>
      <c r="M304" s="141"/>
    </row>
    <row r="305" spans="1:13" s="202" customFormat="1" ht="30.75" customHeight="1">
      <c r="A305" s="48"/>
      <c r="B305" s="223" t="s">
        <v>4</v>
      </c>
      <c r="C305" s="46" t="s">
        <v>38</v>
      </c>
      <c r="D305" s="46" t="s">
        <v>16</v>
      </c>
      <c r="E305" s="157">
        <v>0.0019</v>
      </c>
      <c r="F305" s="206">
        <f>F299*E305</f>
        <v>1.75028</v>
      </c>
      <c r="G305" s="47"/>
      <c r="H305" s="52">
        <f>F305*G305</f>
        <v>0</v>
      </c>
      <c r="I305" s="194"/>
      <c r="J305" s="107"/>
      <c r="K305" s="76"/>
      <c r="M305" s="141"/>
    </row>
    <row r="306" spans="1:13" s="202" customFormat="1" ht="49.5" customHeight="1">
      <c r="A306" s="81" t="s">
        <v>37</v>
      </c>
      <c r="B306" s="54" t="s">
        <v>1076</v>
      </c>
      <c r="C306" s="55" t="s">
        <v>1079</v>
      </c>
      <c r="D306" s="55" t="s">
        <v>20</v>
      </c>
      <c r="E306" s="55"/>
      <c r="F306" s="226">
        <v>108</v>
      </c>
      <c r="G306" s="70"/>
      <c r="H306" s="380">
        <f>SUM(H307:H309)</f>
        <v>0</v>
      </c>
      <c r="I306" s="194"/>
      <c r="J306" s="107"/>
      <c r="K306" s="76"/>
      <c r="M306" s="141"/>
    </row>
    <row r="307" spans="1:13" s="202" customFormat="1" ht="27" customHeight="1">
      <c r="A307" s="48"/>
      <c r="B307" s="48" t="s">
        <v>4</v>
      </c>
      <c r="C307" s="46" t="s">
        <v>136</v>
      </c>
      <c r="D307" s="46" t="s">
        <v>5</v>
      </c>
      <c r="E307" s="157">
        <v>2.63</v>
      </c>
      <c r="F307" s="372">
        <f>E307*F306</f>
        <v>284.03999999999996</v>
      </c>
      <c r="G307" s="47"/>
      <c r="H307" s="222">
        <f>G307*F307</f>
        <v>0</v>
      </c>
      <c r="I307" s="194"/>
      <c r="J307" s="107"/>
      <c r="K307" s="76"/>
      <c r="M307" s="141"/>
    </row>
    <row r="308" spans="1:13" s="202" customFormat="1" ht="27" customHeight="1">
      <c r="A308" s="48"/>
      <c r="B308" s="50" t="s">
        <v>1080</v>
      </c>
      <c r="C308" s="46" t="s">
        <v>1077</v>
      </c>
      <c r="D308" s="46" t="s">
        <v>1078</v>
      </c>
      <c r="E308" s="157">
        <v>1.25</v>
      </c>
      <c r="F308" s="296">
        <f>F306*E308</f>
        <v>135</v>
      </c>
      <c r="G308" s="222"/>
      <c r="H308" s="52">
        <f>F308*G308</f>
        <v>0</v>
      </c>
      <c r="I308" s="194"/>
      <c r="J308" s="107"/>
      <c r="K308" s="76"/>
      <c r="M308" s="141"/>
    </row>
    <row r="309" spans="1:13" s="202" customFormat="1" ht="27" customHeight="1">
      <c r="A309" s="48"/>
      <c r="B309" s="45" t="s">
        <v>4</v>
      </c>
      <c r="C309" s="46" t="s">
        <v>541</v>
      </c>
      <c r="D309" s="46" t="s">
        <v>16</v>
      </c>
      <c r="E309" s="157">
        <v>0.01</v>
      </c>
      <c r="F309" s="296">
        <f>F306*E309</f>
        <v>1.08</v>
      </c>
      <c r="G309" s="47"/>
      <c r="H309" s="52">
        <f>F309*G309</f>
        <v>0</v>
      </c>
      <c r="I309" s="194"/>
      <c r="J309" s="107"/>
      <c r="K309" s="76"/>
      <c r="M309" s="141"/>
    </row>
    <row r="310" spans="1:13" s="202" customFormat="1" ht="72.75" customHeight="1">
      <c r="A310" s="376" t="s">
        <v>63</v>
      </c>
      <c r="B310" s="378" t="s">
        <v>59</v>
      </c>
      <c r="C310" s="375" t="s">
        <v>1081</v>
      </c>
      <c r="D310" s="193" t="s">
        <v>46</v>
      </c>
      <c r="E310" s="375"/>
      <c r="F310" s="379">
        <v>2754</v>
      </c>
      <c r="G310" s="226"/>
      <c r="H310" s="380">
        <f>SUM(H311:H315)</f>
        <v>0</v>
      </c>
      <c r="I310" s="194"/>
      <c r="J310" s="107"/>
      <c r="K310" s="76"/>
      <c r="M310" s="141"/>
    </row>
    <row r="311" spans="1:13" s="202" customFormat="1" ht="29.25" customHeight="1">
      <c r="A311" s="497"/>
      <c r="B311" s="224" t="s">
        <v>4</v>
      </c>
      <c r="C311" s="496" t="s">
        <v>195</v>
      </c>
      <c r="D311" s="496" t="s">
        <v>5</v>
      </c>
      <c r="E311" s="496">
        <f>2*0.0034+0.188</f>
        <v>0.1948</v>
      </c>
      <c r="F311" s="225">
        <f>E311*F310</f>
        <v>536.4792</v>
      </c>
      <c r="G311" s="222"/>
      <c r="H311" s="222">
        <f>G311*F311</f>
        <v>0</v>
      </c>
      <c r="I311" s="194"/>
      <c r="J311" s="107"/>
      <c r="K311" s="76"/>
      <c r="M311" s="141"/>
    </row>
    <row r="312" spans="1:13" s="202" customFormat="1" ht="33.75" customHeight="1">
      <c r="A312" s="497"/>
      <c r="B312" s="224" t="s">
        <v>4</v>
      </c>
      <c r="C312" s="496" t="s">
        <v>196</v>
      </c>
      <c r="D312" s="496" t="s">
        <v>16</v>
      </c>
      <c r="E312" s="496">
        <f>2*0.0023+0.0095</f>
        <v>0.0141</v>
      </c>
      <c r="F312" s="225">
        <f>E312*F310</f>
        <v>38.8314</v>
      </c>
      <c r="G312" s="47"/>
      <c r="H312" s="222">
        <f>G312*F312</f>
        <v>0</v>
      </c>
      <c r="I312" s="194"/>
      <c r="J312" s="107"/>
      <c r="K312" s="76"/>
      <c r="M312" s="141"/>
    </row>
    <row r="313" spans="1:13" s="202" customFormat="1" ht="31.5" customHeight="1">
      <c r="A313" s="497"/>
      <c r="B313" s="224" t="s">
        <v>1362</v>
      </c>
      <c r="C313" s="496" t="s">
        <v>371</v>
      </c>
      <c r="D313" s="496" t="s">
        <v>20</v>
      </c>
      <c r="E313" s="496">
        <v>0.0306</v>
      </c>
      <c r="F313" s="225">
        <f>E313*F310</f>
        <v>84.27239999999999</v>
      </c>
      <c r="G313" s="222"/>
      <c r="H313" s="222">
        <f>G313*F313</f>
        <v>0</v>
      </c>
      <c r="I313" s="194"/>
      <c r="J313" s="107"/>
      <c r="K313" s="76"/>
      <c r="M313" s="141"/>
    </row>
    <row r="314" spans="1:13" s="202" customFormat="1" ht="30" customHeight="1">
      <c r="A314" s="497"/>
      <c r="B314" s="224" t="s">
        <v>1389</v>
      </c>
      <c r="C314" s="496" t="s">
        <v>1082</v>
      </c>
      <c r="D314" s="496" t="s">
        <v>43</v>
      </c>
      <c r="E314" s="496">
        <v>1.05</v>
      </c>
      <c r="F314" s="222">
        <f>E314*F310</f>
        <v>2891.7000000000003</v>
      </c>
      <c r="G314" s="222"/>
      <c r="H314" s="222">
        <f>G314*F314</f>
        <v>0</v>
      </c>
      <c r="I314" s="194"/>
      <c r="J314" s="107"/>
      <c r="K314" s="76"/>
      <c r="M314" s="141"/>
    </row>
    <row r="315" spans="1:13" s="202" customFormat="1" ht="27" customHeight="1">
      <c r="A315" s="497"/>
      <c r="B315" s="224" t="s">
        <v>4</v>
      </c>
      <c r="C315" s="46" t="s">
        <v>38</v>
      </c>
      <c r="D315" s="496" t="s">
        <v>16</v>
      </c>
      <c r="E315" s="496">
        <v>0.0636</v>
      </c>
      <c r="F315" s="225">
        <f>E315*F310</f>
        <v>175.1544</v>
      </c>
      <c r="G315" s="47"/>
      <c r="H315" s="222">
        <f>G315*F315</f>
        <v>0</v>
      </c>
      <c r="I315" s="194"/>
      <c r="J315" s="107"/>
      <c r="K315" s="76"/>
      <c r="M315" s="141"/>
    </row>
    <row r="316" spans="1:13" s="202" customFormat="1" ht="43.5" customHeight="1">
      <c r="A316" s="376" t="s">
        <v>64</v>
      </c>
      <c r="B316" s="378" t="s">
        <v>839</v>
      </c>
      <c r="C316" s="375" t="s">
        <v>840</v>
      </c>
      <c r="D316" s="193" t="s">
        <v>46</v>
      </c>
      <c r="E316" s="375"/>
      <c r="F316" s="226">
        <v>1095.3</v>
      </c>
      <c r="G316" s="226"/>
      <c r="H316" s="380">
        <f>SUM(H317:H320)</f>
        <v>0</v>
      </c>
      <c r="I316" s="194"/>
      <c r="J316" s="107"/>
      <c r="K316" s="76"/>
      <c r="M316" s="141"/>
    </row>
    <row r="317" spans="1:13" s="202" customFormat="1" ht="27" customHeight="1">
      <c r="A317" s="497"/>
      <c r="B317" s="224" t="s">
        <v>4</v>
      </c>
      <c r="C317" s="496" t="s">
        <v>136</v>
      </c>
      <c r="D317" s="496" t="s">
        <v>5</v>
      </c>
      <c r="E317" s="496">
        <v>0.62</v>
      </c>
      <c r="F317" s="225">
        <f>E317*F316</f>
        <v>679.086</v>
      </c>
      <c r="G317" s="222"/>
      <c r="H317" s="222">
        <f>G317*F317</f>
        <v>0</v>
      </c>
      <c r="I317" s="194"/>
      <c r="J317" s="107"/>
      <c r="K317" s="76"/>
      <c r="M317" s="141"/>
    </row>
    <row r="318" spans="1:13" s="202" customFormat="1" ht="27.75" customHeight="1">
      <c r="A318" s="497"/>
      <c r="B318" s="224" t="s">
        <v>4</v>
      </c>
      <c r="C318" s="496" t="s">
        <v>137</v>
      </c>
      <c r="D318" s="496" t="s">
        <v>16</v>
      </c>
      <c r="E318" s="496">
        <v>0.159</v>
      </c>
      <c r="F318" s="225">
        <f>E318*F316</f>
        <v>174.15269999999998</v>
      </c>
      <c r="G318" s="47"/>
      <c r="H318" s="222">
        <f>G318*F318</f>
        <v>0</v>
      </c>
      <c r="I318" s="194"/>
      <c r="J318" s="107"/>
      <c r="K318" s="76"/>
      <c r="M318" s="141"/>
    </row>
    <row r="319" spans="1:13" s="202" customFormat="1" ht="30" customHeight="1">
      <c r="A319" s="497"/>
      <c r="B319" s="224" t="s">
        <v>841</v>
      </c>
      <c r="C319" s="496" t="s">
        <v>842</v>
      </c>
      <c r="D319" s="496" t="s">
        <v>53</v>
      </c>
      <c r="E319" s="222">
        <v>6</v>
      </c>
      <c r="F319" s="222">
        <f>E319*F316</f>
        <v>6571.799999999999</v>
      </c>
      <c r="G319" s="222"/>
      <c r="H319" s="222">
        <f>G319*F319</f>
        <v>0</v>
      </c>
      <c r="I319" s="194"/>
      <c r="J319" s="107"/>
      <c r="K319" s="76"/>
      <c r="M319" s="141"/>
    </row>
    <row r="320" spans="1:13" s="202" customFormat="1" ht="27" customHeight="1">
      <c r="A320" s="497"/>
      <c r="B320" s="224" t="s">
        <v>4</v>
      </c>
      <c r="C320" s="46" t="s">
        <v>38</v>
      </c>
      <c r="D320" s="496" t="s">
        <v>16</v>
      </c>
      <c r="E320" s="496">
        <v>0.0034</v>
      </c>
      <c r="F320" s="225">
        <f>E320*F316</f>
        <v>3.7240199999999994</v>
      </c>
      <c r="G320" s="47"/>
      <c r="H320" s="222">
        <f>G320*F320</f>
        <v>0</v>
      </c>
      <c r="I320" s="194"/>
      <c r="J320" s="107"/>
      <c r="K320" s="76"/>
      <c r="M320" s="141"/>
    </row>
    <row r="321" spans="1:13" s="202" customFormat="1" ht="131.25" customHeight="1">
      <c r="A321" s="163">
        <v>5</v>
      </c>
      <c r="B321" s="376" t="s">
        <v>843</v>
      </c>
      <c r="C321" s="621" t="s">
        <v>1629</v>
      </c>
      <c r="D321" s="163" t="s">
        <v>194</v>
      </c>
      <c r="E321" s="163"/>
      <c r="F321" s="226">
        <v>1095.3</v>
      </c>
      <c r="G321" s="226"/>
      <c r="H321" s="380">
        <f>H322+H323+H324+H325+H326</f>
        <v>0</v>
      </c>
      <c r="I321" s="194"/>
      <c r="J321" s="107"/>
      <c r="K321" s="76"/>
      <c r="M321" s="141"/>
    </row>
    <row r="322" spans="1:13" s="202" customFormat="1" ht="27" customHeight="1">
      <c r="A322" s="163"/>
      <c r="B322" s="198" t="s">
        <v>4</v>
      </c>
      <c r="C322" s="496" t="s">
        <v>136</v>
      </c>
      <c r="D322" s="169" t="s">
        <v>105</v>
      </c>
      <c r="E322" s="169">
        <v>0.755</v>
      </c>
      <c r="F322" s="169">
        <f>F321*E322</f>
        <v>826.9515</v>
      </c>
      <c r="G322" s="47"/>
      <c r="H322" s="47">
        <f>F322*G322</f>
        <v>0</v>
      </c>
      <c r="I322" s="194"/>
      <c r="J322" s="107"/>
      <c r="K322" s="76"/>
      <c r="M322" s="141"/>
    </row>
    <row r="323" spans="1:13" s="202" customFormat="1" ht="30.75" customHeight="1">
      <c r="A323" s="163"/>
      <c r="B323" s="198" t="s">
        <v>4</v>
      </c>
      <c r="C323" s="169" t="s">
        <v>106</v>
      </c>
      <c r="D323" s="169" t="s">
        <v>16</v>
      </c>
      <c r="E323" s="169">
        <v>0.0075</v>
      </c>
      <c r="F323" s="169">
        <f>F321*E323</f>
        <v>8.214749999999999</v>
      </c>
      <c r="G323" s="47"/>
      <c r="H323" s="47">
        <f>F323*G323</f>
        <v>0</v>
      </c>
      <c r="I323" s="194"/>
      <c r="J323" s="107"/>
      <c r="K323" s="76"/>
      <c r="M323" s="141"/>
    </row>
    <row r="324" spans="1:13" s="202" customFormat="1" ht="57" customHeight="1">
      <c r="A324" s="163"/>
      <c r="B324" s="198" t="s">
        <v>1392</v>
      </c>
      <c r="C324" s="169" t="s">
        <v>844</v>
      </c>
      <c r="D324" s="169" t="s">
        <v>194</v>
      </c>
      <c r="E324" s="169">
        <v>1.02</v>
      </c>
      <c r="F324" s="169">
        <f>F321*E324</f>
        <v>1117.206</v>
      </c>
      <c r="G324" s="47"/>
      <c r="H324" s="47">
        <f>F324*G324</f>
        <v>0</v>
      </c>
      <c r="I324" s="194"/>
      <c r="J324" s="107"/>
      <c r="K324" s="76"/>
      <c r="M324" s="141"/>
    </row>
    <row r="325" spans="1:13" s="202" customFormat="1" ht="27" customHeight="1">
      <c r="A325" s="163"/>
      <c r="B325" s="198" t="s">
        <v>1374</v>
      </c>
      <c r="C325" s="169" t="s">
        <v>377</v>
      </c>
      <c r="D325" s="169" t="s">
        <v>53</v>
      </c>
      <c r="E325" s="169">
        <v>0.5</v>
      </c>
      <c r="F325" s="169">
        <f>F321*E325</f>
        <v>547.65</v>
      </c>
      <c r="G325" s="290"/>
      <c r="H325" s="47">
        <f>F325*G325</f>
        <v>0</v>
      </c>
      <c r="I325" s="194"/>
      <c r="J325" s="107"/>
      <c r="K325" s="76"/>
      <c r="M325" s="141"/>
    </row>
    <row r="326" spans="1:13" s="202" customFormat="1" ht="27" customHeight="1">
      <c r="A326" s="163"/>
      <c r="B326" s="198" t="s">
        <v>4</v>
      </c>
      <c r="C326" s="46" t="s">
        <v>38</v>
      </c>
      <c r="D326" s="169" t="s">
        <v>16</v>
      </c>
      <c r="E326" s="169">
        <v>0.18</v>
      </c>
      <c r="F326" s="169">
        <f>F321*E326</f>
        <v>197.154</v>
      </c>
      <c r="G326" s="47"/>
      <c r="H326" s="47">
        <f>F326*G326</f>
        <v>0</v>
      </c>
      <c r="I326" s="194"/>
      <c r="J326" s="107"/>
      <c r="K326" s="76"/>
      <c r="M326" s="141"/>
    </row>
    <row r="327" spans="1:13" s="202" customFormat="1" ht="129" customHeight="1">
      <c r="A327" s="163">
        <v>6</v>
      </c>
      <c r="B327" s="376" t="s">
        <v>372</v>
      </c>
      <c r="C327" s="620" t="s">
        <v>1630</v>
      </c>
      <c r="D327" s="163" t="s">
        <v>194</v>
      </c>
      <c r="E327" s="163"/>
      <c r="F327" s="226">
        <v>134.3</v>
      </c>
      <c r="G327" s="226"/>
      <c r="H327" s="380">
        <f>H328+H329+H330+H332+H331</f>
        <v>0</v>
      </c>
      <c r="I327" s="194"/>
      <c r="J327" s="107"/>
      <c r="K327" s="76"/>
      <c r="M327" s="141"/>
    </row>
    <row r="328" spans="1:13" s="202" customFormat="1" ht="27" customHeight="1">
      <c r="A328" s="163"/>
      <c r="B328" s="198" t="s">
        <v>4</v>
      </c>
      <c r="C328" s="496" t="s">
        <v>136</v>
      </c>
      <c r="D328" s="169" t="s">
        <v>105</v>
      </c>
      <c r="E328" s="169">
        <v>0.536</v>
      </c>
      <c r="F328" s="169">
        <f>F327*E328</f>
        <v>71.9848</v>
      </c>
      <c r="G328" s="47"/>
      <c r="H328" s="47">
        <f>F328*G328</f>
        <v>0</v>
      </c>
      <c r="I328" s="194"/>
      <c r="J328" s="107"/>
      <c r="K328" s="76"/>
      <c r="M328" s="141"/>
    </row>
    <row r="329" spans="1:13" s="202" customFormat="1" ht="27" customHeight="1">
      <c r="A329" s="163"/>
      <c r="B329" s="198" t="s">
        <v>4</v>
      </c>
      <c r="C329" s="169" t="s">
        <v>106</v>
      </c>
      <c r="D329" s="169" t="s">
        <v>16</v>
      </c>
      <c r="E329" s="169">
        <v>0.0365</v>
      </c>
      <c r="F329" s="169">
        <f>F327*E329</f>
        <v>4.90195</v>
      </c>
      <c r="G329" s="47"/>
      <c r="H329" s="47">
        <f>F329*G329</f>
        <v>0</v>
      </c>
      <c r="I329" s="194"/>
      <c r="J329" s="107"/>
      <c r="K329" s="76"/>
      <c r="M329" s="141"/>
    </row>
    <row r="330" spans="1:13" s="202" customFormat="1" ht="27" customHeight="1">
      <c r="A330" s="163"/>
      <c r="B330" s="576" t="s">
        <v>1393</v>
      </c>
      <c r="C330" s="169" t="s">
        <v>344</v>
      </c>
      <c r="D330" s="169" t="s">
        <v>194</v>
      </c>
      <c r="E330" s="169">
        <v>1.05</v>
      </c>
      <c r="F330" s="169">
        <f>F327*E330</f>
        <v>141.01500000000001</v>
      </c>
      <c r="G330" s="47"/>
      <c r="H330" s="47">
        <f>F330*G330</f>
        <v>0</v>
      </c>
      <c r="I330" s="194"/>
      <c r="J330" s="107"/>
      <c r="K330" s="76"/>
      <c r="M330" s="141"/>
    </row>
    <row r="331" spans="1:13" s="202" customFormat="1" ht="37.5" customHeight="1">
      <c r="A331" s="163"/>
      <c r="B331" s="576" t="s">
        <v>1394</v>
      </c>
      <c r="C331" s="169" t="s">
        <v>490</v>
      </c>
      <c r="D331" s="169" t="s">
        <v>194</v>
      </c>
      <c r="E331" s="169">
        <v>1.05</v>
      </c>
      <c r="F331" s="169">
        <f>E331*F327</f>
        <v>141.01500000000001</v>
      </c>
      <c r="G331" s="47"/>
      <c r="H331" s="47">
        <f>F331*G331</f>
        <v>0</v>
      </c>
      <c r="I331" s="194"/>
      <c r="J331" s="107"/>
      <c r="K331" s="76"/>
      <c r="M331" s="141"/>
    </row>
    <row r="332" spans="1:13" s="202" customFormat="1" ht="27" customHeight="1">
      <c r="A332" s="163"/>
      <c r="B332" s="198" t="s">
        <v>4</v>
      </c>
      <c r="C332" s="46" t="s">
        <v>38</v>
      </c>
      <c r="D332" s="169" t="s">
        <v>16</v>
      </c>
      <c r="E332" s="169">
        <v>0.107</v>
      </c>
      <c r="F332" s="169">
        <f>F327*E332</f>
        <v>14.3701</v>
      </c>
      <c r="G332" s="47"/>
      <c r="H332" s="47">
        <f>F332*G332</f>
        <v>0</v>
      </c>
      <c r="I332" s="194"/>
      <c r="J332" s="107"/>
      <c r="K332" s="76"/>
      <c r="M332" s="141"/>
    </row>
    <row r="333" spans="1:13" s="202" customFormat="1" ht="88.5" customHeight="1">
      <c r="A333" s="81" t="s">
        <v>45</v>
      </c>
      <c r="B333" s="378" t="s">
        <v>378</v>
      </c>
      <c r="C333" s="55" t="s">
        <v>1631</v>
      </c>
      <c r="D333" s="55" t="s">
        <v>22</v>
      </c>
      <c r="E333" s="55"/>
      <c r="F333" s="379">
        <v>708</v>
      </c>
      <c r="G333" s="70"/>
      <c r="H333" s="380">
        <f>SUM(H334:H337)</f>
        <v>0</v>
      </c>
      <c r="I333" s="194"/>
      <c r="J333" s="107"/>
      <c r="K333" s="76"/>
      <c r="M333" s="141"/>
    </row>
    <row r="334" spans="1:13" s="202" customFormat="1" ht="27" customHeight="1">
      <c r="A334" s="82"/>
      <c r="B334" s="224" t="s">
        <v>4</v>
      </c>
      <c r="C334" s="496" t="s">
        <v>136</v>
      </c>
      <c r="D334" s="46" t="s">
        <v>5</v>
      </c>
      <c r="E334" s="46">
        <f>7.94/100</f>
        <v>0.0794</v>
      </c>
      <c r="F334" s="47">
        <f>E334*F333</f>
        <v>56.215199999999996</v>
      </c>
      <c r="G334" s="47"/>
      <c r="H334" s="222">
        <f>G334*F334</f>
        <v>0</v>
      </c>
      <c r="I334" s="194"/>
      <c r="J334" s="107"/>
      <c r="K334" s="76"/>
      <c r="M334" s="141"/>
    </row>
    <row r="335" spans="1:13" s="202" customFormat="1" ht="27" customHeight="1">
      <c r="A335" s="82"/>
      <c r="B335" s="224" t="s">
        <v>4</v>
      </c>
      <c r="C335" s="46" t="s">
        <v>137</v>
      </c>
      <c r="D335" s="46" t="s">
        <v>16</v>
      </c>
      <c r="E335" s="46">
        <f>0.13/100</f>
        <v>0.0013</v>
      </c>
      <c r="F335" s="47">
        <f>E335*F333</f>
        <v>0.9204</v>
      </c>
      <c r="G335" s="47"/>
      <c r="H335" s="222">
        <f>G335*F335</f>
        <v>0</v>
      </c>
      <c r="I335" s="194"/>
      <c r="J335" s="107"/>
      <c r="K335" s="76"/>
      <c r="M335" s="141"/>
    </row>
    <row r="336" spans="1:13" s="202" customFormat="1" ht="36.75" customHeight="1">
      <c r="A336" s="82"/>
      <c r="B336" s="224" t="s">
        <v>1396</v>
      </c>
      <c r="C336" s="46" t="s">
        <v>1632</v>
      </c>
      <c r="D336" s="46" t="s">
        <v>22</v>
      </c>
      <c r="E336" s="46">
        <f>112/100</f>
        <v>1.12</v>
      </c>
      <c r="F336" s="47">
        <f>E336*F333</f>
        <v>792.96</v>
      </c>
      <c r="G336" s="222"/>
      <c r="H336" s="222">
        <f>G336*F336</f>
        <v>0</v>
      </c>
      <c r="I336" s="194"/>
      <c r="J336" s="107"/>
      <c r="K336" s="76"/>
      <c r="M336" s="141"/>
    </row>
    <row r="337" spans="1:13" s="202" customFormat="1" ht="27" customHeight="1">
      <c r="A337" s="82"/>
      <c r="B337" s="224" t="s">
        <v>4</v>
      </c>
      <c r="C337" s="46" t="s">
        <v>38</v>
      </c>
      <c r="D337" s="46" t="s">
        <v>16</v>
      </c>
      <c r="E337" s="46">
        <f>0.14/100</f>
        <v>0.0014000000000000002</v>
      </c>
      <c r="F337" s="47">
        <f>E337*F333</f>
        <v>0.9912000000000002</v>
      </c>
      <c r="G337" s="47"/>
      <c r="H337" s="222">
        <f>G337*F337</f>
        <v>0</v>
      </c>
      <c r="I337" s="194"/>
      <c r="J337" s="107"/>
      <c r="K337" s="76"/>
      <c r="M337" s="141"/>
    </row>
    <row r="338" spans="1:13" s="202" customFormat="1" ht="115.5" customHeight="1">
      <c r="A338" s="163">
        <v>8</v>
      </c>
      <c r="B338" s="376" t="s">
        <v>372</v>
      </c>
      <c r="C338" s="622" t="s">
        <v>1630</v>
      </c>
      <c r="D338" s="163" t="s">
        <v>194</v>
      </c>
      <c r="E338" s="163"/>
      <c r="F338" s="226">
        <v>315.1</v>
      </c>
      <c r="G338" s="226"/>
      <c r="H338" s="380">
        <f>H339+H340+H341+H343+H344+H342</f>
        <v>0</v>
      </c>
      <c r="I338" s="194"/>
      <c r="J338" s="107"/>
      <c r="K338" s="76"/>
      <c r="M338" s="141"/>
    </row>
    <row r="339" spans="1:13" s="202" customFormat="1" ht="31.5" customHeight="1">
      <c r="A339" s="163"/>
      <c r="B339" s="198" t="s">
        <v>4</v>
      </c>
      <c r="C339" s="496" t="s">
        <v>136</v>
      </c>
      <c r="D339" s="169" t="s">
        <v>105</v>
      </c>
      <c r="E339" s="169">
        <v>0.536</v>
      </c>
      <c r="F339" s="169">
        <f>F338*E339</f>
        <v>168.89360000000002</v>
      </c>
      <c r="G339" s="47"/>
      <c r="H339" s="47">
        <f aca="true" t="shared" si="11" ref="H339:H344">F339*G339</f>
        <v>0</v>
      </c>
      <c r="I339" s="194"/>
      <c r="J339" s="107"/>
      <c r="K339" s="76"/>
      <c r="M339" s="141"/>
    </row>
    <row r="340" spans="1:13" s="202" customFormat="1" ht="27" customHeight="1">
      <c r="A340" s="163"/>
      <c r="B340" s="198" t="s">
        <v>4</v>
      </c>
      <c r="C340" s="169" t="s">
        <v>106</v>
      </c>
      <c r="D340" s="169" t="s">
        <v>16</v>
      </c>
      <c r="E340" s="169">
        <v>0.0365</v>
      </c>
      <c r="F340" s="169">
        <f>F338*E340</f>
        <v>11.50115</v>
      </c>
      <c r="G340" s="47"/>
      <c r="H340" s="47">
        <f t="shared" si="11"/>
        <v>0</v>
      </c>
      <c r="I340" s="194"/>
      <c r="J340" s="107"/>
      <c r="K340" s="76"/>
      <c r="M340" s="141"/>
    </row>
    <row r="341" spans="1:13" s="202" customFormat="1" ht="31.5" customHeight="1">
      <c r="A341" s="163"/>
      <c r="B341" s="576" t="s">
        <v>1393</v>
      </c>
      <c r="C341" s="169" t="s">
        <v>344</v>
      </c>
      <c r="D341" s="169" t="s">
        <v>194</v>
      </c>
      <c r="E341" s="169">
        <v>1.05</v>
      </c>
      <c r="F341" s="169">
        <f>F338*E341</f>
        <v>330.855</v>
      </c>
      <c r="G341" s="47"/>
      <c r="H341" s="47">
        <f t="shared" si="11"/>
        <v>0</v>
      </c>
      <c r="I341" s="194"/>
      <c r="J341" s="107"/>
      <c r="K341" s="76"/>
      <c r="M341" s="141"/>
    </row>
    <row r="342" spans="1:13" s="202" customFormat="1" ht="30" customHeight="1">
      <c r="A342" s="163"/>
      <c r="B342" s="576" t="s">
        <v>1394</v>
      </c>
      <c r="C342" s="169" t="s">
        <v>490</v>
      </c>
      <c r="D342" s="169" t="s">
        <v>194</v>
      </c>
      <c r="E342" s="169">
        <v>1.05</v>
      </c>
      <c r="F342" s="169">
        <f>E342*F338</f>
        <v>330.855</v>
      </c>
      <c r="G342" s="47"/>
      <c r="H342" s="47">
        <f t="shared" si="11"/>
        <v>0</v>
      </c>
      <c r="I342" s="194"/>
      <c r="J342" s="107"/>
      <c r="K342" s="76"/>
      <c r="M342" s="141"/>
    </row>
    <row r="343" spans="1:13" s="202" customFormat="1" ht="27" customHeight="1">
      <c r="A343" s="163"/>
      <c r="B343" s="576" t="s">
        <v>1395</v>
      </c>
      <c r="C343" s="169" t="s">
        <v>373</v>
      </c>
      <c r="D343" s="169" t="s">
        <v>178</v>
      </c>
      <c r="E343" s="169">
        <v>1.07</v>
      </c>
      <c r="F343" s="169">
        <f>F338*E343</f>
        <v>337.15700000000004</v>
      </c>
      <c r="G343" s="290"/>
      <c r="H343" s="47">
        <f t="shared" si="11"/>
        <v>0</v>
      </c>
      <c r="I343" s="194"/>
      <c r="J343" s="107"/>
      <c r="K343" s="76"/>
      <c r="M343" s="141"/>
    </row>
    <row r="344" spans="1:13" s="202" customFormat="1" ht="31.5" customHeight="1">
      <c r="A344" s="163"/>
      <c r="B344" s="198" t="s">
        <v>4</v>
      </c>
      <c r="C344" s="46" t="s">
        <v>38</v>
      </c>
      <c r="D344" s="169" t="s">
        <v>16</v>
      </c>
      <c r="E344" s="169">
        <v>0.107</v>
      </c>
      <c r="F344" s="169">
        <f>F338*E344</f>
        <v>33.7157</v>
      </c>
      <c r="G344" s="47"/>
      <c r="H344" s="47">
        <f t="shared" si="11"/>
        <v>0</v>
      </c>
      <c r="I344" s="194"/>
      <c r="J344" s="107"/>
      <c r="K344" s="76"/>
      <c r="M344" s="141"/>
    </row>
    <row r="345" spans="1:13" s="202" customFormat="1" ht="53.25" customHeight="1">
      <c r="A345" s="376" t="s">
        <v>66</v>
      </c>
      <c r="B345" s="54" t="s">
        <v>866</v>
      </c>
      <c r="C345" s="375" t="s">
        <v>1071</v>
      </c>
      <c r="D345" s="158" t="s">
        <v>20</v>
      </c>
      <c r="E345" s="158"/>
      <c r="F345" s="137">
        <v>0.8</v>
      </c>
      <c r="G345" s="160"/>
      <c r="H345" s="228">
        <f>SUM(H346:H353)</f>
        <v>0</v>
      </c>
      <c r="I345" s="194"/>
      <c r="J345" s="107"/>
      <c r="K345" s="76"/>
      <c r="M345" s="141"/>
    </row>
    <row r="346" spans="1:13" s="202" customFormat="1" ht="31.5" customHeight="1">
      <c r="A346" s="497"/>
      <c r="B346" s="48" t="s">
        <v>4</v>
      </c>
      <c r="C346" s="46" t="s">
        <v>148</v>
      </c>
      <c r="D346" s="49" t="s">
        <v>5</v>
      </c>
      <c r="E346" s="117">
        <v>24</v>
      </c>
      <c r="F346" s="117">
        <f>E346*F345</f>
        <v>19.200000000000003</v>
      </c>
      <c r="G346" s="52"/>
      <c r="H346" s="377">
        <f aca="true" t="shared" si="12" ref="H346:H353">G346*F346</f>
        <v>0</v>
      </c>
      <c r="I346" s="194"/>
      <c r="J346" s="107"/>
      <c r="K346" s="76"/>
      <c r="M346" s="141"/>
    </row>
    <row r="347" spans="1:13" s="202" customFormat="1" ht="31.5" customHeight="1">
      <c r="A347" s="497"/>
      <c r="B347" s="48" t="s">
        <v>4</v>
      </c>
      <c r="C347" s="46" t="s">
        <v>137</v>
      </c>
      <c r="D347" s="49" t="s">
        <v>16</v>
      </c>
      <c r="E347" s="117">
        <v>1.28</v>
      </c>
      <c r="F347" s="117">
        <f>E347*F345</f>
        <v>1.024</v>
      </c>
      <c r="G347" s="47"/>
      <c r="H347" s="52">
        <f t="shared" si="12"/>
        <v>0</v>
      </c>
      <c r="I347" s="194"/>
      <c r="J347" s="107"/>
      <c r="K347" s="76"/>
      <c r="M347" s="141"/>
    </row>
    <row r="348" spans="1:13" s="202" customFormat="1" ht="31.5" customHeight="1">
      <c r="A348" s="497"/>
      <c r="B348" s="224" t="s">
        <v>1332</v>
      </c>
      <c r="C348" s="46" t="s">
        <v>850</v>
      </c>
      <c r="D348" s="49" t="s">
        <v>14</v>
      </c>
      <c r="E348" s="117">
        <v>1.05</v>
      </c>
      <c r="F348" s="117">
        <f>E348*F345</f>
        <v>0.8400000000000001</v>
      </c>
      <c r="G348" s="52"/>
      <c r="H348" s="52">
        <f t="shared" si="12"/>
        <v>0</v>
      </c>
      <c r="I348" s="194"/>
      <c r="J348" s="107"/>
      <c r="K348" s="76"/>
      <c r="M348" s="141"/>
    </row>
    <row r="349" spans="1:13" s="202" customFormat="1" ht="31.5" customHeight="1">
      <c r="A349" s="497"/>
      <c r="B349" s="48" t="s">
        <v>1397</v>
      </c>
      <c r="C349" s="46" t="s">
        <v>867</v>
      </c>
      <c r="D349" s="49" t="s">
        <v>43</v>
      </c>
      <c r="E349" s="117">
        <v>3.38</v>
      </c>
      <c r="F349" s="117">
        <f>E349*F345</f>
        <v>2.704</v>
      </c>
      <c r="G349" s="52"/>
      <c r="H349" s="52">
        <f t="shared" si="12"/>
        <v>0</v>
      </c>
      <c r="I349" s="194"/>
      <c r="J349" s="107"/>
      <c r="K349" s="76"/>
      <c r="M349" s="141"/>
    </row>
    <row r="350" spans="1:13" s="202" customFormat="1" ht="31.5" customHeight="1">
      <c r="A350" s="497"/>
      <c r="B350" s="370" t="s">
        <v>360</v>
      </c>
      <c r="C350" s="46" t="s">
        <v>237</v>
      </c>
      <c r="D350" s="49" t="s">
        <v>53</v>
      </c>
      <c r="E350" s="117">
        <v>3.08</v>
      </c>
      <c r="F350" s="117">
        <f>E350*F345</f>
        <v>2.4640000000000004</v>
      </c>
      <c r="G350" s="237"/>
      <c r="H350" s="52">
        <f t="shared" si="12"/>
        <v>0</v>
      </c>
      <c r="I350" s="194"/>
      <c r="J350" s="107"/>
      <c r="K350" s="76"/>
      <c r="M350" s="141"/>
    </row>
    <row r="351" spans="1:13" s="202" customFormat="1" ht="31.5" customHeight="1">
      <c r="A351" s="497"/>
      <c r="B351" s="227" t="s">
        <v>2</v>
      </c>
      <c r="C351" s="46" t="s">
        <v>1375</v>
      </c>
      <c r="D351" s="49" t="s">
        <v>53</v>
      </c>
      <c r="E351" s="117">
        <v>3.01</v>
      </c>
      <c r="F351" s="117">
        <f>E351*F345</f>
        <v>2.408</v>
      </c>
      <c r="G351" s="377"/>
      <c r="H351" s="52">
        <f t="shared" si="12"/>
        <v>0</v>
      </c>
      <c r="I351" s="194"/>
      <c r="J351" s="107"/>
      <c r="K351" s="76"/>
      <c r="M351" s="141"/>
    </row>
    <row r="352" spans="1:13" s="202" customFormat="1" ht="31.5" customHeight="1">
      <c r="A352" s="497"/>
      <c r="B352" s="227" t="s">
        <v>352</v>
      </c>
      <c r="C352" s="46" t="s">
        <v>65</v>
      </c>
      <c r="D352" s="49" t="s">
        <v>53</v>
      </c>
      <c r="E352" s="117">
        <v>7.5</v>
      </c>
      <c r="F352" s="117">
        <f>F345*E352</f>
        <v>6</v>
      </c>
      <c r="G352" s="52"/>
      <c r="H352" s="52">
        <f t="shared" si="12"/>
        <v>0</v>
      </c>
      <c r="I352" s="194"/>
      <c r="J352" s="107"/>
      <c r="K352" s="76"/>
      <c r="M352" s="141"/>
    </row>
    <row r="353" spans="1:13" s="202" customFormat="1" ht="31.5" customHeight="1">
      <c r="A353" s="497"/>
      <c r="B353" s="48" t="s">
        <v>4</v>
      </c>
      <c r="C353" s="46" t="s">
        <v>38</v>
      </c>
      <c r="D353" s="49" t="s">
        <v>16</v>
      </c>
      <c r="E353" s="117">
        <v>1.38</v>
      </c>
      <c r="F353" s="117">
        <f>E353*F345</f>
        <v>1.1039999999999999</v>
      </c>
      <c r="G353" s="47"/>
      <c r="H353" s="52">
        <f t="shared" si="12"/>
        <v>0</v>
      </c>
      <c r="I353" s="194"/>
      <c r="J353" s="107"/>
      <c r="K353" s="76"/>
      <c r="M353" s="141"/>
    </row>
    <row r="354" spans="1:13" s="202" customFormat="1" ht="60" customHeight="1">
      <c r="A354" s="81" t="s">
        <v>67</v>
      </c>
      <c r="B354" s="378" t="s">
        <v>846</v>
      </c>
      <c r="C354" s="375" t="s">
        <v>1072</v>
      </c>
      <c r="D354" s="293" t="s">
        <v>46</v>
      </c>
      <c r="E354" s="158"/>
      <c r="F354" s="192">
        <v>50.8</v>
      </c>
      <c r="G354" s="160"/>
      <c r="H354" s="228">
        <f>SUM(H355:H358)</f>
        <v>0</v>
      </c>
      <c r="I354" s="194"/>
      <c r="J354" s="107"/>
      <c r="K354" s="76"/>
      <c r="M354" s="141"/>
    </row>
    <row r="355" spans="1:13" s="202" customFormat="1" ht="31.5" customHeight="1">
      <c r="A355" s="82"/>
      <c r="B355" s="224" t="s">
        <v>4</v>
      </c>
      <c r="C355" s="46" t="s">
        <v>136</v>
      </c>
      <c r="D355" s="49" t="s">
        <v>5</v>
      </c>
      <c r="E355" s="49">
        <v>0.851</v>
      </c>
      <c r="F355" s="167">
        <f>E355*F354</f>
        <v>43.230799999999995</v>
      </c>
      <c r="G355" s="52"/>
      <c r="H355" s="377">
        <f>F355*G355</f>
        <v>0</v>
      </c>
      <c r="I355" s="194"/>
      <c r="J355" s="107"/>
      <c r="K355" s="76"/>
      <c r="M355" s="141"/>
    </row>
    <row r="356" spans="1:13" s="202" customFormat="1" ht="31.5" customHeight="1">
      <c r="A356" s="82"/>
      <c r="B356" s="224" t="s">
        <v>4</v>
      </c>
      <c r="C356" s="46" t="s">
        <v>847</v>
      </c>
      <c r="D356" s="49" t="s">
        <v>16</v>
      </c>
      <c r="E356" s="49">
        <v>0.0483</v>
      </c>
      <c r="F356" s="167">
        <f>E356*F354</f>
        <v>2.45364</v>
      </c>
      <c r="G356" s="47"/>
      <c r="H356" s="52">
        <f>F356*G356</f>
        <v>0</v>
      </c>
      <c r="I356" s="194"/>
      <c r="J356" s="107"/>
      <c r="K356" s="76"/>
      <c r="M356" s="141"/>
    </row>
    <row r="357" spans="1:13" s="202" customFormat="1" ht="31.5" customHeight="1">
      <c r="A357" s="82"/>
      <c r="B357" s="224" t="s">
        <v>2</v>
      </c>
      <c r="C357" s="46" t="s">
        <v>1597</v>
      </c>
      <c r="D357" s="49" t="s">
        <v>20</v>
      </c>
      <c r="E357" s="49">
        <v>0.0515</v>
      </c>
      <c r="F357" s="167">
        <f>E357*F354</f>
        <v>2.6161999999999996</v>
      </c>
      <c r="G357" s="377"/>
      <c r="H357" s="52">
        <f>F357*G357</f>
        <v>0</v>
      </c>
      <c r="I357" s="194"/>
      <c r="J357" s="107"/>
      <c r="K357" s="76"/>
      <c r="M357" s="141"/>
    </row>
    <row r="358" spans="1:13" s="202" customFormat="1" ht="31.5" customHeight="1">
      <c r="A358" s="82"/>
      <c r="B358" s="227" t="s">
        <v>352</v>
      </c>
      <c r="C358" s="46" t="s">
        <v>848</v>
      </c>
      <c r="D358" s="49" t="s">
        <v>53</v>
      </c>
      <c r="E358" s="49">
        <v>0.233</v>
      </c>
      <c r="F358" s="167">
        <f>E358*F354</f>
        <v>11.8364</v>
      </c>
      <c r="G358" s="52"/>
      <c r="H358" s="52">
        <f>F358*G358</f>
        <v>0</v>
      </c>
      <c r="I358" s="194"/>
      <c r="J358" s="107"/>
      <c r="K358" s="76"/>
      <c r="M358" s="141"/>
    </row>
    <row r="359" spans="1:13" s="202" customFormat="1" ht="55.5" customHeight="1">
      <c r="A359" s="81" t="s">
        <v>81</v>
      </c>
      <c r="B359" s="378" t="s">
        <v>849</v>
      </c>
      <c r="C359" s="375" t="s">
        <v>1165</v>
      </c>
      <c r="D359" s="293" t="s">
        <v>46</v>
      </c>
      <c r="E359" s="158"/>
      <c r="F359" s="192">
        <v>546.3</v>
      </c>
      <c r="G359" s="160"/>
      <c r="H359" s="228">
        <f>SUM(H360:H363)</f>
        <v>0</v>
      </c>
      <c r="I359" s="194"/>
      <c r="J359" s="107"/>
      <c r="K359" s="76"/>
      <c r="M359" s="141"/>
    </row>
    <row r="360" spans="1:13" s="202" customFormat="1" ht="31.5" customHeight="1">
      <c r="A360" s="82"/>
      <c r="B360" s="224" t="s">
        <v>4</v>
      </c>
      <c r="C360" s="46" t="s">
        <v>136</v>
      </c>
      <c r="D360" s="49" t="s">
        <v>5</v>
      </c>
      <c r="E360" s="49">
        <v>0.255</v>
      </c>
      <c r="F360" s="167">
        <f>E360*F359</f>
        <v>139.3065</v>
      </c>
      <c r="G360" s="52"/>
      <c r="H360" s="377">
        <f>F360*G360</f>
        <v>0</v>
      </c>
      <c r="I360" s="194"/>
      <c r="J360" s="107"/>
      <c r="K360" s="76"/>
      <c r="M360" s="141"/>
    </row>
    <row r="361" spans="1:13" s="202" customFormat="1" ht="31.5" customHeight="1">
      <c r="A361" s="82"/>
      <c r="B361" s="224" t="s">
        <v>4</v>
      </c>
      <c r="C361" s="46" t="s">
        <v>847</v>
      </c>
      <c r="D361" s="49" t="s">
        <v>16</v>
      </c>
      <c r="E361" s="49">
        <v>0.0099</v>
      </c>
      <c r="F361" s="167">
        <f>E361*F359</f>
        <v>5.40837</v>
      </c>
      <c r="G361" s="47"/>
      <c r="H361" s="52">
        <f>F361*G361</f>
        <v>0</v>
      </c>
      <c r="I361" s="194"/>
      <c r="J361" s="107"/>
      <c r="K361" s="76"/>
      <c r="M361" s="141"/>
    </row>
    <row r="362" spans="1:13" s="202" customFormat="1" ht="31.5" customHeight="1">
      <c r="A362" s="82"/>
      <c r="B362" s="224" t="s">
        <v>1332</v>
      </c>
      <c r="C362" s="46" t="s">
        <v>850</v>
      </c>
      <c r="D362" s="49" t="s">
        <v>20</v>
      </c>
      <c r="E362" s="49">
        <v>0.013</v>
      </c>
      <c r="F362" s="167">
        <f>E362*F359</f>
        <v>7.101899999999999</v>
      </c>
      <c r="G362" s="377"/>
      <c r="H362" s="52">
        <f>F362*G362</f>
        <v>0</v>
      </c>
      <c r="I362" s="194"/>
      <c r="J362" s="107"/>
      <c r="K362" s="76"/>
      <c r="M362" s="141"/>
    </row>
    <row r="363" spans="1:13" s="202" customFormat="1" ht="31.5" customHeight="1">
      <c r="A363" s="82"/>
      <c r="B363" s="223" t="s">
        <v>4</v>
      </c>
      <c r="C363" s="46" t="s">
        <v>851</v>
      </c>
      <c r="D363" s="46" t="s">
        <v>16</v>
      </c>
      <c r="E363" s="157">
        <v>0.0061</v>
      </c>
      <c r="F363" s="157">
        <f>F359*E363</f>
        <v>3.33243</v>
      </c>
      <c r="G363" s="47"/>
      <c r="H363" s="47">
        <f>F363*G363</f>
        <v>0</v>
      </c>
      <c r="I363" s="194"/>
      <c r="J363" s="107"/>
      <c r="K363" s="76"/>
      <c r="M363" s="141"/>
    </row>
    <row r="364" spans="1:13" s="202" customFormat="1" ht="53.25" customHeight="1">
      <c r="A364" s="81" t="s">
        <v>88</v>
      </c>
      <c r="B364" s="378" t="s">
        <v>852</v>
      </c>
      <c r="C364" s="375" t="s">
        <v>853</v>
      </c>
      <c r="D364" s="293" t="s">
        <v>46</v>
      </c>
      <c r="E364" s="158"/>
      <c r="F364" s="192">
        <f>F359</f>
        <v>546.3</v>
      </c>
      <c r="G364" s="160"/>
      <c r="H364" s="228">
        <f>SUM(H365:H368)</f>
        <v>0</v>
      </c>
      <c r="I364" s="194"/>
      <c r="J364" s="107"/>
      <c r="K364" s="76"/>
      <c r="M364" s="141"/>
    </row>
    <row r="365" spans="1:13" s="202" customFormat="1" ht="31.5" customHeight="1">
      <c r="A365" s="82"/>
      <c r="B365" s="224" t="s">
        <v>4</v>
      </c>
      <c r="C365" s="46" t="s">
        <v>854</v>
      </c>
      <c r="D365" s="49" t="s">
        <v>5</v>
      </c>
      <c r="E365" s="49">
        <f>0.782*0.8</f>
        <v>0.6256</v>
      </c>
      <c r="F365" s="167">
        <f>E365*F364</f>
        <v>341.76528</v>
      </c>
      <c r="G365" s="52"/>
      <c r="H365" s="377">
        <f>F365*G365</f>
        <v>0</v>
      </c>
      <c r="I365" s="194"/>
      <c r="J365" s="107"/>
      <c r="K365" s="76"/>
      <c r="M365" s="141"/>
    </row>
    <row r="366" spans="1:13" s="202" customFormat="1" ht="31.5" customHeight="1">
      <c r="A366" s="82"/>
      <c r="B366" s="224" t="s">
        <v>4</v>
      </c>
      <c r="C366" s="46" t="s">
        <v>855</v>
      </c>
      <c r="D366" s="49" t="s">
        <v>16</v>
      </c>
      <c r="E366" s="49">
        <f>0.0382*0.8</f>
        <v>0.03056</v>
      </c>
      <c r="F366" s="167">
        <f>E366*F364</f>
        <v>16.694927999999997</v>
      </c>
      <c r="G366" s="47"/>
      <c r="H366" s="52">
        <f>F366*G366</f>
        <v>0</v>
      </c>
      <c r="I366" s="194"/>
      <c r="J366" s="107"/>
      <c r="K366" s="76"/>
      <c r="M366" s="141"/>
    </row>
    <row r="367" spans="1:13" s="202" customFormat="1" ht="31.5" customHeight="1">
      <c r="A367" s="82"/>
      <c r="B367" s="224" t="s">
        <v>1332</v>
      </c>
      <c r="C367" s="46" t="s">
        <v>856</v>
      </c>
      <c r="D367" s="49" t="s">
        <v>20</v>
      </c>
      <c r="E367" s="49">
        <f>0.02625*0.8</f>
        <v>0.021</v>
      </c>
      <c r="F367" s="167">
        <f>E367*F364</f>
        <v>11.4723</v>
      </c>
      <c r="G367" s="377"/>
      <c r="H367" s="52">
        <f>F367*G367</f>
        <v>0</v>
      </c>
      <c r="I367" s="194"/>
      <c r="J367" s="107"/>
      <c r="K367" s="76"/>
      <c r="M367" s="141"/>
    </row>
    <row r="368" spans="1:13" s="202" customFormat="1" ht="31.5" customHeight="1">
      <c r="A368" s="82"/>
      <c r="B368" s="227" t="s">
        <v>352</v>
      </c>
      <c r="C368" s="46" t="s">
        <v>857</v>
      </c>
      <c r="D368" s="49" t="s">
        <v>53</v>
      </c>
      <c r="E368" s="49">
        <f>0.138*0.8</f>
        <v>0.11040000000000001</v>
      </c>
      <c r="F368" s="167">
        <f>E368*F364</f>
        <v>60.31152</v>
      </c>
      <c r="G368" s="52"/>
      <c r="H368" s="52">
        <f>F368*G368</f>
        <v>0</v>
      </c>
      <c r="I368" s="194"/>
      <c r="J368" s="107"/>
      <c r="K368" s="76"/>
      <c r="M368" s="141"/>
    </row>
    <row r="369" spans="1:13" s="202" customFormat="1" ht="55.5" customHeight="1">
      <c r="A369" s="81" t="s">
        <v>68</v>
      </c>
      <c r="B369" s="378" t="s">
        <v>846</v>
      </c>
      <c r="C369" s="375" t="s">
        <v>858</v>
      </c>
      <c r="D369" s="293" t="s">
        <v>46</v>
      </c>
      <c r="E369" s="158"/>
      <c r="F369" s="192">
        <f>F364</f>
        <v>546.3</v>
      </c>
      <c r="G369" s="160"/>
      <c r="H369" s="228">
        <f>SUM(H370:H373)</f>
        <v>0</v>
      </c>
      <c r="I369" s="194"/>
      <c r="J369" s="107"/>
      <c r="K369" s="76"/>
      <c r="M369" s="141"/>
    </row>
    <row r="370" spans="1:13" s="202" customFormat="1" ht="31.5" customHeight="1">
      <c r="A370" s="82"/>
      <c r="B370" s="224" t="s">
        <v>4</v>
      </c>
      <c r="C370" s="46" t="s">
        <v>148</v>
      </c>
      <c r="D370" s="49" t="s">
        <v>5</v>
      </c>
      <c r="E370" s="49">
        <v>0.851</v>
      </c>
      <c r="F370" s="167">
        <f>E370*F369</f>
        <v>464.90129999999994</v>
      </c>
      <c r="G370" s="52"/>
      <c r="H370" s="377">
        <f>F370*G370</f>
        <v>0</v>
      </c>
      <c r="I370" s="194"/>
      <c r="J370" s="107"/>
      <c r="K370" s="76"/>
      <c r="M370" s="141"/>
    </row>
    <row r="371" spans="1:13" s="202" customFormat="1" ht="31.5" customHeight="1">
      <c r="A371" s="82"/>
      <c r="B371" s="224" t="s">
        <v>4</v>
      </c>
      <c r="C371" s="46" t="s">
        <v>847</v>
      </c>
      <c r="D371" s="49" t="s">
        <v>16</v>
      </c>
      <c r="E371" s="49">
        <v>0.0483</v>
      </c>
      <c r="F371" s="167">
        <f>E371*F369</f>
        <v>26.38629</v>
      </c>
      <c r="G371" s="47"/>
      <c r="H371" s="52">
        <f>F371*G371</f>
        <v>0</v>
      </c>
      <c r="I371" s="194"/>
      <c r="J371" s="107"/>
      <c r="K371" s="76"/>
      <c r="M371" s="141"/>
    </row>
    <row r="372" spans="1:13" s="202" customFormat="1" ht="31.5" customHeight="1">
      <c r="A372" s="82"/>
      <c r="B372" s="224" t="s">
        <v>2</v>
      </c>
      <c r="C372" s="46" t="s">
        <v>1598</v>
      </c>
      <c r="D372" s="49" t="s">
        <v>20</v>
      </c>
      <c r="E372" s="49">
        <v>0.0381</v>
      </c>
      <c r="F372" s="167">
        <f>E372*F369</f>
        <v>20.81403</v>
      </c>
      <c r="G372" s="377"/>
      <c r="H372" s="52">
        <f>F372*G372</f>
        <v>0</v>
      </c>
      <c r="I372" s="194"/>
      <c r="J372" s="107"/>
      <c r="K372" s="76"/>
      <c r="M372" s="141"/>
    </row>
    <row r="373" spans="1:13" s="202" customFormat="1" ht="31.5" customHeight="1">
      <c r="A373" s="82"/>
      <c r="B373" s="227" t="s">
        <v>352</v>
      </c>
      <c r="C373" s="46" t="s">
        <v>848</v>
      </c>
      <c r="D373" s="49" t="s">
        <v>53</v>
      </c>
      <c r="E373" s="49">
        <v>0.233</v>
      </c>
      <c r="F373" s="167">
        <f>E373*F369</f>
        <v>127.2879</v>
      </c>
      <c r="G373" s="52"/>
      <c r="H373" s="52">
        <f>F373*G373</f>
        <v>0</v>
      </c>
      <c r="I373" s="194"/>
      <c r="J373" s="107"/>
      <c r="K373" s="76"/>
      <c r="M373" s="141"/>
    </row>
    <row r="374" spans="1:13" s="202" customFormat="1" ht="60.75" customHeight="1">
      <c r="A374" s="81" t="s">
        <v>74</v>
      </c>
      <c r="B374" s="378" t="s">
        <v>378</v>
      </c>
      <c r="C374" s="55" t="s">
        <v>1073</v>
      </c>
      <c r="D374" s="55" t="s">
        <v>22</v>
      </c>
      <c r="E374" s="55"/>
      <c r="F374" s="379">
        <v>116</v>
      </c>
      <c r="G374" s="70"/>
      <c r="H374" s="380">
        <f>SUM(H375:H378)</f>
        <v>0</v>
      </c>
      <c r="I374" s="194"/>
      <c r="J374" s="107"/>
      <c r="K374" s="76"/>
      <c r="M374" s="141"/>
    </row>
    <row r="375" spans="1:13" s="202" customFormat="1" ht="31.5" customHeight="1">
      <c r="A375" s="82"/>
      <c r="B375" s="224" t="s">
        <v>4</v>
      </c>
      <c r="C375" s="46" t="s">
        <v>148</v>
      </c>
      <c r="D375" s="46" t="s">
        <v>5</v>
      </c>
      <c r="E375" s="46">
        <f>7.94/100</f>
        <v>0.0794</v>
      </c>
      <c r="F375" s="47">
        <f>E375*F374</f>
        <v>9.2104</v>
      </c>
      <c r="G375" s="47"/>
      <c r="H375" s="222">
        <f>G375*F375</f>
        <v>0</v>
      </c>
      <c r="I375" s="194"/>
      <c r="J375" s="107"/>
      <c r="K375" s="76"/>
      <c r="M375" s="141"/>
    </row>
    <row r="376" spans="1:13" s="202" customFormat="1" ht="31.5" customHeight="1">
      <c r="A376" s="82"/>
      <c r="B376" s="224" t="s">
        <v>4</v>
      </c>
      <c r="C376" s="46" t="s">
        <v>137</v>
      </c>
      <c r="D376" s="46" t="s">
        <v>16</v>
      </c>
      <c r="E376" s="46">
        <f>0.13/100</f>
        <v>0.0013</v>
      </c>
      <c r="F376" s="47">
        <f>E376*F374</f>
        <v>0.1508</v>
      </c>
      <c r="G376" s="47"/>
      <c r="H376" s="222">
        <f>G376*F376</f>
        <v>0</v>
      </c>
      <c r="I376" s="194"/>
      <c r="J376" s="107"/>
      <c r="K376" s="76"/>
      <c r="M376" s="141"/>
    </row>
    <row r="377" spans="1:13" s="202" customFormat="1" ht="31.5" customHeight="1">
      <c r="A377" s="82"/>
      <c r="B377" s="224" t="s">
        <v>1367</v>
      </c>
      <c r="C377" s="46" t="s">
        <v>859</v>
      </c>
      <c r="D377" s="46" t="s">
        <v>47</v>
      </c>
      <c r="E377" s="46">
        <f>112/100</f>
        <v>1.12</v>
      </c>
      <c r="F377" s="47">
        <f>E377*F374</f>
        <v>129.92000000000002</v>
      </c>
      <c r="G377" s="47"/>
      <c r="H377" s="222">
        <f>G377*F377</f>
        <v>0</v>
      </c>
      <c r="I377" s="194"/>
      <c r="J377" s="107"/>
      <c r="K377" s="76"/>
      <c r="M377" s="141"/>
    </row>
    <row r="378" spans="1:13" s="202" customFormat="1" ht="31.5" customHeight="1">
      <c r="A378" s="82"/>
      <c r="B378" s="224" t="s">
        <v>4</v>
      </c>
      <c r="C378" s="46" t="s">
        <v>103</v>
      </c>
      <c r="D378" s="46" t="s">
        <v>16</v>
      </c>
      <c r="E378" s="46">
        <f>0.14/100</f>
        <v>0.0014000000000000002</v>
      </c>
      <c r="F378" s="47">
        <f>E378*F374</f>
        <v>0.16240000000000002</v>
      </c>
      <c r="G378" s="47"/>
      <c r="H378" s="222">
        <f>G378*F378</f>
        <v>0</v>
      </c>
      <c r="I378" s="194"/>
      <c r="J378" s="107"/>
      <c r="K378" s="76"/>
      <c r="M378" s="141"/>
    </row>
    <row r="379" spans="1:13" s="202" customFormat="1" ht="81" customHeight="1">
      <c r="A379" s="81" t="s">
        <v>55</v>
      </c>
      <c r="B379" s="378" t="s">
        <v>860</v>
      </c>
      <c r="C379" s="55" t="s">
        <v>1636</v>
      </c>
      <c r="D379" s="293" t="s">
        <v>861</v>
      </c>
      <c r="E379" s="55"/>
      <c r="F379" s="226">
        <v>606</v>
      </c>
      <c r="G379" s="70"/>
      <c r="H379" s="380">
        <f>SUM(H380:H385)</f>
        <v>0</v>
      </c>
      <c r="I379" s="194"/>
      <c r="J379" s="107"/>
      <c r="K379" s="76"/>
      <c r="M379" s="141"/>
    </row>
    <row r="380" spans="1:13" s="202" customFormat="1" ht="31.5" customHeight="1">
      <c r="A380" s="82"/>
      <c r="B380" s="223" t="s">
        <v>4</v>
      </c>
      <c r="C380" s="46" t="s">
        <v>148</v>
      </c>
      <c r="D380" s="46" t="s">
        <v>5</v>
      </c>
      <c r="E380" s="157">
        <v>0.741</v>
      </c>
      <c r="F380" s="157">
        <f>E380*F379</f>
        <v>449.046</v>
      </c>
      <c r="G380" s="47"/>
      <c r="H380" s="222">
        <f aca="true" t="shared" si="13" ref="H380:H385">F380*G380</f>
        <v>0</v>
      </c>
      <c r="I380" s="194"/>
      <c r="J380" s="107"/>
      <c r="K380" s="76"/>
      <c r="M380" s="141"/>
    </row>
    <row r="381" spans="1:13" s="202" customFormat="1" ht="31.5" customHeight="1">
      <c r="A381" s="82"/>
      <c r="B381" s="223" t="s">
        <v>4</v>
      </c>
      <c r="C381" s="46" t="s">
        <v>129</v>
      </c>
      <c r="D381" s="46" t="s">
        <v>16</v>
      </c>
      <c r="E381" s="161">
        <v>0.001</v>
      </c>
      <c r="F381" s="157">
        <f>F379*E381</f>
        <v>0.606</v>
      </c>
      <c r="G381" s="47"/>
      <c r="H381" s="47">
        <f t="shared" si="13"/>
        <v>0</v>
      </c>
      <c r="I381" s="194"/>
      <c r="J381" s="107"/>
      <c r="K381" s="76"/>
      <c r="M381" s="141"/>
    </row>
    <row r="382" spans="1:13" s="202" customFormat="1" ht="31.5" customHeight="1">
      <c r="A382" s="82"/>
      <c r="B382" s="224" t="s">
        <v>1390</v>
      </c>
      <c r="C382" s="46" t="s">
        <v>862</v>
      </c>
      <c r="D382" s="46" t="s">
        <v>53</v>
      </c>
      <c r="E382" s="157">
        <v>0.255</v>
      </c>
      <c r="F382" s="157">
        <f>F379*E382</f>
        <v>154.53</v>
      </c>
      <c r="G382" s="222"/>
      <c r="H382" s="47">
        <f t="shared" si="13"/>
        <v>0</v>
      </c>
      <c r="I382" s="194"/>
      <c r="J382" s="107"/>
      <c r="K382" s="76"/>
      <c r="M382" s="141"/>
    </row>
    <row r="383" spans="1:13" s="202" customFormat="1" ht="31.5" customHeight="1">
      <c r="A383" s="82"/>
      <c r="B383" s="198" t="s">
        <v>1399</v>
      </c>
      <c r="C383" s="46" t="s">
        <v>863</v>
      </c>
      <c r="D383" s="46" t="s">
        <v>53</v>
      </c>
      <c r="E383" s="157">
        <v>0.82</v>
      </c>
      <c r="F383" s="157">
        <f>F379*E383</f>
        <v>496.91999999999996</v>
      </c>
      <c r="G383" s="47"/>
      <c r="H383" s="47">
        <f t="shared" si="13"/>
        <v>0</v>
      </c>
      <c r="I383" s="194"/>
      <c r="J383" s="107"/>
      <c r="K383" s="76"/>
      <c r="M383" s="141"/>
    </row>
    <row r="384" spans="1:13" s="202" customFormat="1" ht="31.5" customHeight="1">
      <c r="A384" s="82"/>
      <c r="B384" s="572" t="s">
        <v>1353</v>
      </c>
      <c r="C384" s="46" t="s">
        <v>864</v>
      </c>
      <c r="D384" s="46" t="s">
        <v>53</v>
      </c>
      <c r="E384" s="157">
        <v>0.127</v>
      </c>
      <c r="F384" s="157">
        <f>F379*E384</f>
        <v>76.962</v>
      </c>
      <c r="G384" s="183"/>
      <c r="H384" s="47">
        <f t="shared" si="13"/>
        <v>0</v>
      </c>
      <c r="I384" s="194"/>
      <c r="J384" s="107"/>
      <c r="K384" s="76"/>
      <c r="M384" s="141"/>
    </row>
    <row r="385" spans="1:13" s="202" customFormat="1" ht="29.25" customHeight="1">
      <c r="A385" s="82"/>
      <c r="B385" s="223" t="s">
        <v>4</v>
      </c>
      <c r="C385" s="207" t="s">
        <v>38</v>
      </c>
      <c r="D385" s="46" t="s">
        <v>16</v>
      </c>
      <c r="E385" s="157">
        <v>0.017</v>
      </c>
      <c r="F385" s="157">
        <f>F379*E385</f>
        <v>10.302000000000001</v>
      </c>
      <c r="G385" s="47"/>
      <c r="H385" s="47">
        <f t="shared" si="13"/>
        <v>0</v>
      </c>
      <c r="I385" s="194"/>
      <c r="J385" s="107"/>
      <c r="K385" s="76"/>
      <c r="M385" s="141"/>
    </row>
    <row r="386" spans="1:13" s="202" customFormat="1" ht="172.5" customHeight="1">
      <c r="A386" s="71">
        <v>16</v>
      </c>
      <c r="B386" s="378" t="s">
        <v>374</v>
      </c>
      <c r="C386" s="55" t="s">
        <v>1634</v>
      </c>
      <c r="D386" s="293" t="s">
        <v>46</v>
      </c>
      <c r="E386" s="55"/>
      <c r="F386" s="226">
        <v>280.2</v>
      </c>
      <c r="G386" s="70"/>
      <c r="H386" s="380">
        <f>SUM(H387:H391)</f>
        <v>0</v>
      </c>
      <c r="I386" s="194"/>
      <c r="J386" s="107"/>
      <c r="K386" s="76"/>
      <c r="M386" s="141"/>
    </row>
    <row r="387" spans="1:13" s="202" customFormat="1" ht="31.5" customHeight="1">
      <c r="A387" s="48"/>
      <c r="B387" s="223" t="s">
        <v>4</v>
      </c>
      <c r="C387" s="496" t="s">
        <v>136</v>
      </c>
      <c r="D387" s="46" t="s">
        <v>5</v>
      </c>
      <c r="E387" s="46">
        <v>1.08</v>
      </c>
      <c r="F387" s="225">
        <f>E387*F386</f>
        <v>302.616</v>
      </c>
      <c r="G387" s="47"/>
      <c r="H387" s="222">
        <f>G387*F387</f>
        <v>0</v>
      </c>
      <c r="I387" s="194"/>
      <c r="J387" s="107"/>
      <c r="K387" s="76"/>
      <c r="M387" s="141"/>
    </row>
    <row r="388" spans="1:13" s="202" customFormat="1" ht="31.5" customHeight="1">
      <c r="A388" s="48"/>
      <c r="B388" s="223" t="s">
        <v>4</v>
      </c>
      <c r="C388" s="46" t="s">
        <v>137</v>
      </c>
      <c r="D388" s="46" t="s">
        <v>16</v>
      </c>
      <c r="E388" s="46">
        <v>0.0452</v>
      </c>
      <c r="F388" s="225">
        <f>E388*F386</f>
        <v>12.66504</v>
      </c>
      <c r="G388" s="47"/>
      <c r="H388" s="222">
        <f>G388*F388</f>
        <v>0</v>
      </c>
      <c r="I388" s="194"/>
      <c r="J388" s="107"/>
      <c r="K388" s="76"/>
      <c r="M388" s="141"/>
    </row>
    <row r="389" spans="1:13" s="202" customFormat="1" ht="31.5" customHeight="1">
      <c r="A389" s="48"/>
      <c r="B389" s="177" t="s">
        <v>1402</v>
      </c>
      <c r="C389" s="46" t="s">
        <v>1074</v>
      </c>
      <c r="D389" s="46" t="s">
        <v>43</v>
      </c>
      <c r="E389" s="46">
        <v>1.02</v>
      </c>
      <c r="F389" s="225">
        <f>E389*F386</f>
        <v>285.804</v>
      </c>
      <c r="G389" s="222"/>
      <c r="H389" s="222">
        <f>G389*F389</f>
        <v>0</v>
      </c>
      <c r="I389" s="194"/>
      <c r="J389" s="107"/>
      <c r="K389" s="76"/>
      <c r="M389" s="141"/>
    </row>
    <row r="390" spans="1:13" s="202" customFormat="1" ht="31.5" customHeight="1">
      <c r="A390" s="48"/>
      <c r="B390" s="177" t="s">
        <v>536</v>
      </c>
      <c r="C390" s="46" t="s">
        <v>60</v>
      </c>
      <c r="D390" s="46" t="s">
        <v>53</v>
      </c>
      <c r="E390" s="47">
        <v>8</v>
      </c>
      <c r="F390" s="225">
        <f>E390*F386</f>
        <v>2241.6</v>
      </c>
      <c r="G390" s="47"/>
      <c r="H390" s="222">
        <f>G390*F390</f>
        <v>0</v>
      </c>
      <c r="I390" s="194"/>
      <c r="J390" s="107"/>
      <c r="K390" s="76"/>
      <c r="M390" s="141"/>
    </row>
    <row r="391" spans="1:13" s="202" customFormat="1" ht="31.5" customHeight="1">
      <c r="A391" s="48"/>
      <c r="B391" s="224" t="s">
        <v>4</v>
      </c>
      <c r="C391" s="46" t="s">
        <v>38</v>
      </c>
      <c r="D391" s="46" t="s">
        <v>16</v>
      </c>
      <c r="E391" s="46">
        <v>0.0466</v>
      </c>
      <c r="F391" s="225">
        <f>E391*F386</f>
        <v>13.05732</v>
      </c>
      <c r="G391" s="47"/>
      <c r="H391" s="222">
        <f>G391*F391</f>
        <v>0</v>
      </c>
      <c r="I391" s="194"/>
      <c r="J391" s="107"/>
      <c r="K391" s="76"/>
      <c r="M391" s="141"/>
    </row>
    <row r="392" spans="1:13" s="202" customFormat="1" ht="48.75" customHeight="1">
      <c r="A392" s="71">
        <v>17</v>
      </c>
      <c r="B392" s="378" t="s">
        <v>375</v>
      </c>
      <c r="C392" s="55" t="s">
        <v>1075</v>
      </c>
      <c r="D392" s="293" t="s">
        <v>22</v>
      </c>
      <c r="E392" s="55"/>
      <c r="F392" s="379">
        <v>238</v>
      </c>
      <c r="G392" s="70"/>
      <c r="H392" s="380">
        <f>SUM(H393:H396)</f>
        <v>0</v>
      </c>
      <c r="I392" s="194"/>
      <c r="J392" s="107"/>
      <c r="K392" s="76"/>
      <c r="M392" s="141"/>
    </row>
    <row r="393" spans="1:13" s="202" customFormat="1" ht="31.5" customHeight="1">
      <c r="A393" s="48"/>
      <c r="B393" s="223" t="s">
        <v>4</v>
      </c>
      <c r="C393" s="46" t="s">
        <v>136</v>
      </c>
      <c r="D393" s="46" t="s">
        <v>5</v>
      </c>
      <c r="E393" s="46">
        <v>0.269</v>
      </c>
      <c r="F393" s="225">
        <f>E393*F392</f>
        <v>64.022</v>
      </c>
      <c r="G393" s="47"/>
      <c r="H393" s="222">
        <f>G393*F393</f>
        <v>0</v>
      </c>
      <c r="I393" s="194"/>
      <c r="J393" s="107"/>
      <c r="K393" s="76"/>
      <c r="M393" s="141"/>
    </row>
    <row r="394" spans="1:13" s="202" customFormat="1" ht="31.5" customHeight="1">
      <c r="A394" s="48"/>
      <c r="B394" s="223" t="s">
        <v>4</v>
      </c>
      <c r="C394" s="46" t="s">
        <v>137</v>
      </c>
      <c r="D394" s="46" t="s">
        <v>16</v>
      </c>
      <c r="E394" s="46">
        <v>0.0116</v>
      </c>
      <c r="F394" s="225">
        <f>E394*F392</f>
        <v>2.7607999999999997</v>
      </c>
      <c r="G394" s="47"/>
      <c r="H394" s="222">
        <f>G394*F394</f>
        <v>0</v>
      </c>
      <c r="I394" s="194"/>
      <c r="J394" s="107"/>
      <c r="K394" s="76"/>
      <c r="M394" s="141"/>
    </row>
    <row r="395" spans="1:13" s="202" customFormat="1" ht="31.5" customHeight="1">
      <c r="A395" s="48"/>
      <c r="B395" s="177" t="s">
        <v>1402</v>
      </c>
      <c r="C395" s="46" t="s">
        <v>1074</v>
      </c>
      <c r="D395" s="46" t="s">
        <v>43</v>
      </c>
      <c r="E395" s="46">
        <v>0.08</v>
      </c>
      <c r="F395" s="225">
        <f>E395*F392</f>
        <v>19.04</v>
      </c>
      <c r="G395" s="222"/>
      <c r="H395" s="222">
        <f>G395*F395</f>
        <v>0</v>
      </c>
      <c r="I395" s="194"/>
      <c r="J395" s="107"/>
      <c r="K395" s="76"/>
      <c r="M395" s="141"/>
    </row>
    <row r="396" spans="1:13" s="202" customFormat="1" ht="31.5" customHeight="1">
      <c r="A396" s="48"/>
      <c r="B396" s="177" t="s">
        <v>536</v>
      </c>
      <c r="C396" s="46" t="s">
        <v>60</v>
      </c>
      <c r="D396" s="46" t="s">
        <v>53</v>
      </c>
      <c r="E396" s="46">
        <v>0.65</v>
      </c>
      <c r="F396" s="225">
        <f>E396*F392</f>
        <v>154.70000000000002</v>
      </c>
      <c r="G396" s="47"/>
      <c r="H396" s="222">
        <f>G396*F396</f>
        <v>0</v>
      </c>
      <c r="I396" s="194"/>
      <c r="J396" s="107"/>
      <c r="K396" s="76"/>
      <c r="M396" s="141"/>
    </row>
    <row r="397" spans="1:13" s="202" customFormat="1" ht="141.75" customHeight="1">
      <c r="A397" s="71">
        <v>18</v>
      </c>
      <c r="B397" s="378" t="s">
        <v>374</v>
      </c>
      <c r="C397" s="55" t="s">
        <v>1633</v>
      </c>
      <c r="D397" s="293" t="s">
        <v>46</v>
      </c>
      <c r="E397" s="55"/>
      <c r="F397" s="226">
        <v>337.2</v>
      </c>
      <c r="G397" s="70"/>
      <c r="H397" s="380">
        <f>SUM(H398:H402)</f>
        <v>0</v>
      </c>
      <c r="I397" s="194"/>
      <c r="J397" s="107"/>
      <c r="K397" s="76"/>
      <c r="M397" s="141"/>
    </row>
    <row r="398" spans="1:13" s="202" customFormat="1" ht="31.5" customHeight="1">
      <c r="A398" s="48"/>
      <c r="B398" s="223" t="s">
        <v>4</v>
      </c>
      <c r="C398" s="496" t="s">
        <v>136</v>
      </c>
      <c r="D398" s="46" t="s">
        <v>5</v>
      </c>
      <c r="E398" s="46">
        <v>1.08</v>
      </c>
      <c r="F398" s="372">
        <f>E398*F397</f>
        <v>364.176</v>
      </c>
      <c r="G398" s="47"/>
      <c r="H398" s="222">
        <f>G398*F398</f>
        <v>0</v>
      </c>
      <c r="I398" s="194"/>
      <c r="J398" s="107"/>
      <c r="K398" s="76"/>
      <c r="M398" s="141"/>
    </row>
    <row r="399" spans="1:13" s="202" customFormat="1" ht="31.5" customHeight="1">
      <c r="A399" s="48"/>
      <c r="B399" s="223" t="s">
        <v>4</v>
      </c>
      <c r="C399" s="46" t="s">
        <v>137</v>
      </c>
      <c r="D399" s="46" t="s">
        <v>16</v>
      </c>
      <c r="E399" s="46">
        <v>0.0452</v>
      </c>
      <c r="F399" s="372">
        <f>E399*F397</f>
        <v>15.241439999999999</v>
      </c>
      <c r="G399" s="47"/>
      <c r="H399" s="222">
        <f>G399*F399</f>
        <v>0</v>
      </c>
      <c r="I399" s="194"/>
      <c r="J399" s="107"/>
      <c r="K399" s="76"/>
      <c r="M399" s="141"/>
    </row>
    <row r="400" spans="1:13" s="202" customFormat="1" ht="31.5" customHeight="1">
      <c r="A400" s="48"/>
      <c r="B400" s="177" t="s">
        <v>1401</v>
      </c>
      <c r="C400" s="46" t="s">
        <v>376</v>
      </c>
      <c r="D400" s="46" t="s">
        <v>43</v>
      </c>
      <c r="E400" s="46">
        <v>1.02</v>
      </c>
      <c r="F400" s="372">
        <f>E400*F397</f>
        <v>343.944</v>
      </c>
      <c r="G400" s="222"/>
      <c r="H400" s="222">
        <f>G400*F400</f>
        <v>0</v>
      </c>
      <c r="I400" s="194"/>
      <c r="J400" s="107"/>
      <c r="K400" s="76"/>
      <c r="M400" s="141"/>
    </row>
    <row r="401" spans="1:13" s="202" customFormat="1" ht="31.5" customHeight="1">
      <c r="A401" s="48"/>
      <c r="B401" s="177" t="s">
        <v>536</v>
      </c>
      <c r="C401" s="46" t="s">
        <v>60</v>
      </c>
      <c r="D401" s="46" t="s">
        <v>53</v>
      </c>
      <c r="E401" s="47">
        <v>8</v>
      </c>
      <c r="F401" s="372">
        <f>E401*F397</f>
        <v>2697.6</v>
      </c>
      <c r="G401" s="47"/>
      <c r="H401" s="222">
        <f>G401*F401</f>
        <v>0</v>
      </c>
      <c r="I401" s="194"/>
      <c r="J401" s="107"/>
      <c r="K401" s="76"/>
      <c r="M401" s="141"/>
    </row>
    <row r="402" spans="1:13" s="202" customFormat="1" ht="31.5" customHeight="1">
      <c r="A402" s="48"/>
      <c r="B402" s="224" t="s">
        <v>4</v>
      </c>
      <c r="C402" s="46" t="s">
        <v>38</v>
      </c>
      <c r="D402" s="46" t="s">
        <v>16</v>
      </c>
      <c r="E402" s="46">
        <v>0.0466</v>
      </c>
      <c r="F402" s="372">
        <f>E402*F397</f>
        <v>15.71352</v>
      </c>
      <c r="G402" s="47"/>
      <c r="H402" s="222">
        <f>G402*F402</f>
        <v>0</v>
      </c>
      <c r="I402" s="194"/>
      <c r="J402" s="107"/>
      <c r="K402" s="76"/>
      <c r="M402" s="141"/>
    </row>
    <row r="403" spans="1:13" s="202" customFormat="1" ht="61.5" customHeight="1">
      <c r="A403" s="71">
        <v>19</v>
      </c>
      <c r="B403" s="378" t="s">
        <v>375</v>
      </c>
      <c r="C403" s="55" t="s">
        <v>814</v>
      </c>
      <c r="D403" s="293" t="s">
        <v>22</v>
      </c>
      <c r="E403" s="55"/>
      <c r="F403" s="379">
        <v>240</v>
      </c>
      <c r="G403" s="70"/>
      <c r="H403" s="380">
        <f>SUM(H404:H407)</f>
        <v>0</v>
      </c>
      <c r="I403" s="194"/>
      <c r="J403" s="107"/>
      <c r="K403" s="76"/>
      <c r="M403" s="141"/>
    </row>
    <row r="404" spans="1:13" s="202" customFormat="1" ht="31.5" customHeight="1">
      <c r="A404" s="48"/>
      <c r="B404" s="223" t="s">
        <v>4</v>
      </c>
      <c r="C404" s="46" t="s">
        <v>136</v>
      </c>
      <c r="D404" s="46" t="s">
        <v>5</v>
      </c>
      <c r="E404" s="46">
        <v>0.269</v>
      </c>
      <c r="F404" s="225">
        <f>E404*F403</f>
        <v>64.56</v>
      </c>
      <c r="G404" s="47"/>
      <c r="H404" s="222">
        <f>G404*F404</f>
        <v>0</v>
      </c>
      <c r="I404" s="194"/>
      <c r="J404" s="107"/>
      <c r="K404" s="76"/>
      <c r="M404" s="141"/>
    </row>
    <row r="405" spans="1:13" s="202" customFormat="1" ht="31.5" customHeight="1">
      <c r="A405" s="48"/>
      <c r="B405" s="223" t="s">
        <v>4</v>
      </c>
      <c r="C405" s="46" t="s">
        <v>137</v>
      </c>
      <c r="D405" s="46" t="s">
        <v>16</v>
      </c>
      <c r="E405" s="46">
        <v>0.0116</v>
      </c>
      <c r="F405" s="225">
        <f>E405*F403</f>
        <v>2.784</v>
      </c>
      <c r="G405" s="47"/>
      <c r="H405" s="222">
        <f>G405*F405</f>
        <v>0</v>
      </c>
      <c r="I405" s="194"/>
      <c r="J405" s="107"/>
      <c r="K405" s="76"/>
      <c r="M405" s="141"/>
    </row>
    <row r="406" spans="1:13" s="202" customFormat="1" ht="27" customHeight="1">
      <c r="A406" s="48"/>
      <c r="B406" s="177" t="s">
        <v>1401</v>
      </c>
      <c r="C406" s="46" t="s">
        <v>764</v>
      </c>
      <c r="D406" s="46" t="s">
        <v>43</v>
      </c>
      <c r="E406" s="46">
        <v>0.08</v>
      </c>
      <c r="F406" s="225">
        <f>E406*F403</f>
        <v>19.2</v>
      </c>
      <c r="G406" s="222"/>
      <c r="H406" s="222">
        <f>G406*F406</f>
        <v>0</v>
      </c>
      <c r="I406" s="194"/>
      <c r="J406" s="107"/>
      <c r="K406" s="76"/>
      <c r="M406" s="141"/>
    </row>
    <row r="407" spans="1:13" s="202" customFormat="1" ht="31.5" customHeight="1">
      <c r="A407" s="48"/>
      <c r="B407" s="177" t="s">
        <v>536</v>
      </c>
      <c r="C407" s="46" t="s">
        <v>60</v>
      </c>
      <c r="D407" s="46" t="s">
        <v>53</v>
      </c>
      <c r="E407" s="46">
        <v>0.65</v>
      </c>
      <c r="F407" s="225">
        <f>E407*F403</f>
        <v>156</v>
      </c>
      <c r="G407" s="47"/>
      <c r="H407" s="222">
        <f>G407*F407</f>
        <v>0</v>
      </c>
      <c r="I407" s="194"/>
      <c r="J407" s="107"/>
      <c r="K407" s="76"/>
      <c r="M407" s="141"/>
    </row>
    <row r="408" spans="1:13" s="202" customFormat="1" ht="166.5" customHeight="1">
      <c r="A408" s="71">
        <v>20</v>
      </c>
      <c r="B408" s="378" t="s">
        <v>374</v>
      </c>
      <c r="C408" s="55" t="s">
        <v>1635</v>
      </c>
      <c r="D408" s="293" t="s">
        <v>46</v>
      </c>
      <c r="E408" s="55"/>
      <c r="F408" s="226">
        <v>66.5</v>
      </c>
      <c r="G408" s="70"/>
      <c r="H408" s="380">
        <f>SUM(H409:H413)</f>
        <v>0</v>
      </c>
      <c r="I408" s="194"/>
      <c r="J408" s="107"/>
      <c r="K408" s="76"/>
      <c r="M408" s="141"/>
    </row>
    <row r="409" spans="1:13" s="202" customFormat="1" ht="31.5" customHeight="1">
      <c r="A409" s="48"/>
      <c r="B409" s="223" t="s">
        <v>4</v>
      </c>
      <c r="C409" s="496" t="s">
        <v>136</v>
      </c>
      <c r="D409" s="46" t="s">
        <v>5</v>
      </c>
      <c r="E409" s="46">
        <v>1.08</v>
      </c>
      <c r="F409" s="225">
        <f>E409*F408</f>
        <v>71.82000000000001</v>
      </c>
      <c r="G409" s="47"/>
      <c r="H409" s="222">
        <f>G409*F409</f>
        <v>0</v>
      </c>
      <c r="I409" s="194"/>
      <c r="J409" s="107"/>
      <c r="K409" s="76"/>
      <c r="M409" s="141"/>
    </row>
    <row r="410" spans="1:13" s="202" customFormat="1" ht="31.5" customHeight="1">
      <c r="A410" s="48"/>
      <c r="B410" s="223" t="s">
        <v>4</v>
      </c>
      <c r="C410" s="46" t="s">
        <v>137</v>
      </c>
      <c r="D410" s="46" t="s">
        <v>16</v>
      </c>
      <c r="E410" s="46">
        <v>0.0452</v>
      </c>
      <c r="F410" s="225">
        <f>E410*F408</f>
        <v>3.0058</v>
      </c>
      <c r="G410" s="47"/>
      <c r="H410" s="222">
        <f>G410*F410</f>
        <v>0</v>
      </c>
      <c r="I410" s="194"/>
      <c r="J410" s="107"/>
      <c r="K410" s="76"/>
      <c r="M410" s="141"/>
    </row>
    <row r="411" spans="1:13" s="202" customFormat="1" ht="31.5" customHeight="1">
      <c r="A411" s="48"/>
      <c r="B411" s="177" t="s">
        <v>1402</v>
      </c>
      <c r="C411" s="46" t="s">
        <v>1074</v>
      </c>
      <c r="D411" s="46" t="s">
        <v>43</v>
      </c>
      <c r="E411" s="46">
        <v>1.02</v>
      </c>
      <c r="F411" s="225">
        <f>E411*F408</f>
        <v>67.83</v>
      </c>
      <c r="G411" s="222"/>
      <c r="H411" s="222">
        <f>G411*F411</f>
        <v>0</v>
      </c>
      <c r="I411" s="194"/>
      <c r="J411" s="107"/>
      <c r="K411" s="76"/>
      <c r="M411" s="141"/>
    </row>
    <row r="412" spans="1:13" s="202" customFormat="1" ht="31.5" customHeight="1">
      <c r="A412" s="48"/>
      <c r="B412" s="177" t="s">
        <v>1402</v>
      </c>
      <c r="C412" s="46" t="s">
        <v>60</v>
      </c>
      <c r="D412" s="46" t="s">
        <v>53</v>
      </c>
      <c r="E412" s="47">
        <v>8</v>
      </c>
      <c r="F412" s="225">
        <f>E412*F408</f>
        <v>532</v>
      </c>
      <c r="G412" s="47"/>
      <c r="H412" s="222">
        <f>G412*F412</f>
        <v>0</v>
      </c>
      <c r="I412" s="194"/>
      <c r="J412" s="107"/>
      <c r="K412" s="76"/>
      <c r="M412" s="141"/>
    </row>
    <row r="413" spans="1:13" s="202" customFormat="1" ht="31.5" customHeight="1">
      <c r="A413" s="48"/>
      <c r="B413" s="224" t="s">
        <v>4</v>
      </c>
      <c r="C413" s="46" t="s">
        <v>38</v>
      </c>
      <c r="D413" s="46" t="s">
        <v>16</v>
      </c>
      <c r="E413" s="46">
        <v>0.0466</v>
      </c>
      <c r="F413" s="225">
        <f>E413*F408</f>
        <v>3.0989</v>
      </c>
      <c r="G413" s="47"/>
      <c r="H413" s="222">
        <f>G413*F413</f>
        <v>0</v>
      </c>
      <c r="I413" s="194"/>
      <c r="J413" s="107"/>
      <c r="K413" s="76"/>
      <c r="M413" s="141"/>
    </row>
    <row r="414" spans="1:13" s="202" customFormat="1" ht="57.75" customHeight="1">
      <c r="A414" s="71">
        <v>21</v>
      </c>
      <c r="B414" s="378" t="s">
        <v>375</v>
      </c>
      <c r="C414" s="55" t="s">
        <v>1166</v>
      </c>
      <c r="D414" s="293" t="s">
        <v>22</v>
      </c>
      <c r="E414" s="55"/>
      <c r="F414" s="379">
        <v>45</v>
      </c>
      <c r="G414" s="70"/>
      <c r="H414" s="380">
        <f>SUM(H415:H418)</f>
        <v>0</v>
      </c>
      <c r="I414" s="194"/>
      <c r="J414" s="107"/>
      <c r="K414" s="76"/>
      <c r="M414" s="141"/>
    </row>
    <row r="415" spans="1:13" s="202" customFormat="1" ht="31.5" customHeight="1">
      <c r="A415" s="48"/>
      <c r="B415" s="223" t="s">
        <v>4</v>
      </c>
      <c r="C415" s="46" t="s">
        <v>136</v>
      </c>
      <c r="D415" s="46" t="s">
        <v>5</v>
      </c>
      <c r="E415" s="46">
        <v>0.269</v>
      </c>
      <c r="F415" s="225">
        <f>E415*F414</f>
        <v>12.105</v>
      </c>
      <c r="G415" s="47"/>
      <c r="H415" s="222">
        <f>G415*F415</f>
        <v>0</v>
      </c>
      <c r="I415" s="194"/>
      <c r="J415" s="107"/>
      <c r="K415" s="76"/>
      <c r="M415" s="141"/>
    </row>
    <row r="416" spans="1:13" s="202" customFormat="1" ht="31.5" customHeight="1">
      <c r="A416" s="48"/>
      <c r="B416" s="223" t="s">
        <v>4</v>
      </c>
      <c r="C416" s="46" t="s">
        <v>137</v>
      </c>
      <c r="D416" s="46" t="s">
        <v>16</v>
      </c>
      <c r="E416" s="46">
        <v>0.0116</v>
      </c>
      <c r="F416" s="225">
        <f>E416*F414</f>
        <v>0.522</v>
      </c>
      <c r="G416" s="47"/>
      <c r="H416" s="222">
        <f>G416*F416</f>
        <v>0</v>
      </c>
      <c r="I416" s="194"/>
      <c r="J416" s="107"/>
      <c r="K416" s="76"/>
      <c r="M416" s="141"/>
    </row>
    <row r="417" spans="1:13" s="202" customFormat="1" ht="31.5" customHeight="1">
      <c r="A417" s="48"/>
      <c r="B417" s="177" t="s">
        <v>1402</v>
      </c>
      <c r="C417" s="46" t="s">
        <v>1074</v>
      </c>
      <c r="D417" s="46" t="s">
        <v>43</v>
      </c>
      <c r="E417" s="46">
        <v>0.08</v>
      </c>
      <c r="F417" s="225">
        <f>E417*F414</f>
        <v>3.6</v>
      </c>
      <c r="G417" s="222"/>
      <c r="H417" s="222">
        <f>G417*F417</f>
        <v>0</v>
      </c>
      <c r="I417" s="194"/>
      <c r="J417" s="107"/>
      <c r="K417" s="76"/>
      <c r="M417" s="141"/>
    </row>
    <row r="418" spans="1:13" s="202" customFormat="1" ht="31.5" customHeight="1">
      <c r="A418" s="48"/>
      <c r="B418" s="177" t="s">
        <v>1402</v>
      </c>
      <c r="C418" s="46" t="s">
        <v>60</v>
      </c>
      <c r="D418" s="46" t="s">
        <v>53</v>
      </c>
      <c r="E418" s="46">
        <v>0.65</v>
      </c>
      <c r="F418" s="225">
        <f>E418*F414</f>
        <v>29.25</v>
      </c>
      <c r="G418" s="47"/>
      <c r="H418" s="222">
        <f>G418*F418</f>
        <v>0</v>
      </c>
      <c r="I418" s="194"/>
      <c r="J418" s="107"/>
      <c r="K418" s="76"/>
      <c r="M418" s="141"/>
    </row>
    <row r="419" spans="1:13" s="202" customFormat="1" ht="66" customHeight="1">
      <c r="A419" s="577" t="s">
        <v>52</v>
      </c>
      <c r="B419" s="578" t="s">
        <v>383</v>
      </c>
      <c r="C419" s="579" t="s">
        <v>1170</v>
      </c>
      <c r="D419" s="580" t="s">
        <v>22</v>
      </c>
      <c r="E419" s="580"/>
      <c r="F419" s="405">
        <v>40.4</v>
      </c>
      <c r="G419" s="256"/>
      <c r="H419" s="380">
        <f>SUM(H420:H423)</f>
        <v>0</v>
      </c>
      <c r="I419" s="194"/>
      <c r="J419" s="107"/>
      <c r="K419" s="76"/>
      <c r="M419" s="141"/>
    </row>
    <row r="420" spans="1:13" s="202" customFormat="1" ht="27.75" customHeight="1">
      <c r="A420" s="581"/>
      <c r="B420" s="582" t="s">
        <v>4</v>
      </c>
      <c r="C420" s="207" t="s">
        <v>136</v>
      </c>
      <c r="D420" s="207" t="s">
        <v>5</v>
      </c>
      <c r="E420" s="207">
        <v>1.83</v>
      </c>
      <c r="F420" s="47">
        <f>E420*F419</f>
        <v>73.932</v>
      </c>
      <c r="G420" s="183"/>
      <c r="H420" s="222">
        <f>G420*F420</f>
        <v>0</v>
      </c>
      <c r="I420" s="194"/>
      <c r="J420" s="107"/>
      <c r="K420" s="76"/>
      <c r="M420" s="141"/>
    </row>
    <row r="421" spans="1:13" s="202" customFormat="1" ht="30" customHeight="1">
      <c r="A421" s="581"/>
      <c r="B421" s="582" t="s">
        <v>4</v>
      </c>
      <c r="C421" s="207" t="s">
        <v>137</v>
      </c>
      <c r="D421" s="207" t="s">
        <v>16</v>
      </c>
      <c r="E421" s="207">
        <v>0.036</v>
      </c>
      <c r="F421" s="47">
        <f>E421*F419</f>
        <v>1.4544</v>
      </c>
      <c r="G421" s="47"/>
      <c r="H421" s="47">
        <f>G421*F421</f>
        <v>0</v>
      </c>
      <c r="I421" s="194"/>
      <c r="J421" s="107"/>
      <c r="K421" s="76"/>
      <c r="M421" s="141"/>
    </row>
    <row r="422" spans="1:13" s="202" customFormat="1" ht="35.25" customHeight="1">
      <c r="A422" s="583"/>
      <c r="B422" s="245" t="s">
        <v>1385</v>
      </c>
      <c r="C422" s="208" t="s">
        <v>1171</v>
      </c>
      <c r="D422" s="208" t="s">
        <v>47</v>
      </c>
      <c r="E422" s="286">
        <v>1</v>
      </c>
      <c r="F422" s="222">
        <f>E422*F419</f>
        <v>40.4</v>
      </c>
      <c r="G422" s="286"/>
      <c r="H422" s="222">
        <f>G422*F422</f>
        <v>0</v>
      </c>
      <c r="I422" s="194"/>
      <c r="J422" s="107"/>
      <c r="K422" s="76"/>
      <c r="M422" s="141"/>
    </row>
    <row r="423" spans="1:13" s="202" customFormat="1" ht="27.75" customHeight="1">
      <c r="A423" s="581"/>
      <c r="B423" s="584" t="s">
        <v>4</v>
      </c>
      <c r="C423" s="207" t="s">
        <v>38</v>
      </c>
      <c r="D423" s="207" t="s">
        <v>16</v>
      </c>
      <c r="E423" s="207">
        <v>0.432</v>
      </c>
      <c r="F423" s="47">
        <f>E423*F419</f>
        <v>17.4528</v>
      </c>
      <c r="G423" s="47"/>
      <c r="H423" s="47">
        <f>G423*F423</f>
        <v>0</v>
      </c>
      <c r="I423" s="194"/>
      <c r="J423" s="107"/>
      <c r="K423" s="76"/>
      <c r="M423" s="141"/>
    </row>
    <row r="424" spans="1:13" s="202" customFormat="1" ht="67.5" customHeight="1">
      <c r="A424" s="376" t="s">
        <v>83</v>
      </c>
      <c r="B424" s="585" t="s">
        <v>1168</v>
      </c>
      <c r="C424" s="375" t="s">
        <v>1167</v>
      </c>
      <c r="D424" s="374" t="s">
        <v>22</v>
      </c>
      <c r="E424" s="374"/>
      <c r="F424" s="192">
        <v>44</v>
      </c>
      <c r="G424" s="137"/>
      <c r="H424" s="228">
        <f>H425+H426+H427</f>
        <v>0</v>
      </c>
      <c r="I424" s="194"/>
      <c r="J424" s="107"/>
      <c r="K424" s="76"/>
      <c r="M424" s="141"/>
    </row>
    <row r="425" spans="1:13" s="202" customFormat="1" ht="27.75" customHeight="1">
      <c r="A425" s="497"/>
      <c r="B425" s="223" t="s">
        <v>4</v>
      </c>
      <c r="C425" s="496" t="s">
        <v>148</v>
      </c>
      <c r="D425" s="373" t="s">
        <v>5</v>
      </c>
      <c r="E425" s="373">
        <v>0.3789</v>
      </c>
      <c r="F425" s="295">
        <f>E425*F424</f>
        <v>16.6716</v>
      </c>
      <c r="G425" s="377"/>
      <c r="H425" s="377">
        <f>G425*F425</f>
        <v>0</v>
      </c>
      <c r="I425" s="194"/>
      <c r="J425" s="107"/>
      <c r="K425" s="76"/>
      <c r="M425" s="141"/>
    </row>
    <row r="426" spans="1:13" s="202" customFormat="1" ht="27.75" customHeight="1">
      <c r="A426" s="497"/>
      <c r="B426" s="223" t="s">
        <v>4</v>
      </c>
      <c r="C426" s="496" t="s">
        <v>153</v>
      </c>
      <c r="D426" s="373" t="s">
        <v>16</v>
      </c>
      <c r="E426" s="586">
        <v>0.028</v>
      </c>
      <c r="F426" s="587">
        <f>E426*F424</f>
        <v>1.232</v>
      </c>
      <c r="G426" s="47"/>
      <c r="H426" s="588">
        <f>G426*F426</f>
        <v>0</v>
      </c>
      <c r="I426" s="194"/>
      <c r="J426" s="107"/>
      <c r="K426" s="76"/>
      <c r="M426" s="141"/>
    </row>
    <row r="427" spans="1:13" s="202" customFormat="1" ht="33.75" customHeight="1">
      <c r="A427" s="497"/>
      <c r="B427" s="224" t="s">
        <v>1384</v>
      </c>
      <c r="C427" s="496" t="s">
        <v>1169</v>
      </c>
      <c r="D427" s="373" t="s">
        <v>22</v>
      </c>
      <c r="E427" s="373">
        <v>1.02</v>
      </c>
      <c r="F427" s="295">
        <f>E427*F424</f>
        <v>44.88</v>
      </c>
      <c r="G427" s="377"/>
      <c r="H427" s="377">
        <f>G427*F427</f>
        <v>0</v>
      </c>
      <c r="I427" s="194"/>
      <c r="J427" s="107"/>
      <c r="K427" s="76"/>
      <c r="M427" s="141"/>
    </row>
    <row r="428" spans="1:13" s="202" customFormat="1" ht="52.5" customHeight="1">
      <c r="A428" s="376" t="s">
        <v>70</v>
      </c>
      <c r="B428" s="589" t="s">
        <v>1118</v>
      </c>
      <c r="C428" s="55" t="s">
        <v>1172</v>
      </c>
      <c r="D428" s="374" t="s">
        <v>42</v>
      </c>
      <c r="E428" s="374"/>
      <c r="F428" s="191">
        <v>0.075</v>
      </c>
      <c r="G428" s="137"/>
      <c r="H428" s="190">
        <f>SUM(H429:H438)</f>
        <v>0</v>
      </c>
      <c r="I428" s="194"/>
      <c r="J428" s="107"/>
      <c r="K428" s="76"/>
      <c r="M428" s="141"/>
    </row>
    <row r="429" spans="1:13" s="202" customFormat="1" ht="25.5" customHeight="1">
      <c r="A429" s="497"/>
      <c r="B429" s="223" t="s">
        <v>4</v>
      </c>
      <c r="C429" s="46" t="s">
        <v>148</v>
      </c>
      <c r="D429" s="373" t="s">
        <v>5</v>
      </c>
      <c r="E429" s="590">
        <v>30.1</v>
      </c>
      <c r="F429" s="377">
        <f>E429*F428</f>
        <v>2.2575</v>
      </c>
      <c r="G429" s="377"/>
      <c r="H429" s="124">
        <f aca="true" t="shared" si="14" ref="H429:H438">G429*F429</f>
        <v>0</v>
      </c>
      <c r="I429" s="194"/>
      <c r="J429" s="107"/>
      <c r="K429" s="76"/>
      <c r="M429" s="141"/>
    </row>
    <row r="430" spans="1:13" s="202" customFormat="1" ht="27.75" customHeight="1">
      <c r="A430" s="497"/>
      <c r="B430" s="46" t="s">
        <v>1115</v>
      </c>
      <c r="C430" s="46" t="s">
        <v>1116</v>
      </c>
      <c r="D430" s="373" t="s">
        <v>23</v>
      </c>
      <c r="E430" s="373">
        <v>2.79</v>
      </c>
      <c r="F430" s="377">
        <f>F428*E430</f>
        <v>0.20925</v>
      </c>
      <c r="G430" s="377"/>
      <c r="H430" s="124">
        <f t="shared" si="14"/>
        <v>0</v>
      </c>
      <c r="I430" s="194"/>
      <c r="J430" s="107"/>
      <c r="K430" s="76"/>
      <c r="M430" s="141"/>
    </row>
    <row r="431" spans="1:13" s="202" customFormat="1" ht="27" customHeight="1">
      <c r="A431" s="497"/>
      <c r="B431" s="224" t="s">
        <v>4</v>
      </c>
      <c r="C431" s="46" t="s">
        <v>153</v>
      </c>
      <c r="D431" s="373" t="s">
        <v>16</v>
      </c>
      <c r="E431" s="317">
        <v>6</v>
      </c>
      <c r="F431" s="377">
        <f>E431*F428</f>
        <v>0.44999999999999996</v>
      </c>
      <c r="G431" s="47"/>
      <c r="H431" s="124">
        <f t="shared" si="14"/>
        <v>0</v>
      </c>
      <c r="I431" s="194"/>
      <c r="J431" s="107"/>
      <c r="K431" s="76"/>
      <c r="M431" s="141"/>
    </row>
    <row r="432" spans="1:13" s="202" customFormat="1" ht="33.75" customHeight="1">
      <c r="A432" s="497"/>
      <c r="B432" s="496" t="s">
        <v>1411</v>
      </c>
      <c r="C432" s="46" t="s">
        <v>1120</v>
      </c>
      <c r="D432" s="373" t="s">
        <v>42</v>
      </c>
      <c r="E432" s="373"/>
      <c r="F432" s="296">
        <v>0.065</v>
      </c>
      <c r="G432" s="377"/>
      <c r="H432" s="124">
        <f t="shared" si="14"/>
        <v>0</v>
      </c>
      <c r="I432" s="194"/>
      <c r="J432" s="107"/>
      <c r="K432" s="76"/>
      <c r="M432" s="141"/>
    </row>
    <row r="433" spans="1:13" s="202" customFormat="1" ht="32.25" customHeight="1">
      <c r="A433" s="497"/>
      <c r="B433" s="496" t="s">
        <v>1412</v>
      </c>
      <c r="C433" s="46" t="s">
        <v>1121</v>
      </c>
      <c r="D433" s="373" t="s">
        <v>43</v>
      </c>
      <c r="E433" s="373"/>
      <c r="F433" s="377">
        <v>0.32</v>
      </c>
      <c r="G433" s="377"/>
      <c r="H433" s="124">
        <f t="shared" si="14"/>
        <v>0</v>
      </c>
      <c r="I433" s="194"/>
      <c r="J433" s="107"/>
      <c r="K433" s="76"/>
      <c r="M433" s="141"/>
    </row>
    <row r="434" spans="1:13" s="202" customFormat="1" ht="27" customHeight="1">
      <c r="A434" s="497"/>
      <c r="B434" s="496" t="s">
        <v>1413</v>
      </c>
      <c r="C434" s="46" t="s">
        <v>1119</v>
      </c>
      <c r="D434" s="373" t="s">
        <v>15</v>
      </c>
      <c r="E434" s="373"/>
      <c r="F434" s="377">
        <v>2</v>
      </c>
      <c r="G434" s="377"/>
      <c r="H434" s="124">
        <f t="shared" si="14"/>
        <v>0</v>
      </c>
      <c r="I434" s="194"/>
      <c r="J434" s="107"/>
      <c r="K434" s="76"/>
      <c r="M434" s="141"/>
    </row>
    <row r="435" spans="1:13" s="202" customFormat="1" ht="27.75" customHeight="1">
      <c r="A435" s="497"/>
      <c r="B435" s="496" t="s">
        <v>360</v>
      </c>
      <c r="C435" s="46" t="s">
        <v>1117</v>
      </c>
      <c r="D435" s="373" t="s">
        <v>53</v>
      </c>
      <c r="E435" s="590">
        <v>1.2</v>
      </c>
      <c r="F435" s="377">
        <f>E435*F428</f>
        <v>0.09</v>
      </c>
      <c r="G435" s="377"/>
      <c r="H435" s="124">
        <f>F435*G435</f>
        <v>0</v>
      </c>
      <c r="I435" s="194"/>
      <c r="J435" s="107"/>
      <c r="K435" s="76"/>
      <c r="M435" s="141"/>
    </row>
    <row r="436" spans="1:13" s="202" customFormat="1" ht="30" customHeight="1">
      <c r="A436" s="497"/>
      <c r="B436" s="48" t="s">
        <v>425</v>
      </c>
      <c r="C436" s="46" t="s">
        <v>97</v>
      </c>
      <c r="D436" s="373" t="s">
        <v>53</v>
      </c>
      <c r="E436" s="373">
        <v>2.03</v>
      </c>
      <c r="F436" s="377">
        <f>E436*F428</f>
        <v>0.15224999999999997</v>
      </c>
      <c r="G436" s="377"/>
      <c r="H436" s="124">
        <f t="shared" si="14"/>
        <v>0</v>
      </c>
      <c r="I436" s="194"/>
      <c r="J436" s="107"/>
      <c r="K436" s="76"/>
      <c r="M436" s="141"/>
    </row>
    <row r="437" spans="1:13" s="202" customFormat="1" ht="27.75" customHeight="1">
      <c r="A437" s="224"/>
      <c r="B437" s="497" t="s">
        <v>564</v>
      </c>
      <c r="C437" s="49" t="s">
        <v>499</v>
      </c>
      <c r="D437" s="373" t="s">
        <v>53</v>
      </c>
      <c r="E437" s="377">
        <v>11.4</v>
      </c>
      <c r="F437" s="377">
        <f>F428*E437</f>
        <v>0.855</v>
      </c>
      <c r="G437" s="377"/>
      <c r="H437" s="124">
        <f>G437*F437</f>
        <v>0</v>
      </c>
      <c r="I437" s="194"/>
      <c r="J437" s="107"/>
      <c r="K437" s="76"/>
      <c r="M437" s="141"/>
    </row>
    <row r="438" spans="1:13" s="202" customFormat="1" ht="29.25" customHeight="1">
      <c r="A438" s="177"/>
      <c r="B438" s="227" t="s">
        <v>4</v>
      </c>
      <c r="C438" s="49" t="s">
        <v>868</v>
      </c>
      <c r="D438" s="373" t="s">
        <v>16</v>
      </c>
      <c r="E438" s="373">
        <v>2.78</v>
      </c>
      <c r="F438" s="377">
        <f>E438*F428</f>
        <v>0.2085</v>
      </c>
      <c r="G438" s="47"/>
      <c r="H438" s="124">
        <f t="shared" si="14"/>
        <v>0</v>
      </c>
      <c r="I438" s="194"/>
      <c r="J438" s="107"/>
      <c r="K438" s="76"/>
      <c r="M438" s="141"/>
    </row>
    <row r="439" spans="1:13" s="202" customFormat="1" ht="54.75" customHeight="1">
      <c r="A439" s="376" t="s">
        <v>865</v>
      </c>
      <c r="B439" s="378" t="s">
        <v>500</v>
      </c>
      <c r="C439" s="375" t="s">
        <v>1122</v>
      </c>
      <c r="D439" s="375" t="s">
        <v>43</v>
      </c>
      <c r="E439" s="375"/>
      <c r="F439" s="379">
        <v>38</v>
      </c>
      <c r="G439" s="70"/>
      <c r="H439" s="380">
        <f>SUM(H440:H443)</f>
        <v>0</v>
      </c>
      <c r="I439" s="194"/>
      <c r="J439" s="107"/>
      <c r="K439" s="76"/>
      <c r="M439" s="141"/>
    </row>
    <row r="440" spans="1:13" s="202" customFormat="1" ht="28.5" customHeight="1">
      <c r="A440" s="497"/>
      <c r="B440" s="245" t="s">
        <v>4</v>
      </c>
      <c r="C440" s="496" t="s">
        <v>136</v>
      </c>
      <c r="D440" s="496" t="s">
        <v>5</v>
      </c>
      <c r="E440" s="496">
        <v>0.031</v>
      </c>
      <c r="F440" s="222">
        <f>E440*F439</f>
        <v>1.178</v>
      </c>
      <c r="G440" s="286"/>
      <c r="H440" s="222">
        <f>G440*F440</f>
        <v>0</v>
      </c>
      <c r="I440" s="194"/>
      <c r="J440" s="107"/>
      <c r="K440" s="76"/>
      <c r="M440" s="141"/>
    </row>
    <row r="441" spans="1:13" s="202" customFormat="1" ht="28.5" customHeight="1">
      <c r="A441" s="497"/>
      <c r="B441" s="245" t="s">
        <v>4</v>
      </c>
      <c r="C441" s="496" t="s">
        <v>137</v>
      </c>
      <c r="D441" s="496" t="s">
        <v>16</v>
      </c>
      <c r="E441" s="496">
        <v>0.002</v>
      </c>
      <c r="F441" s="222">
        <f>E441*F439</f>
        <v>0.076</v>
      </c>
      <c r="G441" s="47"/>
      <c r="H441" s="47">
        <f>G441*F441</f>
        <v>0</v>
      </c>
      <c r="I441" s="194"/>
      <c r="J441" s="107"/>
      <c r="K441" s="76"/>
      <c r="M441" s="141"/>
    </row>
    <row r="442" spans="1:13" s="202" customFormat="1" ht="29.25" customHeight="1">
      <c r="A442" s="497"/>
      <c r="B442" s="245" t="s">
        <v>777</v>
      </c>
      <c r="C442" s="496" t="s">
        <v>229</v>
      </c>
      <c r="D442" s="496" t="s">
        <v>53</v>
      </c>
      <c r="E442" s="496">
        <v>0.101</v>
      </c>
      <c r="F442" s="222">
        <f>E442*F439</f>
        <v>3.838</v>
      </c>
      <c r="G442" s="183"/>
      <c r="H442" s="47">
        <f>G442*F442</f>
        <v>0</v>
      </c>
      <c r="I442" s="194"/>
      <c r="J442" s="107"/>
      <c r="K442" s="76"/>
      <c r="M442" s="141"/>
    </row>
    <row r="443" spans="1:13" s="202" customFormat="1" ht="27" customHeight="1">
      <c r="A443" s="497"/>
      <c r="B443" s="245" t="s">
        <v>617</v>
      </c>
      <c r="C443" s="496" t="s">
        <v>1381</v>
      </c>
      <c r="D443" s="496" t="s">
        <v>16</v>
      </c>
      <c r="E443" s="496">
        <v>0.0019</v>
      </c>
      <c r="F443" s="222">
        <f>E443*F439</f>
        <v>0.0722</v>
      </c>
      <c r="G443" s="183"/>
      <c r="H443" s="47">
        <f>G443*F443</f>
        <v>0</v>
      </c>
      <c r="I443" s="194"/>
      <c r="J443" s="107"/>
      <c r="K443" s="76"/>
      <c r="M443" s="141"/>
    </row>
    <row r="444" spans="1:13" s="202" customFormat="1" ht="59.25" customHeight="1">
      <c r="A444" s="376" t="s">
        <v>784</v>
      </c>
      <c r="B444" s="378" t="s">
        <v>231</v>
      </c>
      <c r="C444" s="375" t="s">
        <v>1123</v>
      </c>
      <c r="D444" s="375" t="s">
        <v>43</v>
      </c>
      <c r="E444" s="375"/>
      <c r="F444" s="379">
        <f>F439</f>
        <v>38</v>
      </c>
      <c r="G444" s="70"/>
      <c r="H444" s="380">
        <f>SUM(H445:H449)</f>
        <v>0</v>
      </c>
      <c r="I444" s="194"/>
      <c r="J444" s="107"/>
      <c r="K444" s="76"/>
      <c r="M444" s="141"/>
    </row>
    <row r="445" spans="1:13" s="202" customFormat="1" ht="28.5" customHeight="1">
      <c r="A445" s="497"/>
      <c r="B445" s="245" t="s">
        <v>4</v>
      </c>
      <c r="C445" s="208" t="s">
        <v>148</v>
      </c>
      <c r="D445" s="208" t="s">
        <v>5</v>
      </c>
      <c r="E445" s="208">
        <v>0.68</v>
      </c>
      <c r="F445" s="225">
        <f>E445*F444</f>
        <v>25.840000000000003</v>
      </c>
      <c r="G445" s="183"/>
      <c r="H445" s="222">
        <f>G445*F445</f>
        <v>0</v>
      </c>
      <c r="I445" s="194"/>
      <c r="J445" s="107"/>
      <c r="K445" s="76"/>
      <c r="M445" s="141"/>
    </row>
    <row r="446" spans="1:13" s="202" customFormat="1" ht="28.5" customHeight="1">
      <c r="A446" s="497"/>
      <c r="B446" s="245" t="s">
        <v>4</v>
      </c>
      <c r="C446" s="208" t="s">
        <v>137</v>
      </c>
      <c r="D446" s="208" t="s">
        <v>16</v>
      </c>
      <c r="E446" s="208">
        <v>0.0003</v>
      </c>
      <c r="F446" s="225">
        <f>E446*F444</f>
        <v>0.011399999999999999</v>
      </c>
      <c r="G446" s="47"/>
      <c r="H446" s="222">
        <f>G446*F446</f>
        <v>0</v>
      </c>
      <c r="I446" s="194"/>
      <c r="J446" s="107"/>
      <c r="K446" s="76"/>
      <c r="M446" s="141"/>
    </row>
    <row r="447" spans="1:13" s="202" customFormat="1" ht="28.5" customHeight="1">
      <c r="A447" s="497"/>
      <c r="B447" s="251" t="s">
        <v>1357</v>
      </c>
      <c r="C447" s="208" t="s">
        <v>326</v>
      </c>
      <c r="D447" s="208" t="s">
        <v>53</v>
      </c>
      <c r="E447" s="208">
        <v>0.246</v>
      </c>
      <c r="F447" s="225">
        <f>E447*F444</f>
        <v>9.347999999999999</v>
      </c>
      <c r="G447" s="183"/>
      <c r="H447" s="222">
        <f>G447*F447</f>
        <v>0</v>
      </c>
      <c r="I447" s="194"/>
      <c r="J447" s="107"/>
      <c r="K447" s="76"/>
      <c r="M447" s="141"/>
    </row>
    <row r="448" spans="1:13" s="202" customFormat="1" ht="27" customHeight="1">
      <c r="A448" s="497"/>
      <c r="B448" s="572" t="s">
        <v>1353</v>
      </c>
      <c r="C448" s="208" t="s">
        <v>232</v>
      </c>
      <c r="D448" s="208" t="s">
        <v>53</v>
      </c>
      <c r="E448" s="208">
        <v>0.027</v>
      </c>
      <c r="F448" s="225">
        <f>E448*F444</f>
        <v>1.026</v>
      </c>
      <c r="G448" s="183"/>
      <c r="H448" s="222">
        <f>G448*F448</f>
        <v>0</v>
      </c>
      <c r="I448" s="194"/>
      <c r="J448" s="107"/>
      <c r="K448" s="76"/>
      <c r="M448" s="141"/>
    </row>
    <row r="449" spans="1:13" s="202" customFormat="1" ht="29.25" customHeight="1">
      <c r="A449" s="497"/>
      <c r="B449" s="245" t="s">
        <v>4</v>
      </c>
      <c r="C449" s="208" t="s">
        <v>18</v>
      </c>
      <c r="D449" s="208" t="s">
        <v>16</v>
      </c>
      <c r="E449" s="208">
        <v>0.0019</v>
      </c>
      <c r="F449" s="225">
        <f>E449*F444</f>
        <v>0.0722</v>
      </c>
      <c r="G449" s="47"/>
      <c r="H449" s="222">
        <f>G449*F449</f>
        <v>0</v>
      </c>
      <c r="I449" s="194"/>
      <c r="J449" s="107"/>
      <c r="K449" s="76"/>
      <c r="M449" s="141"/>
    </row>
    <row r="450" spans="1:13" s="202" customFormat="1" ht="61.5" customHeight="1">
      <c r="A450" s="376" t="s">
        <v>284</v>
      </c>
      <c r="B450" s="79" t="s">
        <v>381</v>
      </c>
      <c r="C450" s="375" t="s">
        <v>429</v>
      </c>
      <c r="D450" s="375" t="s">
        <v>22</v>
      </c>
      <c r="E450" s="375"/>
      <c r="F450" s="226">
        <v>50.4</v>
      </c>
      <c r="G450" s="226"/>
      <c r="H450" s="228">
        <f>H451+H452+H453+H454</f>
        <v>0</v>
      </c>
      <c r="I450" s="194"/>
      <c r="J450" s="107"/>
      <c r="K450" s="76"/>
      <c r="M450" s="141"/>
    </row>
    <row r="451" spans="1:13" s="202" customFormat="1" ht="28.5" customHeight="1">
      <c r="A451" s="497"/>
      <c r="B451" s="224" t="s">
        <v>4</v>
      </c>
      <c r="C451" s="46" t="s">
        <v>148</v>
      </c>
      <c r="D451" s="496" t="s">
        <v>5</v>
      </c>
      <c r="E451" s="372">
        <v>0.206</v>
      </c>
      <c r="F451" s="222">
        <f>E451*F450</f>
        <v>10.382399999999999</v>
      </c>
      <c r="G451" s="222"/>
      <c r="H451" s="377">
        <f>G451*F451</f>
        <v>0</v>
      </c>
      <c r="I451" s="194"/>
      <c r="J451" s="107"/>
      <c r="K451" s="76"/>
      <c r="M451" s="141"/>
    </row>
    <row r="452" spans="1:13" s="202" customFormat="1" ht="28.5" customHeight="1">
      <c r="A452" s="497"/>
      <c r="B452" s="224" t="s">
        <v>4</v>
      </c>
      <c r="C452" s="496" t="s">
        <v>137</v>
      </c>
      <c r="D452" s="496" t="s">
        <v>16</v>
      </c>
      <c r="E452" s="496">
        <v>0.0002</v>
      </c>
      <c r="F452" s="372">
        <f>E452*F450</f>
        <v>0.01008</v>
      </c>
      <c r="G452" s="47"/>
      <c r="H452" s="47">
        <f>G452*F452</f>
        <v>0</v>
      </c>
      <c r="I452" s="194"/>
      <c r="J452" s="107"/>
      <c r="K452" s="76"/>
      <c r="M452" s="141"/>
    </row>
    <row r="453" spans="1:13" s="202" customFormat="1" ht="29.25" customHeight="1">
      <c r="A453" s="497"/>
      <c r="B453" s="224" t="s">
        <v>2</v>
      </c>
      <c r="C453" s="496" t="s">
        <v>430</v>
      </c>
      <c r="D453" s="496" t="s">
        <v>16</v>
      </c>
      <c r="E453" s="372">
        <v>1.05</v>
      </c>
      <c r="F453" s="222">
        <f>E453*F450</f>
        <v>52.92</v>
      </c>
      <c r="G453" s="222"/>
      <c r="H453" s="377">
        <f>G453*F453</f>
        <v>0</v>
      </c>
      <c r="I453" s="194"/>
      <c r="J453" s="107"/>
      <c r="K453" s="76"/>
      <c r="M453" s="141"/>
    </row>
    <row r="454" spans="1:13" s="202" customFormat="1" ht="25.5" customHeight="1">
      <c r="A454" s="497"/>
      <c r="B454" s="227" t="s">
        <v>1328</v>
      </c>
      <c r="C454" s="496" t="s">
        <v>235</v>
      </c>
      <c r="D454" s="496" t="s">
        <v>15</v>
      </c>
      <c r="E454" s="372">
        <v>0.1</v>
      </c>
      <c r="F454" s="222">
        <f>E454*F450</f>
        <v>5.04</v>
      </c>
      <c r="G454" s="222"/>
      <c r="H454" s="222">
        <f>G454*F454</f>
        <v>0</v>
      </c>
      <c r="I454" s="194"/>
      <c r="J454" s="107"/>
      <c r="K454" s="76"/>
      <c r="M454" s="141"/>
    </row>
    <row r="455" spans="1:13" s="202" customFormat="1" ht="39.75" customHeight="1">
      <c r="A455" s="81" t="s">
        <v>944</v>
      </c>
      <c r="B455" s="378" t="s">
        <v>2</v>
      </c>
      <c r="C455" s="55" t="s">
        <v>379</v>
      </c>
      <c r="D455" s="55" t="s">
        <v>380</v>
      </c>
      <c r="E455" s="55"/>
      <c r="F455" s="547">
        <v>1</v>
      </c>
      <c r="G455" s="70"/>
      <c r="H455" s="380">
        <f>H456+H457</f>
        <v>0</v>
      </c>
      <c r="I455" s="194"/>
      <c r="J455" s="107"/>
      <c r="K455" s="76"/>
      <c r="M455" s="141"/>
    </row>
    <row r="456" spans="1:13" s="202" customFormat="1" ht="28.5" customHeight="1">
      <c r="A456" s="82"/>
      <c r="B456" s="223" t="s">
        <v>2</v>
      </c>
      <c r="C456" s="496" t="s">
        <v>136</v>
      </c>
      <c r="D456" s="46" t="str">
        <f>D455</f>
        <v>moedani</v>
      </c>
      <c r="E456" s="47">
        <v>1</v>
      </c>
      <c r="F456" s="222">
        <f>E456*F455</f>
        <v>1</v>
      </c>
      <c r="G456" s="47"/>
      <c r="H456" s="222">
        <f>F456*G456</f>
        <v>0</v>
      </c>
      <c r="I456" s="194"/>
      <c r="J456" s="107"/>
      <c r="K456" s="76"/>
      <c r="M456" s="141"/>
    </row>
    <row r="457" spans="1:13" s="202" customFormat="1" ht="27.75" customHeight="1">
      <c r="A457" s="82"/>
      <c r="B457" s="223" t="s">
        <v>2</v>
      </c>
      <c r="C457" s="496" t="s">
        <v>256</v>
      </c>
      <c r="D457" s="46" t="str">
        <f>D456</f>
        <v>moedani</v>
      </c>
      <c r="E457" s="47">
        <v>1</v>
      </c>
      <c r="F457" s="222">
        <f>F455*E457</f>
        <v>1</v>
      </c>
      <c r="G457" s="47"/>
      <c r="H457" s="222">
        <f>F457*G457</f>
        <v>0</v>
      </c>
      <c r="I457" s="194"/>
      <c r="J457" s="107"/>
      <c r="K457" s="76"/>
      <c r="M457" s="141"/>
    </row>
    <row r="458" spans="1:13" s="202" customFormat="1" ht="50.25" customHeight="1">
      <c r="A458" s="376"/>
      <c r="B458" s="378"/>
      <c r="C458" s="619" t="s">
        <v>1637</v>
      </c>
      <c r="D458" s="375" t="s">
        <v>16</v>
      </c>
      <c r="E458" s="547"/>
      <c r="F458" s="226"/>
      <c r="G458" s="226"/>
      <c r="H458" s="380">
        <f>H299+H306+H310+H316+H321+H327+H333+H338+H345+H354+H359+H364+H369+H374+H379+H386+H392+H397+H403+H419+H439+H444+H428+H450+H455+H424+H414+H408</f>
        <v>0</v>
      </c>
      <c r="I458" s="194"/>
      <c r="J458" s="107"/>
      <c r="K458" s="76"/>
      <c r="M458" s="141"/>
    </row>
    <row r="459" spans="1:13" s="202" customFormat="1" ht="30.75" customHeight="1">
      <c r="A459" s="269"/>
      <c r="C459" s="278" t="s">
        <v>395</v>
      </c>
      <c r="D459" s="279"/>
      <c r="E459" s="272"/>
      <c r="F459" s="280"/>
      <c r="G459" s="291"/>
      <c r="H459" s="270"/>
      <c r="I459" s="194"/>
      <c r="J459" s="107"/>
      <c r="K459" s="76"/>
      <c r="M459" s="141"/>
    </row>
    <row r="460" spans="1:13" s="202" customFormat="1" ht="54.75" customHeight="1">
      <c r="A460" s="376" t="s">
        <v>13</v>
      </c>
      <c r="B460" s="375" t="s">
        <v>869</v>
      </c>
      <c r="C460" s="55" t="s">
        <v>873</v>
      </c>
      <c r="D460" s="374" t="s">
        <v>43</v>
      </c>
      <c r="E460" s="374"/>
      <c r="F460" s="137">
        <v>188.5</v>
      </c>
      <c r="G460" s="137"/>
      <c r="H460" s="190">
        <f>SUM(H461:H464)</f>
        <v>0</v>
      </c>
      <c r="I460" s="194"/>
      <c r="J460" s="107"/>
      <c r="K460" s="76"/>
      <c r="M460" s="141"/>
    </row>
    <row r="461" spans="1:13" s="202" customFormat="1" ht="29.25" customHeight="1">
      <c r="A461" s="497"/>
      <c r="B461" s="223" t="s">
        <v>4</v>
      </c>
      <c r="C461" s="46" t="s">
        <v>871</v>
      </c>
      <c r="D461" s="373" t="s">
        <v>5</v>
      </c>
      <c r="E461" s="373">
        <f>2.61*0.4</f>
        <v>1.044</v>
      </c>
      <c r="F461" s="377">
        <f>E461*F460</f>
        <v>196.794</v>
      </c>
      <c r="G461" s="377"/>
      <c r="H461" s="124">
        <f>G461*F461</f>
        <v>0</v>
      </c>
      <c r="I461" s="194"/>
      <c r="J461" s="107"/>
      <c r="K461" s="76"/>
      <c r="M461" s="141"/>
    </row>
    <row r="462" spans="1:13" s="202" customFormat="1" ht="29.25" customHeight="1">
      <c r="A462" s="497"/>
      <c r="B462" s="224" t="s">
        <v>4</v>
      </c>
      <c r="C462" s="46" t="s">
        <v>153</v>
      </c>
      <c r="D462" s="373" t="s">
        <v>16</v>
      </c>
      <c r="E462" s="373">
        <v>0.035</v>
      </c>
      <c r="F462" s="377">
        <f>E462*F460</f>
        <v>6.597500000000001</v>
      </c>
      <c r="G462" s="47"/>
      <c r="H462" s="124">
        <f>G462*F462</f>
        <v>0</v>
      </c>
      <c r="I462" s="194"/>
      <c r="J462" s="107"/>
      <c r="K462" s="76"/>
      <c r="M462" s="141"/>
    </row>
    <row r="463" spans="1:13" s="202" customFormat="1" ht="39.75" customHeight="1">
      <c r="A463" s="497"/>
      <c r="B463" s="223" t="s">
        <v>2</v>
      </c>
      <c r="C463" s="496" t="s">
        <v>386</v>
      </c>
      <c r="D463" s="496" t="s">
        <v>43</v>
      </c>
      <c r="E463" s="222">
        <v>1</v>
      </c>
      <c r="F463" s="372">
        <f>E463*F460</f>
        <v>188.5</v>
      </c>
      <c r="G463" s="222"/>
      <c r="H463" s="222">
        <f>G463*F463</f>
        <v>0</v>
      </c>
      <c r="I463" s="194"/>
      <c r="J463" s="107"/>
      <c r="K463" s="76"/>
      <c r="M463" s="141"/>
    </row>
    <row r="464" spans="1:13" s="202" customFormat="1" ht="30.75" customHeight="1">
      <c r="A464" s="497"/>
      <c r="B464" s="224" t="s">
        <v>4</v>
      </c>
      <c r="C464" s="46" t="s">
        <v>868</v>
      </c>
      <c r="D464" s="373" t="s">
        <v>16</v>
      </c>
      <c r="E464" s="373">
        <v>0.038</v>
      </c>
      <c r="F464" s="377">
        <f>E464*F460</f>
        <v>7.163</v>
      </c>
      <c r="G464" s="47"/>
      <c r="H464" s="124">
        <f>G464*F464</f>
        <v>0</v>
      </c>
      <c r="I464" s="194"/>
      <c r="J464" s="107"/>
      <c r="K464" s="76"/>
      <c r="M464" s="141"/>
    </row>
    <row r="465" spans="1:13" s="202" customFormat="1" ht="66" customHeight="1">
      <c r="A465" s="376" t="s">
        <v>37</v>
      </c>
      <c r="B465" s="174" t="s">
        <v>870</v>
      </c>
      <c r="C465" s="55" t="s">
        <v>872</v>
      </c>
      <c r="D465" s="375" t="s">
        <v>43</v>
      </c>
      <c r="E465" s="375"/>
      <c r="F465" s="226">
        <f>F460</f>
        <v>188.5</v>
      </c>
      <c r="G465" s="226"/>
      <c r="H465" s="380">
        <f>SUM(H466:H470)</f>
        <v>0</v>
      </c>
      <c r="I465" s="194"/>
      <c r="J465" s="107"/>
      <c r="K465" s="76"/>
      <c r="M465" s="141"/>
    </row>
    <row r="466" spans="1:13" s="202" customFormat="1" ht="30.75" customHeight="1">
      <c r="A466" s="497"/>
      <c r="B466" s="223" t="s">
        <v>4</v>
      </c>
      <c r="C466" s="496" t="s">
        <v>136</v>
      </c>
      <c r="D466" s="496" t="s">
        <v>5</v>
      </c>
      <c r="E466" s="591">
        <f>98.5/100</f>
        <v>0.985</v>
      </c>
      <c r="F466" s="372">
        <f>E466*F465</f>
        <v>185.67249999999999</v>
      </c>
      <c r="G466" s="222"/>
      <c r="H466" s="377">
        <f>G466*F466</f>
        <v>0</v>
      </c>
      <c r="I466" s="194"/>
      <c r="J466" s="107"/>
      <c r="K466" s="76"/>
      <c r="M466" s="141"/>
    </row>
    <row r="467" spans="1:13" s="202" customFormat="1" ht="27.75" customHeight="1">
      <c r="A467" s="497"/>
      <c r="B467" s="224" t="s">
        <v>4</v>
      </c>
      <c r="C467" s="496" t="s">
        <v>137</v>
      </c>
      <c r="D467" s="496" t="s">
        <v>16</v>
      </c>
      <c r="E467" s="591">
        <f>0.39/100</f>
        <v>0.0039000000000000003</v>
      </c>
      <c r="F467" s="372">
        <f>E467*F465</f>
        <v>0.7351500000000001</v>
      </c>
      <c r="G467" s="47"/>
      <c r="H467" s="222">
        <f>G467*F467</f>
        <v>0</v>
      </c>
      <c r="I467" s="194"/>
      <c r="J467" s="107"/>
      <c r="K467" s="76"/>
      <c r="M467" s="141"/>
    </row>
    <row r="468" spans="1:13" s="202" customFormat="1" ht="30.75" customHeight="1">
      <c r="A468" s="497"/>
      <c r="B468" s="592" t="s">
        <v>387</v>
      </c>
      <c r="C468" s="496" t="s">
        <v>388</v>
      </c>
      <c r="D468" s="496" t="s">
        <v>48</v>
      </c>
      <c r="E468" s="591">
        <v>1.03</v>
      </c>
      <c r="F468" s="372">
        <f>E468*F465</f>
        <v>194.155</v>
      </c>
      <c r="G468" s="222"/>
      <c r="H468" s="222">
        <f>G468*F468</f>
        <v>0</v>
      </c>
      <c r="I468" s="194"/>
      <c r="J468" s="107"/>
      <c r="K468" s="76"/>
      <c r="M468" s="141"/>
    </row>
    <row r="469" spans="1:13" s="202" customFormat="1" ht="25.5" customHeight="1">
      <c r="A469" s="497"/>
      <c r="B469" s="223" t="s">
        <v>393</v>
      </c>
      <c r="C469" s="496" t="s">
        <v>233</v>
      </c>
      <c r="D469" s="496" t="s">
        <v>47</v>
      </c>
      <c r="E469" s="591">
        <v>1.07</v>
      </c>
      <c r="F469" s="372">
        <f>E469*F465</f>
        <v>201.69500000000002</v>
      </c>
      <c r="G469" s="222"/>
      <c r="H469" s="222">
        <f>G469*F469</f>
        <v>0</v>
      </c>
      <c r="I469" s="194"/>
      <c r="J469" s="107"/>
      <c r="K469" s="76"/>
      <c r="M469" s="141"/>
    </row>
    <row r="470" spans="1:13" s="202" customFormat="1" ht="30" customHeight="1">
      <c r="A470" s="497"/>
      <c r="B470" s="224" t="s">
        <v>4</v>
      </c>
      <c r="C470" s="207" t="s">
        <v>38</v>
      </c>
      <c r="D470" s="496" t="s">
        <v>16</v>
      </c>
      <c r="E470" s="591">
        <f>1.6/100</f>
        <v>0.016</v>
      </c>
      <c r="F470" s="372">
        <f>E470*F465</f>
        <v>3.016</v>
      </c>
      <c r="G470" s="47"/>
      <c r="H470" s="222">
        <f>G470*F470</f>
        <v>0</v>
      </c>
      <c r="I470" s="194"/>
      <c r="J470" s="107"/>
      <c r="K470" s="76"/>
      <c r="M470" s="141"/>
    </row>
    <row r="471" spans="1:13" s="202" customFormat="1" ht="57" customHeight="1">
      <c r="A471" s="376" t="s">
        <v>63</v>
      </c>
      <c r="B471" s="375" t="s">
        <v>869</v>
      </c>
      <c r="C471" s="55" t="s">
        <v>874</v>
      </c>
      <c r="D471" s="374" t="s">
        <v>43</v>
      </c>
      <c r="E471" s="374"/>
      <c r="F471" s="137">
        <v>1220</v>
      </c>
      <c r="G471" s="137"/>
      <c r="H471" s="190">
        <f>SUM(H472:H475)</f>
        <v>0</v>
      </c>
      <c r="I471" s="194"/>
      <c r="J471" s="107"/>
      <c r="K471" s="76"/>
      <c r="M471" s="141"/>
    </row>
    <row r="472" spans="1:13" s="202" customFormat="1" ht="30" customHeight="1">
      <c r="A472" s="497"/>
      <c r="B472" s="223" t="s">
        <v>4</v>
      </c>
      <c r="C472" s="46" t="s">
        <v>871</v>
      </c>
      <c r="D472" s="373" t="s">
        <v>5</v>
      </c>
      <c r="E472" s="373">
        <f>2.61*0.4</f>
        <v>1.044</v>
      </c>
      <c r="F472" s="377">
        <f>E472*F471</f>
        <v>1273.68</v>
      </c>
      <c r="G472" s="377"/>
      <c r="H472" s="124">
        <f>G472*F472</f>
        <v>0</v>
      </c>
      <c r="I472" s="194"/>
      <c r="J472" s="107"/>
      <c r="K472" s="76"/>
      <c r="M472" s="141"/>
    </row>
    <row r="473" spans="1:13" s="202" customFormat="1" ht="29.25" customHeight="1">
      <c r="A473" s="497"/>
      <c r="B473" s="224" t="s">
        <v>4</v>
      </c>
      <c r="C473" s="46" t="s">
        <v>153</v>
      </c>
      <c r="D473" s="373" t="s">
        <v>16</v>
      </c>
      <c r="E473" s="373">
        <v>0.035</v>
      </c>
      <c r="F473" s="377">
        <f>E473*F471</f>
        <v>42.7</v>
      </c>
      <c r="G473" s="47"/>
      <c r="H473" s="124">
        <f>G473*F473</f>
        <v>0</v>
      </c>
      <c r="I473" s="194"/>
      <c r="J473" s="107"/>
      <c r="K473" s="76"/>
      <c r="M473" s="141"/>
    </row>
    <row r="474" spans="1:13" s="202" customFormat="1" ht="37.5" customHeight="1">
      <c r="A474" s="497"/>
      <c r="B474" s="223" t="s">
        <v>2</v>
      </c>
      <c r="C474" s="496" t="s">
        <v>386</v>
      </c>
      <c r="D474" s="496" t="s">
        <v>43</v>
      </c>
      <c r="E474" s="222">
        <v>1</v>
      </c>
      <c r="F474" s="372">
        <f>E474*F471</f>
        <v>1220</v>
      </c>
      <c r="G474" s="222"/>
      <c r="H474" s="222">
        <f>G474*F474</f>
        <v>0</v>
      </c>
      <c r="I474" s="194"/>
      <c r="J474" s="107"/>
      <c r="K474" s="76"/>
      <c r="M474" s="141"/>
    </row>
    <row r="475" spans="1:13" s="202" customFormat="1" ht="30" customHeight="1">
      <c r="A475" s="497"/>
      <c r="B475" s="224" t="s">
        <v>4</v>
      </c>
      <c r="C475" s="46" t="s">
        <v>868</v>
      </c>
      <c r="D475" s="373" t="s">
        <v>16</v>
      </c>
      <c r="E475" s="591">
        <f>1.6/100</f>
        <v>0.016</v>
      </c>
      <c r="F475" s="377">
        <f>E475*F471</f>
        <v>19.52</v>
      </c>
      <c r="G475" s="47"/>
      <c r="H475" s="124">
        <f>G475*F475</f>
        <v>0</v>
      </c>
      <c r="I475" s="194"/>
      <c r="J475" s="107"/>
      <c r="K475" s="76"/>
      <c r="M475" s="141"/>
    </row>
    <row r="476" spans="1:13" s="202" customFormat="1" ht="69.75" customHeight="1">
      <c r="A476" s="163">
        <v>4</v>
      </c>
      <c r="B476" s="174" t="s">
        <v>870</v>
      </c>
      <c r="C476" s="163" t="s">
        <v>875</v>
      </c>
      <c r="D476" s="163" t="s">
        <v>43</v>
      </c>
      <c r="E476" s="163"/>
      <c r="F476" s="226">
        <f>F471</f>
        <v>1220</v>
      </c>
      <c r="G476" s="226"/>
      <c r="H476" s="380">
        <f>H477+H478+H479+H482+H480+H481</f>
        <v>0</v>
      </c>
      <c r="I476" s="194"/>
      <c r="J476" s="107"/>
      <c r="K476" s="76"/>
      <c r="M476" s="141"/>
    </row>
    <row r="477" spans="1:13" s="202" customFormat="1" ht="28.5" customHeight="1">
      <c r="A477" s="181"/>
      <c r="B477" s="252" t="s">
        <v>4</v>
      </c>
      <c r="C477" s="496" t="s">
        <v>136</v>
      </c>
      <c r="D477" s="182" t="s">
        <v>105</v>
      </c>
      <c r="E477" s="591">
        <f>98.5/100</f>
        <v>0.985</v>
      </c>
      <c r="F477" s="253">
        <f>F476*E477</f>
        <v>1201.7</v>
      </c>
      <c r="G477" s="286"/>
      <c r="H477" s="183">
        <f aca="true" t="shared" si="15" ref="H477:H482">F477*G477</f>
        <v>0</v>
      </c>
      <c r="I477" s="194"/>
      <c r="J477" s="107"/>
      <c r="K477" s="76"/>
      <c r="M477" s="141"/>
    </row>
    <row r="478" spans="1:13" s="202" customFormat="1" ht="30.75" customHeight="1">
      <c r="A478" s="181"/>
      <c r="B478" s="252" t="s">
        <v>4</v>
      </c>
      <c r="C478" s="182" t="s">
        <v>106</v>
      </c>
      <c r="D478" s="182" t="s">
        <v>16</v>
      </c>
      <c r="E478" s="591">
        <f>0.39/100</f>
        <v>0.0039000000000000003</v>
      </c>
      <c r="F478" s="253">
        <f>F476*E478</f>
        <v>4.758</v>
      </c>
      <c r="G478" s="47"/>
      <c r="H478" s="183">
        <f t="shared" si="15"/>
        <v>0</v>
      </c>
      <c r="I478" s="194"/>
      <c r="J478" s="107"/>
      <c r="K478" s="76"/>
      <c r="M478" s="141"/>
    </row>
    <row r="479" spans="1:13" s="202" customFormat="1" ht="29.25" customHeight="1">
      <c r="A479" s="181"/>
      <c r="B479" s="298" t="s">
        <v>389</v>
      </c>
      <c r="C479" s="182" t="s">
        <v>390</v>
      </c>
      <c r="D479" s="182" t="s">
        <v>194</v>
      </c>
      <c r="E479" s="252">
        <v>1.03</v>
      </c>
      <c r="F479" s="253">
        <f>F476*E479</f>
        <v>1256.6000000000001</v>
      </c>
      <c r="G479" s="462"/>
      <c r="H479" s="183">
        <f t="shared" si="15"/>
        <v>0</v>
      </c>
      <c r="I479" s="194"/>
      <c r="J479" s="107"/>
      <c r="K479" s="76"/>
      <c r="M479" s="141"/>
    </row>
    <row r="480" spans="1:13" s="202" customFormat="1" ht="30.75" customHeight="1">
      <c r="A480" s="181"/>
      <c r="B480" s="298" t="s">
        <v>540</v>
      </c>
      <c r="C480" s="182" t="s">
        <v>391</v>
      </c>
      <c r="D480" s="182" t="s">
        <v>22</v>
      </c>
      <c r="E480" s="252">
        <v>1.2</v>
      </c>
      <c r="F480" s="253">
        <f>E480*F476</f>
        <v>1464</v>
      </c>
      <c r="G480" s="462"/>
      <c r="H480" s="183">
        <f t="shared" si="15"/>
        <v>0</v>
      </c>
      <c r="I480" s="194"/>
      <c r="J480" s="107"/>
      <c r="K480" s="76"/>
      <c r="M480" s="141"/>
    </row>
    <row r="481" spans="1:13" s="202" customFormat="1" ht="27.75" customHeight="1">
      <c r="A481" s="181"/>
      <c r="B481" s="298" t="s">
        <v>394</v>
      </c>
      <c r="C481" s="182" t="s">
        <v>392</v>
      </c>
      <c r="D481" s="182" t="s">
        <v>53</v>
      </c>
      <c r="E481" s="252">
        <v>0.4</v>
      </c>
      <c r="F481" s="253">
        <f>E481*F476</f>
        <v>488</v>
      </c>
      <c r="G481" s="462"/>
      <c r="H481" s="183">
        <f t="shared" si="15"/>
        <v>0</v>
      </c>
      <c r="I481" s="194"/>
      <c r="J481" s="107"/>
      <c r="K481" s="76"/>
      <c r="M481" s="141"/>
    </row>
    <row r="482" spans="1:13" s="202" customFormat="1" ht="30.75" customHeight="1">
      <c r="A482" s="181"/>
      <c r="B482" s="252" t="s">
        <v>4</v>
      </c>
      <c r="C482" s="207" t="s">
        <v>38</v>
      </c>
      <c r="D482" s="182" t="s">
        <v>16</v>
      </c>
      <c r="E482" s="182">
        <v>0.0335</v>
      </c>
      <c r="F482" s="253">
        <f>F476*E482</f>
        <v>40.870000000000005</v>
      </c>
      <c r="G482" s="47"/>
      <c r="H482" s="183">
        <f t="shared" si="15"/>
        <v>0</v>
      </c>
      <c r="I482" s="194"/>
      <c r="J482" s="107"/>
      <c r="K482" s="76"/>
      <c r="M482" s="141"/>
    </row>
    <row r="483" spans="1:13" s="202" customFormat="1" ht="81.75" customHeight="1">
      <c r="A483" s="376" t="s">
        <v>41</v>
      </c>
      <c r="B483" s="375" t="s">
        <v>869</v>
      </c>
      <c r="C483" s="55" t="s">
        <v>1693</v>
      </c>
      <c r="D483" s="374" t="s">
        <v>43</v>
      </c>
      <c r="E483" s="374"/>
      <c r="F483" s="137">
        <v>812</v>
      </c>
      <c r="G483" s="137"/>
      <c r="H483" s="190">
        <f>SUM(H484:H487)</f>
        <v>0</v>
      </c>
      <c r="I483" s="194"/>
      <c r="J483" s="107"/>
      <c r="K483" s="76"/>
      <c r="M483" s="141"/>
    </row>
    <row r="484" spans="1:13" s="202" customFormat="1" ht="30.75" customHeight="1">
      <c r="A484" s="497"/>
      <c r="B484" s="223" t="s">
        <v>4</v>
      </c>
      <c r="C484" s="46" t="s">
        <v>877</v>
      </c>
      <c r="D484" s="373" t="s">
        <v>5</v>
      </c>
      <c r="E484" s="373">
        <f>2.61*0.6</f>
        <v>1.5659999999999998</v>
      </c>
      <c r="F484" s="377">
        <f>E484*F483</f>
        <v>1271.5919999999999</v>
      </c>
      <c r="G484" s="377"/>
      <c r="H484" s="124">
        <f>G484*F484</f>
        <v>0</v>
      </c>
      <c r="I484" s="194"/>
      <c r="J484" s="107"/>
      <c r="K484" s="76"/>
      <c r="M484" s="141"/>
    </row>
    <row r="485" spans="1:13" s="202" customFormat="1" ht="30.75" customHeight="1">
      <c r="A485" s="497"/>
      <c r="B485" s="224" t="s">
        <v>4</v>
      </c>
      <c r="C485" s="46" t="s">
        <v>153</v>
      </c>
      <c r="D485" s="373" t="s">
        <v>16</v>
      </c>
      <c r="E485" s="373">
        <v>0.035</v>
      </c>
      <c r="F485" s="377">
        <f>E485*F483</f>
        <v>28.42</v>
      </c>
      <c r="G485" s="47"/>
      <c r="H485" s="124">
        <f>G485*F485</f>
        <v>0</v>
      </c>
      <c r="I485" s="194"/>
      <c r="J485" s="107"/>
      <c r="K485" s="76"/>
      <c r="M485" s="141"/>
    </row>
    <row r="486" spans="1:13" s="202" customFormat="1" ht="43.5" customHeight="1">
      <c r="A486" s="497"/>
      <c r="B486" s="223" t="s">
        <v>879</v>
      </c>
      <c r="C486" s="496" t="s">
        <v>878</v>
      </c>
      <c r="D486" s="496" t="s">
        <v>43</v>
      </c>
      <c r="E486" s="496">
        <v>1.05</v>
      </c>
      <c r="F486" s="372">
        <f>E486*F483</f>
        <v>852.6</v>
      </c>
      <c r="G486" s="222"/>
      <c r="H486" s="222">
        <f>G486*F486</f>
        <v>0</v>
      </c>
      <c r="I486" s="194"/>
      <c r="J486" s="107"/>
      <c r="K486" s="76"/>
      <c r="M486" s="141"/>
    </row>
    <row r="487" spans="1:13" s="202" customFormat="1" ht="30.75" customHeight="1">
      <c r="A487" s="497"/>
      <c r="B487" s="224" t="s">
        <v>4</v>
      </c>
      <c r="C487" s="46" t="s">
        <v>868</v>
      </c>
      <c r="D487" s="373" t="s">
        <v>16</v>
      </c>
      <c r="E487" s="591">
        <f>1.6/100</f>
        <v>0.016</v>
      </c>
      <c r="F487" s="377">
        <f>E487*F483</f>
        <v>12.992</v>
      </c>
      <c r="G487" s="47"/>
      <c r="H487" s="124">
        <f>G487*F487</f>
        <v>0</v>
      </c>
      <c r="I487" s="194"/>
      <c r="J487" s="107"/>
      <c r="K487" s="76"/>
      <c r="M487" s="141"/>
    </row>
    <row r="488" spans="1:13" s="202" customFormat="1" ht="63" customHeight="1">
      <c r="A488" s="376" t="s">
        <v>44</v>
      </c>
      <c r="B488" s="378" t="s">
        <v>396</v>
      </c>
      <c r="C488" s="55" t="s">
        <v>876</v>
      </c>
      <c r="D488" s="375" t="s">
        <v>22</v>
      </c>
      <c r="E488" s="375"/>
      <c r="F488" s="226">
        <v>682</v>
      </c>
      <c r="G488" s="226"/>
      <c r="H488" s="380">
        <f>SUM(H489:H492)</f>
        <v>0</v>
      </c>
      <c r="I488" s="194"/>
      <c r="J488" s="107"/>
      <c r="K488" s="76"/>
      <c r="M488" s="141"/>
    </row>
    <row r="489" spans="1:13" s="202" customFormat="1" ht="30.75" customHeight="1">
      <c r="A489" s="497"/>
      <c r="B489" s="223" t="s">
        <v>4</v>
      </c>
      <c r="C489" s="496" t="s">
        <v>136</v>
      </c>
      <c r="D489" s="496" t="s">
        <v>5</v>
      </c>
      <c r="E489" s="182">
        <v>0.27</v>
      </c>
      <c r="F489" s="372">
        <f>E489*F488</f>
        <v>184.14000000000001</v>
      </c>
      <c r="G489" s="222"/>
      <c r="H489" s="377">
        <f>G489*F489</f>
        <v>0</v>
      </c>
      <c r="I489" s="194"/>
      <c r="J489" s="107"/>
      <c r="K489" s="76"/>
      <c r="M489" s="141"/>
    </row>
    <row r="490" spans="1:13" s="202" customFormat="1" ht="30" customHeight="1">
      <c r="A490" s="497"/>
      <c r="B490" s="224" t="s">
        <v>4</v>
      </c>
      <c r="C490" s="496" t="s">
        <v>137</v>
      </c>
      <c r="D490" s="496" t="s">
        <v>16</v>
      </c>
      <c r="E490" s="182">
        <v>0.003</v>
      </c>
      <c r="F490" s="372">
        <f>E490*F488</f>
        <v>2.0460000000000003</v>
      </c>
      <c r="G490" s="47"/>
      <c r="H490" s="222">
        <f>G490*F490</f>
        <v>0</v>
      </c>
      <c r="I490" s="194"/>
      <c r="J490" s="107"/>
      <c r="K490" s="76"/>
      <c r="M490" s="141"/>
    </row>
    <row r="491" spans="1:13" s="202" customFormat="1" ht="33.75" customHeight="1">
      <c r="A491" s="497"/>
      <c r="B491" s="223" t="s">
        <v>1417</v>
      </c>
      <c r="C491" s="496" t="s">
        <v>397</v>
      </c>
      <c r="D491" s="496" t="s">
        <v>47</v>
      </c>
      <c r="E491" s="496">
        <v>1.01</v>
      </c>
      <c r="F491" s="372">
        <f>E491*F488</f>
        <v>688.82</v>
      </c>
      <c r="G491" s="222"/>
      <c r="H491" s="222">
        <f>G491*F491</f>
        <v>0</v>
      </c>
      <c r="I491" s="194"/>
      <c r="J491" s="107"/>
      <c r="K491" s="76"/>
      <c r="M491" s="141"/>
    </row>
    <row r="492" spans="1:13" s="202" customFormat="1" ht="36" customHeight="1">
      <c r="A492" s="497"/>
      <c r="B492" s="224" t="s">
        <v>4</v>
      </c>
      <c r="C492" s="207" t="s">
        <v>38</v>
      </c>
      <c r="D492" s="496" t="s">
        <v>16</v>
      </c>
      <c r="E492" s="182">
        <v>0.0017</v>
      </c>
      <c r="F492" s="372">
        <f>E492*F488</f>
        <v>1.1594</v>
      </c>
      <c r="G492" s="47"/>
      <c r="H492" s="222">
        <f>G492*F492</f>
        <v>0</v>
      </c>
      <c r="I492" s="194"/>
      <c r="J492" s="107"/>
      <c r="K492" s="76"/>
      <c r="M492" s="141"/>
    </row>
    <row r="493" spans="1:13" s="202" customFormat="1" ht="57.75" customHeight="1">
      <c r="A493" s="181"/>
      <c r="B493" s="255"/>
      <c r="C493" s="619" t="s">
        <v>1638</v>
      </c>
      <c r="D493" s="181" t="s">
        <v>16</v>
      </c>
      <c r="E493" s="181"/>
      <c r="F493" s="254"/>
      <c r="G493" s="405"/>
      <c r="H493" s="405">
        <f>H465+H476+H488+H460+H471+H483</f>
        <v>0</v>
      </c>
      <c r="I493" s="194"/>
      <c r="J493" s="107"/>
      <c r="K493" s="76"/>
      <c r="M493" s="141"/>
    </row>
    <row r="494" spans="1:13" s="202" customFormat="1" ht="27.75" customHeight="1">
      <c r="A494" s="181"/>
      <c r="B494" s="252"/>
      <c r="C494" s="238" t="s">
        <v>1134</v>
      </c>
      <c r="D494" s="182"/>
      <c r="E494" s="182"/>
      <c r="F494" s="253"/>
      <c r="G494" s="286"/>
      <c r="H494" s="183"/>
      <c r="I494" s="194"/>
      <c r="J494" s="107"/>
      <c r="K494" s="76"/>
      <c r="M494" s="141"/>
    </row>
    <row r="495" spans="1:13" s="202" customFormat="1" ht="62.25" customHeight="1">
      <c r="A495" s="376" t="s">
        <v>13</v>
      </c>
      <c r="B495" s="378" t="s">
        <v>56</v>
      </c>
      <c r="C495" s="375" t="s">
        <v>1314</v>
      </c>
      <c r="D495" s="375" t="s">
        <v>20</v>
      </c>
      <c r="E495" s="375"/>
      <c r="F495" s="226">
        <v>546</v>
      </c>
      <c r="G495" s="70"/>
      <c r="H495" s="380">
        <f>SUM(H496:H500)</f>
        <v>0</v>
      </c>
      <c r="I495" s="194"/>
      <c r="J495" s="107"/>
      <c r="K495" s="76"/>
      <c r="M495" s="141"/>
    </row>
    <row r="496" spans="1:13" s="202" customFormat="1" ht="24.75" customHeight="1">
      <c r="A496" s="48"/>
      <c r="B496" s="224" t="s">
        <v>4</v>
      </c>
      <c r="C496" s="496" t="s">
        <v>136</v>
      </c>
      <c r="D496" s="46" t="s">
        <v>5</v>
      </c>
      <c r="E496" s="46">
        <v>3.36</v>
      </c>
      <c r="F496" s="157">
        <f>E496*F495</f>
        <v>1834.56</v>
      </c>
      <c r="G496" s="52"/>
      <c r="H496" s="222">
        <f>G496*F496</f>
        <v>0</v>
      </c>
      <c r="I496" s="194"/>
      <c r="J496" s="107"/>
      <c r="K496" s="76"/>
      <c r="M496" s="141"/>
    </row>
    <row r="497" spans="1:13" s="202" customFormat="1" ht="26.25" customHeight="1">
      <c r="A497" s="48"/>
      <c r="B497" s="223" t="s">
        <v>4</v>
      </c>
      <c r="C497" s="46" t="s">
        <v>153</v>
      </c>
      <c r="D497" s="46" t="s">
        <v>16</v>
      </c>
      <c r="E497" s="46">
        <v>0.92</v>
      </c>
      <c r="F497" s="157">
        <f>E497*F495</f>
        <v>502.32000000000005</v>
      </c>
      <c r="G497" s="47"/>
      <c r="H497" s="222">
        <f>G497*F497</f>
        <v>0</v>
      </c>
      <c r="I497" s="194"/>
      <c r="J497" s="107"/>
      <c r="K497" s="76"/>
      <c r="M497" s="141"/>
    </row>
    <row r="498" spans="1:13" s="202" customFormat="1" ht="27" customHeight="1">
      <c r="A498" s="48"/>
      <c r="B498" s="177" t="s">
        <v>536</v>
      </c>
      <c r="C498" s="46" t="s">
        <v>60</v>
      </c>
      <c r="D498" s="46" t="s">
        <v>503</v>
      </c>
      <c r="E498" s="47">
        <v>80</v>
      </c>
      <c r="F498" s="47">
        <f>E498*F495</f>
        <v>43680</v>
      </c>
      <c r="G498" s="47"/>
      <c r="H498" s="222">
        <f>G498*F498</f>
        <v>0</v>
      </c>
      <c r="I498" s="194"/>
      <c r="J498" s="107"/>
      <c r="K498" s="76"/>
      <c r="M498" s="141"/>
    </row>
    <row r="499" spans="1:13" s="202" customFormat="1" ht="27.75" customHeight="1">
      <c r="A499" s="48"/>
      <c r="B499" s="224" t="s">
        <v>1420</v>
      </c>
      <c r="C499" s="46" t="s">
        <v>1313</v>
      </c>
      <c r="D499" s="46" t="s">
        <v>20</v>
      </c>
      <c r="E499" s="47">
        <v>1.02</v>
      </c>
      <c r="F499" s="47">
        <f>E499*F495</f>
        <v>556.92</v>
      </c>
      <c r="G499" s="222"/>
      <c r="H499" s="222">
        <f>G499*F499</f>
        <v>0</v>
      </c>
      <c r="I499" s="194"/>
      <c r="J499" s="107"/>
      <c r="K499" s="76"/>
      <c r="M499" s="141"/>
    </row>
    <row r="500" spans="1:13" s="202" customFormat="1" ht="25.5" customHeight="1">
      <c r="A500" s="48"/>
      <c r="B500" s="223" t="s">
        <v>4</v>
      </c>
      <c r="C500" s="207" t="s">
        <v>38</v>
      </c>
      <c r="D500" s="46" t="s">
        <v>16</v>
      </c>
      <c r="E500" s="46">
        <v>0.16</v>
      </c>
      <c r="F500" s="157">
        <f>E500*F495</f>
        <v>87.36</v>
      </c>
      <c r="G500" s="47"/>
      <c r="H500" s="222">
        <f>G500*F500</f>
        <v>0</v>
      </c>
      <c r="I500" s="194"/>
      <c r="J500" s="107"/>
      <c r="K500" s="76"/>
      <c r="M500" s="141"/>
    </row>
    <row r="501" spans="1:13" s="202" customFormat="1" ht="51" customHeight="1">
      <c r="A501" s="376" t="s">
        <v>37</v>
      </c>
      <c r="B501" s="378" t="s">
        <v>56</v>
      </c>
      <c r="C501" s="375" t="s">
        <v>1252</v>
      </c>
      <c r="D501" s="375" t="s">
        <v>20</v>
      </c>
      <c r="E501" s="375"/>
      <c r="F501" s="226">
        <v>258</v>
      </c>
      <c r="G501" s="70"/>
      <c r="H501" s="380">
        <f>SUM(H502:H506)</f>
        <v>0</v>
      </c>
      <c r="I501" s="194"/>
      <c r="J501" s="107"/>
      <c r="K501" s="76"/>
      <c r="M501" s="141"/>
    </row>
    <row r="502" spans="1:13" s="202" customFormat="1" ht="27.75" customHeight="1">
      <c r="A502" s="48"/>
      <c r="B502" s="224" t="s">
        <v>4</v>
      </c>
      <c r="C502" s="496" t="s">
        <v>136</v>
      </c>
      <c r="D502" s="46" t="s">
        <v>5</v>
      </c>
      <c r="E502" s="46">
        <v>3.36</v>
      </c>
      <c r="F502" s="157">
        <f>E502*F501</f>
        <v>866.88</v>
      </c>
      <c r="G502" s="52"/>
      <c r="H502" s="222">
        <f>G502*F502</f>
        <v>0</v>
      </c>
      <c r="I502" s="194"/>
      <c r="J502" s="107"/>
      <c r="K502" s="76"/>
      <c r="M502" s="141"/>
    </row>
    <row r="503" spans="1:13" s="202" customFormat="1" ht="27" customHeight="1">
      <c r="A503" s="48"/>
      <c r="B503" s="223" t="s">
        <v>4</v>
      </c>
      <c r="C503" s="46" t="s">
        <v>153</v>
      </c>
      <c r="D503" s="46" t="s">
        <v>16</v>
      </c>
      <c r="E503" s="46">
        <v>0.92</v>
      </c>
      <c r="F503" s="157">
        <f>E503*F501</f>
        <v>237.36</v>
      </c>
      <c r="G503" s="47"/>
      <c r="H503" s="222">
        <f>G503*F503</f>
        <v>0</v>
      </c>
      <c r="I503" s="194"/>
      <c r="J503" s="107"/>
      <c r="K503" s="76"/>
      <c r="M503" s="141"/>
    </row>
    <row r="504" spans="1:13" s="202" customFormat="1" ht="28.5" customHeight="1">
      <c r="A504" s="48"/>
      <c r="B504" s="224" t="s">
        <v>1348</v>
      </c>
      <c r="C504" s="46" t="s">
        <v>57</v>
      </c>
      <c r="D504" s="46" t="s">
        <v>14</v>
      </c>
      <c r="E504" s="46">
        <v>0.11</v>
      </c>
      <c r="F504" s="157">
        <f>E504*F501</f>
        <v>28.38</v>
      </c>
      <c r="G504" s="47"/>
      <c r="H504" s="222">
        <f>G504*F504</f>
        <v>0</v>
      </c>
      <c r="I504" s="194"/>
      <c r="J504" s="107"/>
      <c r="K504" s="76"/>
      <c r="M504" s="141"/>
    </row>
    <row r="505" spans="1:13" s="202" customFormat="1" ht="29.25" customHeight="1">
      <c r="A505" s="48"/>
      <c r="B505" s="224" t="s">
        <v>584</v>
      </c>
      <c r="C505" s="46" t="s">
        <v>1253</v>
      </c>
      <c r="D505" s="46" t="s">
        <v>15</v>
      </c>
      <c r="E505" s="47">
        <v>62.5</v>
      </c>
      <c r="F505" s="47">
        <f>E505*F501</f>
        <v>16125</v>
      </c>
      <c r="G505" s="47"/>
      <c r="H505" s="222">
        <f>G505*F505</f>
        <v>0</v>
      </c>
      <c r="I505" s="194"/>
      <c r="J505" s="107"/>
      <c r="K505" s="76"/>
      <c r="M505" s="141"/>
    </row>
    <row r="506" spans="1:13" s="202" customFormat="1" ht="29.25" customHeight="1">
      <c r="A506" s="48"/>
      <c r="B506" s="223" t="s">
        <v>4</v>
      </c>
      <c r="C506" s="207" t="s">
        <v>38</v>
      </c>
      <c r="D506" s="46" t="s">
        <v>16</v>
      </c>
      <c r="E506" s="46">
        <v>0.16</v>
      </c>
      <c r="F506" s="157">
        <f>E506*F501</f>
        <v>41.28</v>
      </c>
      <c r="G506" s="47"/>
      <c r="H506" s="222">
        <f>G506*F506</f>
        <v>0</v>
      </c>
      <c r="I506" s="194"/>
      <c r="J506" s="107"/>
      <c r="K506" s="76"/>
      <c r="M506" s="141"/>
    </row>
    <row r="507" spans="1:13" s="202" customFormat="1" ht="46.5" customHeight="1">
      <c r="A507" s="376" t="s">
        <v>63</v>
      </c>
      <c r="B507" s="378" t="s">
        <v>56</v>
      </c>
      <c r="C507" s="375" t="s">
        <v>1254</v>
      </c>
      <c r="D507" s="375" t="s">
        <v>20</v>
      </c>
      <c r="E507" s="375"/>
      <c r="F507" s="226">
        <v>20.5</v>
      </c>
      <c r="G507" s="70"/>
      <c r="H507" s="380">
        <f>SUM(H508:H512)</f>
        <v>0</v>
      </c>
      <c r="I507" s="194"/>
      <c r="J507" s="107"/>
      <c r="K507" s="76"/>
      <c r="M507" s="141"/>
    </row>
    <row r="508" spans="1:13" s="202" customFormat="1" ht="27" customHeight="1">
      <c r="A508" s="48"/>
      <c r="B508" s="48" t="s">
        <v>4</v>
      </c>
      <c r="C508" s="46" t="s">
        <v>148</v>
      </c>
      <c r="D508" s="46" t="s">
        <v>5</v>
      </c>
      <c r="E508" s="46">
        <v>3.36</v>
      </c>
      <c r="F508" s="157">
        <f>E508*F507</f>
        <v>68.88</v>
      </c>
      <c r="G508" s="52"/>
      <c r="H508" s="222">
        <f>G508*F508</f>
        <v>0</v>
      </c>
      <c r="I508" s="194"/>
      <c r="J508" s="107"/>
      <c r="K508" s="76"/>
      <c r="M508" s="141"/>
    </row>
    <row r="509" spans="1:13" s="202" customFormat="1" ht="29.25" customHeight="1">
      <c r="A509" s="48"/>
      <c r="B509" s="45" t="s">
        <v>4</v>
      </c>
      <c r="C509" s="46" t="s">
        <v>153</v>
      </c>
      <c r="D509" s="46" t="s">
        <v>16</v>
      </c>
      <c r="E509" s="46">
        <v>0.92</v>
      </c>
      <c r="F509" s="157">
        <f>E509*F507</f>
        <v>18.86</v>
      </c>
      <c r="G509" s="47"/>
      <c r="H509" s="222">
        <f>G509*F509</f>
        <v>0</v>
      </c>
      <c r="I509" s="194"/>
      <c r="J509" s="107"/>
      <c r="K509" s="76"/>
      <c r="M509" s="141"/>
    </row>
    <row r="510" spans="1:13" s="202" customFormat="1" ht="29.25" customHeight="1">
      <c r="A510" s="48"/>
      <c r="B510" s="224" t="s">
        <v>1348</v>
      </c>
      <c r="C510" s="46" t="s">
        <v>57</v>
      </c>
      <c r="D510" s="46" t="s">
        <v>14</v>
      </c>
      <c r="E510" s="46">
        <v>0.11</v>
      </c>
      <c r="F510" s="157">
        <f>E510*F507</f>
        <v>2.255</v>
      </c>
      <c r="G510" s="47"/>
      <c r="H510" s="222">
        <f>G510*F510</f>
        <v>0</v>
      </c>
      <c r="I510" s="194"/>
      <c r="J510" s="107"/>
      <c r="K510" s="76"/>
      <c r="M510" s="141"/>
    </row>
    <row r="511" spans="1:13" s="202" customFormat="1" ht="31.5" customHeight="1">
      <c r="A511" s="48"/>
      <c r="B511" s="593" t="s">
        <v>1336</v>
      </c>
      <c r="C511" s="46" t="s">
        <v>1255</v>
      </c>
      <c r="D511" s="46" t="s">
        <v>15</v>
      </c>
      <c r="E511" s="47">
        <v>125</v>
      </c>
      <c r="F511" s="47">
        <f>E511*F507</f>
        <v>2562.5</v>
      </c>
      <c r="G511" s="47"/>
      <c r="H511" s="222">
        <f>G511*F511</f>
        <v>0</v>
      </c>
      <c r="I511" s="194"/>
      <c r="J511" s="107"/>
      <c r="K511" s="76"/>
      <c r="M511" s="141"/>
    </row>
    <row r="512" spans="1:13" s="202" customFormat="1" ht="29.25" customHeight="1">
      <c r="A512" s="48"/>
      <c r="B512" s="45" t="s">
        <v>4</v>
      </c>
      <c r="C512" s="46" t="s">
        <v>18</v>
      </c>
      <c r="D512" s="46" t="s">
        <v>16</v>
      </c>
      <c r="E512" s="46">
        <v>0.16</v>
      </c>
      <c r="F512" s="157">
        <f>E512*F507</f>
        <v>3.2800000000000002</v>
      </c>
      <c r="G512" s="47"/>
      <c r="H512" s="222">
        <f>G512*F512</f>
        <v>0</v>
      </c>
      <c r="I512" s="194"/>
      <c r="J512" s="107"/>
      <c r="K512" s="76"/>
      <c r="M512" s="141"/>
    </row>
    <row r="513" spans="1:13" s="202" customFormat="1" ht="61.5" customHeight="1">
      <c r="A513" s="221">
        <v>4</v>
      </c>
      <c r="B513" s="378" t="s">
        <v>604</v>
      </c>
      <c r="C513" s="375" t="s">
        <v>605</v>
      </c>
      <c r="D513" s="375" t="s">
        <v>42</v>
      </c>
      <c r="E513" s="375"/>
      <c r="F513" s="547">
        <v>1.7</v>
      </c>
      <c r="G513" s="226"/>
      <c r="H513" s="380">
        <f>SUM(H514:H516)</f>
        <v>0</v>
      </c>
      <c r="I513" s="194"/>
      <c r="J513" s="107"/>
      <c r="K513" s="76"/>
      <c r="M513" s="141"/>
    </row>
    <row r="514" spans="1:13" s="202" customFormat="1" ht="29.25" customHeight="1">
      <c r="A514" s="48"/>
      <c r="B514" s="593" t="s">
        <v>4</v>
      </c>
      <c r="C514" s="496" t="s">
        <v>136</v>
      </c>
      <c r="D514" s="496" t="s">
        <v>5</v>
      </c>
      <c r="E514" s="496">
        <v>54.3</v>
      </c>
      <c r="F514" s="259">
        <f>E514*F513</f>
        <v>92.30999999999999</v>
      </c>
      <c r="G514" s="52"/>
      <c r="H514" s="222">
        <f>F514*G514</f>
        <v>0</v>
      </c>
      <c r="I514" s="194"/>
      <c r="J514" s="107"/>
      <c r="K514" s="76"/>
      <c r="M514" s="141"/>
    </row>
    <row r="515" spans="1:13" s="202" customFormat="1" ht="29.25" customHeight="1">
      <c r="A515" s="48"/>
      <c r="B515" s="593" t="s">
        <v>4</v>
      </c>
      <c r="C515" s="496" t="s">
        <v>129</v>
      </c>
      <c r="D515" s="496" t="s">
        <v>16</v>
      </c>
      <c r="E515" s="496">
        <v>1.38</v>
      </c>
      <c r="F515" s="259">
        <f>F513*E515</f>
        <v>2.3459999999999996</v>
      </c>
      <c r="G515" s="47"/>
      <c r="H515" s="47">
        <f>F515*G515</f>
        <v>0</v>
      </c>
      <c r="I515" s="194"/>
      <c r="J515" s="107"/>
      <c r="K515" s="76"/>
      <c r="M515" s="141"/>
    </row>
    <row r="516" spans="1:13" s="202" customFormat="1" ht="29.25" customHeight="1">
      <c r="A516" s="48"/>
      <c r="B516" s="50" t="s">
        <v>1339</v>
      </c>
      <c r="C516" s="46" t="s">
        <v>606</v>
      </c>
      <c r="D516" s="46" t="s">
        <v>487</v>
      </c>
      <c r="E516" s="46">
        <v>1.01</v>
      </c>
      <c r="F516" s="51">
        <f>E516*F513</f>
        <v>1.7169999999999999</v>
      </c>
      <c r="G516" s="222"/>
      <c r="H516" s="47">
        <f>F516*G516</f>
        <v>0</v>
      </c>
      <c r="I516" s="194"/>
      <c r="J516" s="107"/>
      <c r="K516" s="76"/>
      <c r="M516" s="141"/>
    </row>
    <row r="517" spans="1:13" s="202" customFormat="1" ht="49.5" customHeight="1">
      <c r="A517" s="376" t="s">
        <v>41</v>
      </c>
      <c r="B517" s="79" t="s">
        <v>808</v>
      </c>
      <c r="C517" s="375" t="s">
        <v>1599</v>
      </c>
      <c r="D517" s="374" t="s">
        <v>20</v>
      </c>
      <c r="E517" s="374"/>
      <c r="F517" s="137">
        <v>3.8</v>
      </c>
      <c r="G517" s="137"/>
      <c r="H517" s="190">
        <f>SUM(H518:H525)</f>
        <v>0</v>
      </c>
      <c r="I517" s="194"/>
      <c r="J517" s="107"/>
      <c r="K517" s="76"/>
      <c r="M517" s="141"/>
    </row>
    <row r="518" spans="1:13" s="202" customFormat="1" ht="29.25" customHeight="1">
      <c r="A518" s="224"/>
      <c r="B518" s="227" t="s">
        <v>4</v>
      </c>
      <c r="C518" s="373" t="s">
        <v>136</v>
      </c>
      <c r="D518" s="373" t="s">
        <v>5</v>
      </c>
      <c r="E518" s="373">
        <f>13.5</f>
        <v>13.5</v>
      </c>
      <c r="F518" s="295">
        <f>E518*F517</f>
        <v>51.3</v>
      </c>
      <c r="G518" s="377"/>
      <c r="H518" s="124">
        <f aca="true" t="shared" si="16" ref="H518:H525">G518*F518</f>
        <v>0</v>
      </c>
      <c r="I518" s="194"/>
      <c r="J518" s="107"/>
      <c r="K518" s="76"/>
      <c r="M518" s="141"/>
    </row>
    <row r="519" spans="1:13" s="202" customFormat="1" ht="29.25" customHeight="1">
      <c r="A519" s="224"/>
      <c r="B519" s="227" t="s">
        <v>4</v>
      </c>
      <c r="C519" s="373" t="s">
        <v>153</v>
      </c>
      <c r="D519" s="373" t="s">
        <v>16</v>
      </c>
      <c r="E519" s="373">
        <f>1.12</f>
        <v>1.12</v>
      </c>
      <c r="F519" s="377">
        <f>E519*F517</f>
        <v>4.256</v>
      </c>
      <c r="G519" s="47"/>
      <c r="H519" s="124">
        <f t="shared" si="16"/>
        <v>0</v>
      </c>
      <c r="I519" s="194"/>
      <c r="J519" s="107"/>
      <c r="K519" s="76"/>
      <c r="M519" s="141"/>
    </row>
    <row r="520" spans="1:13" s="202" customFormat="1" ht="29.25" customHeight="1">
      <c r="A520" s="224"/>
      <c r="B520" s="496" t="s">
        <v>1335</v>
      </c>
      <c r="C520" s="373" t="s">
        <v>1600</v>
      </c>
      <c r="D520" s="373" t="s">
        <v>14</v>
      </c>
      <c r="E520" s="373">
        <v>1.015</v>
      </c>
      <c r="F520" s="377">
        <f>E520*F517</f>
        <v>3.8569999999999993</v>
      </c>
      <c r="G520" s="377"/>
      <c r="H520" s="124">
        <f t="shared" si="16"/>
        <v>0</v>
      </c>
      <c r="I520" s="194"/>
      <c r="J520" s="107"/>
      <c r="K520" s="76"/>
      <c r="M520" s="141"/>
    </row>
    <row r="521" spans="1:13" s="202" customFormat="1" ht="33" customHeight="1">
      <c r="A521" s="224"/>
      <c r="B521" s="496" t="s">
        <v>1340</v>
      </c>
      <c r="C521" s="46" t="s">
        <v>1055</v>
      </c>
      <c r="D521" s="373" t="s">
        <v>487</v>
      </c>
      <c r="E521" s="373" t="s">
        <v>179</v>
      </c>
      <c r="F521" s="296">
        <v>0.38</v>
      </c>
      <c r="G521" s="377"/>
      <c r="H521" s="124">
        <f t="shared" si="16"/>
        <v>0</v>
      </c>
      <c r="I521" s="194"/>
      <c r="J521" s="107"/>
      <c r="K521" s="76"/>
      <c r="M521" s="141"/>
    </row>
    <row r="522" spans="1:13" s="202" customFormat="1" ht="24.75" customHeight="1">
      <c r="A522" s="224"/>
      <c r="B522" s="496" t="s">
        <v>1329</v>
      </c>
      <c r="C522" s="373" t="s">
        <v>806</v>
      </c>
      <c r="D522" s="373" t="s">
        <v>48</v>
      </c>
      <c r="E522" s="373">
        <v>2.9</v>
      </c>
      <c r="F522" s="377">
        <f>E522*F517</f>
        <v>11.02</v>
      </c>
      <c r="G522" s="377"/>
      <c r="H522" s="124">
        <f t="shared" si="16"/>
        <v>0</v>
      </c>
      <c r="I522" s="194"/>
      <c r="J522" s="107"/>
      <c r="K522" s="76"/>
      <c r="M522" s="141"/>
    </row>
    <row r="523" spans="1:13" s="202" customFormat="1" ht="30" customHeight="1">
      <c r="A523" s="224"/>
      <c r="B523" s="501" t="s">
        <v>744</v>
      </c>
      <c r="C523" s="373" t="s">
        <v>807</v>
      </c>
      <c r="D523" s="373" t="s">
        <v>14</v>
      </c>
      <c r="E523" s="373">
        <v>0.0378</v>
      </c>
      <c r="F523" s="377">
        <f>F517*E523</f>
        <v>0.14364</v>
      </c>
      <c r="G523" s="377"/>
      <c r="H523" s="124">
        <f t="shared" si="16"/>
        <v>0</v>
      </c>
      <c r="I523" s="194"/>
      <c r="J523" s="107"/>
      <c r="K523" s="76"/>
      <c r="M523" s="141"/>
    </row>
    <row r="524" spans="1:13" s="202" customFormat="1" ht="32.25" customHeight="1">
      <c r="A524" s="224"/>
      <c r="B524" s="48" t="s">
        <v>425</v>
      </c>
      <c r="C524" s="373" t="s">
        <v>97</v>
      </c>
      <c r="D524" s="373" t="s">
        <v>42</v>
      </c>
      <c r="E524" s="373">
        <v>0.0023</v>
      </c>
      <c r="F524" s="206">
        <f>F517*E524</f>
        <v>0.00874</v>
      </c>
      <c r="G524" s="377"/>
      <c r="H524" s="124">
        <f t="shared" si="16"/>
        <v>0</v>
      </c>
      <c r="I524" s="194"/>
      <c r="J524" s="107"/>
      <c r="K524" s="76"/>
      <c r="M524" s="141"/>
    </row>
    <row r="525" spans="1:13" s="202" customFormat="1" ht="26.25" customHeight="1">
      <c r="A525" s="224"/>
      <c r="B525" s="168" t="s">
        <v>4</v>
      </c>
      <c r="C525" s="373" t="s">
        <v>18</v>
      </c>
      <c r="D525" s="373" t="s">
        <v>16</v>
      </c>
      <c r="E525" s="373">
        <v>0.95</v>
      </c>
      <c r="F525" s="377">
        <f>E525*F517</f>
        <v>3.61</v>
      </c>
      <c r="G525" s="47"/>
      <c r="H525" s="124">
        <f t="shared" si="16"/>
        <v>0</v>
      </c>
      <c r="I525" s="194"/>
      <c r="J525" s="107"/>
      <c r="K525" s="76"/>
      <c r="M525" s="141"/>
    </row>
    <row r="526" spans="1:13" s="202" customFormat="1" ht="47.25" customHeight="1">
      <c r="A526" s="378" t="s">
        <v>44</v>
      </c>
      <c r="B526" s="625"/>
      <c r="C526" s="375" t="s">
        <v>1716</v>
      </c>
      <c r="D526" s="374" t="s">
        <v>1694</v>
      </c>
      <c r="E526" s="374"/>
      <c r="F526" s="137">
        <v>22</v>
      </c>
      <c r="G526" s="70"/>
      <c r="H526" s="347">
        <f>SUM(H527:H532)</f>
        <v>0</v>
      </c>
      <c r="I526" s="194"/>
      <c r="J526" s="107"/>
      <c r="K526" s="76"/>
      <c r="M526" s="141"/>
    </row>
    <row r="527" spans="1:13" s="202" customFormat="1" ht="26.25" customHeight="1">
      <c r="A527" s="224"/>
      <c r="B527" s="168"/>
      <c r="C527" s="626" t="s">
        <v>1695</v>
      </c>
      <c r="D527" s="627" t="s">
        <v>1696</v>
      </c>
      <c r="E527" s="626">
        <v>1.239</v>
      </c>
      <c r="F527" s="628">
        <f>E527*F526</f>
        <v>27.258000000000003</v>
      </c>
      <c r="G527" s="47"/>
      <c r="H527" s="124">
        <f aca="true" t="shared" si="17" ref="H527:H532">F527*G527</f>
        <v>0</v>
      </c>
      <c r="I527" s="194"/>
      <c r="J527" s="107"/>
      <c r="K527" s="76"/>
      <c r="M527" s="141"/>
    </row>
    <row r="528" spans="1:13" s="202" customFormat="1" ht="26.25" customHeight="1">
      <c r="A528" s="224"/>
      <c r="B528" s="168"/>
      <c r="C528" s="629" t="s">
        <v>1697</v>
      </c>
      <c r="D528" s="627" t="s">
        <v>16</v>
      </c>
      <c r="E528" s="626">
        <f>(3.5+0.39)*0.01</f>
        <v>0.038900000000000004</v>
      </c>
      <c r="F528" s="628">
        <f>E528*F526</f>
        <v>0.8558000000000001</v>
      </c>
      <c r="G528" s="47"/>
      <c r="H528" s="124">
        <f t="shared" si="17"/>
        <v>0</v>
      </c>
      <c r="I528" s="194"/>
      <c r="J528" s="107"/>
      <c r="K528" s="76"/>
      <c r="M528" s="141"/>
    </row>
    <row r="529" spans="1:13" s="202" customFormat="1" ht="26.25" customHeight="1">
      <c r="A529" s="224"/>
      <c r="B529" s="168"/>
      <c r="C529" s="626" t="s">
        <v>1698</v>
      </c>
      <c r="D529" s="627" t="s">
        <v>178</v>
      </c>
      <c r="E529" s="626">
        <v>4.1</v>
      </c>
      <c r="F529" s="628">
        <f>E529*F526</f>
        <v>90.19999999999999</v>
      </c>
      <c r="G529" s="47"/>
      <c r="H529" s="124">
        <f t="shared" si="17"/>
        <v>0</v>
      </c>
      <c r="I529" s="194"/>
      <c r="J529" s="107"/>
      <c r="K529" s="76"/>
      <c r="M529" s="141"/>
    </row>
    <row r="530" spans="1:13" s="202" customFormat="1" ht="26.25" customHeight="1">
      <c r="A530" s="224"/>
      <c r="B530" s="168"/>
      <c r="C530" s="626" t="s">
        <v>1699</v>
      </c>
      <c r="D530" s="627" t="s">
        <v>503</v>
      </c>
      <c r="E530" s="626">
        <v>0.06</v>
      </c>
      <c r="F530" s="628">
        <f>E530*F526</f>
        <v>1.3199999999999998</v>
      </c>
      <c r="G530" s="47"/>
      <c r="H530" s="124">
        <f t="shared" si="17"/>
        <v>0</v>
      </c>
      <c r="I530" s="194"/>
      <c r="J530" s="107"/>
      <c r="K530" s="76"/>
      <c r="M530" s="141"/>
    </row>
    <row r="531" spans="1:13" s="202" customFormat="1" ht="26.25" customHeight="1">
      <c r="A531" s="224"/>
      <c r="B531" s="168"/>
      <c r="C531" s="626" t="s">
        <v>1700</v>
      </c>
      <c r="D531" s="627" t="s">
        <v>1701</v>
      </c>
      <c r="E531" s="626">
        <v>1.03</v>
      </c>
      <c r="F531" s="628">
        <f>E531*F526</f>
        <v>22.66</v>
      </c>
      <c r="G531" s="47"/>
      <c r="H531" s="124">
        <f t="shared" si="17"/>
        <v>0</v>
      </c>
      <c r="I531" s="194"/>
      <c r="J531" s="107"/>
      <c r="K531" s="76"/>
      <c r="M531" s="141"/>
    </row>
    <row r="532" spans="1:13" s="202" customFormat="1" ht="26.25" customHeight="1">
      <c r="A532" s="224"/>
      <c r="B532" s="168"/>
      <c r="C532" s="626" t="s">
        <v>1702</v>
      </c>
      <c r="D532" s="627" t="s">
        <v>16</v>
      </c>
      <c r="E532" s="626">
        <f>(38.9+1.6)*0.01</f>
        <v>0.405</v>
      </c>
      <c r="F532" s="628">
        <f>E532*F526</f>
        <v>8.91</v>
      </c>
      <c r="G532" s="47"/>
      <c r="H532" s="124">
        <f t="shared" si="17"/>
        <v>0</v>
      </c>
      <c r="I532" s="194"/>
      <c r="J532" s="107"/>
      <c r="K532" s="76"/>
      <c r="M532" s="141"/>
    </row>
    <row r="533" spans="1:13" s="202" customFormat="1" ht="37.5" customHeight="1">
      <c r="A533" s="378" t="s">
        <v>45</v>
      </c>
      <c r="B533" s="168" t="s">
        <v>290</v>
      </c>
      <c r="C533" s="630" t="s">
        <v>1703</v>
      </c>
      <c r="D533" s="630" t="s">
        <v>1704</v>
      </c>
      <c r="E533" s="630"/>
      <c r="F533" s="631">
        <v>4.5</v>
      </c>
      <c r="G533" s="47"/>
      <c r="H533" s="347">
        <f>SUM(H534:H540)</f>
        <v>0</v>
      </c>
      <c r="I533" s="194"/>
      <c r="J533" s="107"/>
      <c r="K533" s="76"/>
      <c r="M533" s="141"/>
    </row>
    <row r="534" spans="1:13" s="202" customFormat="1" ht="26.25" customHeight="1">
      <c r="A534" s="224"/>
      <c r="B534" s="168"/>
      <c r="C534" s="632" t="s">
        <v>1705</v>
      </c>
      <c r="D534" s="632" t="s">
        <v>1706</v>
      </c>
      <c r="E534" s="632">
        <v>1.32</v>
      </c>
      <c r="F534" s="633">
        <f>E534*F533</f>
        <v>5.94</v>
      </c>
      <c r="G534" s="47"/>
      <c r="H534" s="124">
        <f>F534*G534</f>
        <v>0</v>
      </c>
      <c r="I534" s="194"/>
      <c r="J534" s="107"/>
      <c r="K534" s="76"/>
      <c r="M534" s="141"/>
    </row>
    <row r="535" spans="1:13" s="202" customFormat="1" ht="26.25" customHeight="1">
      <c r="A535" s="224"/>
      <c r="B535" s="168"/>
      <c r="C535" s="632" t="s">
        <v>341</v>
      </c>
      <c r="D535" s="632" t="s">
        <v>1707</v>
      </c>
      <c r="E535" s="632">
        <v>2.1</v>
      </c>
      <c r="F535" s="633">
        <f>F533*E535</f>
        <v>9.450000000000001</v>
      </c>
      <c r="G535" s="47"/>
      <c r="H535" s="124">
        <f aca="true" t="shared" si="18" ref="H535:H540">F535*G535</f>
        <v>0</v>
      </c>
      <c r="I535" s="194"/>
      <c r="J535" s="107"/>
      <c r="K535" s="76"/>
      <c r="M535" s="141"/>
    </row>
    <row r="536" spans="1:13" s="202" customFormat="1" ht="26.25" customHeight="1">
      <c r="A536" s="224"/>
      <c r="B536" s="168"/>
      <c r="C536" s="632" t="s">
        <v>1708</v>
      </c>
      <c r="D536" s="632" t="s">
        <v>1709</v>
      </c>
      <c r="E536" s="632"/>
      <c r="F536" s="633">
        <v>0.256</v>
      </c>
      <c r="G536" s="47"/>
      <c r="H536" s="124">
        <f t="shared" si="18"/>
        <v>0</v>
      </c>
      <c r="I536" s="194"/>
      <c r="J536" s="107"/>
      <c r="K536" s="76"/>
      <c r="M536" s="141"/>
    </row>
    <row r="537" spans="1:13" s="202" customFormat="1" ht="26.25" customHeight="1">
      <c r="A537" s="224"/>
      <c r="B537" s="168"/>
      <c r="C537" s="632" t="s">
        <v>1710</v>
      </c>
      <c r="D537" s="632" t="s">
        <v>1711</v>
      </c>
      <c r="E537" s="632">
        <v>1.96</v>
      </c>
      <c r="F537" s="633">
        <f>E537*F533</f>
        <v>8.82</v>
      </c>
      <c r="G537" s="47"/>
      <c r="H537" s="124">
        <f t="shared" si="18"/>
        <v>0</v>
      </c>
      <c r="I537" s="194"/>
      <c r="J537" s="107"/>
      <c r="K537" s="76"/>
      <c r="M537" s="141"/>
    </row>
    <row r="538" spans="1:13" s="202" customFormat="1" ht="26.25" customHeight="1">
      <c r="A538" s="224"/>
      <c r="B538" s="168"/>
      <c r="C538" s="632" t="s">
        <v>1712</v>
      </c>
      <c r="D538" s="632" t="s">
        <v>1709</v>
      </c>
      <c r="E538" s="632">
        <v>0.045</v>
      </c>
      <c r="F538" s="633">
        <f>E538*F533</f>
        <v>0.20249999999999999</v>
      </c>
      <c r="G538" s="47"/>
      <c r="H538" s="124">
        <f t="shared" si="18"/>
        <v>0</v>
      </c>
      <c r="I538" s="194"/>
      <c r="J538" s="107"/>
      <c r="K538" s="76"/>
      <c r="M538" s="141"/>
    </row>
    <row r="539" spans="1:13" s="202" customFormat="1" ht="26.25" customHeight="1">
      <c r="A539" s="224"/>
      <c r="B539" s="168"/>
      <c r="C539" s="632" t="s">
        <v>1713</v>
      </c>
      <c r="D539" s="632" t="s">
        <v>1711</v>
      </c>
      <c r="E539" s="632" t="s">
        <v>102</v>
      </c>
      <c r="F539" s="633">
        <v>2.5</v>
      </c>
      <c r="G539" s="47"/>
      <c r="H539" s="124">
        <f t="shared" si="18"/>
        <v>0</v>
      </c>
      <c r="I539" s="194"/>
      <c r="J539" s="107"/>
      <c r="K539" s="76"/>
      <c r="M539" s="141"/>
    </row>
    <row r="540" spans="1:13" s="202" customFormat="1" ht="26.25" customHeight="1">
      <c r="A540" s="224"/>
      <c r="B540" s="168"/>
      <c r="C540" s="632" t="s">
        <v>1714</v>
      </c>
      <c r="D540" s="632" t="s">
        <v>1715</v>
      </c>
      <c r="E540" s="632">
        <v>0.466</v>
      </c>
      <c r="F540" s="633">
        <f>E540*F533</f>
        <v>2.097</v>
      </c>
      <c r="G540" s="47"/>
      <c r="H540" s="124">
        <f t="shared" si="18"/>
        <v>0</v>
      </c>
      <c r="I540" s="194"/>
      <c r="J540" s="107"/>
      <c r="K540" s="76"/>
      <c r="M540" s="141"/>
    </row>
    <row r="541" spans="1:13" s="202" customFormat="1" ht="39" customHeight="1">
      <c r="A541" s="378" t="s">
        <v>71</v>
      </c>
      <c r="B541" s="168" t="s">
        <v>290</v>
      </c>
      <c r="C541" s="634" t="s">
        <v>1724</v>
      </c>
      <c r="D541" s="634" t="s">
        <v>1717</v>
      </c>
      <c r="E541" s="635"/>
      <c r="F541" s="636">
        <v>1</v>
      </c>
      <c r="G541" s="47"/>
      <c r="H541" s="347">
        <f>SUM(H542:H545)</f>
        <v>0</v>
      </c>
      <c r="I541" s="194"/>
      <c r="J541" s="107"/>
      <c r="K541" s="76"/>
      <c r="M541" s="141"/>
    </row>
    <row r="542" spans="1:13" s="202" customFormat="1" ht="26.25" customHeight="1">
      <c r="A542" s="224"/>
      <c r="B542" s="168"/>
      <c r="C542" s="635" t="s">
        <v>1718</v>
      </c>
      <c r="D542" s="635" t="s">
        <v>1706</v>
      </c>
      <c r="E542" s="635">
        <v>1</v>
      </c>
      <c r="F542" s="637">
        <f>F541*E542</f>
        <v>1</v>
      </c>
      <c r="G542" s="47"/>
      <c r="H542" s="124">
        <f>F542*G542</f>
        <v>0</v>
      </c>
      <c r="I542" s="194"/>
      <c r="J542" s="107"/>
      <c r="K542" s="76"/>
      <c r="M542" s="141"/>
    </row>
    <row r="543" spans="1:13" s="202" customFormat="1" ht="26.25" customHeight="1">
      <c r="A543" s="224"/>
      <c r="B543" s="168"/>
      <c r="C543" s="635" t="s">
        <v>1719</v>
      </c>
      <c r="D543" s="635" t="s">
        <v>1720</v>
      </c>
      <c r="E543" s="635">
        <v>104</v>
      </c>
      <c r="F543" s="638">
        <f>F541*E543</f>
        <v>104</v>
      </c>
      <c r="G543" s="47"/>
      <c r="H543" s="124">
        <f>F543*G543</f>
        <v>0</v>
      </c>
      <c r="I543" s="194"/>
      <c r="J543" s="107"/>
      <c r="K543" s="76"/>
      <c r="M543" s="141"/>
    </row>
    <row r="544" spans="1:13" s="202" customFormat="1" ht="26.25" customHeight="1">
      <c r="A544" s="224"/>
      <c r="B544" s="168"/>
      <c r="C544" s="635" t="s">
        <v>1721</v>
      </c>
      <c r="D544" s="635" t="s">
        <v>1722</v>
      </c>
      <c r="E544" s="639">
        <v>136.6</v>
      </c>
      <c r="F544" s="639">
        <f>E544*F541</f>
        <v>136.6</v>
      </c>
      <c r="G544" s="47"/>
      <c r="H544" s="124">
        <f>F544*G544</f>
        <v>0</v>
      </c>
      <c r="I544" s="194"/>
      <c r="J544" s="107"/>
      <c r="K544" s="76"/>
      <c r="M544" s="141"/>
    </row>
    <row r="545" spans="1:13" s="202" customFormat="1" ht="26.25" customHeight="1">
      <c r="A545" s="224"/>
      <c r="B545" s="168"/>
      <c r="C545" s="635" t="s">
        <v>1723</v>
      </c>
      <c r="D545" s="635" t="s">
        <v>1722</v>
      </c>
      <c r="E545" s="639">
        <v>26.5</v>
      </c>
      <c r="F545" s="639">
        <f>E545*F542</f>
        <v>26.5</v>
      </c>
      <c r="G545" s="47"/>
      <c r="H545" s="124">
        <f>F545*G545</f>
        <v>0</v>
      </c>
      <c r="I545" s="194"/>
      <c r="J545" s="107"/>
      <c r="K545" s="76"/>
      <c r="M545" s="141"/>
    </row>
    <row r="546" spans="1:13" s="202" customFormat="1" ht="60" customHeight="1">
      <c r="A546" s="181"/>
      <c r="B546" s="255"/>
      <c r="C546" s="619" t="s">
        <v>1725</v>
      </c>
      <c r="D546" s="181" t="s">
        <v>16</v>
      </c>
      <c r="E546" s="181"/>
      <c r="F546" s="254"/>
      <c r="G546" s="405"/>
      <c r="H546" s="405">
        <f>H501+H507+H513+H517+H495+H526+H533+H541</f>
        <v>0</v>
      </c>
      <c r="I546" s="194"/>
      <c r="J546" s="107"/>
      <c r="K546" s="76"/>
      <c r="M546" s="141"/>
    </row>
    <row r="547" spans="1:13" s="202" customFormat="1" ht="50.25" customHeight="1">
      <c r="A547" s="181"/>
      <c r="B547" s="252"/>
      <c r="C547" s="238" t="s">
        <v>1639</v>
      </c>
      <c r="D547" s="182"/>
      <c r="E547" s="182"/>
      <c r="F547" s="253"/>
      <c r="G547" s="286"/>
      <c r="H547" s="183"/>
      <c r="I547" s="194"/>
      <c r="J547" s="107"/>
      <c r="K547" s="76"/>
      <c r="M547" s="141"/>
    </row>
    <row r="548" spans="1:13" s="202" customFormat="1" ht="60.75" customHeight="1">
      <c r="A548" s="163">
        <v>1</v>
      </c>
      <c r="B548" s="594" t="s">
        <v>765</v>
      </c>
      <c r="C548" s="163" t="s">
        <v>1256</v>
      </c>
      <c r="D548" s="163" t="s">
        <v>194</v>
      </c>
      <c r="E548" s="163"/>
      <c r="F548" s="226">
        <v>5130</v>
      </c>
      <c r="G548" s="226"/>
      <c r="H548" s="380">
        <f>H549+H550+H551+H552+H554+H553</f>
        <v>0</v>
      </c>
      <c r="I548" s="194"/>
      <c r="J548" s="107"/>
      <c r="K548" s="76"/>
      <c r="M548" s="141"/>
    </row>
    <row r="549" spans="1:13" s="202" customFormat="1" ht="29.25" customHeight="1">
      <c r="A549" s="187"/>
      <c r="B549" s="224" t="s">
        <v>4</v>
      </c>
      <c r="C549" s="496" t="s">
        <v>767</v>
      </c>
      <c r="D549" s="373" t="s">
        <v>5</v>
      </c>
      <c r="E549" s="373">
        <f>1.16*1.01</f>
        <v>1.1716</v>
      </c>
      <c r="F549" s="188">
        <f>F548*E549</f>
        <v>6010.308</v>
      </c>
      <c r="G549" s="183"/>
      <c r="H549" s="183">
        <f>F549*G549</f>
        <v>0</v>
      </c>
      <c r="I549" s="194"/>
      <c r="J549" s="107"/>
      <c r="K549" s="76"/>
      <c r="M549" s="141"/>
    </row>
    <row r="550" spans="1:13" s="202" customFormat="1" ht="33.75" customHeight="1">
      <c r="A550" s="187"/>
      <c r="B550" s="496" t="s">
        <v>1326</v>
      </c>
      <c r="C550" s="496" t="s">
        <v>809</v>
      </c>
      <c r="D550" s="168" t="s">
        <v>23</v>
      </c>
      <c r="E550" s="595">
        <f>0.041*1.15</f>
        <v>0.04715</v>
      </c>
      <c r="F550" s="188">
        <f>F548*E550</f>
        <v>241.87949999999998</v>
      </c>
      <c r="G550" s="47"/>
      <c r="H550" s="183">
        <f>F550*G550</f>
        <v>0</v>
      </c>
      <c r="I550" s="194"/>
      <c r="J550" s="107"/>
      <c r="K550" s="76"/>
      <c r="M550" s="141"/>
    </row>
    <row r="551" spans="1:13" s="202" customFormat="1" ht="28.5" customHeight="1">
      <c r="A551" s="187"/>
      <c r="B551" s="224" t="s">
        <v>4</v>
      </c>
      <c r="C551" s="496" t="s">
        <v>770</v>
      </c>
      <c r="D551" s="373" t="s">
        <v>16</v>
      </c>
      <c r="E551" s="595">
        <v>0.027</v>
      </c>
      <c r="F551" s="188">
        <f>F548*E551</f>
        <v>138.51</v>
      </c>
      <c r="G551" s="290"/>
      <c r="H551" s="183">
        <f>F551*G551</f>
        <v>0</v>
      </c>
      <c r="I551" s="194"/>
      <c r="J551" s="107"/>
      <c r="K551" s="76"/>
      <c r="M551" s="141"/>
    </row>
    <row r="552" spans="1:13" s="202" customFormat="1" ht="30.75" customHeight="1">
      <c r="A552" s="187"/>
      <c r="B552" s="224" t="s">
        <v>1348</v>
      </c>
      <c r="C552" s="496" t="s">
        <v>810</v>
      </c>
      <c r="D552" s="373" t="s">
        <v>14</v>
      </c>
      <c r="E552" s="595">
        <f>1.05*0.0238</f>
        <v>0.024990000000000002</v>
      </c>
      <c r="F552" s="188">
        <f>F548*E552</f>
        <v>128.1987</v>
      </c>
      <c r="G552" s="52"/>
      <c r="H552" s="183">
        <f>F552*G552</f>
        <v>0</v>
      </c>
      <c r="I552" s="194"/>
      <c r="J552" s="107"/>
      <c r="K552" s="76"/>
      <c r="M552" s="141"/>
    </row>
    <row r="553" spans="1:13" s="202" customFormat="1" ht="30.75" customHeight="1">
      <c r="A553" s="187"/>
      <c r="B553" s="496" t="s">
        <v>1405</v>
      </c>
      <c r="C553" s="496" t="s">
        <v>1406</v>
      </c>
      <c r="D553" s="373" t="s">
        <v>43</v>
      </c>
      <c r="E553" s="206">
        <v>0.0528</v>
      </c>
      <c r="F553" s="377">
        <f>F548*E553</f>
        <v>270.864</v>
      </c>
      <c r="G553" s="377"/>
      <c r="H553" s="124">
        <f>G553*F553</f>
        <v>0</v>
      </c>
      <c r="I553" s="194"/>
      <c r="J553" s="107"/>
      <c r="K553" s="76"/>
      <c r="M553" s="141"/>
    </row>
    <row r="554" spans="1:13" s="202" customFormat="1" ht="30.75" customHeight="1">
      <c r="A554" s="187"/>
      <c r="B554" s="224" t="s">
        <v>4</v>
      </c>
      <c r="C554" s="496" t="s">
        <v>18</v>
      </c>
      <c r="D554" s="373" t="s">
        <v>16</v>
      </c>
      <c r="E554" s="206">
        <v>0.003</v>
      </c>
      <c r="F554" s="188">
        <f>F548*E554</f>
        <v>15.39</v>
      </c>
      <c r="G554" s="290"/>
      <c r="H554" s="183">
        <f>F554*G554</f>
        <v>0</v>
      </c>
      <c r="I554" s="194"/>
      <c r="J554" s="107"/>
      <c r="K554" s="76"/>
      <c r="M554" s="141"/>
    </row>
    <row r="555" spans="1:13" s="202" customFormat="1" ht="54" customHeight="1">
      <c r="A555" s="376" t="s">
        <v>37</v>
      </c>
      <c r="B555" s="378" t="s">
        <v>771</v>
      </c>
      <c r="C555" s="375" t="s">
        <v>1257</v>
      </c>
      <c r="D555" s="374" t="s">
        <v>46</v>
      </c>
      <c r="E555" s="374"/>
      <c r="F555" s="192">
        <v>870</v>
      </c>
      <c r="G555" s="137"/>
      <c r="H555" s="190">
        <f>SUM(H556:H558)</f>
        <v>0</v>
      </c>
      <c r="I555" s="194"/>
      <c r="J555" s="107"/>
      <c r="K555" s="76"/>
      <c r="M555" s="141"/>
    </row>
    <row r="556" spans="1:13" s="202" customFormat="1" ht="30.75" customHeight="1">
      <c r="A556" s="497"/>
      <c r="B556" s="224" t="s">
        <v>4</v>
      </c>
      <c r="C556" s="496" t="s">
        <v>148</v>
      </c>
      <c r="D556" s="373" t="s">
        <v>5</v>
      </c>
      <c r="E556" s="373">
        <v>0.45</v>
      </c>
      <c r="F556" s="377">
        <f>F555*E556</f>
        <v>391.5</v>
      </c>
      <c r="G556" s="377"/>
      <c r="H556" s="124">
        <f>G556*F556</f>
        <v>0</v>
      </c>
      <c r="I556" s="194"/>
      <c r="J556" s="107"/>
      <c r="K556" s="76"/>
      <c r="M556" s="141"/>
    </row>
    <row r="557" spans="1:13" s="202" customFormat="1" ht="30.75" customHeight="1">
      <c r="A557" s="497"/>
      <c r="B557" s="224" t="s">
        <v>4</v>
      </c>
      <c r="C557" s="496" t="s">
        <v>129</v>
      </c>
      <c r="D557" s="373" t="s">
        <v>16</v>
      </c>
      <c r="E557" s="373">
        <v>0.011</v>
      </c>
      <c r="F557" s="377">
        <f>E557*F555</f>
        <v>9.57</v>
      </c>
      <c r="G557" s="47"/>
      <c r="H557" s="124">
        <f>G557*F557</f>
        <v>0</v>
      </c>
      <c r="I557" s="194"/>
      <c r="J557" s="107"/>
      <c r="K557" s="76"/>
      <c r="M557" s="141"/>
    </row>
    <row r="558" spans="1:13" s="202" customFormat="1" ht="30.75" customHeight="1">
      <c r="A558" s="497"/>
      <c r="B558" s="496" t="s">
        <v>1361</v>
      </c>
      <c r="C558" s="496" t="s">
        <v>58</v>
      </c>
      <c r="D558" s="373" t="s">
        <v>20</v>
      </c>
      <c r="E558" s="373">
        <v>0.007</v>
      </c>
      <c r="F558" s="377">
        <f>F555*E558</f>
        <v>6.09</v>
      </c>
      <c r="G558" s="377"/>
      <c r="H558" s="124">
        <f>G558*F558</f>
        <v>0</v>
      </c>
      <c r="I558" s="194"/>
      <c r="J558" s="107"/>
      <c r="K558" s="76"/>
      <c r="M558" s="141"/>
    </row>
    <row r="559" spans="1:13" s="202" customFormat="1" ht="63" customHeight="1">
      <c r="A559" s="163">
        <v>3</v>
      </c>
      <c r="B559" s="378" t="s">
        <v>811</v>
      </c>
      <c r="C559" s="163" t="s">
        <v>398</v>
      </c>
      <c r="D559" s="163" t="s">
        <v>194</v>
      </c>
      <c r="E559" s="163"/>
      <c r="F559" s="226">
        <v>602</v>
      </c>
      <c r="G559" s="226"/>
      <c r="H559" s="380">
        <f>H560+H561+H562+H563+H564</f>
        <v>0</v>
      </c>
      <c r="I559" s="194"/>
      <c r="J559" s="107"/>
      <c r="K559" s="76"/>
      <c r="M559" s="141"/>
    </row>
    <row r="560" spans="1:13" s="202" customFormat="1" ht="38.25" customHeight="1">
      <c r="A560" s="187"/>
      <c r="B560" s="252" t="s">
        <v>4</v>
      </c>
      <c r="C560" s="496" t="s">
        <v>813</v>
      </c>
      <c r="D560" s="182" t="s">
        <v>105</v>
      </c>
      <c r="E560" s="182">
        <f>1.16*0.64</f>
        <v>0.7424</v>
      </c>
      <c r="F560" s="188">
        <f>F559*E560</f>
        <v>446.92479999999995</v>
      </c>
      <c r="G560" s="183"/>
      <c r="H560" s="183">
        <f>F560*G560</f>
        <v>0</v>
      </c>
      <c r="I560" s="194"/>
      <c r="J560" s="107"/>
      <c r="K560" s="76"/>
      <c r="M560" s="141"/>
    </row>
    <row r="561" spans="1:13" s="202" customFormat="1" ht="30.75" customHeight="1">
      <c r="A561" s="187"/>
      <c r="B561" s="252" t="s">
        <v>199</v>
      </c>
      <c r="C561" s="182" t="s">
        <v>106</v>
      </c>
      <c r="D561" s="182" t="s">
        <v>16</v>
      </c>
      <c r="E561" s="182">
        <v>0.021</v>
      </c>
      <c r="F561" s="188">
        <f>F559*E561</f>
        <v>12.642000000000001</v>
      </c>
      <c r="G561" s="47"/>
      <c r="H561" s="183">
        <f>F561*G561</f>
        <v>0</v>
      </c>
      <c r="I561" s="194"/>
      <c r="J561" s="107"/>
      <c r="K561" s="76"/>
      <c r="M561" s="141"/>
    </row>
    <row r="562" spans="1:13" s="202" customFormat="1" ht="30.75" customHeight="1">
      <c r="A562" s="187"/>
      <c r="B562" s="252" t="s">
        <v>446</v>
      </c>
      <c r="C562" s="496" t="s">
        <v>809</v>
      </c>
      <c r="D562" s="182" t="s">
        <v>143</v>
      </c>
      <c r="E562" s="182">
        <f>1.15*0.041</f>
        <v>0.04715</v>
      </c>
      <c r="F562" s="188">
        <f>F559*E562</f>
        <v>28.3843</v>
      </c>
      <c r="G562" s="290"/>
      <c r="H562" s="183">
        <f>F562*G562</f>
        <v>0</v>
      </c>
      <c r="I562" s="194"/>
      <c r="J562" s="107"/>
      <c r="K562" s="76"/>
      <c r="M562" s="141"/>
    </row>
    <row r="563" spans="1:13" s="202" customFormat="1" ht="30.75" customHeight="1">
      <c r="A563" s="187"/>
      <c r="B563" s="224" t="s">
        <v>1348</v>
      </c>
      <c r="C563" s="182" t="s">
        <v>812</v>
      </c>
      <c r="D563" s="182" t="s">
        <v>197</v>
      </c>
      <c r="E563" s="182">
        <f>(0.0158+0.002)*1.05</f>
        <v>0.018690000000000005</v>
      </c>
      <c r="F563" s="188">
        <f>F559*E563</f>
        <v>11.251380000000003</v>
      </c>
      <c r="G563" s="52"/>
      <c r="H563" s="183">
        <f>F563*G563</f>
        <v>0</v>
      </c>
      <c r="I563" s="194"/>
      <c r="J563" s="107"/>
      <c r="K563" s="76"/>
      <c r="M563" s="141"/>
    </row>
    <row r="564" spans="1:13" s="202" customFormat="1" ht="30.75" customHeight="1">
      <c r="A564" s="187"/>
      <c r="B564" s="252" t="s">
        <v>4</v>
      </c>
      <c r="C564" s="207" t="s">
        <v>38</v>
      </c>
      <c r="D564" s="182" t="s">
        <v>16</v>
      </c>
      <c r="E564" s="182">
        <f>0.003</f>
        <v>0.003</v>
      </c>
      <c r="F564" s="188">
        <f>F559*E564</f>
        <v>1.806</v>
      </c>
      <c r="G564" s="47"/>
      <c r="H564" s="183">
        <f>F564*G564</f>
        <v>0</v>
      </c>
      <c r="I564" s="194"/>
      <c r="J564" s="107"/>
      <c r="K564" s="76"/>
      <c r="M564" s="141"/>
    </row>
    <row r="565" spans="1:13" s="202" customFormat="1" ht="102" customHeight="1">
      <c r="A565" s="376" t="s">
        <v>64</v>
      </c>
      <c r="B565" s="378" t="s">
        <v>61</v>
      </c>
      <c r="C565" s="375" t="s">
        <v>1640</v>
      </c>
      <c r="D565" s="375" t="s">
        <v>43</v>
      </c>
      <c r="E565" s="375"/>
      <c r="F565" s="226">
        <f>F559</f>
        <v>602</v>
      </c>
      <c r="G565" s="226"/>
      <c r="H565" s="380">
        <f>SUM(H566:H570)</f>
        <v>0</v>
      </c>
      <c r="I565" s="194"/>
      <c r="J565" s="107"/>
      <c r="K565" s="76"/>
      <c r="M565" s="141"/>
    </row>
    <row r="566" spans="1:13" s="202" customFormat="1" ht="37.5" customHeight="1">
      <c r="A566" s="497"/>
      <c r="B566" s="224" t="s">
        <v>4</v>
      </c>
      <c r="C566" s="496" t="s">
        <v>136</v>
      </c>
      <c r="D566" s="496" t="s">
        <v>5</v>
      </c>
      <c r="E566" s="496">
        <v>2.19</v>
      </c>
      <c r="F566" s="377">
        <f>F565*E566</f>
        <v>1318.3799999999999</v>
      </c>
      <c r="G566" s="222"/>
      <c r="H566" s="377">
        <f>G566*F566</f>
        <v>0</v>
      </c>
      <c r="I566" s="194"/>
      <c r="J566" s="107"/>
      <c r="K566" s="76"/>
      <c r="M566" s="141"/>
    </row>
    <row r="567" spans="1:13" s="202" customFormat="1" ht="30.75" customHeight="1">
      <c r="A567" s="497"/>
      <c r="B567" s="224" t="s">
        <v>4</v>
      </c>
      <c r="C567" s="496" t="s">
        <v>137</v>
      </c>
      <c r="D567" s="496" t="s">
        <v>16</v>
      </c>
      <c r="E567" s="225">
        <v>0.02</v>
      </c>
      <c r="F567" s="222">
        <f>E567*F565</f>
        <v>12.040000000000001</v>
      </c>
      <c r="G567" s="47"/>
      <c r="H567" s="222">
        <f>G567*F567</f>
        <v>0</v>
      </c>
      <c r="I567" s="194"/>
      <c r="J567" s="107"/>
      <c r="K567" s="76"/>
      <c r="M567" s="141"/>
    </row>
    <row r="568" spans="1:13" s="202" customFormat="1" ht="30.75" customHeight="1">
      <c r="A568" s="497"/>
      <c r="B568" s="177" t="s">
        <v>536</v>
      </c>
      <c r="C568" s="496" t="s">
        <v>60</v>
      </c>
      <c r="D568" s="496" t="s">
        <v>53</v>
      </c>
      <c r="E568" s="222">
        <v>8</v>
      </c>
      <c r="F568" s="222">
        <f>E568*F565</f>
        <v>4816</v>
      </c>
      <c r="G568" s="47"/>
      <c r="H568" s="222">
        <f>G568*F568</f>
        <v>0</v>
      </c>
      <c r="I568" s="194"/>
      <c r="J568" s="107"/>
      <c r="K568" s="76"/>
      <c r="M568" s="141"/>
    </row>
    <row r="569" spans="1:13" s="202" customFormat="1" ht="32.25" customHeight="1">
      <c r="A569" s="497"/>
      <c r="B569" s="224" t="s">
        <v>1407</v>
      </c>
      <c r="C569" s="496" t="s">
        <v>62</v>
      </c>
      <c r="D569" s="496" t="s">
        <v>48</v>
      </c>
      <c r="E569" s="496">
        <v>1.05</v>
      </c>
      <c r="F569" s="222">
        <f>E569*F565</f>
        <v>632.1</v>
      </c>
      <c r="G569" s="222"/>
      <c r="H569" s="222">
        <f>G569*F569</f>
        <v>0</v>
      </c>
      <c r="I569" s="194"/>
      <c r="J569" s="107"/>
      <c r="K569" s="76"/>
      <c r="M569" s="141"/>
    </row>
    <row r="570" spans="1:13" s="202" customFormat="1" ht="26.25" customHeight="1">
      <c r="A570" s="497"/>
      <c r="B570" s="224" t="s">
        <v>4</v>
      </c>
      <c r="C570" s="207" t="s">
        <v>38</v>
      </c>
      <c r="D570" s="496" t="s">
        <v>16</v>
      </c>
      <c r="E570" s="496">
        <v>0.006999999999999999</v>
      </c>
      <c r="F570" s="222">
        <f>E570*F565</f>
        <v>4.2139999999999995</v>
      </c>
      <c r="G570" s="47"/>
      <c r="H570" s="222">
        <f>G570*F570</f>
        <v>0</v>
      </c>
      <c r="I570" s="194"/>
      <c r="J570" s="107"/>
      <c r="K570" s="76"/>
      <c r="M570" s="141"/>
    </row>
    <row r="571" spans="1:13" s="202" customFormat="1" ht="109.5" customHeight="1">
      <c r="A571" s="219">
        <v>5</v>
      </c>
      <c r="B571" s="378" t="s">
        <v>399</v>
      </c>
      <c r="C571" s="219" t="s">
        <v>1641</v>
      </c>
      <c r="D571" s="219" t="s">
        <v>194</v>
      </c>
      <c r="E571" s="219"/>
      <c r="F571" s="226">
        <v>2160</v>
      </c>
      <c r="G571" s="226"/>
      <c r="H571" s="380">
        <f>H572+H573+H574+H575+H576</f>
        <v>0</v>
      </c>
      <c r="I571" s="194"/>
      <c r="J571" s="107"/>
      <c r="K571" s="76"/>
      <c r="M571" s="141"/>
    </row>
    <row r="572" spans="1:13" s="202" customFormat="1" ht="24.75" customHeight="1">
      <c r="A572" s="219"/>
      <c r="B572" s="198" t="s">
        <v>4</v>
      </c>
      <c r="C572" s="496" t="s">
        <v>136</v>
      </c>
      <c r="D572" s="252" t="s">
        <v>105</v>
      </c>
      <c r="E572" s="198">
        <v>0.856</v>
      </c>
      <c r="F572" s="51">
        <f>F571*E572</f>
        <v>1848.96</v>
      </c>
      <c r="G572" s="47"/>
      <c r="H572" s="47">
        <f>F572*G572</f>
        <v>0</v>
      </c>
      <c r="I572" s="194"/>
      <c r="J572" s="107"/>
      <c r="K572" s="76"/>
      <c r="M572" s="141"/>
    </row>
    <row r="573" spans="1:13" s="202" customFormat="1" ht="27.75" customHeight="1">
      <c r="A573" s="219"/>
      <c r="B573" s="198" t="s">
        <v>4</v>
      </c>
      <c r="C573" s="198" t="s">
        <v>106</v>
      </c>
      <c r="D573" s="198" t="s">
        <v>16</v>
      </c>
      <c r="E573" s="198">
        <v>0.012</v>
      </c>
      <c r="F573" s="51">
        <f>F571*E573</f>
        <v>25.92</v>
      </c>
      <c r="G573" s="47"/>
      <c r="H573" s="47">
        <f>F573*G573</f>
        <v>0</v>
      </c>
      <c r="I573" s="194"/>
      <c r="J573" s="107"/>
      <c r="K573" s="76"/>
      <c r="M573" s="141"/>
    </row>
    <row r="574" spans="1:13" s="202" customFormat="1" ht="33.75" customHeight="1">
      <c r="A574" s="219"/>
      <c r="B574" s="513" t="s">
        <v>1327</v>
      </c>
      <c r="C574" s="198" t="s">
        <v>539</v>
      </c>
      <c r="D574" s="198" t="s">
        <v>53</v>
      </c>
      <c r="E574" s="198">
        <v>0.63</v>
      </c>
      <c r="F574" s="51">
        <f>F571*E574</f>
        <v>1360.8</v>
      </c>
      <c r="G574" s="463"/>
      <c r="H574" s="47">
        <f>F574*G574</f>
        <v>0</v>
      </c>
      <c r="I574" s="194"/>
      <c r="J574" s="107"/>
      <c r="K574" s="76"/>
      <c r="M574" s="141"/>
    </row>
    <row r="575" spans="1:13" s="202" customFormat="1" ht="28.5" customHeight="1">
      <c r="A575" s="219"/>
      <c r="B575" s="198" t="s">
        <v>1398</v>
      </c>
      <c r="C575" s="198" t="s">
        <v>219</v>
      </c>
      <c r="D575" s="198" t="s">
        <v>53</v>
      </c>
      <c r="E575" s="198">
        <v>0.92</v>
      </c>
      <c r="F575" s="51">
        <f>F571*E575</f>
        <v>1987.2</v>
      </c>
      <c r="G575" s="463"/>
      <c r="H575" s="47">
        <f>F575*G575</f>
        <v>0</v>
      </c>
      <c r="I575" s="194"/>
      <c r="J575" s="107"/>
      <c r="K575" s="76"/>
      <c r="M575" s="141"/>
    </row>
    <row r="576" spans="1:13" s="202" customFormat="1" ht="30.75" customHeight="1">
      <c r="A576" s="219"/>
      <c r="B576" s="198" t="s">
        <v>4</v>
      </c>
      <c r="C576" s="207" t="s">
        <v>38</v>
      </c>
      <c r="D576" s="198" t="s">
        <v>16</v>
      </c>
      <c r="E576" s="198">
        <v>0.018</v>
      </c>
      <c r="F576" s="51">
        <f>F571*E576</f>
        <v>38.879999999999995</v>
      </c>
      <c r="G576" s="47"/>
      <c r="H576" s="47">
        <f>F576*G576</f>
        <v>0</v>
      </c>
      <c r="I576" s="194"/>
      <c r="J576" s="107"/>
      <c r="K576" s="76"/>
      <c r="M576" s="141"/>
    </row>
    <row r="577" spans="1:13" s="202" customFormat="1" ht="150.75" customHeight="1">
      <c r="A577" s="219">
        <v>6</v>
      </c>
      <c r="B577" s="378" t="s">
        <v>400</v>
      </c>
      <c r="C577" s="219" t="s">
        <v>1642</v>
      </c>
      <c r="D577" s="219" t="s">
        <v>194</v>
      </c>
      <c r="E577" s="219"/>
      <c r="F577" s="226">
        <v>4915</v>
      </c>
      <c r="G577" s="226"/>
      <c r="H577" s="380">
        <f>H578+H579+H580+H581+H582</f>
        <v>0</v>
      </c>
      <c r="I577" s="194"/>
      <c r="J577" s="107"/>
      <c r="K577" s="76"/>
      <c r="M577" s="141"/>
    </row>
    <row r="578" spans="1:13" s="202" customFormat="1" ht="34.5" customHeight="1">
      <c r="A578" s="219"/>
      <c r="B578" s="198" t="s">
        <v>4</v>
      </c>
      <c r="C578" s="496" t="s">
        <v>136</v>
      </c>
      <c r="D578" s="252" t="s">
        <v>105</v>
      </c>
      <c r="E578" s="198">
        <v>0.658</v>
      </c>
      <c r="F578" s="51">
        <f>F577*E578</f>
        <v>3234.07</v>
      </c>
      <c r="G578" s="47"/>
      <c r="H578" s="47">
        <f>F578*G578</f>
        <v>0</v>
      </c>
      <c r="I578" s="194"/>
      <c r="J578" s="107"/>
      <c r="K578" s="76"/>
      <c r="M578" s="141"/>
    </row>
    <row r="579" spans="1:13" s="202" customFormat="1" ht="33" customHeight="1">
      <c r="A579" s="219"/>
      <c r="B579" s="198" t="s">
        <v>4</v>
      </c>
      <c r="C579" s="198" t="s">
        <v>106</v>
      </c>
      <c r="D579" s="198" t="s">
        <v>16</v>
      </c>
      <c r="E579" s="198">
        <v>0.01</v>
      </c>
      <c r="F579" s="51">
        <f>F577*E579</f>
        <v>49.15</v>
      </c>
      <c r="G579" s="47"/>
      <c r="H579" s="47">
        <f>F579*G579</f>
        <v>0</v>
      </c>
      <c r="I579" s="194"/>
      <c r="J579" s="107"/>
      <c r="K579" s="76"/>
      <c r="M579" s="141"/>
    </row>
    <row r="580" spans="1:13" s="202" customFormat="1" ht="30.75" customHeight="1">
      <c r="A580" s="219"/>
      <c r="B580" s="513" t="s">
        <v>1327</v>
      </c>
      <c r="C580" s="198" t="s">
        <v>539</v>
      </c>
      <c r="D580" s="198" t="s">
        <v>53</v>
      </c>
      <c r="E580" s="198">
        <v>0.63</v>
      </c>
      <c r="F580" s="51">
        <f>F577*E580</f>
        <v>3096.45</v>
      </c>
      <c r="G580" s="463"/>
      <c r="H580" s="47">
        <f>F580*G580</f>
        <v>0</v>
      </c>
      <c r="I580" s="194"/>
      <c r="J580" s="107"/>
      <c r="K580" s="76"/>
      <c r="M580" s="141"/>
    </row>
    <row r="581" spans="1:13" s="202" customFormat="1" ht="30.75" customHeight="1">
      <c r="A581" s="219"/>
      <c r="B581" s="198" t="s">
        <v>1398</v>
      </c>
      <c r="C581" s="198" t="s">
        <v>219</v>
      </c>
      <c r="D581" s="198" t="s">
        <v>53</v>
      </c>
      <c r="E581" s="198">
        <v>0.79</v>
      </c>
      <c r="F581" s="51">
        <f>F577*E581</f>
        <v>3882.8500000000004</v>
      </c>
      <c r="G581" s="463"/>
      <c r="H581" s="47">
        <f>F581*G581</f>
        <v>0</v>
      </c>
      <c r="I581" s="194"/>
      <c r="J581" s="107"/>
      <c r="K581" s="76"/>
      <c r="M581" s="141"/>
    </row>
    <row r="582" spans="1:13" s="202" customFormat="1" ht="30.75" customHeight="1">
      <c r="A582" s="219"/>
      <c r="B582" s="198" t="s">
        <v>4</v>
      </c>
      <c r="C582" s="207" t="s">
        <v>38</v>
      </c>
      <c r="D582" s="198" t="s">
        <v>16</v>
      </c>
      <c r="E582" s="198">
        <v>0.016</v>
      </c>
      <c r="F582" s="51">
        <f>F577*E582</f>
        <v>78.64</v>
      </c>
      <c r="G582" s="47"/>
      <c r="H582" s="47">
        <f>F582*G582</f>
        <v>0</v>
      </c>
      <c r="I582" s="194"/>
      <c r="J582" s="107"/>
      <c r="K582" s="76"/>
      <c r="M582" s="141"/>
    </row>
    <row r="583" spans="1:13" s="202" customFormat="1" ht="57" customHeight="1">
      <c r="A583" s="71">
        <v>7</v>
      </c>
      <c r="B583" s="378" t="s">
        <v>401</v>
      </c>
      <c r="C583" s="375" t="s">
        <v>495</v>
      </c>
      <c r="D583" s="68" t="s">
        <v>421</v>
      </c>
      <c r="E583" s="55"/>
      <c r="F583" s="226">
        <v>546</v>
      </c>
      <c r="G583" s="70"/>
      <c r="H583" s="380">
        <f>SUM(H584:H588)</f>
        <v>0</v>
      </c>
      <c r="I583" s="194"/>
      <c r="J583" s="107"/>
      <c r="K583" s="76"/>
      <c r="M583" s="141"/>
    </row>
    <row r="584" spans="1:13" s="202" customFormat="1" ht="29.25" customHeight="1">
      <c r="A584" s="82"/>
      <c r="B584" s="223" t="s">
        <v>4</v>
      </c>
      <c r="C584" s="496" t="s">
        <v>136</v>
      </c>
      <c r="D584" s="46" t="s">
        <v>5</v>
      </c>
      <c r="E584" s="46">
        <v>0.738</v>
      </c>
      <c r="F584" s="47">
        <f>E584*F583</f>
        <v>402.948</v>
      </c>
      <c r="G584" s="47"/>
      <c r="H584" s="222">
        <f>G584*F584</f>
        <v>0</v>
      </c>
      <c r="I584" s="194"/>
      <c r="J584" s="107"/>
      <c r="K584" s="76"/>
      <c r="M584" s="141"/>
    </row>
    <row r="585" spans="1:13" s="202" customFormat="1" ht="32.25" customHeight="1">
      <c r="A585" s="82"/>
      <c r="B585" s="223" t="s">
        <v>4</v>
      </c>
      <c r="C585" s="46" t="s">
        <v>137</v>
      </c>
      <c r="D585" s="46" t="s">
        <v>16</v>
      </c>
      <c r="E585" s="46">
        <v>0.0069</v>
      </c>
      <c r="F585" s="47">
        <f>E585*F583</f>
        <v>3.7674</v>
      </c>
      <c r="G585" s="47"/>
      <c r="H585" s="222">
        <f>G585*F585</f>
        <v>0</v>
      </c>
      <c r="I585" s="194"/>
      <c r="J585" s="107"/>
      <c r="K585" s="76"/>
      <c r="M585" s="141"/>
    </row>
    <row r="586" spans="1:13" s="202" customFormat="1" ht="31.5" customHeight="1">
      <c r="A586" s="82"/>
      <c r="B586" s="224" t="s">
        <v>1410</v>
      </c>
      <c r="C586" s="46" t="s">
        <v>403</v>
      </c>
      <c r="D586" s="46" t="s">
        <v>42</v>
      </c>
      <c r="E586" s="161">
        <v>0.00029</v>
      </c>
      <c r="F586" s="47">
        <f>E586*F583</f>
        <v>0.15834</v>
      </c>
      <c r="G586" s="47"/>
      <c r="H586" s="222">
        <f>G586*F586</f>
        <v>0</v>
      </c>
      <c r="I586" s="194"/>
      <c r="J586" s="107"/>
      <c r="K586" s="76"/>
      <c r="M586" s="141"/>
    </row>
    <row r="587" spans="1:13" s="202" customFormat="1" ht="27" customHeight="1">
      <c r="A587" s="82"/>
      <c r="B587" s="224" t="s">
        <v>1408</v>
      </c>
      <c r="C587" s="46" t="s">
        <v>85</v>
      </c>
      <c r="D587" s="46" t="s">
        <v>14</v>
      </c>
      <c r="E587" s="161">
        <v>8E-05</v>
      </c>
      <c r="F587" s="47">
        <f>E587*F583</f>
        <v>0.043680000000000004</v>
      </c>
      <c r="G587" s="47"/>
      <c r="H587" s="222">
        <f>G587*F587</f>
        <v>0</v>
      </c>
      <c r="I587" s="194"/>
      <c r="J587" s="107"/>
      <c r="K587" s="76"/>
      <c r="M587" s="141"/>
    </row>
    <row r="588" spans="1:13" s="202" customFormat="1" ht="32.25" customHeight="1">
      <c r="A588" s="82"/>
      <c r="B588" s="496" t="s">
        <v>1329</v>
      </c>
      <c r="C588" s="46" t="s">
        <v>86</v>
      </c>
      <c r="D588" s="46" t="s">
        <v>48</v>
      </c>
      <c r="E588" s="46">
        <v>0.055</v>
      </c>
      <c r="F588" s="47">
        <f>E588*F583</f>
        <v>30.03</v>
      </c>
      <c r="G588" s="47"/>
      <c r="H588" s="222">
        <f>G588*F588</f>
        <v>0</v>
      </c>
      <c r="I588" s="194"/>
      <c r="J588" s="107"/>
      <c r="K588" s="76"/>
      <c r="M588" s="141"/>
    </row>
    <row r="589" spans="1:13" s="202" customFormat="1" ht="60.75" customHeight="1">
      <c r="A589" s="181"/>
      <c r="B589" s="255"/>
      <c r="C589" s="619" t="s">
        <v>1643</v>
      </c>
      <c r="D589" s="181" t="s">
        <v>16</v>
      </c>
      <c r="E589" s="181"/>
      <c r="F589" s="254"/>
      <c r="G589" s="405"/>
      <c r="H589" s="405">
        <f>H548+H555+H559+H565+H571+H577+H583</f>
        <v>0</v>
      </c>
      <c r="I589" s="194"/>
      <c r="J589" s="107"/>
      <c r="K589" s="76"/>
      <c r="M589" s="141"/>
    </row>
    <row r="590" spans="1:13" s="202" customFormat="1" ht="33" customHeight="1">
      <c r="A590" s="82"/>
      <c r="B590" s="224"/>
      <c r="C590" s="483" t="s">
        <v>491</v>
      </c>
      <c r="D590" s="193"/>
      <c r="E590" s="265"/>
      <c r="F590" s="47"/>
      <c r="G590" s="47"/>
      <c r="H590" s="222"/>
      <c r="I590" s="194"/>
      <c r="J590" s="107"/>
      <c r="K590" s="76"/>
      <c r="M590" s="141"/>
    </row>
    <row r="591" spans="1:13" s="202" customFormat="1" ht="41.25" customHeight="1">
      <c r="A591" s="221">
        <v>1</v>
      </c>
      <c r="B591" s="378" t="s">
        <v>36</v>
      </c>
      <c r="C591" s="375" t="s">
        <v>1229</v>
      </c>
      <c r="D591" s="375" t="s">
        <v>20</v>
      </c>
      <c r="E591" s="229"/>
      <c r="F591" s="379">
        <v>2.5</v>
      </c>
      <c r="G591" s="226"/>
      <c r="H591" s="380">
        <f>H592</f>
        <v>0</v>
      </c>
      <c r="I591" s="194"/>
      <c r="J591" s="107"/>
      <c r="K591" s="76"/>
      <c r="M591" s="141"/>
    </row>
    <row r="592" spans="1:13" s="202" customFormat="1" ht="33" customHeight="1">
      <c r="A592" s="497"/>
      <c r="B592" s="224" t="s">
        <v>4</v>
      </c>
      <c r="C592" s="496" t="s">
        <v>136</v>
      </c>
      <c r="D592" s="496" t="s">
        <v>5</v>
      </c>
      <c r="E592" s="496">
        <v>2.06</v>
      </c>
      <c r="F592" s="222">
        <f>F591*E592</f>
        <v>5.15</v>
      </c>
      <c r="G592" s="222"/>
      <c r="H592" s="222">
        <f>G592*F592</f>
        <v>0</v>
      </c>
      <c r="I592" s="194"/>
      <c r="J592" s="107"/>
      <c r="K592" s="76"/>
      <c r="M592" s="141"/>
    </row>
    <row r="593" spans="1:13" s="202" customFormat="1" ht="40.5" customHeight="1">
      <c r="A593" s="376" t="s">
        <v>37</v>
      </c>
      <c r="B593" s="79" t="s">
        <v>280</v>
      </c>
      <c r="C593" s="375" t="s">
        <v>1230</v>
      </c>
      <c r="D593" s="375" t="s">
        <v>14</v>
      </c>
      <c r="E593" s="375"/>
      <c r="F593" s="226">
        <v>1.3</v>
      </c>
      <c r="G593" s="70"/>
      <c r="H593" s="380">
        <f>SUM(H594:H596)</f>
        <v>0</v>
      </c>
      <c r="I593" s="194"/>
      <c r="J593" s="107"/>
      <c r="K593" s="76"/>
      <c r="M593" s="141"/>
    </row>
    <row r="594" spans="1:13" s="202" customFormat="1" ht="33" customHeight="1">
      <c r="A594" s="82"/>
      <c r="B594" s="224" t="s">
        <v>4</v>
      </c>
      <c r="C594" s="496" t="s">
        <v>136</v>
      </c>
      <c r="D594" s="496" t="s">
        <v>5</v>
      </c>
      <c r="E594" s="46">
        <v>3.16</v>
      </c>
      <c r="F594" s="47">
        <f>E594*F593</f>
        <v>4.1080000000000005</v>
      </c>
      <c r="G594" s="52"/>
      <c r="H594" s="222">
        <f>G594*F594</f>
        <v>0</v>
      </c>
      <c r="I594" s="194"/>
      <c r="J594" s="107"/>
      <c r="K594" s="76"/>
      <c r="M594" s="141"/>
    </row>
    <row r="595" spans="1:13" s="202" customFormat="1" ht="33" customHeight="1">
      <c r="A595" s="82"/>
      <c r="B595" s="223" t="s">
        <v>1341</v>
      </c>
      <c r="C595" s="46" t="s">
        <v>422</v>
      </c>
      <c r="D595" s="46" t="s">
        <v>14</v>
      </c>
      <c r="E595" s="46">
        <v>1.25</v>
      </c>
      <c r="F595" s="47">
        <f>E595*F593</f>
        <v>1.625</v>
      </c>
      <c r="G595" s="47"/>
      <c r="H595" s="47">
        <f>G595*F595</f>
        <v>0</v>
      </c>
      <c r="I595" s="194"/>
      <c r="J595" s="107"/>
      <c r="K595" s="76"/>
      <c r="M595" s="141"/>
    </row>
    <row r="596" spans="1:13" s="202" customFormat="1" ht="33" customHeight="1">
      <c r="A596" s="82"/>
      <c r="B596" s="224" t="s">
        <v>4</v>
      </c>
      <c r="C596" s="207" t="s">
        <v>38</v>
      </c>
      <c r="D596" s="46" t="s">
        <v>16</v>
      </c>
      <c r="E596" s="46">
        <v>0.01</v>
      </c>
      <c r="F596" s="47">
        <f>E596*F593</f>
        <v>0.013000000000000001</v>
      </c>
      <c r="G596" s="47"/>
      <c r="H596" s="47">
        <f>G596*F596</f>
        <v>0</v>
      </c>
      <c r="I596" s="194"/>
      <c r="J596" s="107"/>
      <c r="K596" s="76"/>
      <c r="M596" s="141"/>
    </row>
    <row r="597" spans="1:13" s="202" customFormat="1" ht="41.25" customHeight="1">
      <c r="A597" s="320">
        <v>3</v>
      </c>
      <c r="B597" s="378" t="s">
        <v>655</v>
      </c>
      <c r="C597" s="321" t="s">
        <v>1113</v>
      </c>
      <c r="D597" s="321" t="s">
        <v>20</v>
      </c>
      <c r="E597" s="321"/>
      <c r="F597" s="321">
        <f>F593</f>
        <v>1.3</v>
      </c>
      <c r="G597" s="464"/>
      <c r="H597" s="334">
        <f>H598+H599</f>
        <v>0</v>
      </c>
      <c r="I597" s="194"/>
      <c r="J597" s="107"/>
      <c r="K597" s="76"/>
      <c r="M597" s="141"/>
    </row>
    <row r="598" spans="1:13" s="202" customFormat="1" ht="33" customHeight="1">
      <c r="A598" s="497"/>
      <c r="B598" s="224" t="s">
        <v>4</v>
      </c>
      <c r="C598" s="496" t="s">
        <v>136</v>
      </c>
      <c r="D598" s="496" t="s">
        <v>5</v>
      </c>
      <c r="E598" s="496">
        <v>0.134</v>
      </c>
      <c r="F598" s="222">
        <f>F597*E598</f>
        <v>0.17420000000000002</v>
      </c>
      <c r="G598" s="222"/>
      <c r="H598" s="222">
        <f>G598*F598</f>
        <v>0</v>
      </c>
      <c r="I598" s="194"/>
      <c r="J598" s="107"/>
      <c r="K598" s="76"/>
      <c r="M598" s="141"/>
    </row>
    <row r="599" spans="1:13" s="202" customFormat="1" ht="33" customHeight="1">
      <c r="A599" s="317"/>
      <c r="B599" s="317" t="s">
        <v>657</v>
      </c>
      <c r="C599" s="317" t="s">
        <v>658</v>
      </c>
      <c r="D599" s="317" t="s">
        <v>23</v>
      </c>
      <c r="E599" s="317">
        <v>0.13</v>
      </c>
      <c r="F599" s="317">
        <f>E599*F597</f>
        <v>0.169</v>
      </c>
      <c r="G599" s="460"/>
      <c r="H599" s="317">
        <f>F599*G599</f>
        <v>0</v>
      </c>
      <c r="I599" s="194"/>
      <c r="J599" s="107"/>
      <c r="K599" s="76"/>
      <c r="M599" s="141"/>
    </row>
    <row r="600" spans="1:13" s="202" customFormat="1" ht="59.25" customHeight="1">
      <c r="A600" s="81" t="s">
        <v>64</v>
      </c>
      <c r="B600" s="79" t="s">
        <v>423</v>
      </c>
      <c r="C600" s="55" t="s">
        <v>1601</v>
      </c>
      <c r="D600" s="55" t="s">
        <v>20</v>
      </c>
      <c r="E600" s="55"/>
      <c r="F600" s="226">
        <v>12.1</v>
      </c>
      <c r="G600" s="70"/>
      <c r="H600" s="228">
        <f>SUM(H601:H605)</f>
        <v>0</v>
      </c>
      <c r="I600" s="194"/>
      <c r="J600" s="107"/>
      <c r="K600" s="76"/>
      <c r="M600" s="141"/>
    </row>
    <row r="601" spans="1:13" s="202" customFormat="1" ht="29.25" customHeight="1">
      <c r="A601" s="82"/>
      <c r="B601" s="224" t="s">
        <v>4</v>
      </c>
      <c r="C601" s="496" t="s">
        <v>136</v>
      </c>
      <c r="D601" s="496" t="s">
        <v>5</v>
      </c>
      <c r="E601" s="51">
        <v>13.9</v>
      </c>
      <c r="F601" s="51">
        <f>E601*F600</f>
        <v>168.19</v>
      </c>
      <c r="G601" s="47"/>
      <c r="H601" s="377">
        <f>G601*F601</f>
        <v>0</v>
      </c>
      <c r="I601" s="194"/>
      <c r="J601" s="107"/>
      <c r="K601" s="76"/>
      <c r="M601" s="141"/>
    </row>
    <row r="602" spans="1:13" s="202" customFormat="1" ht="25.5" customHeight="1">
      <c r="A602" s="82"/>
      <c r="B602" s="224" t="s">
        <v>4</v>
      </c>
      <c r="C602" s="46" t="s">
        <v>137</v>
      </c>
      <c r="D602" s="46" t="s">
        <v>16</v>
      </c>
      <c r="E602" s="51">
        <v>1.28</v>
      </c>
      <c r="F602" s="51">
        <f>E602*F600</f>
        <v>15.488</v>
      </c>
      <c r="G602" s="47"/>
      <c r="H602" s="52">
        <f>G602*F602</f>
        <v>0</v>
      </c>
      <c r="I602" s="194"/>
      <c r="J602" s="107"/>
      <c r="K602" s="76"/>
      <c r="M602" s="141"/>
    </row>
    <row r="603" spans="1:13" s="202" customFormat="1" ht="29.25" customHeight="1">
      <c r="A603" s="82"/>
      <c r="B603" s="224" t="s">
        <v>1334</v>
      </c>
      <c r="C603" s="46" t="s">
        <v>1602</v>
      </c>
      <c r="D603" s="46" t="s">
        <v>14</v>
      </c>
      <c r="E603" s="51">
        <v>1.015</v>
      </c>
      <c r="F603" s="51">
        <f>E603*F600</f>
        <v>12.281499999999998</v>
      </c>
      <c r="G603" s="222"/>
      <c r="H603" s="47">
        <f>G603*F603</f>
        <v>0</v>
      </c>
      <c r="I603" s="194"/>
      <c r="J603" s="107"/>
      <c r="K603" s="76"/>
      <c r="M603" s="141"/>
    </row>
    <row r="604" spans="1:13" s="202" customFormat="1" ht="37.5" customHeight="1">
      <c r="A604" s="82"/>
      <c r="B604" s="224" t="s">
        <v>1331</v>
      </c>
      <c r="C604" s="46" t="s">
        <v>424</v>
      </c>
      <c r="D604" s="46" t="s">
        <v>14</v>
      </c>
      <c r="E604" s="157">
        <f>(1.4+4.29+0.2)/100</f>
        <v>0.058899999999999994</v>
      </c>
      <c r="F604" s="51">
        <f>F600*E604</f>
        <v>0.7126899999999999</v>
      </c>
      <c r="G604" s="47"/>
      <c r="H604" s="52">
        <f>G604*F604</f>
        <v>0</v>
      </c>
      <c r="I604" s="194"/>
      <c r="J604" s="107"/>
      <c r="K604" s="76"/>
      <c r="M604" s="141"/>
    </row>
    <row r="605" spans="1:13" s="202" customFormat="1" ht="26.25" customHeight="1">
      <c r="A605" s="82"/>
      <c r="B605" s="223" t="s">
        <v>4</v>
      </c>
      <c r="C605" s="207" t="s">
        <v>38</v>
      </c>
      <c r="D605" s="46" t="s">
        <v>16</v>
      </c>
      <c r="E605" s="157">
        <v>0.39</v>
      </c>
      <c r="F605" s="51">
        <f>E605*F600</f>
        <v>4.719</v>
      </c>
      <c r="G605" s="47"/>
      <c r="H605" s="52">
        <f>G605*F605</f>
        <v>0</v>
      </c>
      <c r="I605" s="194"/>
      <c r="J605" s="107"/>
      <c r="K605" s="76"/>
      <c r="M605" s="141"/>
    </row>
    <row r="606" spans="1:13" s="202" customFormat="1" ht="49.5" customHeight="1">
      <c r="A606" s="376" t="s">
        <v>41</v>
      </c>
      <c r="B606" s="79" t="s">
        <v>280</v>
      </c>
      <c r="C606" s="375" t="s">
        <v>1231</v>
      </c>
      <c r="D606" s="375" t="s">
        <v>14</v>
      </c>
      <c r="E606" s="375"/>
      <c r="F606" s="226">
        <v>23.1</v>
      </c>
      <c r="G606" s="70"/>
      <c r="H606" s="380">
        <f>SUM(H607:H609)</f>
        <v>0</v>
      </c>
      <c r="I606" s="194"/>
      <c r="J606" s="107"/>
      <c r="K606" s="76"/>
      <c r="M606" s="141"/>
    </row>
    <row r="607" spans="1:13" s="202" customFormat="1" ht="26.25" customHeight="1">
      <c r="A607" s="82"/>
      <c r="B607" s="224" t="s">
        <v>4</v>
      </c>
      <c r="C607" s="496" t="s">
        <v>136</v>
      </c>
      <c r="D607" s="496" t="s">
        <v>5</v>
      </c>
      <c r="E607" s="46">
        <v>3.16</v>
      </c>
      <c r="F607" s="47">
        <f>E607*F606</f>
        <v>72.99600000000001</v>
      </c>
      <c r="G607" s="52"/>
      <c r="H607" s="222">
        <f>G607*F607</f>
        <v>0</v>
      </c>
      <c r="I607" s="194"/>
      <c r="J607" s="107"/>
      <c r="K607" s="76"/>
      <c r="M607" s="141"/>
    </row>
    <row r="608" spans="1:13" s="202" customFormat="1" ht="26.25" customHeight="1">
      <c r="A608" s="82"/>
      <c r="B608" s="223" t="s">
        <v>1341</v>
      </c>
      <c r="C608" s="46" t="s">
        <v>422</v>
      </c>
      <c r="D608" s="46" t="s">
        <v>14</v>
      </c>
      <c r="E608" s="46">
        <v>1.25</v>
      </c>
      <c r="F608" s="47">
        <f>E608*F606</f>
        <v>28.875</v>
      </c>
      <c r="G608" s="47"/>
      <c r="H608" s="47">
        <f>G608*F608</f>
        <v>0</v>
      </c>
      <c r="I608" s="194"/>
      <c r="J608" s="107"/>
      <c r="K608" s="76"/>
      <c r="M608" s="141"/>
    </row>
    <row r="609" spans="1:13" s="202" customFormat="1" ht="26.25" customHeight="1">
      <c r="A609" s="82"/>
      <c r="B609" s="224" t="s">
        <v>4</v>
      </c>
      <c r="C609" s="207" t="s">
        <v>38</v>
      </c>
      <c r="D609" s="46" t="s">
        <v>16</v>
      </c>
      <c r="E609" s="46">
        <v>0.01</v>
      </c>
      <c r="F609" s="47">
        <f>E609*F606</f>
        <v>0.231</v>
      </c>
      <c r="G609" s="47"/>
      <c r="H609" s="47">
        <f>G609*F609</f>
        <v>0</v>
      </c>
      <c r="I609" s="194"/>
      <c r="J609" s="107"/>
      <c r="K609" s="76"/>
      <c r="M609" s="141"/>
    </row>
    <row r="610" spans="1:13" s="202" customFormat="1" ht="42" customHeight="1">
      <c r="A610" s="81" t="s">
        <v>44</v>
      </c>
      <c r="B610" s="378" t="s">
        <v>73</v>
      </c>
      <c r="C610" s="55" t="s">
        <v>880</v>
      </c>
      <c r="D610" s="55" t="s">
        <v>20</v>
      </c>
      <c r="E610" s="156"/>
      <c r="F610" s="80">
        <f>F591</f>
        <v>2.5</v>
      </c>
      <c r="G610" s="70"/>
      <c r="H610" s="596">
        <f>H611</f>
        <v>0</v>
      </c>
      <c r="I610" s="194"/>
      <c r="J610" s="107"/>
      <c r="K610" s="76"/>
      <c r="M610" s="141"/>
    </row>
    <row r="611" spans="1:13" s="202" customFormat="1" ht="34.5" customHeight="1">
      <c r="A611" s="82"/>
      <c r="B611" s="224" t="s">
        <v>4</v>
      </c>
      <c r="C611" s="46" t="s">
        <v>136</v>
      </c>
      <c r="D611" s="46" t="s">
        <v>5</v>
      </c>
      <c r="E611" s="46">
        <v>1.21</v>
      </c>
      <c r="F611" s="47">
        <f>F610*E611</f>
        <v>3.025</v>
      </c>
      <c r="G611" s="47"/>
      <c r="H611" s="73">
        <f>G611*F611</f>
        <v>0</v>
      </c>
      <c r="I611" s="194"/>
      <c r="J611" s="107"/>
      <c r="K611" s="76"/>
      <c r="M611" s="141"/>
    </row>
    <row r="612" spans="1:13" s="202" customFormat="1" ht="44.25" customHeight="1">
      <c r="A612" s="320">
        <v>7</v>
      </c>
      <c r="B612" s="378" t="s">
        <v>655</v>
      </c>
      <c r="C612" s="321" t="s">
        <v>881</v>
      </c>
      <c r="D612" s="321" t="s">
        <v>20</v>
      </c>
      <c r="E612" s="321"/>
      <c r="F612" s="321">
        <f>F606+F610</f>
        <v>25.6</v>
      </c>
      <c r="G612" s="464"/>
      <c r="H612" s="334">
        <f>H613+H614</f>
        <v>0</v>
      </c>
      <c r="I612" s="194"/>
      <c r="J612" s="107"/>
      <c r="K612" s="76"/>
      <c r="M612" s="141"/>
    </row>
    <row r="613" spans="1:13" s="202" customFormat="1" ht="27.75" customHeight="1">
      <c r="A613" s="82"/>
      <c r="B613" s="48" t="s">
        <v>4</v>
      </c>
      <c r="C613" s="46" t="s">
        <v>136</v>
      </c>
      <c r="D613" s="46" t="s">
        <v>5</v>
      </c>
      <c r="E613" s="46">
        <v>0.134</v>
      </c>
      <c r="F613" s="47">
        <f>F612*E613</f>
        <v>3.4304000000000006</v>
      </c>
      <c r="G613" s="47"/>
      <c r="H613" s="222">
        <f>G613*F613</f>
        <v>0</v>
      </c>
      <c r="I613" s="194"/>
      <c r="J613" s="107"/>
      <c r="K613" s="76"/>
      <c r="M613" s="141"/>
    </row>
    <row r="614" spans="1:13" s="202" customFormat="1" ht="30.75" customHeight="1">
      <c r="A614" s="317"/>
      <c r="B614" s="317" t="s">
        <v>657</v>
      </c>
      <c r="C614" s="317" t="s">
        <v>658</v>
      </c>
      <c r="D614" s="317" t="s">
        <v>23</v>
      </c>
      <c r="E614" s="317">
        <v>0.13</v>
      </c>
      <c r="F614" s="317">
        <f>E614*F612</f>
        <v>3.3280000000000003</v>
      </c>
      <c r="G614" s="460"/>
      <c r="H614" s="317">
        <f>F614*G614</f>
        <v>0</v>
      </c>
      <c r="I614" s="194"/>
      <c r="J614" s="107"/>
      <c r="K614" s="76"/>
      <c r="M614" s="141"/>
    </row>
    <row r="615" spans="1:13" s="202" customFormat="1" ht="93" customHeight="1">
      <c r="A615" s="376" t="s">
        <v>71</v>
      </c>
      <c r="B615" s="378" t="s">
        <v>59</v>
      </c>
      <c r="C615" s="375" t="s">
        <v>1232</v>
      </c>
      <c r="D615" s="193" t="s">
        <v>46</v>
      </c>
      <c r="E615" s="375"/>
      <c r="F615" s="379">
        <v>137.1</v>
      </c>
      <c r="G615" s="226"/>
      <c r="H615" s="380">
        <f>SUM(H616:H619)</f>
        <v>0</v>
      </c>
      <c r="I615" s="194"/>
      <c r="J615" s="107"/>
      <c r="K615" s="76"/>
      <c r="M615" s="141"/>
    </row>
    <row r="616" spans="1:13" s="202" customFormat="1" ht="30.75" customHeight="1">
      <c r="A616" s="497"/>
      <c r="B616" s="224" t="s">
        <v>4</v>
      </c>
      <c r="C616" s="496" t="s">
        <v>136</v>
      </c>
      <c r="D616" s="496" t="s">
        <v>5</v>
      </c>
      <c r="E616" s="496">
        <v>0.188</v>
      </c>
      <c r="F616" s="225">
        <f>E616*F615</f>
        <v>25.7748</v>
      </c>
      <c r="G616" s="222"/>
      <c r="H616" s="222">
        <f>G616*F616</f>
        <v>0</v>
      </c>
      <c r="I616" s="194"/>
      <c r="J616" s="107"/>
      <c r="K616" s="76"/>
      <c r="M616" s="141"/>
    </row>
    <row r="617" spans="1:13" s="202" customFormat="1" ht="30.75" customHeight="1">
      <c r="A617" s="497"/>
      <c r="B617" s="224" t="s">
        <v>4</v>
      </c>
      <c r="C617" s="496" t="s">
        <v>137</v>
      </c>
      <c r="D617" s="496" t="s">
        <v>16</v>
      </c>
      <c r="E617" s="496">
        <v>0.0095</v>
      </c>
      <c r="F617" s="225">
        <f>E617*F615</f>
        <v>1.3024499999999999</v>
      </c>
      <c r="G617" s="47"/>
      <c r="H617" s="222">
        <f>G617*F617</f>
        <v>0</v>
      </c>
      <c r="I617" s="194"/>
      <c r="J617" s="107"/>
      <c r="K617" s="76"/>
      <c r="M617" s="141"/>
    </row>
    <row r="618" spans="1:13" s="202" customFormat="1" ht="30.75" customHeight="1">
      <c r="A618" s="497"/>
      <c r="B618" s="224" t="s">
        <v>1362</v>
      </c>
      <c r="C618" s="496" t="s">
        <v>1126</v>
      </c>
      <c r="D618" s="496" t="s">
        <v>20</v>
      </c>
      <c r="E618" s="496">
        <v>0.0204</v>
      </c>
      <c r="F618" s="225">
        <f>E618*F615</f>
        <v>2.79684</v>
      </c>
      <c r="G618" s="222"/>
      <c r="H618" s="222">
        <f>G618*F618</f>
        <v>0</v>
      </c>
      <c r="I618" s="194"/>
      <c r="J618" s="107"/>
      <c r="K618" s="76"/>
      <c r="M618" s="141"/>
    </row>
    <row r="619" spans="1:13" s="202" customFormat="1" ht="28.5" customHeight="1">
      <c r="A619" s="497"/>
      <c r="B619" s="224" t="s">
        <v>4</v>
      </c>
      <c r="C619" s="46" t="s">
        <v>38</v>
      </c>
      <c r="D619" s="496" t="s">
        <v>16</v>
      </c>
      <c r="E619" s="496">
        <v>0.0636</v>
      </c>
      <c r="F619" s="225">
        <f>E619*F615</f>
        <v>8.71956</v>
      </c>
      <c r="G619" s="47"/>
      <c r="H619" s="222">
        <f>G619*F619</f>
        <v>0</v>
      </c>
      <c r="I619" s="194"/>
      <c r="J619" s="107"/>
      <c r="K619" s="76"/>
      <c r="M619" s="141"/>
    </row>
    <row r="620" spans="1:13" s="202" customFormat="1" ht="77.25" customHeight="1">
      <c r="A620" s="71">
        <v>9</v>
      </c>
      <c r="B620" s="378" t="s">
        <v>845</v>
      </c>
      <c r="C620" s="55" t="s">
        <v>1234</v>
      </c>
      <c r="D620" s="293" t="s">
        <v>46</v>
      </c>
      <c r="E620" s="55"/>
      <c r="F620" s="226">
        <v>64.6</v>
      </c>
      <c r="G620" s="70"/>
      <c r="H620" s="380">
        <f>SUM(H621:H626)</f>
        <v>0</v>
      </c>
      <c r="I620" s="194"/>
      <c r="J620" s="107"/>
      <c r="K620" s="76"/>
      <c r="M620" s="141"/>
    </row>
    <row r="621" spans="1:13" s="202" customFormat="1" ht="28.5" customHeight="1">
      <c r="A621" s="48"/>
      <c r="B621" s="223" t="s">
        <v>4</v>
      </c>
      <c r="C621" s="496" t="s">
        <v>136</v>
      </c>
      <c r="D621" s="46" t="s">
        <v>5</v>
      </c>
      <c r="E621" s="46">
        <v>2.13</v>
      </c>
      <c r="F621" s="225">
        <f>E621*F620</f>
        <v>137.59799999999998</v>
      </c>
      <c r="G621" s="47"/>
      <c r="H621" s="222">
        <f aca="true" t="shared" si="19" ref="H621:H626">G621*F621</f>
        <v>0</v>
      </c>
      <c r="I621" s="194"/>
      <c r="J621" s="107"/>
      <c r="K621" s="76"/>
      <c r="M621" s="141"/>
    </row>
    <row r="622" spans="1:13" s="202" customFormat="1" ht="18" customHeight="1">
      <c r="A622" s="48"/>
      <c r="B622" s="223" t="s">
        <v>4</v>
      </c>
      <c r="C622" s="46" t="s">
        <v>137</v>
      </c>
      <c r="D622" s="46" t="s">
        <v>16</v>
      </c>
      <c r="E622" s="46">
        <v>0.035</v>
      </c>
      <c r="F622" s="225">
        <f>E622*F620</f>
        <v>2.261</v>
      </c>
      <c r="G622" s="47"/>
      <c r="H622" s="222">
        <f t="shared" si="19"/>
        <v>0</v>
      </c>
      <c r="I622" s="194"/>
      <c r="J622" s="107"/>
      <c r="K622" s="76"/>
      <c r="M622" s="141"/>
    </row>
    <row r="623" spans="1:13" s="202" customFormat="1" ht="28.5" customHeight="1">
      <c r="A623" s="48"/>
      <c r="B623" s="497" t="s">
        <v>1403</v>
      </c>
      <c r="C623" s="46" t="s">
        <v>1233</v>
      </c>
      <c r="D623" s="46" t="s">
        <v>43</v>
      </c>
      <c r="E623" s="47">
        <v>1.02</v>
      </c>
      <c r="F623" s="225">
        <f>E623*F620</f>
        <v>65.892</v>
      </c>
      <c r="G623" s="222"/>
      <c r="H623" s="222">
        <f t="shared" si="19"/>
        <v>0</v>
      </c>
      <c r="I623" s="194"/>
      <c r="J623" s="107"/>
      <c r="K623" s="76"/>
      <c r="M623" s="141"/>
    </row>
    <row r="624" spans="1:13" s="202" customFormat="1" ht="28.5" customHeight="1">
      <c r="A624" s="82"/>
      <c r="B624" s="227" t="s">
        <v>1371</v>
      </c>
      <c r="C624" s="46" t="s">
        <v>346</v>
      </c>
      <c r="D624" s="49" t="s">
        <v>53</v>
      </c>
      <c r="E624" s="52">
        <v>0.3</v>
      </c>
      <c r="F624" s="52">
        <f>E624*F620</f>
        <v>19.38</v>
      </c>
      <c r="G624" s="52"/>
      <c r="H624" s="377">
        <f t="shared" si="19"/>
        <v>0</v>
      </c>
      <c r="I624" s="194"/>
      <c r="J624" s="107"/>
      <c r="K624" s="76"/>
      <c r="M624" s="141"/>
    </row>
    <row r="625" spans="1:13" s="202" customFormat="1" ht="30.75" customHeight="1">
      <c r="A625" s="48"/>
      <c r="B625" s="177" t="s">
        <v>883</v>
      </c>
      <c r="C625" s="49" t="s">
        <v>345</v>
      </c>
      <c r="D625" s="46" t="s">
        <v>53</v>
      </c>
      <c r="E625" s="47">
        <v>8</v>
      </c>
      <c r="F625" s="225">
        <f>E625*F620</f>
        <v>516.8</v>
      </c>
      <c r="G625" s="47"/>
      <c r="H625" s="222">
        <f t="shared" si="19"/>
        <v>0</v>
      </c>
      <c r="I625" s="194"/>
      <c r="J625" s="107"/>
      <c r="K625" s="76"/>
      <c r="M625" s="141"/>
    </row>
    <row r="626" spans="1:13" s="202" customFormat="1" ht="28.5" customHeight="1">
      <c r="A626" s="48"/>
      <c r="B626" s="224" t="s">
        <v>4</v>
      </c>
      <c r="C626" s="46" t="s">
        <v>38</v>
      </c>
      <c r="D626" s="46" t="s">
        <v>16</v>
      </c>
      <c r="E626" s="46">
        <v>0.043</v>
      </c>
      <c r="F626" s="225">
        <f>E626*F620</f>
        <v>2.7777999999999996</v>
      </c>
      <c r="G626" s="47"/>
      <c r="H626" s="222">
        <f t="shared" si="19"/>
        <v>0</v>
      </c>
      <c r="I626" s="194"/>
      <c r="J626" s="107"/>
      <c r="K626" s="76"/>
      <c r="M626" s="141"/>
    </row>
    <row r="627" spans="1:13" s="202" customFormat="1" ht="62.25" customHeight="1">
      <c r="A627" s="71">
        <v>10</v>
      </c>
      <c r="B627" s="378" t="s">
        <v>375</v>
      </c>
      <c r="C627" s="55" t="s">
        <v>1235</v>
      </c>
      <c r="D627" s="293" t="s">
        <v>22</v>
      </c>
      <c r="E627" s="55"/>
      <c r="F627" s="379">
        <v>16.8</v>
      </c>
      <c r="G627" s="70"/>
      <c r="H627" s="380">
        <f>SUM(H628:H631)</f>
        <v>0</v>
      </c>
      <c r="I627" s="194"/>
      <c r="J627" s="107"/>
      <c r="K627" s="76"/>
      <c r="M627" s="141"/>
    </row>
    <row r="628" spans="1:13" s="202" customFormat="1" ht="26.25" customHeight="1">
      <c r="A628" s="48"/>
      <c r="B628" s="223" t="s">
        <v>4</v>
      </c>
      <c r="C628" s="46" t="s">
        <v>136</v>
      </c>
      <c r="D628" s="46" t="s">
        <v>5</v>
      </c>
      <c r="E628" s="46">
        <v>0.269</v>
      </c>
      <c r="F628" s="225">
        <f>E628*F627</f>
        <v>4.5192000000000005</v>
      </c>
      <c r="G628" s="47"/>
      <c r="H628" s="222">
        <f>G628*F628</f>
        <v>0</v>
      </c>
      <c r="I628" s="194"/>
      <c r="J628" s="107"/>
      <c r="K628" s="76"/>
      <c r="M628" s="141"/>
    </row>
    <row r="629" spans="1:13" s="202" customFormat="1" ht="28.5" customHeight="1">
      <c r="A629" s="48"/>
      <c r="B629" s="223" t="s">
        <v>4</v>
      </c>
      <c r="C629" s="46" t="s">
        <v>137</v>
      </c>
      <c r="D629" s="46" t="s">
        <v>16</v>
      </c>
      <c r="E629" s="46">
        <v>0.0116</v>
      </c>
      <c r="F629" s="225">
        <f>E629*F627</f>
        <v>0.19488</v>
      </c>
      <c r="G629" s="47"/>
      <c r="H629" s="222">
        <f>G629*F629</f>
        <v>0</v>
      </c>
      <c r="I629" s="194"/>
      <c r="J629" s="107"/>
      <c r="K629" s="76"/>
      <c r="M629" s="141"/>
    </row>
    <row r="630" spans="1:13" s="202" customFormat="1" ht="28.5" customHeight="1">
      <c r="A630" s="48"/>
      <c r="B630" s="497" t="s">
        <v>1403</v>
      </c>
      <c r="C630" s="46" t="s">
        <v>1236</v>
      </c>
      <c r="D630" s="46" t="s">
        <v>43</v>
      </c>
      <c r="E630" s="46">
        <v>0.08</v>
      </c>
      <c r="F630" s="225">
        <f>E630*F627</f>
        <v>1.344</v>
      </c>
      <c r="G630" s="222"/>
      <c r="H630" s="222">
        <f>G630*F630</f>
        <v>0</v>
      </c>
      <c r="I630" s="194"/>
      <c r="J630" s="107"/>
      <c r="K630" s="76"/>
      <c r="M630" s="141"/>
    </row>
    <row r="631" spans="1:13" s="202" customFormat="1" ht="28.5" customHeight="1">
      <c r="A631" s="48"/>
      <c r="B631" s="177" t="s">
        <v>883</v>
      </c>
      <c r="C631" s="49" t="s">
        <v>345</v>
      </c>
      <c r="D631" s="46" t="s">
        <v>53</v>
      </c>
      <c r="E631" s="46">
        <v>0.65</v>
      </c>
      <c r="F631" s="225">
        <f>E631*F627</f>
        <v>10.920000000000002</v>
      </c>
      <c r="G631" s="47"/>
      <c r="H631" s="222">
        <f>G631*F631</f>
        <v>0</v>
      </c>
      <c r="I631" s="194"/>
      <c r="J631" s="107"/>
      <c r="K631" s="76"/>
      <c r="M631" s="141"/>
    </row>
    <row r="632" spans="1:13" s="202" customFormat="1" ht="83.25" customHeight="1">
      <c r="A632" s="71">
        <v>11</v>
      </c>
      <c r="B632" s="378" t="s">
        <v>845</v>
      </c>
      <c r="C632" s="55" t="s">
        <v>1318</v>
      </c>
      <c r="D632" s="293" t="s">
        <v>46</v>
      </c>
      <c r="E632" s="55"/>
      <c r="F632" s="226">
        <v>72.5</v>
      </c>
      <c r="G632" s="70"/>
      <c r="H632" s="380">
        <f>SUM(H633:H638)</f>
        <v>0</v>
      </c>
      <c r="I632" s="194"/>
      <c r="J632" s="107"/>
      <c r="K632" s="76"/>
      <c r="M632" s="141"/>
    </row>
    <row r="633" spans="1:13" s="202" customFormat="1" ht="27.75" customHeight="1">
      <c r="A633" s="48"/>
      <c r="B633" s="223" t="s">
        <v>4</v>
      </c>
      <c r="C633" s="496" t="s">
        <v>136</v>
      </c>
      <c r="D633" s="46" t="s">
        <v>5</v>
      </c>
      <c r="E633" s="46">
        <v>2.13</v>
      </c>
      <c r="F633" s="225">
        <f>E633*F632</f>
        <v>154.42499999999998</v>
      </c>
      <c r="G633" s="47"/>
      <c r="H633" s="222">
        <f aca="true" t="shared" si="20" ref="H633:H638">G633*F633</f>
        <v>0</v>
      </c>
      <c r="I633" s="194"/>
      <c r="J633" s="107"/>
      <c r="K633" s="76"/>
      <c r="M633" s="141"/>
    </row>
    <row r="634" spans="1:13" s="202" customFormat="1" ht="30.75" customHeight="1">
      <c r="A634" s="48"/>
      <c r="B634" s="223" t="s">
        <v>4</v>
      </c>
      <c r="C634" s="46" t="s">
        <v>137</v>
      </c>
      <c r="D634" s="46" t="s">
        <v>16</v>
      </c>
      <c r="E634" s="46">
        <v>0.035</v>
      </c>
      <c r="F634" s="225">
        <f>E634*F632</f>
        <v>2.5375</v>
      </c>
      <c r="G634" s="47"/>
      <c r="H634" s="222">
        <f t="shared" si="20"/>
        <v>0</v>
      </c>
      <c r="I634" s="194"/>
      <c r="J634" s="107"/>
      <c r="K634" s="76"/>
      <c r="M634" s="141"/>
    </row>
    <row r="635" spans="1:13" s="202" customFormat="1" ht="32.25" customHeight="1">
      <c r="A635" s="48"/>
      <c r="B635" s="177" t="s">
        <v>1404</v>
      </c>
      <c r="C635" s="46" t="s">
        <v>1127</v>
      </c>
      <c r="D635" s="46" t="s">
        <v>43</v>
      </c>
      <c r="E635" s="46">
        <v>1.02</v>
      </c>
      <c r="F635" s="225">
        <f>E635*F632</f>
        <v>73.95</v>
      </c>
      <c r="G635" s="222"/>
      <c r="H635" s="222">
        <f t="shared" si="20"/>
        <v>0</v>
      </c>
      <c r="I635" s="194"/>
      <c r="J635" s="107"/>
      <c r="K635" s="76"/>
      <c r="M635" s="141"/>
    </row>
    <row r="636" spans="1:13" s="202" customFormat="1" ht="30" customHeight="1">
      <c r="A636" s="82"/>
      <c r="B636" s="227" t="s">
        <v>1372</v>
      </c>
      <c r="C636" s="46" t="s">
        <v>346</v>
      </c>
      <c r="D636" s="49" t="s">
        <v>53</v>
      </c>
      <c r="E636" s="49">
        <v>0.3</v>
      </c>
      <c r="F636" s="52">
        <f>E636*F632</f>
        <v>21.75</v>
      </c>
      <c r="G636" s="52"/>
      <c r="H636" s="377">
        <f t="shared" si="20"/>
        <v>0</v>
      </c>
      <c r="I636" s="194"/>
      <c r="J636" s="107"/>
      <c r="K636" s="76"/>
      <c r="M636" s="141"/>
    </row>
    <row r="637" spans="1:13" s="202" customFormat="1" ht="30.75" customHeight="1">
      <c r="A637" s="48"/>
      <c r="B637" s="177" t="s">
        <v>883</v>
      </c>
      <c r="C637" s="46" t="s">
        <v>882</v>
      </c>
      <c r="D637" s="46" t="s">
        <v>53</v>
      </c>
      <c r="E637" s="46">
        <v>8</v>
      </c>
      <c r="F637" s="372">
        <f>E637*F632</f>
        <v>580</v>
      </c>
      <c r="G637" s="47"/>
      <c r="H637" s="222">
        <f t="shared" si="20"/>
        <v>0</v>
      </c>
      <c r="I637" s="194"/>
      <c r="J637" s="107"/>
      <c r="K637" s="76"/>
      <c r="M637" s="141"/>
    </row>
    <row r="638" spans="1:13" s="202" customFormat="1" ht="30.75" customHeight="1">
      <c r="A638" s="48"/>
      <c r="B638" s="224" t="s">
        <v>4</v>
      </c>
      <c r="C638" s="46" t="s">
        <v>38</v>
      </c>
      <c r="D638" s="46" t="s">
        <v>16</v>
      </c>
      <c r="E638" s="46">
        <v>0.043</v>
      </c>
      <c r="F638" s="225">
        <f>E638*F632</f>
        <v>3.1174999999999997</v>
      </c>
      <c r="G638" s="47"/>
      <c r="H638" s="222">
        <f t="shared" si="20"/>
        <v>0</v>
      </c>
      <c r="I638" s="194"/>
      <c r="J638" s="107"/>
      <c r="K638" s="76"/>
      <c r="M638" s="141"/>
    </row>
    <row r="639" spans="1:13" s="202" customFormat="1" ht="55.5" customHeight="1">
      <c r="A639" s="376" t="s">
        <v>88</v>
      </c>
      <c r="B639" s="585" t="s">
        <v>608</v>
      </c>
      <c r="C639" s="375" t="s">
        <v>1128</v>
      </c>
      <c r="D639" s="374" t="s">
        <v>22</v>
      </c>
      <c r="E639" s="374"/>
      <c r="F639" s="137">
        <v>45.6</v>
      </c>
      <c r="G639" s="137"/>
      <c r="H639" s="228">
        <f>H640+H641+H642</f>
        <v>0</v>
      </c>
      <c r="I639" s="194"/>
      <c r="J639" s="107"/>
      <c r="K639" s="76"/>
      <c r="M639" s="141"/>
    </row>
    <row r="640" spans="1:13" s="202" customFormat="1" ht="26.25" customHeight="1">
      <c r="A640" s="497"/>
      <c r="B640" s="223" t="s">
        <v>4</v>
      </c>
      <c r="C640" s="496" t="s">
        <v>148</v>
      </c>
      <c r="D640" s="373" t="s">
        <v>5</v>
      </c>
      <c r="E640" s="373">
        <v>0.3789</v>
      </c>
      <c r="F640" s="377">
        <f>E640*F639</f>
        <v>17.27784</v>
      </c>
      <c r="G640" s="377"/>
      <c r="H640" s="377">
        <f>G640*F640</f>
        <v>0</v>
      </c>
      <c r="I640" s="194"/>
      <c r="J640" s="107"/>
      <c r="K640" s="76"/>
      <c r="M640" s="141"/>
    </row>
    <row r="641" spans="1:13" s="202" customFormat="1" ht="30" customHeight="1">
      <c r="A641" s="497"/>
      <c r="B641" s="223" t="s">
        <v>4</v>
      </c>
      <c r="C641" s="496" t="s">
        <v>153</v>
      </c>
      <c r="D641" s="373" t="s">
        <v>16</v>
      </c>
      <c r="E641" s="586">
        <v>0.028</v>
      </c>
      <c r="F641" s="588">
        <f>E641*F639</f>
        <v>1.2768000000000002</v>
      </c>
      <c r="G641" s="47"/>
      <c r="H641" s="588">
        <f>G641*F641</f>
        <v>0</v>
      </c>
      <c r="I641" s="194"/>
      <c r="J641" s="107"/>
      <c r="K641" s="76"/>
      <c r="M641" s="141"/>
    </row>
    <row r="642" spans="1:13" s="202" customFormat="1" ht="31.5" customHeight="1">
      <c r="A642" s="497"/>
      <c r="B642" s="224" t="s">
        <v>609</v>
      </c>
      <c r="C642" s="496" t="s">
        <v>610</v>
      </c>
      <c r="D642" s="373" t="s">
        <v>22</v>
      </c>
      <c r="E642" s="373">
        <v>1</v>
      </c>
      <c r="F642" s="377">
        <f>E642*F639</f>
        <v>45.6</v>
      </c>
      <c r="G642" s="377"/>
      <c r="H642" s="377">
        <f>G642*F642</f>
        <v>0</v>
      </c>
      <c r="I642" s="194"/>
      <c r="J642" s="107"/>
      <c r="K642" s="76"/>
      <c r="M642" s="141"/>
    </row>
    <row r="643" spans="1:13" s="202" customFormat="1" ht="57.75" customHeight="1">
      <c r="A643" s="81" t="s">
        <v>68</v>
      </c>
      <c r="B643" s="585" t="s">
        <v>1238</v>
      </c>
      <c r="C643" s="375" t="s">
        <v>1239</v>
      </c>
      <c r="D643" s="374" t="s">
        <v>22</v>
      </c>
      <c r="E643" s="374"/>
      <c r="F643" s="137">
        <v>15.3</v>
      </c>
      <c r="G643" s="137"/>
      <c r="H643" s="228">
        <f>H644+H645+H646</f>
        <v>0</v>
      </c>
      <c r="I643" s="194"/>
      <c r="J643" s="107"/>
      <c r="K643" s="76"/>
      <c r="M643" s="141"/>
    </row>
    <row r="644" spans="1:13" s="202" customFormat="1" ht="27" customHeight="1">
      <c r="A644" s="82"/>
      <c r="B644" s="223" t="s">
        <v>4</v>
      </c>
      <c r="C644" s="496" t="s">
        <v>148</v>
      </c>
      <c r="D644" s="373" t="s">
        <v>5</v>
      </c>
      <c r="E644" s="373">
        <v>0.3789</v>
      </c>
      <c r="F644" s="377">
        <f>E644*F643</f>
        <v>5.79717</v>
      </c>
      <c r="G644" s="377"/>
      <c r="H644" s="377">
        <f>G644*F644</f>
        <v>0</v>
      </c>
      <c r="I644" s="194"/>
      <c r="J644" s="107"/>
      <c r="K644" s="76"/>
      <c r="M644" s="141"/>
    </row>
    <row r="645" spans="1:13" s="202" customFormat="1" ht="30.75" customHeight="1">
      <c r="A645" s="82"/>
      <c r="B645" s="223" t="s">
        <v>4</v>
      </c>
      <c r="C645" s="496" t="s">
        <v>153</v>
      </c>
      <c r="D645" s="373" t="s">
        <v>16</v>
      </c>
      <c r="E645" s="586">
        <v>0.028</v>
      </c>
      <c r="F645" s="588">
        <f>E645*F643</f>
        <v>0.4284</v>
      </c>
      <c r="G645" s="47"/>
      <c r="H645" s="588">
        <f>G645*F645</f>
        <v>0</v>
      </c>
      <c r="I645" s="194"/>
      <c r="J645" s="107"/>
      <c r="K645" s="76"/>
      <c r="M645" s="141"/>
    </row>
    <row r="646" spans="1:13" s="202" customFormat="1" ht="30.75" customHeight="1">
      <c r="A646" s="82"/>
      <c r="B646" s="224" t="s">
        <v>1384</v>
      </c>
      <c r="C646" s="496" t="s">
        <v>1169</v>
      </c>
      <c r="D646" s="373" t="s">
        <v>22</v>
      </c>
      <c r="E646" s="373">
        <v>1.02</v>
      </c>
      <c r="F646" s="377">
        <f>E646*F643</f>
        <v>15.606000000000002</v>
      </c>
      <c r="G646" s="377"/>
      <c r="H646" s="377">
        <f>G646*F646</f>
        <v>0</v>
      </c>
      <c r="I646" s="194"/>
      <c r="J646" s="107"/>
      <c r="K646" s="76"/>
      <c r="M646" s="141"/>
    </row>
    <row r="647" spans="1:13" s="202" customFormat="1" ht="54.75" customHeight="1">
      <c r="A647" s="376" t="s">
        <v>74</v>
      </c>
      <c r="B647" s="79" t="s">
        <v>622</v>
      </c>
      <c r="C647" s="511" t="s">
        <v>1131</v>
      </c>
      <c r="D647" s="375" t="s">
        <v>15</v>
      </c>
      <c r="E647" s="374"/>
      <c r="F647" s="226">
        <v>18</v>
      </c>
      <c r="G647" s="160"/>
      <c r="H647" s="228">
        <f>H648+H649+H650+H651+H652</f>
        <v>0</v>
      </c>
      <c r="I647" s="194"/>
      <c r="J647" s="107"/>
      <c r="K647" s="76"/>
      <c r="M647" s="141"/>
    </row>
    <row r="648" spans="1:13" s="202" customFormat="1" ht="30.75" customHeight="1">
      <c r="A648" s="497"/>
      <c r="B648" s="224" t="s">
        <v>4</v>
      </c>
      <c r="C648" s="496" t="s">
        <v>136</v>
      </c>
      <c r="D648" s="496" t="s">
        <v>5</v>
      </c>
      <c r="E648" s="373">
        <v>0.547</v>
      </c>
      <c r="F648" s="296">
        <f>E648*F647</f>
        <v>9.846</v>
      </c>
      <c r="G648" s="377"/>
      <c r="H648" s="377">
        <f>F648*G648</f>
        <v>0</v>
      </c>
      <c r="I648" s="194"/>
      <c r="J648" s="107"/>
      <c r="K648" s="76"/>
      <c r="M648" s="141"/>
    </row>
    <row r="649" spans="1:13" s="202" customFormat="1" ht="30.75" customHeight="1">
      <c r="A649" s="497"/>
      <c r="B649" s="224" t="s">
        <v>4</v>
      </c>
      <c r="C649" s="496" t="s">
        <v>153</v>
      </c>
      <c r="D649" s="496" t="s">
        <v>16</v>
      </c>
      <c r="E649" s="373">
        <v>0.0003</v>
      </c>
      <c r="F649" s="296">
        <f>E649*F647</f>
        <v>0.005399999999999999</v>
      </c>
      <c r="G649" s="47"/>
      <c r="H649" s="377">
        <f>F649*G649</f>
        <v>0</v>
      </c>
      <c r="I649" s="194"/>
      <c r="J649" s="107"/>
      <c r="K649" s="76"/>
      <c r="M649" s="141"/>
    </row>
    <row r="650" spans="1:13" s="202" customFormat="1" ht="34.5" customHeight="1">
      <c r="A650" s="497"/>
      <c r="B650" s="224" t="s">
        <v>447</v>
      </c>
      <c r="C650" s="496" t="s">
        <v>404</v>
      </c>
      <c r="D650" s="496" t="s">
        <v>143</v>
      </c>
      <c r="E650" s="373">
        <v>0.274</v>
      </c>
      <c r="F650" s="296">
        <f>F647*E650</f>
        <v>4.932</v>
      </c>
      <c r="G650" s="52"/>
      <c r="H650" s="377">
        <f>F650*G650</f>
        <v>0</v>
      </c>
      <c r="I650" s="194"/>
      <c r="J650" s="107"/>
      <c r="K650" s="76"/>
      <c r="M650" s="141"/>
    </row>
    <row r="651" spans="1:13" s="202" customFormat="1" ht="30.75" customHeight="1">
      <c r="A651" s="497"/>
      <c r="B651" s="224" t="s">
        <v>1414</v>
      </c>
      <c r="C651" s="496" t="s">
        <v>405</v>
      </c>
      <c r="D651" s="496" t="s">
        <v>15</v>
      </c>
      <c r="E651" s="373">
        <v>0.0252</v>
      </c>
      <c r="F651" s="296">
        <f>F647*E651</f>
        <v>0.4536</v>
      </c>
      <c r="G651" s="377"/>
      <c r="H651" s="377">
        <f>F651*G651</f>
        <v>0</v>
      </c>
      <c r="I651" s="194"/>
      <c r="J651" s="107"/>
      <c r="K651" s="76"/>
      <c r="M651" s="141"/>
    </row>
    <row r="652" spans="1:13" s="202" customFormat="1" ht="36" customHeight="1">
      <c r="A652" s="497"/>
      <c r="B652" s="224" t="s">
        <v>4</v>
      </c>
      <c r="C652" s="496" t="s">
        <v>406</v>
      </c>
      <c r="D652" s="496" t="s">
        <v>16</v>
      </c>
      <c r="E652" s="373">
        <v>0.0031</v>
      </c>
      <c r="F652" s="296">
        <f>E652*F647</f>
        <v>0.055799999999999995</v>
      </c>
      <c r="G652" s="47"/>
      <c r="H652" s="377">
        <f>F652*G652</f>
        <v>0</v>
      </c>
      <c r="I652" s="194"/>
      <c r="J652" s="107"/>
      <c r="K652" s="76"/>
      <c r="M652" s="141"/>
    </row>
    <row r="653" spans="1:13" s="202" customFormat="1" ht="62.25" customHeight="1">
      <c r="A653" s="376" t="s">
        <v>55</v>
      </c>
      <c r="B653" s="378" t="s">
        <v>407</v>
      </c>
      <c r="C653" s="375" t="s">
        <v>1237</v>
      </c>
      <c r="D653" s="375" t="s">
        <v>42</v>
      </c>
      <c r="E653" s="375"/>
      <c r="F653" s="547">
        <v>0.27</v>
      </c>
      <c r="G653" s="226"/>
      <c r="H653" s="228">
        <f>H654+H655+H656+H658+H659+H657</f>
        <v>0</v>
      </c>
      <c r="I653" s="194"/>
      <c r="J653" s="107"/>
      <c r="K653" s="76"/>
      <c r="M653" s="141"/>
    </row>
    <row r="654" spans="1:13" s="202" customFormat="1" ht="27.75" customHeight="1">
      <c r="A654" s="497"/>
      <c r="B654" s="224" t="s">
        <v>4</v>
      </c>
      <c r="C654" s="496" t="s">
        <v>136</v>
      </c>
      <c r="D654" s="496" t="s">
        <v>42</v>
      </c>
      <c r="E654" s="496">
        <v>1</v>
      </c>
      <c r="F654" s="377">
        <f>F653*E654</f>
        <v>0.27</v>
      </c>
      <c r="G654" s="222"/>
      <c r="H654" s="377">
        <f aca="true" t="shared" si="21" ref="H654:H659">F654*G654</f>
        <v>0</v>
      </c>
      <c r="I654" s="194"/>
      <c r="J654" s="107"/>
      <c r="K654" s="76"/>
      <c r="M654" s="141"/>
    </row>
    <row r="655" spans="1:13" s="202" customFormat="1" ht="30" customHeight="1">
      <c r="A655" s="497"/>
      <c r="B655" s="224" t="s">
        <v>4</v>
      </c>
      <c r="C655" s="496" t="s">
        <v>408</v>
      </c>
      <c r="D655" s="496" t="s">
        <v>16</v>
      </c>
      <c r="E655" s="496">
        <v>13.9</v>
      </c>
      <c r="F655" s="222">
        <f>E655*F653</f>
        <v>3.7530000000000006</v>
      </c>
      <c r="G655" s="47"/>
      <c r="H655" s="377">
        <f t="shared" si="21"/>
        <v>0</v>
      </c>
      <c r="I655" s="194"/>
      <c r="J655" s="107"/>
      <c r="K655" s="76"/>
      <c r="M655" s="141"/>
    </row>
    <row r="656" spans="1:13" s="202" customFormat="1" ht="32.25" customHeight="1">
      <c r="A656" s="497"/>
      <c r="B656" s="227" t="s">
        <v>1415</v>
      </c>
      <c r="C656" s="496" t="s">
        <v>1129</v>
      </c>
      <c r="D656" s="496" t="s">
        <v>22</v>
      </c>
      <c r="E656" s="496" t="s">
        <v>409</v>
      </c>
      <c r="F656" s="372">
        <v>50.1</v>
      </c>
      <c r="G656" s="222"/>
      <c r="H656" s="377">
        <f t="shared" si="21"/>
        <v>0</v>
      </c>
      <c r="I656" s="194"/>
      <c r="J656" s="107"/>
      <c r="K656" s="76"/>
      <c r="M656" s="141"/>
    </row>
    <row r="657" spans="1:13" s="202" customFormat="1" ht="31.5" customHeight="1">
      <c r="A657" s="497"/>
      <c r="B657" s="227" t="s">
        <v>1416</v>
      </c>
      <c r="C657" s="496" t="s">
        <v>1130</v>
      </c>
      <c r="D657" s="496" t="s">
        <v>22</v>
      </c>
      <c r="E657" s="496" t="s">
        <v>409</v>
      </c>
      <c r="F657" s="372">
        <v>29.1</v>
      </c>
      <c r="G657" s="222"/>
      <c r="H657" s="377">
        <f t="shared" si="21"/>
        <v>0</v>
      </c>
      <c r="I657" s="194"/>
      <c r="J657" s="107"/>
      <c r="K657" s="76"/>
      <c r="M657" s="141"/>
    </row>
    <row r="658" spans="1:13" s="202" customFormat="1" ht="28.5" customHeight="1">
      <c r="A658" s="497"/>
      <c r="B658" s="48" t="s">
        <v>425</v>
      </c>
      <c r="C658" s="496" t="s">
        <v>97</v>
      </c>
      <c r="D658" s="496" t="s">
        <v>53</v>
      </c>
      <c r="E658" s="496">
        <v>4.78</v>
      </c>
      <c r="F658" s="222">
        <f>E658*F653</f>
        <v>1.2906000000000002</v>
      </c>
      <c r="G658" s="222"/>
      <c r="H658" s="377">
        <f t="shared" si="21"/>
        <v>0</v>
      </c>
      <c r="I658" s="194"/>
      <c r="J658" s="107"/>
      <c r="K658" s="76"/>
      <c r="M658" s="141"/>
    </row>
    <row r="659" spans="1:13" s="202" customFormat="1" ht="30" customHeight="1">
      <c r="A659" s="497"/>
      <c r="B659" s="224" t="s">
        <v>4</v>
      </c>
      <c r="C659" s="496" t="s">
        <v>541</v>
      </c>
      <c r="D659" s="496" t="s">
        <v>16</v>
      </c>
      <c r="E659" s="496">
        <v>2.78</v>
      </c>
      <c r="F659" s="222">
        <f>E659*F653</f>
        <v>0.7506</v>
      </c>
      <c r="G659" s="47"/>
      <c r="H659" s="377">
        <f t="shared" si="21"/>
        <v>0</v>
      </c>
      <c r="I659" s="194"/>
      <c r="J659" s="107"/>
      <c r="K659" s="76"/>
      <c r="M659" s="141"/>
    </row>
    <row r="660" spans="1:13" s="202" customFormat="1" ht="81" customHeight="1">
      <c r="A660" s="376" t="s">
        <v>51</v>
      </c>
      <c r="B660" s="378" t="s">
        <v>207</v>
      </c>
      <c r="C660" s="375" t="s">
        <v>1644</v>
      </c>
      <c r="D660" s="374" t="s">
        <v>42</v>
      </c>
      <c r="E660" s="374"/>
      <c r="F660" s="191">
        <v>0.012</v>
      </c>
      <c r="G660" s="160"/>
      <c r="H660" s="190">
        <f>SUM(H661:H664)</f>
        <v>0</v>
      </c>
      <c r="I660" s="194"/>
      <c r="J660" s="107"/>
      <c r="K660" s="76"/>
      <c r="M660" s="141"/>
    </row>
    <row r="661" spans="1:13" s="202" customFormat="1" ht="29.25" customHeight="1">
      <c r="A661" s="497"/>
      <c r="B661" s="224" t="s">
        <v>4</v>
      </c>
      <c r="C661" s="496" t="s">
        <v>136</v>
      </c>
      <c r="D661" s="373" t="s">
        <v>5</v>
      </c>
      <c r="E661" s="377">
        <v>303</v>
      </c>
      <c r="F661" s="206">
        <f>E661*F660</f>
        <v>3.636</v>
      </c>
      <c r="G661" s="52"/>
      <c r="H661" s="124">
        <f>G661*F661</f>
        <v>0</v>
      </c>
      <c r="I661" s="194"/>
      <c r="J661" s="107"/>
      <c r="K661" s="76"/>
      <c r="M661" s="141"/>
    </row>
    <row r="662" spans="1:13" s="202" customFormat="1" ht="28.5" customHeight="1">
      <c r="A662" s="497"/>
      <c r="B662" s="224" t="s">
        <v>4</v>
      </c>
      <c r="C662" s="496" t="s">
        <v>137</v>
      </c>
      <c r="D662" s="373" t="s">
        <v>16</v>
      </c>
      <c r="E662" s="377">
        <v>2.1</v>
      </c>
      <c r="F662" s="206">
        <f>E662*F660</f>
        <v>0.0252</v>
      </c>
      <c r="G662" s="47"/>
      <c r="H662" s="292">
        <f>G662*F662</f>
        <v>0</v>
      </c>
      <c r="I662" s="194"/>
      <c r="J662" s="107"/>
      <c r="K662" s="76"/>
      <c r="M662" s="141"/>
    </row>
    <row r="663" spans="1:13" s="202" customFormat="1" ht="28.5" customHeight="1">
      <c r="A663" s="497"/>
      <c r="B663" s="224" t="s">
        <v>2</v>
      </c>
      <c r="C663" s="496" t="s">
        <v>410</v>
      </c>
      <c r="D663" s="373" t="s">
        <v>15</v>
      </c>
      <c r="E663" s="377" t="s">
        <v>409</v>
      </c>
      <c r="F663" s="206">
        <v>18</v>
      </c>
      <c r="G663" s="52"/>
      <c r="H663" s="292">
        <f>G663*F663</f>
        <v>0</v>
      </c>
      <c r="I663" s="194"/>
      <c r="J663" s="107"/>
      <c r="K663" s="76"/>
      <c r="M663" s="141"/>
    </row>
    <row r="664" spans="1:13" s="202" customFormat="1" ht="43.5" customHeight="1">
      <c r="A664" s="497"/>
      <c r="B664" s="224" t="s">
        <v>2</v>
      </c>
      <c r="C664" s="496" t="s">
        <v>1645</v>
      </c>
      <c r="D664" s="597" t="s">
        <v>53</v>
      </c>
      <c r="E664" s="598">
        <v>50</v>
      </c>
      <c r="F664" s="377">
        <f>E664*F660</f>
        <v>0.6</v>
      </c>
      <c r="G664" s="598"/>
      <c r="H664" s="292">
        <f>G664*F664</f>
        <v>0</v>
      </c>
      <c r="I664" s="194"/>
      <c r="J664" s="107"/>
      <c r="K664" s="76"/>
      <c r="M664" s="141"/>
    </row>
    <row r="665" spans="1:13" s="202" customFormat="1" ht="48.75" customHeight="1">
      <c r="A665" s="599" t="s">
        <v>49</v>
      </c>
      <c r="B665" s="600" t="s">
        <v>228</v>
      </c>
      <c r="C665" s="375" t="s">
        <v>411</v>
      </c>
      <c r="D665" s="579" t="s">
        <v>43</v>
      </c>
      <c r="E665" s="579"/>
      <c r="F665" s="405">
        <v>13.2</v>
      </c>
      <c r="G665" s="256"/>
      <c r="H665" s="380">
        <f>SUM(H666:H669)</f>
        <v>0</v>
      </c>
      <c r="I665" s="194"/>
      <c r="J665" s="107"/>
      <c r="K665" s="76"/>
      <c r="M665" s="141"/>
    </row>
    <row r="666" spans="1:13" s="202" customFormat="1" ht="30" customHeight="1">
      <c r="A666" s="244"/>
      <c r="B666" s="245" t="s">
        <v>4</v>
      </c>
      <c r="C666" s="208" t="s">
        <v>136</v>
      </c>
      <c r="D666" s="208" t="s">
        <v>5</v>
      </c>
      <c r="E666" s="208">
        <v>0.0238</v>
      </c>
      <c r="F666" s="225">
        <f>E666*F665</f>
        <v>0.31416</v>
      </c>
      <c r="G666" s="286"/>
      <c r="H666" s="222">
        <f>G666*F666</f>
        <v>0</v>
      </c>
      <c r="I666" s="194"/>
      <c r="J666" s="107"/>
      <c r="K666" s="76"/>
      <c r="M666" s="141"/>
    </row>
    <row r="667" spans="1:13" s="202" customFormat="1" ht="29.25" customHeight="1">
      <c r="A667" s="244"/>
      <c r="B667" s="245" t="s">
        <v>4</v>
      </c>
      <c r="C667" s="208" t="s">
        <v>137</v>
      </c>
      <c r="D667" s="208" t="s">
        <v>16</v>
      </c>
      <c r="E667" s="208">
        <v>0.0026</v>
      </c>
      <c r="F667" s="157">
        <f>E667*F665</f>
        <v>0.034319999999999996</v>
      </c>
      <c r="G667" s="47"/>
      <c r="H667" s="47">
        <f>G667*F667</f>
        <v>0</v>
      </c>
      <c r="I667" s="194"/>
      <c r="J667" s="107"/>
      <c r="K667" s="76"/>
      <c r="M667" s="141"/>
    </row>
    <row r="668" spans="1:13" s="202" customFormat="1" ht="26.25" customHeight="1">
      <c r="A668" s="244"/>
      <c r="B668" s="245" t="s">
        <v>777</v>
      </c>
      <c r="C668" s="208" t="s">
        <v>229</v>
      </c>
      <c r="D668" s="208" t="s">
        <v>53</v>
      </c>
      <c r="E668" s="208">
        <v>0.146</v>
      </c>
      <c r="F668" s="157">
        <f>E668*F665</f>
        <v>1.9271999999999998</v>
      </c>
      <c r="G668" s="183"/>
      <c r="H668" s="47">
        <f>G668*F668</f>
        <v>0</v>
      </c>
      <c r="I668" s="194"/>
      <c r="J668" s="107"/>
      <c r="K668" s="76"/>
      <c r="M668" s="141"/>
    </row>
    <row r="669" spans="1:13" s="202" customFormat="1" ht="27" customHeight="1">
      <c r="A669" s="244"/>
      <c r="B669" s="245" t="s">
        <v>617</v>
      </c>
      <c r="C669" s="208" t="s">
        <v>230</v>
      </c>
      <c r="D669" s="208" t="s">
        <v>16</v>
      </c>
      <c r="E669" s="208">
        <v>0.0219</v>
      </c>
      <c r="F669" s="157">
        <f>E669*F665</f>
        <v>0.28907999999999995</v>
      </c>
      <c r="G669" s="183"/>
      <c r="H669" s="47">
        <f>G669*F669</f>
        <v>0</v>
      </c>
      <c r="I669" s="194"/>
      <c r="J669" s="107"/>
      <c r="K669" s="76"/>
      <c r="M669" s="141"/>
    </row>
    <row r="670" spans="1:13" s="202" customFormat="1" ht="48.75" customHeight="1">
      <c r="A670" s="599" t="s">
        <v>82</v>
      </c>
      <c r="B670" s="600" t="s">
        <v>385</v>
      </c>
      <c r="C670" s="375" t="s">
        <v>412</v>
      </c>
      <c r="D670" s="579" t="s">
        <v>43</v>
      </c>
      <c r="E670" s="579"/>
      <c r="F670" s="405">
        <f>F665+0</f>
        <v>13.2</v>
      </c>
      <c r="G670" s="256"/>
      <c r="H670" s="380">
        <f>SUM(H671:H675)</f>
        <v>0</v>
      </c>
      <c r="I670" s="194"/>
      <c r="J670" s="107"/>
      <c r="K670" s="76"/>
      <c r="M670" s="141"/>
    </row>
    <row r="671" spans="1:13" s="202" customFormat="1" ht="24" customHeight="1">
      <c r="A671" s="244"/>
      <c r="B671" s="245" t="s">
        <v>4</v>
      </c>
      <c r="C671" s="208" t="s">
        <v>148</v>
      </c>
      <c r="D671" s="208" t="s">
        <v>5</v>
      </c>
      <c r="E671" s="208">
        <v>0.68</v>
      </c>
      <c r="F671" s="225">
        <f>E671*F670</f>
        <v>8.976</v>
      </c>
      <c r="G671" s="183"/>
      <c r="H671" s="222">
        <f>G671*F671</f>
        <v>0</v>
      </c>
      <c r="I671" s="194"/>
      <c r="J671" s="107"/>
      <c r="K671" s="76"/>
      <c r="M671" s="141"/>
    </row>
    <row r="672" spans="1:13" s="202" customFormat="1" ht="27" customHeight="1">
      <c r="A672" s="244"/>
      <c r="B672" s="245" t="s">
        <v>4</v>
      </c>
      <c r="C672" s="208" t="s">
        <v>137</v>
      </c>
      <c r="D672" s="208" t="s">
        <v>16</v>
      </c>
      <c r="E672" s="208">
        <v>0.0003</v>
      </c>
      <c r="F672" s="225">
        <f>E672*F670</f>
        <v>0.003959999999999999</v>
      </c>
      <c r="G672" s="47"/>
      <c r="H672" s="222">
        <f>G672*F672</f>
        <v>0</v>
      </c>
      <c r="I672" s="194"/>
      <c r="J672" s="107"/>
      <c r="K672" s="76"/>
      <c r="M672" s="141"/>
    </row>
    <row r="673" spans="1:13" s="202" customFormat="1" ht="31.5" customHeight="1">
      <c r="A673" s="244"/>
      <c r="B673" s="251" t="s">
        <v>1357</v>
      </c>
      <c r="C673" s="208" t="s">
        <v>326</v>
      </c>
      <c r="D673" s="208" t="s">
        <v>53</v>
      </c>
      <c r="E673" s="208">
        <v>0.246</v>
      </c>
      <c r="F673" s="225">
        <f>E673*F670</f>
        <v>3.2472</v>
      </c>
      <c r="G673" s="183"/>
      <c r="H673" s="222">
        <f>G673*F673</f>
        <v>0</v>
      </c>
      <c r="I673" s="194"/>
      <c r="J673" s="107"/>
      <c r="K673" s="76"/>
      <c r="M673" s="141"/>
    </row>
    <row r="674" spans="1:13" s="202" customFormat="1" ht="29.25" customHeight="1">
      <c r="A674" s="244"/>
      <c r="B674" s="572" t="s">
        <v>1353</v>
      </c>
      <c r="C674" s="208" t="s">
        <v>232</v>
      </c>
      <c r="D674" s="208" t="s">
        <v>53</v>
      </c>
      <c r="E674" s="208">
        <v>0.027</v>
      </c>
      <c r="F674" s="225">
        <f>E674*F670</f>
        <v>0.3564</v>
      </c>
      <c r="G674" s="183"/>
      <c r="H674" s="222">
        <f>G674*F674</f>
        <v>0</v>
      </c>
      <c r="I674" s="194"/>
      <c r="J674" s="107"/>
      <c r="K674" s="76"/>
      <c r="M674" s="141"/>
    </row>
    <row r="675" spans="1:13" s="202" customFormat="1" ht="28.5" customHeight="1">
      <c r="A675" s="244"/>
      <c r="B675" s="245" t="s">
        <v>4</v>
      </c>
      <c r="C675" s="208" t="s">
        <v>541</v>
      </c>
      <c r="D675" s="208" t="s">
        <v>16</v>
      </c>
      <c r="E675" s="208">
        <v>0.0019</v>
      </c>
      <c r="F675" s="225">
        <f>E675*F670</f>
        <v>0.025079999999999998</v>
      </c>
      <c r="G675" s="47"/>
      <c r="H675" s="222">
        <f>G675*F675</f>
        <v>0</v>
      </c>
      <c r="I675" s="194"/>
      <c r="J675" s="107"/>
      <c r="K675" s="76"/>
      <c r="M675" s="141"/>
    </row>
    <row r="676" spans="1:13" s="202" customFormat="1" ht="63" customHeight="1">
      <c r="A676" s="376" t="s">
        <v>95</v>
      </c>
      <c r="B676" s="79" t="s">
        <v>413</v>
      </c>
      <c r="C676" s="375" t="s">
        <v>1132</v>
      </c>
      <c r="D676" s="375" t="s">
        <v>48</v>
      </c>
      <c r="E676" s="375"/>
      <c r="F676" s="226">
        <v>10.5</v>
      </c>
      <c r="G676" s="226"/>
      <c r="H676" s="228">
        <f>H677+H678+H679+H680+H681+H682+H683</f>
        <v>0</v>
      </c>
      <c r="I676" s="194"/>
      <c r="J676" s="107"/>
      <c r="K676" s="76"/>
      <c r="M676" s="141"/>
    </row>
    <row r="677" spans="1:13" s="202" customFormat="1" ht="33" customHeight="1">
      <c r="A677" s="555"/>
      <c r="B677" s="555" t="s">
        <v>4</v>
      </c>
      <c r="C677" s="556" t="s">
        <v>136</v>
      </c>
      <c r="D677" s="557" t="s">
        <v>5</v>
      </c>
      <c r="E677" s="556">
        <v>0.439</v>
      </c>
      <c r="F677" s="237">
        <f>E677*F676</f>
        <v>4.6095</v>
      </c>
      <c r="G677" s="237"/>
      <c r="H677" s="237">
        <f aca="true" t="shared" si="22" ref="H677:H683">F677*G677</f>
        <v>0</v>
      </c>
      <c r="I677" s="194"/>
      <c r="J677" s="107"/>
      <c r="K677" s="76"/>
      <c r="M677" s="141"/>
    </row>
    <row r="678" spans="1:13" s="202" customFormat="1" ht="24.75" customHeight="1">
      <c r="A678" s="555"/>
      <c r="B678" s="555" t="s">
        <v>4</v>
      </c>
      <c r="C678" s="556" t="s">
        <v>137</v>
      </c>
      <c r="D678" s="557" t="s">
        <v>16</v>
      </c>
      <c r="E678" s="556">
        <v>0.035</v>
      </c>
      <c r="F678" s="237">
        <f>F676*E678</f>
        <v>0.36750000000000005</v>
      </c>
      <c r="G678" s="47"/>
      <c r="H678" s="237">
        <f t="shared" si="22"/>
        <v>0</v>
      </c>
      <c r="I678" s="194"/>
      <c r="J678" s="107"/>
      <c r="K678" s="76"/>
      <c r="M678" s="141"/>
    </row>
    <row r="679" spans="1:13" s="202" customFormat="1" ht="36.75" customHeight="1">
      <c r="A679" s="555"/>
      <c r="B679" s="370" t="s">
        <v>1379</v>
      </c>
      <c r="C679" s="557" t="s">
        <v>354</v>
      </c>
      <c r="D679" s="557" t="s">
        <v>43</v>
      </c>
      <c r="E679" s="556">
        <v>1.12</v>
      </c>
      <c r="F679" s="237">
        <f>F676*E679</f>
        <v>11.760000000000002</v>
      </c>
      <c r="G679" s="237"/>
      <c r="H679" s="237">
        <f t="shared" si="22"/>
        <v>0</v>
      </c>
      <c r="I679" s="194"/>
      <c r="J679" s="107"/>
      <c r="K679" s="76"/>
      <c r="M679" s="141"/>
    </row>
    <row r="680" spans="1:13" s="202" customFormat="1" ht="39.75" customHeight="1">
      <c r="A680" s="555"/>
      <c r="B680" s="370" t="s">
        <v>361</v>
      </c>
      <c r="C680" s="557" t="s">
        <v>355</v>
      </c>
      <c r="D680" s="557" t="s">
        <v>42</v>
      </c>
      <c r="E680" s="556">
        <v>0.0003</v>
      </c>
      <c r="F680" s="601">
        <f>E680*F676</f>
        <v>0.0031499999999999996</v>
      </c>
      <c r="G680" s="237"/>
      <c r="H680" s="237">
        <f t="shared" si="22"/>
        <v>0</v>
      </c>
      <c r="I680" s="194"/>
      <c r="J680" s="107"/>
      <c r="K680" s="76"/>
      <c r="M680" s="141"/>
    </row>
    <row r="681" spans="1:13" s="202" customFormat="1" ht="31.5" customHeight="1">
      <c r="A681" s="555"/>
      <c r="B681" s="370" t="s">
        <v>360</v>
      </c>
      <c r="C681" s="556" t="s">
        <v>237</v>
      </c>
      <c r="D681" s="556" t="s">
        <v>53</v>
      </c>
      <c r="E681" s="556">
        <v>0.15</v>
      </c>
      <c r="F681" s="237">
        <f>E681*F676</f>
        <v>1.575</v>
      </c>
      <c r="G681" s="237"/>
      <c r="H681" s="237">
        <f t="shared" si="22"/>
        <v>0</v>
      </c>
      <c r="I681" s="194"/>
      <c r="J681" s="107"/>
      <c r="K681" s="76"/>
      <c r="M681" s="141"/>
    </row>
    <row r="682" spans="1:13" s="202" customFormat="1" ht="26.25" customHeight="1">
      <c r="A682" s="555"/>
      <c r="B682" s="370" t="s">
        <v>1368</v>
      </c>
      <c r="C682" s="556" t="s">
        <v>238</v>
      </c>
      <c r="D682" s="556" t="s">
        <v>15</v>
      </c>
      <c r="E682" s="556">
        <v>8</v>
      </c>
      <c r="F682" s="237">
        <f>E682*F676</f>
        <v>84</v>
      </c>
      <c r="G682" s="237"/>
      <c r="H682" s="237">
        <f t="shared" si="22"/>
        <v>0</v>
      </c>
      <c r="I682" s="194"/>
      <c r="J682" s="107"/>
      <c r="K682" s="76"/>
      <c r="M682" s="141"/>
    </row>
    <row r="683" spans="1:13" s="202" customFormat="1" ht="24" customHeight="1">
      <c r="A683" s="555"/>
      <c r="B683" s="555" t="s">
        <v>4</v>
      </c>
      <c r="C683" s="208" t="s">
        <v>541</v>
      </c>
      <c r="D683" s="557" t="s">
        <v>16</v>
      </c>
      <c r="E683" s="556">
        <v>0.0816</v>
      </c>
      <c r="F683" s="237">
        <f>E683*F676</f>
        <v>0.8568</v>
      </c>
      <c r="G683" s="47"/>
      <c r="H683" s="237">
        <f t="shared" si="22"/>
        <v>0</v>
      </c>
      <c r="I683" s="194"/>
      <c r="J683" s="107"/>
      <c r="K683" s="76"/>
      <c r="M683" s="141"/>
    </row>
    <row r="684" spans="1:13" s="202" customFormat="1" ht="50.25" customHeight="1">
      <c r="A684" s="376" t="s">
        <v>96</v>
      </c>
      <c r="B684" s="79" t="s">
        <v>414</v>
      </c>
      <c r="C684" s="511" t="s">
        <v>415</v>
      </c>
      <c r="D684" s="375" t="s">
        <v>22</v>
      </c>
      <c r="E684" s="374"/>
      <c r="F684" s="226">
        <v>7.5</v>
      </c>
      <c r="G684" s="160"/>
      <c r="H684" s="190">
        <f>SUM(H685:H686)</f>
        <v>0</v>
      </c>
      <c r="I684" s="194"/>
      <c r="J684" s="107"/>
      <c r="K684" s="76"/>
      <c r="M684" s="141"/>
    </row>
    <row r="685" spans="1:13" s="202" customFormat="1" ht="33" customHeight="1">
      <c r="A685" s="497"/>
      <c r="B685" s="224" t="s">
        <v>4</v>
      </c>
      <c r="C685" s="496" t="s">
        <v>136</v>
      </c>
      <c r="D685" s="496" t="s">
        <v>5</v>
      </c>
      <c r="E685" s="373">
        <v>0.246</v>
      </c>
      <c r="F685" s="377">
        <f>E685*F684</f>
        <v>1.845</v>
      </c>
      <c r="G685" s="377"/>
      <c r="H685" s="124">
        <f>G685*F685</f>
        <v>0</v>
      </c>
      <c r="I685" s="194"/>
      <c r="J685" s="107"/>
      <c r="K685" s="76"/>
      <c r="M685" s="141"/>
    </row>
    <row r="686" spans="1:13" s="202" customFormat="1" ht="23.25" customHeight="1">
      <c r="A686" s="497"/>
      <c r="B686" s="224" t="s">
        <v>4</v>
      </c>
      <c r="C686" s="496" t="s">
        <v>153</v>
      </c>
      <c r="D686" s="496" t="s">
        <v>16</v>
      </c>
      <c r="E686" s="373">
        <v>0.093</v>
      </c>
      <c r="F686" s="377">
        <f>F684*E686</f>
        <v>0.6975</v>
      </c>
      <c r="G686" s="47"/>
      <c r="H686" s="292">
        <f>G686*F686</f>
        <v>0</v>
      </c>
      <c r="I686" s="194"/>
      <c r="J686" s="107"/>
      <c r="K686" s="76"/>
      <c r="M686" s="141"/>
    </row>
    <row r="687" spans="1:13" s="202" customFormat="1" ht="48" customHeight="1">
      <c r="A687" s="221">
        <v>21</v>
      </c>
      <c r="B687" s="378" t="s">
        <v>416</v>
      </c>
      <c r="C687" s="375" t="s">
        <v>417</v>
      </c>
      <c r="D687" s="374" t="s">
        <v>22</v>
      </c>
      <c r="E687" s="374"/>
      <c r="F687" s="137">
        <f>F684</f>
        <v>7.5</v>
      </c>
      <c r="G687" s="137"/>
      <c r="H687" s="228">
        <f>SUM(H688:H692)</f>
        <v>0</v>
      </c>
      <c r="I687" s="194"/>
      <c r="J687" s="107"/>
      <c r="K687" s="76"/>
      <c r="M687" s="141"/>
    </row>
    <row r="688" spans="1:13" s="202" customFormat="1" ht="30" customHeight="1">
      <c r="A688" s="224"/>
      <c r="B688" s="224" t="s">
        <v>4</v>
      </c>
      <c r="C688" s="496" t="s">
        <v>136</v>
      </c>
      <c r="D688" s="373" t="s">
        <v>5</v>
      </c>
      <c r="E688" s="373">
        <v>0.525</v>
      </c>
      <c r="F688" s="377">
        <f>E688*F687</f>
        <v>3.9375</v>
      </c>
      <c r="G688" s="377"/>
      <c r="H688" s="377">
        <f>G688*F688</f>
        <v>0</v>
      </c>
      <c r="I688" s="194"/>
      <c r="J688" s="107"/>
      <c r="K688" s="76"/>
      <c r="M688" s="141"/>
    </row>
    <row r="689" spans="1:13" s="202" customFormat="1" ht="30" customHeight="1">
      <c r="A689" s="224"/>
      <c r="B689" s="224" t="s">
        <v>4</v>
      </c>
      <c r="C689" s="496" t="s">
        <v>129</v>
      </c>
      <c r="D689" s="373" t="s">
        <v>16</v>
      </c>
      <c r="E689" s="373">
        <v>0.0067</v>
      </c>
      <c r="F689" s="377">
        <f>F687*E689</f>
        <v>0.05025</v>
      </c>
      <c r="G689" s="47"/>
      <c r="H689" s="377">
        <f>G689*F689</f>
        <v>0</v>
      </c>
      <c r="I689" s="194"/>
      <c r="J689" s="107"/>
      <c r="K689" s="76"/>
      <c r="M689" s="141"/>
    </row>
    <row r="690" spans="1:13" s="202" customFormat="1" ht="27.75" customHeight="1">
      <c r="A690" s="224"/>
      <c r="B690" s="224" t="s">
        <v>1348</v>
      </c>
      <c r="C690" s="496" t="s">
        <v>418</v>
      </c>
      <c r="D690" s="373" t="s">
        <v>14</v>
      </c>
      <c r="E690" s="373">
        <v>0.0026</v>
      </c>
      <c r="F690" s="206">
        <f>F687*E690</f>
        <v>0.0195</v>
      </c>
      <c r="G690" s="377"/>
      <c r="H690" s="377">
        <f>G690*F690</f>
        <v>0</v>
      </c>
      <c r="I690" s="194"/>
      <c r="J690" s="107"/>
      <c r="K690" s="76"/>
      <c r="M690" s="141"/>
    </row>
    <row r="691" spans="1:13" s="202" customFormat="1" ht="28.5" customHeight="1">
      <c r="A691" s="224"/>
      <c r="B691" s="224" t="s">
        <v>2</v>
      </c>
      <c r="C691" s="496" t="s">
        <v>419</v>
      </c>
      <c r="D691" s="373" t="s">
        <v>53</v>
      </c>
      <c r="E691" s="373">
        <v>0.22</v>
      </c>
      <c r="F691" s="295">
        <f>F687*E691</f>
        <v>1.65</v>
      </c>
      <c r="G691" s="377"/>
      <c r="H691" s="377">
        <f>G691*F691</f>
        <v>0</v>
      </c>
      <c r="I691" s="194"/>
      <c r="J691" s="107"/>
      <c r="K691" s="76"/>
      <c r="M691" s="141"/>
    </row>
    <row r="692" spans="1:13" s="202" customFormat="1" ht="30.75" customHeight="1">
      <c r="A692" s="224"/>
      <c r="B692" s="224" t="s">
        <v>1369</v>
      </c>
      <c r="C692" s="496" t="s">
        <v>420</v>
      </c>
      <c r="D692" s="373" t="s">
        <v>1370</v>
      </c>
      <c r="E692" s="373">
        <v>0.178</v>
      </c>
      <c r="F692" s="377">
        <f>E692*F687</f>
        <v>1.335</v>
      </c>
      <c r="G692" s="377"/>
      <c r="H692" s="377">
        <f>F692*G692</f>
        <v>0</v>
      </c>
      <c r="I692" s="194"/>
      <c r="J692" s="107"/>
      <c r="K692" s="76"/>
      <c r="M692" s="141"/>
    </row>
    <row r="693" spans="1:13" s="202" customFormat="1" ht="66.75" customHeight="1">
      <c r="A693" s="224"/>
      <c r="B693" s="257"/>
      <c r="C693" s="619" t="s">
        <v>1646</v>
      </c>
      <c r="D693" s="193" t="s">
        <v>16</v>
      </c>
      <c r="E693" s="193"/>
      <c r="F693" s="377"/>
      <c r="G693" s="377"/>
      <c r="H693" s="137">
        <f>H591+H593+H597+H600+H606+H610+H612+H615+H632+H639+H643+H647+H653+H660+H665+H670+H676+H684+H687+H620+H627</f>
        <v>0</v>
      </c>
      <c r="I693" s="194"/>
      <c r="J693" s="107"/>
      <c r="K693" s="76"/>
      <c r="M693" s="141"/>
    </row>
    <row r="694" spans="1:13" s="202" customFormat="1" ht="31.5" customHeight="1">
      <c r="A694" s="224"/>
      <c r="B694" s="257"/>
      <c r="C694" s="261" t="s">
        <v>492</v>
      </c>
      <c r="D694" s="193"/>
      <c r="E694" s="193"/>
      <c r="F694" s="377"/>
      <c r="G694" s="377"/>
      <c r="H694" s="137"/>
      <c r="I694" s="194"/>
      <c r="J694" s="107"/>
      <c r="K694" s="76"/>
      <c r="M694" s="141"/>
    </row>
    <row r="695" spans="1:13" s="202" customFormat="1" ht="51.75" customHeight="1">
      <c r="A695" s="376" t="s">
        <v>13</v>
      </c>
      <c r="B695" s="378" t="s">
        <v>892</v>
      </c>
      <c r="C695" s="375" t="s">
        <v>1258</v>
      </c>
      <c r="D695" s="374" t="s">
        <v>46</v>
      </c>
      <c r="E695" s="374"/>
      <c r="F695" s="192">
        <v>2440</v>
      </c>
      <c r="G695" s="137"/>
      <c r="H695" s="190">
        <f>SUM(H696:H698)</f>
        <v>0</v>
      </c>
      <c r="I695" s="194"/>
      <c r="J695" s="107"/>
      <c r="K695" s="76"/>
      <c r="M695" s="141"/>
    </row>
    <row r="696" spans="1:13" s="202" customFormat="1" ht="24.75" customHeight="1">
      <c r="A696" s="497"/>
      <c r="B696" s="224" t="s">
        <v>4</v>
      </c>
      <c r="C696" s="496" t="s">
        <v>148</v>
      </c>
      <c r="D696" s="373" t="s">
        <v>5</v>
      </c>
      <c r="E696" s="373">
        <v>0.37</v>
      </c>
      <c r="F696" s="377">
        <f>F695*E696</f>
        <v>902.8</v>
      </c>
      <c r="G696" s="377"/>
      <c r="H696" s="124">
        <f>G696*F696</f>
        <v>0</v>
      </c>
      <c r="I696" s="194"/>
      <c r="J696" s="107"/>
      <c r="K696" s="76"/>
      <c r="M696" s="141"/>
    </row>
    <row r="697" spans="1:13" s="202" customFormat="1" ht="24" customHeight="1">
      <c r="A697" s="497"/>
      <c r="B697" s="224" t="s">
        <v>4</v>
      </c>
      <c r="C697" s="496" t="s">
        <v>129</v>
      </c>
      <c r="D697" s="373" t="s">
        <v>16</v>
      </c>
      <c r="E697" s="373">
        <v>0.01</v>
      </c>
      <c r="F697" s="377">
        <f>E697*F695</f>
        <v>24.400000000000002</v>
      </c>
      <c r="G697" s="47"/>
      <c r="H697" s="124">
        <f>G697*F697</f>
        <v>0</v>
      </c>
      <c r="I697" s="194"/>
      <c r="J697" s="107"/>
      <c r="K697" s="76"/>
      <c r="M697" s="141"/>
    </row>
    <row r="698" spans="1:13" s="202" customFormat="1" ht="21.75" customHeight="1">
      <c r="A698" s="497"/>
      <c r="B698" s="496" t="s">
        <v>537</v>
      </c>
      <c r="C698" s="496" t="s">
        <v>1373</v>
      </c>
      <c r="D698" s="373" t="s">
        <v>53</v>
      </c>
      <c r="E698" s="373">
        <v>2.5</v>
      </c>
      <c r="F698" s="377">
        <f>F695*E698</f>
        <v>6100</v>
      </c>
      <c r="G698" s="377"/>
      <c r="H698" s="124">
        <f>G698*F698</f>
        <v>0</v>
      </c>
      <c r="I698" s="194"/>
      <c r="J698" s="107"/>
      <c r="K698" s="76"/>
      <c r="M698" s="141"/>
    </row>
    <row r="699" spans="1:13" s="202" customFormat="1" ht="54" customHeight="1">
      <c r="A699" s="602" t="s">
        <v>37</v>
      </c>
      <c r="B699" s="603" t="s">
        <v>616</v>
      </c>
      <c r="C699" s="604" t="s">
        <v>1259</v>
      </c>
      <c r="D699" s="604" t="s">
        <v>43</v>
      </c>
      <c r="E699" s="604"/>
      <c r="F699" s="605">
        <v>920</v>
      </c>
      <c r="G699" s="606"/>
      <c r="H699" s="607">
        <f>H700+H701+H703+H704+H702</f>
        <v>0</v>
      </c>
      <c r="I699" s="194"/>
      <c r="J699" s="107"/>
      <c r="K699" s="76"/>
      <c r="M699" s="141"/>
    </row>
    <row r="700" spans="1:13" s="202" customFormat="1" ht="21.75" customHeight="1">
      <c r="A700" s="260"/>
      <c r="B700" s="239" t="s">
        <v>4</v>
      </c>
      <c r="C700" s="241" t="s">
        <v>136</v>
      </c>
      <c r="D700" s="241" t="s">
        <v>105</v>
      </c>
      <c r="E700" s="241">
        <v>1.43</v>
      </c>
      <c r="F700" s="608">
        <f>E700*F699</f>
        <v>1315.6</v>
      </c>
      <c r="G700" s="609"/>
      <c r="H700" s="610">
        <f>F700*G700</f>
        <v>0</v>
      </c>
      <c r="I700" s="194"/>
      <c r="J700" s="107"/>
      <c r="K700" s="76"/>
      <c r="M700" s="141"/>
    </row>
    <row r="701" spans="1:13" s="202" customFormat="1" ht="23.25" customHeight="1">
      <c r="A701" s="260"/>
      <c r="B701" s="239" t="s">
        <v>4</v>
      </c>
      <c r="C701" s="241" t="s">
        <v>137</v>
      </c>
      <c r="D701" s="241" t="s">
        <v>16</v>
      </c>
      <c r="E701" s="241">
        <v>0.009</v>
      </c>
      <c r="F701" s="117">
        <f>F699*E701</f>
        <v>8.28</v>
      </c>
      <c r="G701" s="47"/>
      <c r="H701" s="610">
        <f>F701*G701</f>
        <v>0</v>
      </c>
      <c r="I701" s="194"/>
      <c r="J701" s="107"/>
      <c r="K701" s="76"/>
      <c r="M701" s="141"/>
    </row>
    <row r="702" spans="1:13" s="202" customFormat="1" ht="29.25" customHeight="1">
      <c r="A702" s="260"/>
      <c r="B702" s="240" t="s">
        <v>1421</v>
      </c>
      <c r="C702" s="241" t="s">
        <v>1422</v>
      </c>
      <c r="D702" s="241" t="s">
        <v>53</v>
      </c>
      <c r="E702" s="609">
        <v>6</v>
      </c>
      <c r="F702" s="52">
        <f>E702*F699</f>
        <v>5520</v>
      </c>
      <c r="G702" s="465"/>
      <c r="H702" s="610">
        <f>F702*G702</f>
        <v>0</v>
      </c>
      <c r="I702" s="194"/>
      <c r="J702" s="107"/>
      <c r="K702" s="76"/>
      <c r="M702" s="141"/>
    </row>
    <row r="703" spans="1:13" s="202" customFormat="1" ht="33" customHeight="1">
      <c r="A703" s="260"/>
      <c r="B703" s="240" t="s">
        <v>1386</v>
      </c>
      <c r="C703" s="241" t="s">
        <v>431</v>
      </c>
      <c r="D703" s="241" t="s">
        <v>53</v>
      </c>
      <c r="E703" s="241">
        <v>0.252</v>
      </c>
      <c r="F703" s="117">
        <f>E703*F699</f>
        <v>231.84</v>
      </c>
      <c r="G703" s="465"/>
      <c r="H703" s="610">
        <f>F703*G703</f>
        <v>0</v>
      </c>
      <c r="I703" s="194"/>
      <c r="J703" s="107"/>
      <c r="K703" s="76"/>
      <c r="M703" s="141"/>
    </row>
    <row r="704" spans="1:13" s="202" customFormat="1" ht="18" customHeight="1">
      <c r="A704" s="260"/>
      <c r="B704" s="239" t="s">
        <v>4</v>
      </c>
      <c r="C704" s="241" t="s">
        <v>184</v>
      </c>
      <c r="D704" s="241" t="s">
        <v>16</v>
      </c>
      <c r="E704" s="241">
        <v>0.024</v>
      </c>
      <c r="F704" s="117">
        <f>E704*F699</f>
        <v>22.080000000000002</v>
      </c>
      <c r="G704" s="47"/>
      <c r="H704" s="610">
        <f>F704*G704</f>
        <v>0</v>
      </c>
      <c r="I704" s="194"/>
      <c r="J704" s="107"/>
      <c r="K704" s="76"/>
      <c r="M704" s="141"/>
    </row>
    <row r="705" spans="1:13" s="202" customFormat="1" ht="78.75" customHeight="1">
      <c r="A705" s="602" t="s">
        <v>63</v>
      </c>
      <c r="B705" s="611" t="s">
        <v>501</v>
      </c>
      <c r="C705" s="551" t="s">
        <v>1260</v>
      </c>
      <c r="D705" s="551" t="s">
        <v>43</v>
      </c>
      <c r="E705" s="551"/>
      <c r="F705" s="612">
        <v>530</v>
      </c>
      <c r="G705" s="613"/>
      <c r="H705" s="614">
        <f>H706+H707+H708+H712+H709+H710+H711</f>
        <v>0</v>
      </c>
      <c r="I705" s="194"/>
      <c r="J705" s="107"/>
      <c r="K705" s="76"/>
      <c r="M705" s="141"/>
    </row>
    <row r="706" spans="1:13" s="202" customFormat="1" ht="25.5" customHeight="1">
      <c r="A706" s="260"/>
      <c r="B706" s="555" t="s">
        <v>4</v>
      </c>
      <c r="C706" s="241" t="s">
        <v>136</v>
      </c>
      <c r="D706" s="241" t="s">
        <v>43</v>
      </c>
      <c r="E706" s="609">
        <v>1</v>
      </c>
      <c r="F706" s="609">
        <f>E706*F705</f>
        <v>530</v>
      </c>
      <c r="G706" s="609"/>
      <c r="H706" s="287">
        <f>F706*G706</f>
        <v>0</v>
      </c>
      <c r="I706" s="194"/>
      <c r="J706" s="107"/>
      <c r="K706" s="76"/>
      <c r="M706" s="141"/>
    </row>
    <row r="707" spans="1:13" s="202" customFormat="1" ht="21.75" customHeight="1">
      <c r="A707" s="260"/>
      <c r="B707" s="555" t="s">
        <v>4</v>
      </c>
      <c r="C707" s="241" t="s">
        <v>137</v>
      </c>
      <c r="D707" s="241" t="s">
        <v>16</v>
      </c>
      <c r="E707" s="241">
        <v>0.007</v>
      </c>
      <c r="F707" s="117">
        <f>F705*E707</f>
        <v>3.71</v>
      </c>
      <c r="G707" s="47"/>
      <c r="H707" s="287">
        <f aca="true" t="shared" si="23" ref="H707:H712">F707*G707</f>
        <v>0</v>
      </c>
      <c r="I707" s="194"/>
      <c r="J707" s="107"/>
      <c r="K707" s="76"/>
      <c r="M707" s="141"/>
    </row>
    <row r="708" spans="1:13" s="202" customFormat="1" ht="24" customHeight="1">
      <c r="A708" s="260"/>
      <c r="B708" s="370" t="s">
        <v>1386</v>
      </c>
      <c r="C708" s="241" t="s">
        <v>431</v>
      </c>
      <c r="D708" s="241" t="s">
        <v>53</v>
      </c>
      <c r="E708" s="241">
        <v>0.59</v>
      </c>
      <c r="F708" s="117">
        <f>E708*F705</f>
        <v>312.7</v>
      </c>
      <c r="G708" s="465"/>
      <c r="H708" s="287">
        <f t="shared" si="23"/>
        <v>0</v>
      </c>
      <c r="I708" s="194"/>
      <c r="J708" s="107"/>
      <c r="K708" s="76"/>
      <c r="M708" s="141"/>
    </row>
    <row r="709" spans="1:13" s="202" customFormat="1" ht="26.25" customHeight="1">
      <c r="A709" s="260"/>
      <c r="B709" s="370" t="s">
        <v>1418</v>
      </c>
      <c r="C709" s="241" t="s">
        <v>502</v>
      </c>
      <c r="D709" s="241" t="s">
        <v>53</v>
      </c>
      <c r="E709" s="609">
        <v>0.1</v>
      </c>
      <c r="F709" s="117">
        <f>E709*F705</f>
        <v>53</v>
      </c>
      <c r="G709" s="465"/>
      <c r="H709" s="287">
        <f t="shared" si="23"/>
        <v>0</v>
      </c>
      <c r="I709" s="194"/>
      <c r="J709" s="107"/>
      <c r="K709" s="76"/>
      <c r="M709" s="141"/>
    </row>
    <row r="710" spans="1:13" s="202" customFormat="1" ht="27" customHeight="1">
      <c r="A710" s="260"/>
      <c r="B710" s="370" t="s">
        <v>538</v>
      </c>
      <c r="C710" s="557" t="s">
        <v>1382</v>
      </c>
      <c r="D710" s="241" t="s">
        <v>53</v>
      </c>
      <c r="E710" s="609">
        <v>0.15</v>
      </c>
      <c r="F710" s="117">
        <f>E710*F705</f>
        <v>79.5</v>
      </c>
      <c r="G710" s="465"/>
      <c r="H710" s="287">
        <f t="shared" si="23"/>
        <v>0</v>
      </c>
      <c r="I710" s="194"/>
      <c r="J710" s="107"/>
      <c r="K710" s="76"/>
      <c r="M710" s="141"/>
    </row>
    <row r="711" spans="1:13" s="202" customFormat="1" ht="24.75" customHeight="1">
      <c r="A711" s="260"/>
      <c r="B711" s="370" t="s">
        <v>1400</v>
      </c>
      <c r="C711" s="241" t="s">
        <v>493</v>
      </c>
      <c r="D711" s="241" t="s">
        <v>503</v>
      </c>
      <c r="E711" s="241">
        <v>0.12</v>
      </c>
      <c r="F711" s="117">
        <f>E711*F705</f>
        <v>63.599999999999994</v>
      </c>
      <c r="G711" s="465"/>
      <c r="H711" s="287">
        <f t="shared" si="23"/>
        <v>0</v>
      </c>
      <c r="I711" s="194"/>
      <c r="J711" s="107"/>
      <c r="K711" s="76"/>
      <c r="M711" s="141"/>
    </row>
    <row r="712" spans="1:13" s="202" customFormat="1" ht="27.75" customHeight="1">
      <c r="A712" s="260"/>
      <c r="B712" s="555" t="s">
        <v>4</v>
      </c>
      <c r="C712" s="208" t="s">
        <v>541</v>
      </c>
      <c r="D712" s="241" t="s">
        <v>16</v>
      </c>
      <c r="E712" s="241">
        <v>0.0034</v>
      </c>
      <c r="F712" s="117">
        <f>E712*F705</f>
        <v>1.8019999999999998</v>
      </c>
      <c r="G712" s="47"/>
      <c r="H712" s="287">
        <f t="shared" si="23"/>
        <v>0</v>
      </c>
      <c r="I712" s="194"/>
      <c r="J712" s="107"/>
      <c r="K712" s="76"/>
      <c r="M712" s="141"/>
    </row>
    <row r="713" spans="1:13" s="202" customFormat="1" ht="48.75" customHeight="1">
      <c r="A713" s="81" t="s">
        <v>64</v>
      </c>
      <c r="B713" s="378" t="s">
        <v>1150</v>
      </c>
      <c r="C713" s="55" t="s">
        <v>1319</v>
      </c>
      <c r="D713" s="158" t="s">
        <v>43</v>
      </c>
      <c r="E713" s="158"/>
      <c r="F713" s="160">
        <v>990</v>
      </c>
      <c r="G713" s="160"/>
      <c r="H713" s="228">
        <f>SUM(H714:H720)</f>
        <v>0</v>
      </c>
      <c r="I713" s="194"/>
      <c r="J713" s="107"/>
      <c r="K713" s="76"/>
      <c r="M713" s="141"/>
    </row>
    <row r="714" spans="1:13" s="202" customFormat="1" ht="27" customHeight="1">
      <c r="A714" s="82"/>
      <c r="B714" s="223" t="s">
        <v>4</v>
      </c>
      <c r="C714" s="46" t="s">
        <v>136</v>
      </c>
      <c r="D714" s="49" t="s">
        <v>5</v>
      </c>
      <c r="E714" s="52">
        <v>1.37</v>
      </c>
      <c r="F714" s="52">
        <f>E714*F713</f>
        <v>1356.3000000000002</v>
      </c>
      <c r="G714" s="52"/>
      <c r="H714" s="377">
        <f aca="true" t="shared" si="24" ref="H714:H720">G714*F714</f>
        <v>0</v>
      </c>
      <c r="I714" s="194"/>
      <c r="J714" s="107"/>
      <c r="K714" s="76"/>
      <c r="M714" s="141"/>
    </row>
    <row r="715" spans="1:13" s="202" customFormat="1" ht="28.5" customHeight="1">
      <c r="A715" s="82"/>
      <c r="B715" s="224" t="s">
        <v>4</v>
      </c>
      <c r="C715" s="46" t="s">
        <v>137</v>
      </c>
      <c r="D715" s="49" t="s">
        <v>16</v>
      </c>
      <c r="E715" s="52">
        <v>0.077</v>
      </c>
      <c r="F715" s="52">
        <f>E715*F713</f>
        <v>76.23</v>
      </c>
      <c r="G715" s="47"/>
      <c r="H715" s="377">
        <f t="shared" si="24"/>
        <v>0</v>
      </c>
      <c r="I715" s="194"/>
      <c r="J715" s="107"/>
      <c r="K715" s="76"/>
      <c r="M715" s="141"/>
    </row>
    <row r="716" spans="1:13" s="202" customFormat="1" ht="25.5" customHeight="1">
      <c r="A716" s="82"/>
      <c r="B716" s="227" t="s">
        <v>537</v>
      </c>
      <c r="C716" s="49" t="s">
        <v>345</v>
      </c>
      <c r="D716" s="49" t="s">
        <v>53</v>
      </c>
      <c r="E716" s="52">
        <v>6.5</v>
      </c>
      <c r="F716" s="52">
        <f>E716*F713</f>
        <v>6435</v>
      </c>
      <c r="G716" s="52"/>
      <c r="H716" s="377">
        <f t="shared" si="24"/>
        <v>0</v>
      </c>
      <c r="I716" s="194"/>
      <c r="J716" s="107"/>
      <c r="K716" s="76"/>
      <c r="M716" s="141"/>
    </row>
    <row r="717" spans="1:13" s="202" customFormat="1" ht="27.75" customHeight="1">
      <c r="A717" s="82"/>
      <c r="B717" s="227" t="s">
        <v>1372</v>
      </c>
      <c r="C717" s="46" t="s">
        <v>346</v>
      </c>
      <c r="D717" s="49" t="s">
        <v>53</v>
      </c>
      <c r="E717" s="52">
        <v>0.3</v>
      </c>
      <c r="F717" s="52">
        <f>E717*F713</f>
        <v>297</v>
      </c>
      <c r="G717" s="52"/>
      <c r="H717" s="377">
        <f t="shared" si="24"/>
        <v>0</v>
      </c>
      <c r="I717" s="194"/>
      <c r="J717" s="107"/>
      <c r="K717" s="76"/>
      <c r="M717" s="141"/>
    </row>
    <row r="718" spans="1:13" s="202" customFormat="1" ht="30.75" customHeight="1">
      <c r="A718" s="82"/>
      <c r="B718" s="224" t="s">
        <v>1316</v>
      </c>
      <c r="C718" s="46" t="s">
        <v>1315</v>
      </c>
      <c r="D718" s="49" t="s">
        <v>15</v>
      </c>
      <c r="E718" s="52">
        <v>19</v>
      </c>
      <c r="F718" s="52">
        <f>E718*F713</f>
        <v>18810</v>
      </c>
      <c r="G718" s="377"/>
      <c r="H718" s="377">
        <f t="shared" si="24"/>
        <v>0</v>
      </c>
      <c r="I718" s="194"/>
      <c r="J718" s="107"/>
      <c r="K718" s="76"/>
      <c r="M718" s="141"/>
    </row>
    <row r="719" spans="1:13" s="202" customFormat="1" ht="29.25" customHeight="1">
      <c r="A719" s="82"/>
      <c r="B719" s="224" t="s">
        <v>1339</v>
      </c>
      <c r="C719" s="46" t="s">
        <v>473</v>
      </c>
      <c r="D719" s="49" t="s">
        <v>53</v>
      </c>
      <c r="E719" s="52">
        <v>0.9</v>
      </c>
      <c r="F719" s="52">
        <f>E719*F713</f>
        <v>891</v>
      </c>
      <c r="G719" s="296"/>
      <c r="H719" s="377">
        <f t="shared" si="24"/>
        <v>0</v>
      </c>
      <c r="I719" s="194"/>
      <c r="J719" s="107"/>
      <c r="K719" s="76"/>
      <c r="M719" s="141"/>
    </row>
    <row r="720" spans="1:17" s="202" customFormat="1" ht="30" customHeight="1">
      <c r="A720" s="82"/>
      <c r="B720" s="224" t="s">
        <v>4</v>
      </c>
      <c r="C720" s="46" t="s">
        <v>18</v>
      </c>
      <c r="D720" s="49" t="s">
        <v>16</v>
      </c>
      <c r="E720" s="49">
        <v>0.0576</v>
      </c>
      <c r="F720" s="52">
        <f>E720*F713</f>
        <v>57.024</v>
      </c>
      <c r="G720" s="47"/>
      <c r="H720" s="377">
        <f t="shared" si="24"/>
        <v>0</v>
      </c>
      <c r="I720" s="194"/>
      <c r="J720" s="107"/>
      <c r="K720" s="76"/>
      <c r="M720" s="141"/>
      <c r="Q720" s="1"/>
    </row>
    <row r="721" spans="1:8" ht="63" customHeight="1">
      <c r="A721" s="376" t="s">
        <v>41</v>
      </c>
      <c r="B721" s="378" t="s">
        <v>1109</v>
      </c>
      <c r="C721" s="375" t="s">
        <v>1110</v>
      </c>
      <c r="D721" s="375" t="s">
        <v>22</v>
      </c>
      <c r="E721" s="374"/>
      <c r="F721" s="137">
        <v>188</v>
      </c>
      <c r="G721" s="160"/>
      <c r="H721" s="228">
        <f>SUM(H722:H726)</f>
        <v>0</v>
      </c>
    </row>
    <row r="722" spans="1:8" ht="27.75" customHeight="1">
      <c r="A722" s="48"/>
      <c r="B722" s="224" t="s">
        <v>4</v>
      </c>
      <c r="C722" s="46" t="s">
        <v>136</v>
      </c>
      <c r="D722" s="46" t="s">
        <v>22</v>
      </c>
      <c r="E722" s="49">
        <v>0.74</v>
      </c>
      <c r="F722" s="52">
        <f>E722*F721</f>
        <v>139.12</v>
      </c>
      <c r="G722" s="52"/>
      <c r="H722" s="377">
        <f>G722*F722</f>
        <v>0</v>
      </c>
    </row>
    <row r="723" spans="1:8" ht="30" customHeight="1">
      <c r="A723" s="48"/>
      <c r="B723" s="224" t="s">
        <v>4</v>
      </c>
      <c r="C723" s="46" t="s">
        <v>153</v>
      </c>
      <c r="D723" s="46" t="s">
        <v>16</v>
      </c>
      <c r="E723" s="49">
        <v>0.0662</v>
      </c>
      <c r="F723" s="52">
        <f>E723*F721</f>
        <v>12.445599999999999</v>
      </c>
      <c r="G723" s="47"/>
      <c r="H723" s="377">
        <f>G723*F723</f>
        <v>0</v>
      </c>
    </row>
    <row r="724" spans="1:8" ht="33" customHeight="1">
      <c r="A724" s="48"/>
      <c r="B724" s="370" t="s">
        <v>1379</v>
      </c>
      <c r="C724" s="46" t="s">
        <v>1419</v>
      </c>
      <c r="D724" s="46" t="s">
        <v>43</v>
      </c>
      <c r="E724" s="296">
        <v>0.35</v>
      </c>
      <c r="F724" s="52">
        <f>E724*F721</f>
        <v>65.8</v>
      </c>
      <c r="G724" s="52"/>
      <c r="H724" s="377">
        <f>G724*F724</f>
        <v>0</v>
      </c>
    </row>
    <row r="725" spans="1:8" ht="27.75" customHeight="1">
      <c r="A725" s="48"/>
      <c r="B725" s="227" t="s">
        <v>1328</v>
      </c>
      <c r="C725" s="46" t="s">
        <v>235</v>
      </c>
      <c r="D725" s="46" t="s">
        <v>236</v>
      </c>
      <c r="E725" s="52">
        <v>0.1</v>
      </c>
      <c r="F725" s="52">
        <f>F721*E725</f>
        <v>18.8</v>
      </c>
      <c r="G725" s="52"/>
      <c r="H725" s="377">
        <f>G725*F725</f>
        <v>0</v>
      </c>
    </row>
    <row r="726" spans="1:8" ht="27.75" customHeight="1">
      <c r="A726" s="48"/>
      <c r="B726" s="224" t="s">
        <v>4</v>
      </c>
      <c r="C726" s="208" t="s">
        <v>541</v>
      </c>
      <c r="D726" s="46" t="s">
        <v>16</v>
      </c>
      <c r="E726" s="49">
        <v>0.133</v>
      </c>
      <c r="F726" s="52">
        <f>E726*F721</f>
        <v>25.004</v>
      </c>
      <c r="G726" s="47"/>
      <c r="H726" s="377">
        <f>G726*F726</f>
        <v>0</v>
      </c>
    </row>
    <row r="727" spans="1:8" ht="47.25" customHeight="1">
      <c r="A727" s="71">
        <v>6</v>
      </c>
      <c r="B727" s="378" t="s">
        <v>84</v>
      </c>
      <c r="C727" s="375" t="s">
        <v>1146</v>
      </c>
      <c r="D727" s="68" t="s">
        <v>402</v>
      </c>
      <c r="E727" s="55"/>
      <c r="F727" s="226">
        <v>2260</v>
      </c>
      <c r="G727" s="70"/>
      <c r="H727" s="380">
        <f>SUM(H728:H732)</f>
        <v>0</v>
      </c>
    </row>
    <row r="728" spans="1:8" ht="31.5" customHeight="1">
      <c r="A728" s="82"/>
      <c r="B728" s="223" t="s">
        <v>4</v>
      </c>
      <c r="C728" s="46" t="s">
        <v>136</v>
      </c>
      <c r="D728" s="46" t="s">
        <v>5</v>
      </c>
      <c r="E728" s="46">
        <v>0.459</v>
      </c>
      <c r="F728" s="47">
        <f>E728*F727</f>
        <v>1037.3400000000001</v>
      </c>
      <c r="G728" s="47"/>
      <c r="H728" s="222">
        <f>G728*F728</f>
        <v>0</v>
      </c>
    </row>
    <row r="729" spans="1:8" ht="28.5" customHeight="1">
      <c r="A729" s="82"/>
      <c r="B729" s="223" t="s">
        <v>4</v>
      </c>
      <c r="C729" s="46" t="s">
        <v>137</v>
      </c>
      <c r="D729" s="46" t="s">
        <v>16</v>
      </c>
      <c r="E729" s="46">
        <v>0.0023</v>
      </c>
      <c r="F729" s="47">
        <f>E729*F727</f>
        <v>5.1979999999999995</v>
      </c>
      <c r="G729" s="47"/>
      <c r="H729" s="222">
        <f>G729*F729</f>
        <v>0</v>
      </c>
    </row>
    <row r="730" spans="1:8" ht="32.25" customHeight="1">
      <c r="A730" s="82"/>
      <c r="B730" s="224" t="s">
        <v>1410</v>
      </c>
      <c r="C730" s="46" t="s">
        <v>403</v>
      </c>
      <c r="D730" s="46" t="s">
        <v>42</v>
      </c>
      <c r="E730" s="161">
        <v>0.00035</v>
      </c>
      <c r="F730" s="47">
        <f>E730*F727</f>
        <v>0.791</v>
      </c>
      <c r="G730" s="47"/>
      <c r="H730" s="222">
        <f>G730*F730</f>
        <v>0</v>
      </c>
    </row>
    <row r="731" spans="1:8" ht="28.5" customHeight="1">
      <c r="A731" s="82"/>
      <c r="B731" s="224" t="s">
        <v>1409</v>
      </c>
      <c r="C731" s="46" t="s">
        <v>85</v>
      </c>
      <c r="D731" s="46" t="s">
        <v>14</v>
      </c>
      <c r="E731" s="161">
        <v>9E-05</v>
      </c>
      <c r="F731" s="47">
        <f>E731*F727</f>
        <v>0.20340000000000003</v>
      </c>
      <c r="G731" s="47"/>
      <c r="H731" s="222">
        <f>G731*F731</f>
        <v>0</v>
      </c>
    </row>
    <row r="732" spans="1:8" ht="27" customHeight="1">
      <c r="A732" s="82"/>
      <c r="B732" s="496" t="s">
        <v>1329</v>
      </c>
      <c r="C732" s="46" t="s">
        <v>86</v>
      </c>
      <c r="D732" s="46" t="s">
        <v>48</v>
      </c>
      <c r="E732" s="46">
        <v>0.034</v>
      </c>
      <c r="F732" s="47">
        <f>E732*F727</f>
        <v>76.84</v>
      </c>
      <c r="G732" s="47"/>
      <c r="H732" s="222">
        <f>G732*F732</f>
        <v>0</v>
      </c>
    </row>
    <row r="733" spans="1:8" ht="56.25" customHeight="1">
      <c r="A733" s="181"/>
      <c r="B733" s="255"/>
      <c r="C733" s="619" t="s">
        <v>1647</v>
      </c>
      <c r="D733" s="181" t="s">
        <v>16</v>
      </c>
      <c r="E733" s="181"/>
      <c r="F733" s="254"/>
      <c r="G733" s="405"/>
      <c r="H733" s="405">
        <f>H695+H699+H705+H713+H721+H727</f>
        <v>0</v>
      </c>
    </row>
    <row r="734" spans="1:17" ht="28.5" customHeight="1">
      <c r="A734" s="82"/>
      <c r="B734" s="378"/>
      <c r="C734" s="363" t="s">
        <v>1680</v>
      </c>
      <c r="D734" s="363"/>
      <c r="E734" s="46"/>
      <c r="F734" s="47"/>
      <c r="G734" s="47"/>
      <c r="H734" s="222"/>
      <c r="Q734" s="204"/>
    </row>
    <row r="735" spans="1:10" s="204" customFormat="1" ht="80.25" customHeight="1">
      <c r="A735" s="376" t="s">
        <v>13</v>
      </c>
      <c r="B735" s="615" t="s">
        <v>2</v>
      </c>
      <c r="C735" s="375" t="s">
        <v>1649</v>
      </c>
      <c r="D735" s="79" t="s">
        <v>107</v>
      </c>
      <c r="E735" s="374"/>
      <c r="F735" s="137">
        <v>2</v>
      </c>
      <c r="G735" s="160"/>
      <c r="H735" s="190">
        <f>H736+H737</f>
        <v>0</v>
      </c>
      <c r="I735" s="203"/>
      <c r="J735" s="203"/>
    </row>
    <row r="736" spans="1:10" s="204" customFormat="1" ht="31.5" customHeight="1">
      <c r="A736" s="82"/>
      <c r="B736" s="45" t="s">
        <v>2</v>
      </c>
      <c r="C736" s="46" t="s">
        <v>1144</v>
      </c>
      <c r="D736" s="49" t="s">
        <v>107</v>
      </c>
      <c r="E736" s="52">
        <v>1</v>
      </c>
      <c r="F736" s="52">
        <v>2</v>
      </c>
      <c r="G736" s="52"/>
      <c r="H736" s="292">
        <f>F736*G736</f>
        <v>0</v>
      </c>
      <c r="I736" s="203"/>
      <c r="J736" s="203"/>
    </row>
    <row r="737" spans="1:17" s="204" customFormat="1" ht="29.25" customHeight="1">
      <c r="A737" s="497"/>
      <c r="B737" s="45" t="s">
        <v>2</v>
      </c>
      <c r="C737" s="46" t="s">
        <v>543</v>
      </c>
      <c r="D737" s="49" t="s">
        <v>107</v>
      </c>
      <c r="E737" s="52">
        <v>1</v>
      </c>
      <c r="F737" s="52">
        <v>2</v>
      </c>
      <c r="G737" s="52"/>
      <c r="H737" s="292">
        <f>F737*G737</f>
        <v>0</v>
      </c>
      <c r="I737" s="203"/>
      <c r="J737" s="203"/>
      <c r="Q737" s="1"/>
    </row>
    <row r="738" spans="1:8" ht="54" customHeight="1">
      <c r="A738" s="81" t="s">
        <v>37</v>
      </c>
      <c r="B738" s="615" t="s">
        <v>2</v>
      </c>
      <c r="C738" s="55" t="s">
        <v>1648</v>
      </c>
      <c r="D738" s="68" t="s">
        <v>107</v>
      </c>
      <c r="E738" s="160"/>
      <c r="F738" s="160">
        <v>1</v>
      </c>
      <c r="G738" s="160"/>
      <c r="H738" s="228">
        <f>H739+H740</f>
        <v>0</v>
      </c>
    </row>
    <row r="739" spans="1:8" ht="29.25" customHeight="1">
      <c r="A739" s="82"/>
      <c r="B739" s="223" t="s">
        <v>2</v>
      </c>
      <c r="C739" s="46" t="s">
        <v>136</v>
      </c>
      <c r="D739" s="49" t="s">
        <v>107</v>
      </c>
      <c r="E739" s="52">
        <v>1</v>
      </c>
      <c r="F739" s="52">
        <f>E739*F738</f>
        <v>1</v>
      </c>
      <c r="G739" s="52"/>
      <c r="H739" s="52">
        <f>F739*G739</f>
        <v>0</v>
      </c>
    </row>
    <row r="740" spans="1:8" ht="33" customHeight="1">
      <c r="A740" s="82"/>
      <c r="B740" s="223" t="s">
        <v>2</v>
      </c>
      <c r="C740" s="46" t="s">
        <v>543</v>
      </c>
      <c r="D740" s="49" t="s">
        <v>107</v>
      </c>
      <c r="E740" s="52">
        <v>1</v>
      </c>
      <c r="F740" s="52">
        <f>F739*E740</f>
        <v>1</v>
      </c>
      <c r="G740" s="52"/>
      <c r="H740" s="52">
        <f>F740*G740</f>
        <v>0</v>
      </c>
    </row>
    <row r="741" spans="1:8" ht="29.25" customHeight="1">
      <c r="A741" s="81" t="s">
        <v>63</v>
      </c>
      <c r="B741" s="615" t="s">
        <v>2</v>
      </c>
      <c r="C741" s="55" t="s">
        <v>884</v>
      </c>
      <c r="D741" s="68" t="s">
        <v>107</v>
      </c>
      <c r="E741" s="160"/>
      <c r="F741" s="160">
        <v>1</v>
      </c>
      <c r="G741" s="160"/>
      <c r="H741" s="228">
        <f>H742+H743</f>
        <v>0</v>
      </c>
    </row>
    <row r="742" spans="1:8" ht="29.25" customHeight="1">
      <c r="A742" s="82"/>
      <c r="B742" s="223" t="s">
        <v>2</v>
      </c>
      <c r="C742" s="46" t="s">
        <v>136</v>
      </c>
      <c r="D742" s="49" t="s">
        <v>107</v>
      </c>
      <c r="E742" s="52">
        <v>1</v>
      </c>
      <c r="F742" s="52">
        <f>E742*F741</f>
        <v>1</v>
      </c>
      <c r="G742" s="52"/>
      <c r="H742" s="52">
        <f>F742*G742</f>
        <v>0</v>
      </c>
    </row>
    <row r="743" spans="1:8" ht="29.25" customHeight="1">
      <c r="A743" s="82"/>
      <c r="B743" s="223" t="s">
        <v>2</v>
      </c>
      <c r="C743" s="46" t="s">
        <v>543</v>
      </c>
      <c r="D743" s="49" t="s">
        <v>107</v>
      </c>
      <c r="E743" s="52">
        <v>1</v>
      </c>
      <c r="F743" s="52">
        <f>F742*E743</f>
        <v>1</v>
      </c>
      <c r="G743" s="52"/>
      <c r="H743" s="52">
        <f>F743*G743</f>
        <v>0</v>
      </c>
    </row>
    <row r="744" spans="1:8" ht="31.5" customHeight="1">
      <c r="A744" s="81" t="s">
        <v>64</v>
      </c>
      <c r="B744" s="615" t="s">
        <v>2</v>
      </c>
      <c r="C744" s="55" t="s">
        <v>885</v>
      </c>
      <c r="D744" s="68" t="s">
        <v>107</v>
      </c>
      <c r="E744" s="160"/>
      <c r="F744" s="160">
        <v>1</v>
      </c>
      <c r="G744" s="160"/>
      <c r="H744" s="228">
        <f>H745+H746</f>
        <v>0</v>
      </c>
    </row>
    <row r="745" spans="1:8" ht="29.25" customHeight="1">
      <c r="A745" s="82"/>
      <c r="B745" s="223" t="s">
        <v>2</v>
      </c>
      <c r="C745" s="46" t="s">
        <v>136</v>
      </c>
      <c r="D745" s="49" t="s">
        <v>107</v>
      </c>
      <c r="E745" s="52">
        <v>1</v>
      </c>
      <c r="F745" s="52">
        <f>E745*F744</f>
        <v>1</v>
      </c>
      <c r="G745" s="52"/>
      <c r="H745" s="52">
        <f>F745*G745</f>
        <v>0</v>
      </c>
    </row>
    <row r="746" spans="1:8" ht="29.25" customHeight="1">
      <c r="A746" s="82"/>
      <c r="B746" s="223" t="s">
        <v>2</v>
      </c>
      <c r="C746" s="46" t="s">
        <v>543</v>
      </c>
      <c r="D746" s="49" t="s">
        <v>107</v>
      </c>
      <c r="E746" s="52">
        <v>1</v>
      </c>
      <c r="F746" s="52">
        <f>F745*E746</f>
        <v>1</v>
      </c>
      <c r="G746" s="52"/>
      <c r="H746" s="52">
        <f>F746*G746</f>
        <v>0</v>
      </c>
    </row>
    <row r="747" spans="1:8" ht="144" customHeight="1">
      <c r="A747" s="82" t="s">
        <v>41</v>
      </c>
      <c r="B747" s="79" t="s">
        <v>2</v>
      </c>
      <c r="C747" s="55" t="s">
        <v>1681</v>
      </c>
      <c r="D747" s="158" t="s">
        <v>107</v>
      </c>
      <c r="E747" s="52"/>
      <c r="F747" s="160">
        <v>1</v>
      </c>
      <c r="G747" s="160"/>
      <c r="H747" s="160">
        <f>H748+H749</f>
        <v>0</v>
      </c>
    </row>
    <row r="748" spans="1:8" ht="29.25" customHeight="1">
      <c r="A748" s="82"/>
      <c r="B748" s="223" t="s">
        <v>2</v>
      </c>
      <c r="C748" s="46" t="s">
        <v>136</v>
      </c>
      <c r="D748" s="49" t="s">
        <v>107</v>
      </c>
      <c r="E748" s="52">
        <v>1</v>
      </c>
      <c r="F748" s="52">
        <v>1</v>
      </c>
      <c r="G748" s="52"/>
      <c r="H748" s="52">
        <f>F748*G748</f>
        <v>0</v>
      </c>
    </row>
    <row r="749" spans="1:8" ht="29.25" customHeight="1">
      <c r="A749" s="82"/>
      <c r="B749" s="223" t="s">
        <v>2</v>
      </c>
      <c r="C749" s="46" t="s">
        <v>543</v>
      </c>
      <c r="D749" s="49" t="s">
        <v>107</v>
      </c>
      <c r="E749" s="52">
        <v>1</v>
      </c>
      <c r="F749" s="52">
        <v>1</v>
      </c>
      <c r="G749" s="52"/>
      <c r="H749" s="52">
        <f>F749*G749</f>
        <v>0</v>
      </c>
    </row>
    <row r="750" spans="1:8" ht="149.25" customHeight="1">
      <c r="A750" s="81" t="s">
        <v>44</v>
      </c>
      <c r="B750" s="79" t="s">
        <v>2</v>
      </c>
      <c r="C750" s="55" t="s">
        <v>1686</v>
      </c>
      <c r="D750" s="158" t="s">
        <v>291</v>
      </c>
      <c r="E750" s="52"/>
      <c r="F750" s="52">
        <v>150</v>
      </c>
      <c r="G750" s="52"/>
      <c r="H750" s="52">
        <f>H751+H752</f>
        <v>0</v>
      </c>
    </row>
    <row r="751" spans="1:8" ht="29.25" customHeight="1">
      <c r="A751" s="82"/>
      <c r="B751" s="223" t="s">
        <v>2</v>
      </c>
      <c r="C751" s="46" t="s">
        <v>136</v>
      </c>
      <c r="D751" s="49" t="s">
        <v>291</v>
      </c>
      <c r="E751" s="52">
        <v>1</v>
      </c>
      <c r="F751" s="52">
        <v>150</v>
      </c>
      <c r="G751" s="52"/>
      <c r="H751" s="52">
        <f>F751*G751</f>
        <v>0</v>
      </c>
    </row>
    <row r="752" spans="1:8" ht="29.25" customHeight="1">
      <c r="A752" s="82"/>
      <c r="B752" s="223" t="s">
        <v>2</v>
      </c>
      <c r="C752" s="46" t="s">
        <v>543</v>
      </c>
      <c r="D752" s="49" t="s">
        <v>291</v>
      </c>
      <c r="E752" s="52">
        <v>1</v>
      </c>
      <c r="F752" s="52">
        <v>150</v>
      </c>
      <c r="G752" s="52"/>
      <c r="H752" s="52">
        <f>F752*G752</f>
        <v>0</v>
      </c>
    </row>
    <row r="753" spans="1:8" ht="100.5" customHeight="1">
      <c r="A753" s="81" t="s">
        <v>45</v>
      </c>
      <c r="B753" s="79" t="s">
        <v>2</v>
      </c>
      <c r="C753" s="55" t="s">
        <v>1685</v>
      </c>
      <c r="D753" s="158" t="s">
        <v>107</v>
      </c>
      <c r="E753" s="52"/>
      <c r="F753" s="52">
        <v>1</v>
      </c>
      <c r="G753" s="52"/>
      <c r="H753" s="52">
        <f>H754+H755</f>
        <v>0</v>
      </c>
    </row>
    <row r="754" spans="1:8" ht="29.25" customHeight="1">
      <c r="A754" s="82"/>
      <c r="B754" s="223" t="s">
        <v>2</v>
      </c>
      <c r="C754" s="46" t="s">
        <v>136</v>
      </c>
      <c r="D754" s="49" t="s">
        <v>107</v>
      </c>
      <c r="E754" s="52">
        <v>1</v>
      </c>
      <c r="F754" s="52">
        <v>1</v>
      </c>
      <c r="G754" s="52"/>
      <c r="H754" s="52">
        <f>F754*G754</f>
        <v>0</v>
      </c>
    </row>
    <row r="755" spans="1:8" ht="29.25" customHeight="1">
      <c r="A755" s="82"/>
      <c r="B755" s="223" t="s">
        <v>2</v>
      </c>
      <c r="C755" s="46" t="s">
        <v>543</v>
      </c>
      <c r="D755" s="49" t="s">
        <v>107</v>
      </c>
      <c r="E755" s="52">
        <v>1</v>
      </c>
      <c r="F755" s="52">
        <v>1</v>
      </c>
      <c r="G755" s="52"/>
      <c r="H755" s="52">
        <f>F755*G755</f>
        <v>0</v>
      </c>
    </row>
    <row r="756" spans="1:8" ht="54" customHeight="1">
      <c r="A756" s="181"/>
      <c r="B756" s="255"/>
      <c r="C756" s="619" t="s">
        <v>426</v>
      </c>
      <c r="D756" s="181" t="s">
        <v>16</v>
      </c>
      <c r="E756" s="256"/>
      <c r="F756" s="256"/>
      <c r="G756" s="405"/>
      <c r="H756" s="405">
        <f>H738+H741+H744+H735+H750+H747+H753</f>
        <v>0</v>
      </c>
    </row>
    <row r="757" spans="1:8" ht="36" customHeight="1">
      <c r="A757" s="376"/>
      <c r="B757" s="375"/>
      <c r="C757" s="375" t="s">
        <v>428</v>
      </c>
      <c r="D757" s="375" t="s">
        <v>16</v>
      </c>
      <c r="E757" s="226"/>
      <c r="F757" s="226"/>
      <c r="G757" s="226"/>
      <c r="H757" s="226">
        <f>H127+H209+H297+H458+H493+H546+H589+H693+H733+H756</f>
        <v>0</v>
      </c>
    </row>
    <row r="758" spans="1:8" ht="32.25" customHeight="1">
      <c r="A758" s="82"/>
      <c r="B758" s="48"/>
      <c r="C758" s="46" t="s">
        <v>227</v>
      </c>
      <c r="D758" s="46" t="s">
        <v>16</v>
      </c>
      <c r="E758" s="46"/>
      <c r="F758" s="53">
        <v>0.1</v>
      </c>
      <c r="G758" s="47"/>
      <c r="H758" s="52">
        <f>H757*F758</f>
        <v>0</v>
      </c>
    </row>
    <row r="759" spans="1:8" ht="29.25" customHeight="1">
      <c r="A759" s="82"/>
      <c r="B759" s="54"/>
      <c r="C759" s="55" t="s">
        <v>127</v>
      </c>
      <c r="D759" s="55" t="s">
        <v>16</v>
      </c>
      <c r="E759" s="55"/>
      <c r="F759" s="55"/>
      <c r="G759" s="70"/>
      <c r="H759" s="160">
        <f>H757+H758</f>
        <v>0</v>
      </c>
    </row>
    <row r="760" spans="1:8" ht="28.5" customHeight="1">
      <c r="A760" s="82"/>
      <c r="B760" s="48"/>
      <c r="C760" s="46" t="s">
        <v>39</v>
      </c>
      <c r="D760" s="46" t="s">
        <v>16</v>
      </c>
      <c r="E760" s="46"/>
      <c r="F760" s="53">
        <v>0.08</v>
      </c>
      <c r="G760" s="47"/>
      <c r="H760" s="52">
        <f>H759*F760</f>
        <v>0</v>
      </c>
    </row>
    <row r="761" spans="1:8" ht="25.5" customHeight="1">
      <c r="A761" s="72"/>
      <c r="B761" s="54"/>
      <c r="C761" s="55" t="s">
        <v>21</v>
      </c>
      <c r="D761" s="55" t="s">
        <v>16</v>
      </c>
      <c r="E761" s="55"/>
      <c r="F761" s="162"/>
      <c r="G761" s="70"/>
      <c r="H761" s="160">
        <f>SUM(H759:H760)</f>
        <v>0</v>
      </c>
    </row>
    <row r="762" spans="1:8" ht="26.25" customHeight="1">
      <c r="A762" s="103"/>
      <c r="B762" s="118"/>
      <c r="C762" s="119"/>
      <c r="D762" s="119"/>
      <c r="E762" s="119"/>
      <c r="F762" s="120"/>
      <c r="G762" s="119"/>
      <c r="H762" s="214"/>
    </row>
    <row r="763" spans="1:8" ht="116.25" customHeight="1">
      <c r="A763" s="669" t="s">
        <v>1684</v>
      </c>
      <c r="B763" s="669"/>
      <c r="C763" s="669"/>
      <c r="D763" s="669"/>
      <c r="E763" s="669"/>
      <c r="F763" s="669"/>
      <c r="G763" s="669"/>
      <c r="H763" s="669"/>
    </row>
    <row r="764" spans="1:7" ht="15.75">
      <c r="A764" s="57"/>
      <c r="B764" s="659"/>
      <c r="C764" s="659"/>
      <c r="D764" s="659"/>
      <c r="E764" s="659"/>
      <c r="F764" s="659"/>
      <c r="G764" s="659"/>
    </row>
  </sheetData>
  <sheetProtection/>
  <protectedRanges>
    <protectedRange sqref="G552 G563 G270 G243:G244 G259:G260 G246 G248:G249 G251 G253:G254 G256 G262 G272" name="Range2_1"/>
    <protectedRange sqref="G476:G477 G493 G546 G589 G733 G479:G481 G756" name="Range2_2"/>
    <protectedRange sqref="G547 G494" name="Range2_2_1"/>
    <protectedRange sqref="G571:G572 G574:G575 G577:G578 G580:G581" name="Range2_4"/>
    <protectedRange sqref="G548:G549 G554 G559:G560 G551 G562" name="Range2_5"/>
    <protectedRange sqref="G215:G216 G221:G222 G232 G227" name="Range2_1_1"/>
    <protectedRange sqref="G233:G234 G236 G238:G239 G241" name="Range2_1_1_1"/>
    <protectedRange sqref="G264:G265 G267" name="Range2_1_4"/>
    <protectedRange sqref="G213:G214 G230:G231 G219:G220 G225:G226" name="Range2_2_1_2"/>
    <protectedRange sqref="G212 G229 G218 G224" name="Range2_1_3"/>
    <protectedRange sqref="G288" name="Range2_1_2"/>
    <protectedRange sqref="G285 G287" name="Range2_1_1_2"/>
  </protectedRanges>
  <autoFilter ref="A7:H761"/>
  <mergeCells count="13">
    <mergeCell ref="G5:H5"/>
    <mergeCell ref="B5:B6"/>
    <mergeCell ref="A763:H763"/>
    <mergeCell ref="B764:G764"/>
    <mergeCell ref="A1:H1"/>
    <mergeCell ref="A2:H2"/>
    <mergeCell ref="A4:H4"/>
    <mergeCell ref="A3:H3"/>
    <mergeCell ref="B8:E8"/>
    <mergeCell ref="A5:A6"/>
    <mergeCell ref="C5:C6"/>
    <mergeCell ref="D5:D6"/>
    <mergeCell ref="E5:F5"/>
  </mergeCells>
  <printOptions/>
  <pageMargins left="0.44"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xl/worksheets/sheet4.xml><?xml version="1.0" encoding="utf-8"?>
<worksheet xmlns="http://schemas.openxmlformats.org/spreadsheetml/2006/main" xmlns:r="http://schemas.openxmlformats.org/officeDocument/2006/relationships">
  <sheetPr>
    <tabColor rgb="FFFFFF00"/>
  </sheetPr>
  <dimension ref="A1:L162"/>
  <sheetViews>
    <sheetView zoomScalePageLayoutView="0" workbookViewId="0" topLeftCell="A1">
      <selection activeCell="C5" sqref="C5:C6"/>
    </sheetView>
  </sheetViews>
  <sheetFormatPr defaultColWidth="9.140625" defaultRowHeight="12.75"/>
  <cols>
    <col min="1" max="1" width="4.140625" style="145" customWidth="1"/>
    <col min="2" max="2" width="13.28125" style="146" customWidth="1"/>
    <col min="3" max="3" width="39.28125" style="204" customWidth="1"/>
    <col min="4" max="4" width="8.421875" style="204" customWidth="1"/>
    <col min="5" max="5" width="7.421875" style="204" customWidth="1"/>
    <col min="6" max="6" width="8.421875" style="204" customWidth="1"/>
    <col min="7" max="7" width="7.28125" style="204" customWidth="1"/>
    <col min="8" max="8" width="9.7109375" style="203" customWidth="1"/>
    <col min="9" max="9" width="16.140625" style="203" hidden="1" customWidth="1"/>
    <col min="10" max="10" width="22.140625" style="204" hidden="1" customWidth="1"/>
    <col min="11" max="11" width="17.57421875" style="204" hidden="1" customWidth="1"/>
    <col min="12" max="12" width="12.8515625" style="204" customWidth="1"/>
    <col min="13" max="16384" width="9.140625" style="204" customWidth="1"/>
  </cols>
  <sheetData>
    <row r="1" spans="1:9" ht="28.5" customHeight="1">
      <c r="A1" s="662" t="str">
        <f>'ლ.რ. №1-1'!A1:H1</f>
        <v>qobuleTis municipalitetis sofel xucubanSi sajaro skolis Zveli korpusebis demontaJi da axali skolis Senobis mSenebloba</v>
      </c>
      <c r="B1" s="662"/>
      <c r="C1" s="662"/>
      <c r="D1" s="662"/>
      <c r="E1" s="662"/>
      <c r="F1" s="662"/>
      <c r="G1" s="662"/>
      <c r="H1" s="662"/>
      <c r="I1" s="204"/>
    </row>
    <row r="2" spans="1:9" ht="18" customHeight="1">
      <c r="A2" s="662" t="s">
        <v>306</v>
      </c>
      <c r="B2" s="662"/>
      <c r="C2" s="662"/>
      <c r="D2" s="662"/>
      <c r="E2" s="662"/>
      <c r="F2" s="662"/>
      <c r="G2" s="662"/>
      <c r="H2" s="662"/>
      <c r="I2" s="204"/>
    </row>
    <row r="3" spans="1:9" ht="9" customHeight="1">
      <c r="A3" s="662"/>
      <c r="B3" s="662"/>
      <c r="C3" s="662"/>
      <c r="D3" s="662"/>
      <c r="E3" s="662"/>
      <c r="F3" s="662"/>
      <c r="G3" s="662"/>
      <c r="H3" s="662"/>
      <c r="I3" s="138"/>
    </row>
    <row r="4" spans="1:9" ht="29.25" customHeight="1">
      <c r="A4" s="662" t="s">
        <v>281</v>
      </c>
      <c r="B4" s="662"/>
      <c r="C4" s="662"/>
      <c r="D4" s="662"/>
      <c r="E4" s="662"/>
      <c r="F4" s="662"/>
      <c r="G4" s="662"/>
      <c r="H4" s="662"/>
      <c r="I4" s="204"/>
    </row>
    <row r="5" spans="1:10" ht="33.75" customHeight="1">
      <c r="A5" s="671" t="s">
        <v>7</v>
      </c>
      <c r="B5" s="672" t="s">
        <v>8</v>
      </c>
      <c r="C5" s="673" t="s">
        <v>9</v>
      </c>
      <c r="D5" s="674" t="s">
        <v>6</v>
      </c>
      <c r="E5" s="670" t="s">
        <v>10</v>
      </c>
      <c r="F5" s="670"/>
      <c r="G5" s="670" t="s">
        <v>1</v>
      </c>
      <c r="H5" s="670"/>
      <c r="I5" s="74"/>
      <c r="J5" s="74"/>
    </row>
    <row r="6" spans="1:10" ht="58.5" customHeight="1">
      <c r="A6" s="671"/>
      <c r="B6" s="672"/>
      <c r="C6" s="673"/>
      <c r="D6" s="674"/>
      <c r="E6" s="139" t="s">
        <v>11</v>
      </c>
      <c r="F6" s="139" t="s">
        <v>12</v>
      </c>
      <c r="G6" s="139" t="s">
        <v>11</v>
      </c>
      <c r="H6" s="172" t="s">
        <v>12</v>
      </c>
      <c r="I6" s="140"/>
      <c r="J6" s="74"/>
    </row>
    <row r="7" spans="1:10" s="141" customFormat="1" ht="26.25" customHeight="1">
      <c r="A7" s="173" t="s">
        <v>13</v>
      </c>
      <c r="B7" s="173">
        <v>2</v>
      </c>
      <c r="C7" s="174">
        <v>3</v>
      </c>
      <c r="D7" s="174">
        <v>4</v>
      </c>
      <c r="E7" s="174">
        <v>5</v>
      </c>
      <c r="F7" s="174">
        <v>6</v>
      </c>
      <c r="G7" s="174">
        <v>7</v>
      </c>
      <c r="H7" s="175">
        <v>8</v>
      </c>
      <c r="I7" s="75"/>
      <c r="J7" s="65"/>
    </row>
    <row r="8" spans="1:8" s="5" customFormat="1" ht="23.25" customHeight="1">
      <c r="A8" s="100"/>
      <c r="B8" s="54"/>
      <c r="C8" s="170" t="s">
        <v>312</v>
      </c>
      <c r="D8" s="101"/>
      <c r="E8" s="101"/>
      <c r="F8" s="101"/>
      <c r="G8" s="101"/>
      <c r="H8" s="71"/>
    </row>
    <row r="9" spans="1:9" s="5" customFormat="1" ht="81" customHeight="1">
      <c r="A9" s="81" t="s">
        <v>13</v>
      </c>
      <c r="B9" s="54" t="s">
        <v>164</v>
      </c>
      <c r="C9" s="55" t="s">
        <v>347</v>
      </c>
      <c r="D9" s="55" t="s">
        <v>22</v>
      </c>
      <c r="E9" s="55"/>
      <c r="F9" s="80">
        <v>96</v>
      </c>
      <c r="G9" s="55"/>
      <c r="H9" s="380">
        <f>SUM(H10:H17)</f>
        <v>0</v>
      </c>
      <c r="I9" s="7">
        <f>H9</f>
        <v>0</v>
      </c>
    </row>
    <row r="10" spans="1:10" s="24" customFormat="1" ht="28.5" customHeight="1">
      <c r="A10" s="82"/>
      <c r="B10" s="82" t="s">
        <v>4</v>
      </c>
      <c r="C10" s="46" t="s">
        <v>148</v>
      </c>
      <c r="D10" s="46" t="s">
        <v>5</v>
      </c>
      <c r="E10" s="157">
        <v>1.43</v>
      </c>
      <c r="F10" s="52">
        <f>F9*E10</f>
        <v>137.28</v>
      </c>
      <c r="G10" s="47"/>
      <c r="H10" s="377">
        <f aca="true" t="shared" si="0" ref="H10:H17">F10*G10</f>
        <v>0</v>
      </c>
      <c r="I10" s="7">
        <f>H10</f>
        <v>0</v>
      </c>
      <c r="J10" s="27">
        <f>H10</f>
        <v>0</v>
      </c>
    </row>
    <row r="11" spans="1:10" s="24" customFormat="1" ht="28.5" customHeight="1">
      <c r="A11" s="82"/>
      <c r="B11" s="82" t="s">
        <v>4</v>
      </c>
      <c r="C11" s="46" t="s">
        <v>137</v>
      </c>
      <c r="D11" s="46" t="s">
        <v>16</v>
      </c>
      <c r="E11" s="157">
        <v>0.0257</v>
      </c>
      <c r="F11" s="52">
        <f>F9*E11</f>
        <v>2.4672</v>
      </c>
      <c r="G11" s="52"/>
      <c r="H11" s="377">
        <f t="shared" si="0"/>
        <v>0</v>
      </c>
      <c r="I11" s="7"/>
      <c r="J11" s="27"/>
    </row>
    <row r="12" spans="1:10" s="24" customFormat="1" ht="28.5" customHeight="1">
      <c r="A12" s="82"/>
      <c r="B12" s="316" t="s">
        <v>477</v>
      </c>
      <c r="C12" s="46" t="s">
        <v>704</v>
      </c>
      <c r="D12" s="46" t="s">
        <v>22</v>
      </c>
      <c r="E12" s="225">
        <v>0.929</v>
      </c>
      <c r="F12" s="52">
        <f>E12*F9</f>
        <v>89.184</v>
      </c>
      <c r="G12" s="52"/>
      <c r="H12" s="377">
        <f t="shared" si="0"/>
        <v>0</v>
      </c>
      <c r="I12" s="7"/>
      <c r="J12" s="27"/>
    </row>
    <row r="13" spans="1:10" s="24" customFormat="1" ht="28.5" customHeight="1">
      <c r="A13" s="317"/>
      <c r="B13" s="317" t="s">
        <v>1472</v>
      </c>
      <c r="C13" s="317" t="s">
        <v>705</v>
      </c>
      <c r="D13" s="317" t="s">
        <v>15</v>
      </c>
      <c r="E13" s="317">
        <v>0.28</v>
      </c>
      <c r="F13" s="317">
        <f>E13*F9</f>
        <v>26.880000000000003</v>
      </c>
      <c r="G13" s="469"/>
      <c r="H13" s="317">
        <f t="shared" si="0"/>
        <v>0</v>
      </c>
      <c r="I13" s="7"/>
      <c r="J13" s="27"/>
    </row>
    <row r="14" spans="1:10" s="24" customFormat="1" ht="28.5" customHeight="1">
      <c r="A14" s="82"/>
      <c r="B14" s="336" t="s">
        <v>1475</v>
      </c>
      <c r="C14" s="46" t="s">
        <v>706</v>
      </c>
      <c r="D14" s="46" t="s">
        <v>15</v>
      </c>
      <c r="E14" s="47">
        <v>0.08</v>
      </c>
      <c r="F14" s="52">
        <f>E14*F9</f>
        <v>7.68</v>
      </c>
      <c r="G14" s="469"/>
      <c r="H14" s="317">
        <f t="shared" si="0"/>
        <v>0</v>
      </c>
      <c r="I14" s="7"/>
      <c r="J14" s="27"/>
    </row>
    <row r="15" spans="1:10" s="24" customFormat="1" ht="28.5" customHeight="1">
      <c r="A15" s="82"/>
      <c r="B15" s="336" t="s">
        <v>1480</v>
      </c>
      <c r="C15" s="46" t="s">
        <v>682</v>
      </c>
      <c r="D15" s="46" t="s">
        <v>15</v>
      </c>
      <c r="E15" s="47">
        <v>0.04</v>
      </c>
      <c r="F15" s="52">
        <f>E15*F9</f>
        <v>3.84</v>
      </c>
      <c r="G15" s="469"/>
      <c r="H15" s="317">
        <f t="shared" si="0"/>
        <v>0</v>
      </c>
      <c r="I15" s="7"/>
      <c r="J15" s="27"/>
    </row>
    <row r="16" spans="1:10" s="24" customFormat="1" ht="28.5" customHeight="1">
      <c r="A16" s="82"/>
      <c r="B16" s="316" t="s">
        <v>1478</v>
      </c>
      <c r="C16" s="46" t="s">
        <v>707</v>
      </c>
      <c r="D16" s="46" t="s">
        <v>15</v>
      </c>
      <c r="E16" s="47">
        <v>0.23</v>
      </c>
      <c r="F16" s="52">
        <f>E16*F9</f>
        <v>22.080000000000002</v>
      </c>
      <c r="G16" s="52"/>
      <c r="H16" s="317">
        <f t="shared" si="0"/>
        <v>0</v>
      </c>
      <c r="I16" s="7"/>
      <c r="J16" s="27"/>
    </row>
    <row r="17" spans="1:10" s="30" customFormat="1" ht="30.75" customHeight="1">
      <c r="A17" s="82"/>
      <c r="B17" s="49" t="s">
        <v>4</v>
      </c>
      <c r="C17" s="46" t="s">
        <v>18</v>
      </c>
      <c r="D17" s="46" t="s">
        <v>16</v>
      </c>
      <c r="E17" s="167">
        <v>0.0457</v>
      </c>
      <c r="F17" s="52">
        <f>F9*E17</f>
        <v>4.3872</v>
      </c>
      <c r="G17" s="52"/>
      <c r="H17" s="377">
        <f t="shared" si="0"/>
        <v>0</v>
      </c>
      <c r="I17" s="7" t="e">
        <f>#REF!</f>
        <v>#REF!</v>
      </c>
      <c r="J17" s="31"/>
    </row>
    <row r="18" spans="1:10" s="30" customFormat="1" ht="79.5" customHeight="1">
      <c r="A18" s="81" t="s">
        <v>37</v>
      </c>
      <c r="B18" s="54" t="s">
        <v>164</v>
      </c>
      <c r="C18" s="55" t="s">
        <v>999</v>
      </c>
      <c r="D18" s="55" t="s">
        <v>22</v>
      </c>
      <c r="E18" s="55"/>
      <c r="F18" s="70">
        <v>8</v>
      </c>
      <c r="G18" s="70"/>
      <c r="H18" s="380">
        <f>SUM(H19:H26)</f>
        <v>0</v>
      </c>
      <c r="I18" s="7"/>
      <c r="J18" s="31"/>
    </row>
    <row r="19" spans="1:10" s="30" customFormat="1" ht="30.75" customHeight="1">
      <c r="A19" s="82"/>
      <c r="B19" s="82" t="s">
        <v>4</v>
      </c>
      <c r="C19" s="46" t="s">
        <v>148</v>
      </c>
      <c r="D19" s="46" t="s">
        <v>5</v>
      </c>
      <c r="E19" s="157">
        <v>1.43</v>
      </c>
      <c r="F19" s="52">
        <f>F18*E19</f>
        <v>11.44</v>
      </c>
      <c r="G19" s="47"/>
      <c r="H19" s="377">
        <f aca="true" t="shared" si="1" ref="H19:H26">F19*G19</f>
        <v>0</v>
      </c>
      <c r="I19" s="7"/>
      <c r="J19" s="31"/>
    </row>
    <row r="20" spans="1:10" s="30" customFormat="1" ht="30.75" customHeight="1">
      <c r="A20" s="82"/>
      <c r="B20" s="82" t="s">
        <v>4</v>
      </c>
      <c r="C20" s="46" t="s">
        <v>137</v>
      </c>
      <c r="D20" s="46" t="s">
        <v>16</v>
      </c>
      <c r="E20" s="157">
        <v>0.0257</v>
      </c>
      <c r="F20" s="52">
        <f>F18*E20</f>
        <v>0.2056</v>
      </c>
      <c r="G20" s="52"/>
      <c r="H20" s="377">
        <f t="shared" si="1"/>
        <v>0</v>
      </c>
      <c r="I20" s="7"/>
      <c r="J20" s="31"/>
    </row>
    <row r="21" spans="1:10" s="30" customFormat="1" ht="30.75" customHeight="1">
      <c r="A21" s="82"/>
      <c r="B21" s="316" t="s">
        <v>1303</v>
      </c>
      <c r="C21" s="46" t="s">
        <v>1000</v>
      </c>
      <c r="D21" s="46" t="s">
        <v>22</v>
      </c>
      <c r="E21" s="225">
        <v>0.929</v>
      </c>
      <c r="F21" s="52">
        <f>E21*F18</f>
        <v>7.432</v>
      </c>
      <c r="G21" s="52"/>
      <c r="H21" s="377">
        <f t="shared" si="1"/>
        <v>0</v>
      </c>
      <c r="I21" s="7"/>
      <c r="J21" s="31"/>
    </row>
    <row r="22" spans="1:10" s="30" customFormat="1" ht="30.75" customHeight="1">
      <c r="A22" s="317"/>
      <c r="B22" s="317" t="s">
        <v>1472</v>
      </c>
      <c r="C22" s="317" t="s">
        <v>705</v>
      </c>
      <c r="D22" s="317" t="s">
        <v>15</v>
      </c>
      <c r="E22" s="317">
        <v>0.28</v>
      </c>
      <c r="F22" s="317">
        <f>E22*F18</f>
        <v>2.24</v>
      </c>
      <c r="G22" s="469"/>
      <c r="H22" s="317">
        <f t="shared" si="1"/>
        <v>0</v>
      </c>
      <c r="I22" s="7"/>
      <c r="J22" s="31"/>
    </row>
    <row r="23" spans="1:10" s="30" customFormat="1" ht="30.75" customHeight="1">
      <c r="A23" s="82"/>
      <c r="B23" s="336" t="s">
        <v>1475</v>
      </c>
      <c r="C23" s="46" t="s">
        <v>706</v>
      </c>
      <c r="D23" s="46" t="s">
        <v>15</v>
      </c>
      <c r="E23" s="47">
        <v>0.08</v>
      </c>
      <c r="F23" s="52">
        <f>E23*F18</f>
        <v>0.64</v>
      </c>
      <c r="G23" s="469"/>
      <c r="H23" s="317">
        <f t="shared" si="1"/>
        <v>0</v>
      </c>
      <c r="I23" s="7"/>
      <c r="J23" s="31"/>
    </row>
    <row r="24" spans="1:10" s="30" customFormat="1" ht="30.75" customHeight="1">
      <c r="A24" s="82"/>
      <c r="B24" s="336" t="s">
        <v>1480</v>
      </c>
      <c r="C24" s="46" t="s">
        <v>682</v>
      </c>
      <c r="D24" s="46" t="s">
        <v>15</v>
      </c>
      <c r="E24" s="47">
        <v>0.04</v>
      </c>
      <c r="F24" s="52">
        <f>E24*F18</f>
        <v>0.32</v>
      </c>
      <c r="G24" s="469"/>
      <c r="H24" s="317">
        <f t="shared" si="1"/>
        <v>0</v>
      </c>
      <c r="I24" s="7"/>
      <c r="J24" s="31"/>
    </row>
    <row r="25" spans="1:10" s="30" customFormat="1" ht="30.75" customHeight="1">
      <c r="A25" s="82"/>
      <c r="B25" s="316" t="s">
        <v>1478</v>
      </c>
      <c r="C25" s="46" t="s">
        <v>707</v>
      </c>
      <c r="D25" s="46" t="s">
        <v>15</v>
      </c>
      <c r="E25" s="47">
        <v>0.23</v>
      </c>
      <c r="F25" s="52">
        <f>E25*F18</f>
        <v>1.84</v>
      </c>
      <c r="G25" s="52"/>
      <c r="H25" s="317">
        <f t="shared" si="1"/>
        <v>0</v>
      </c>
      <c r="I25" s="7"/>
      <c r="J25" s="31"/>
    </row>
    <row r="26" spans="1:10" s="30" customFormat="1" ht="30.75" customHeight="1">
      <c r="A26" s="82"/>
      <c r="B26" s="49" t="s">
        <v>4</v>
      </c>
      <c r="C26" s="46" t="s">
        <v>18</v>
      </c>
      <c r="D26" s="46" t="s">
        <v>16</v>
      </c>
      <c r="E26" s="167">
        <v>0.0457</v>
      </c>
      <c r="F26" s="52">
        <f>F18*E26</f>
        <v>0.3656</v>
      </c>
      <c r="G26" s="52"/>
      <c r="H26" s="377">
        <f t="shared" si="1"/>
        <v>0</v>
      </c>
      <c r="I26" s="7"/>
      <c r="J26" s="31"/>
    </row>
    <row r="27" spans="1:10" s="30" customFormat="1" ht="78" customHeight="1">
      <c r="A27" s="81" t="s">
        <v>63</v>
      </c>
      <c r="B27" s="54" t="s">
        <v>165</v>
      </c>
      <c r="C27" s="55" t="s">
        <v>348</v>
      </c>
      <c r="D27" s="55" t="s">
        <v>22</v>
      </c>
      <c r="E27" s="55"/>
      <c r="F27" s="379">
        <v>68</v>
      </c>
      <c r="G27" s="70"/>
      <c r="H27" s="380">
        <f>SUM(H28:H35)</f>
        <v>0</v>
      </c>
      <c r="I27" s="7"/>
      <c r="J27" s="31"/>
    </row>
    <row r="28" spans="1:10" s="30" customFormat="1" ht="30.75" customHeight="1">
      <c r="A28" s="82"/>
      <c r="B28" s="82" t="s">
        <v>4</v>
      </c>
      <c r="C28" s="46" t="s">
        <v>136</v>
      </c>
      <c r="D28" s="46" t="s">
        <v>5</v>
      </c>
      <c r="E28" s="157">
        <v>1.17</v>
      </c>
      <c r="F28" s="52">
        <f>F27*E28</f>
        <v>79.56</v>
      </c>
      <c r="G28" s="47"/>
      <c r="H28" s="377">
        <f aca="true" t="shared" si="2" ref="H28:H35">F28*G28</f>
        <v>0</v>
      </c>
      <c r="I28" s="7"/>
      <c r="J28" s="31"/>
    </row>
    <row r="29" spans="1:10" s="30" customFormat="1" ht="30.75" customHeight="1">
      <c r="A29" s="82"/>
      <c r="B29" s="82" t="s">
        <v>4</v>
      </c>
      <c r="C29" s="46" t="s">
        <v>137</v>
      </c>
      <c r="D29" s="46" t="s">
        <v>16</v>
      </c>
      <c r="E29" s="157">
        <v>0.0172</v>
      </c>
      <c r="F29" s="52">
        <f>F27*E29</f>
        <v>1.1696</v>
      </c>
      <c r="G29" s="52"/>
      <c r="H29" s="377">
        <f t="shared" si="2"/>
        <v>0</v>
      </c>
      <c r="I29" s="7"/>
      <c r="J29" s="31"/>
    </row>
    <row r="30" spans="1:10" s="30" customFormat="1" ht="30.75" customHeight="1">
      <c r="A30" s="82"/>
      <c r="B30" s="316" t="s">
        <v>479</v>
      </c>
      <c r="C30" s="46" t="s">
        <v>708</v>
      </c>
      <c r="D30" s="46" t="s">
        <v>22</v>
      </c>
      <c r="E30" s="337">
        <v>0.939</v>
      </c>
      <c r="F30" s="52">
        <f>E30*F27</f>
        <v>63.852</v>
      </c>
      <c r="G30" s="52"/>
      <c r="H30" s="377">
        <f t="shared" si="2"/>
        <v>0</v>
      </c>
      <c r="I30" s="7"/>
      <c r="J30" s="31"/>
    </row>
    <row r="31" spans="1:10" s="30" customFormat="1" ht="30.75" customHeight="1">
      <c r="A31" s="319"/>
      <c r="B31" s="319" t="s">
        <v>1473</v>
      </c>
      <c r="C31" s="317" t="s">
        <v>683</v>
      </c>
      <c r="D31" s="317" t="s">
        <v>15</v>
      </c>
      <c r="E31" s="319">
        <v>0.16</v>
      </c>
      <c r="F31" s="317">
        <f>E31*F27</f>
        <v>10.88</v>
      </c>
      <c r="G31" s="469"/>
      <c r="H31" s="317">
        <f t="shared" si="2"/>
        <v>0</v>
      </c>
      <c r="I31" s="7"/>
      <c r="J31" s="31"/>
    </row>
    <row r="32" spans="1:10" s="30" customFormat="1" ht="30.75" customHeight="1">
      <c r="A32" s="82"/>
      <c r="B32" s="336" t="s">
        <v>1476</v>
      </c>
      <c r="C32" s="46" t="s">
        <v>684</v>
      </c>
      <c r="D32" s="46" t="s">
        <v>15</v>
      </c>
      <c r="E32" s="319">
        <v>0.08</v>
      </c>
      <c r="F32" s="52">
        <f>E32*F27</f>
        <v>5.44</v>
      </c>
      <c r="G32" s="52"/>
      <c r="H32" s="317">
        <f t="shared" si="2"/>
        <v>0</v>
      </c>
      <c r="I32" s="7"/>
      <c r="J32" s="31"/>
    </row>
    <row r="33" spans="1:10" s="30" customFormat="1" ht="30.75" customHeight="1">
      <c r="A33" s="82"/>
      <c r="B33" s="316" t="s">
        <v>1481</v>
      </c>
      <c r="C33" s="46" t="s">
        <v>682</v>
      </c>
      <c r="D33" s="46" t="s">
        <v>15</v>
      </c>
      <c r="E33" s="319">
        <v>0.04</v>
      </c>
      <c r="F33" s="52">
        <f>E33*F27</f>
        <v>2.72</v>
      </c>
      <c r="G33" s="52"/>
      <c r="H33" s="317">
        <f t="shared" si="2"/>
        <v>0</v>
      </c>
      <c r="I33" s="7"/>
      <c r="J33" s="31"/>
    </row>
    <row r="34" spans="1:10" s="30" customFormat="1" ht="30.75" customHeight="1">
      <c r="A34" s="82"/>
      <c r="B34" s="316" t="s">
        <v>1478</v>
      </c>
      <c r="C34" s="46" t="s">
        <v>685</v>
      </c>
      <c r="D34" s="46" t="s">
        <v>15</v>
      </c>
      <c r="E34" s="319">
        <v>0.17</v>
      </c>
      <c r="F34" s="52">
        <f>E34*F27</f>
        <v>11.56</v>
      </c>
      <c r="G34" s="52"/>
      <c r="H34" s="317">
        <f t="shared" si="2"/>
        <v>0</v>
      </c>
      <c r="I34" s="7"/>
      <c r="J34" s="31"/>
    </row>
    <row r="35" spans="1:10" s="30" customFormat="1" ht="30.75" customHeight="1">
      <c r="A35" s="82"/>
      <c r="B35" s="49" t="s">
        <v>4</v>
      </c>
      <c r="C35" s="46" t="s">
        <v>18</v>
      </c>
      <c r="D35" s="46" t="s">
        <v>16</v>
      </c>
      <c r="E35" s="167">
        <v>0.0393</v>
      </c>
      <c r="F35" s="52">
        <f>F27*E35</f>
        <v>2.6724</v>
      </c>
      <c r="G35" s="52"/>
      <c r="H35" s="377">
        <f t="shared" si="2"/>
        <v>0</v>
      </c>
      <c r="I35" s="7"/>
      <c r="J35" s="31"/>
    </row>
    <row r="36" spans="1:10" s="24" customFormat="1" ht="80.25" customHeight="1">
      <c r="A36" s="81" t="s">
        <v>64</v>
      </c>
      <c r="B36" s="54" t="s">
        <v>165</v>
      </c>
      <c r="C36" s="55" t="s">
        <v>1001</v>
      </c>
      <c r="D36" s="55" t="s">
        <v>22</v>
      </c>
      <c r="E36" s="55"/>
      <c r="F36" s="226">
        <v>16</v>
      </c>
      <c r="G36" s="70"/>
      <c r="H36" s="380">
        <f>SUM(H37:H44)</f>
        <v>0</v>
      </c>
      <c r="I36" s="7" t="e">
        <f>#REF!</f>
        <v>#REF!</v>
      </c>
      <c r="J36" s="27" t="e">
        <f>#REF!</f>
        <v>#REF!</v>
      </c>
    </row>
    <row r="37" spans="1:10" s="24" customFormat="1" ht="28.5" customHeight="1">
      <c r="A37" s="82"/>
      <c r="B37" s="82" t="s">
        <v>4</v>
      </c>
      <c r="C37" s="46" t="s">
        <v>136</v>
      </c>
      <c r="D37" s="46" t="s">
        <v>5</v>
      </c>
      <c r="E37" s="157">
        <v>1.17</v>
      </c>
      <c r="F37" s="52">
        <f>F36*E37</f>
        <v>18.72</v>
      </c>
      <c r="G37" s="47"/>
      <c r="H37" s="377">
        <f aca="true" t="shared" si="3" ref="H37:H44">F37*G37</f>
        <v>0</v>
      </c>
      <c r="I37" s="7" t="e">
        <f>#REF!</f>
        <v>#REF!</v>
      </c>
      <c r="J37" s="25"/>
    </row>
    <row r="38" spans="1:10" s="24" customFormat="1" ht="28.5" customHeight="1">
      <c r="A38" s="82"/>
      <c r="B38" s="82" t="s">
        <v>4</v>
      </c>
      <c r="C38" s="46" t="s">
        <v>137</v>
      </c>
      <c r="D38" s="46" t="s">
        <v>16</v>
      </c>
      <c r="E38" s="157">
        <v>0.0172</v>
      </c>
      <c r="F38" s="52">
        <f>F36*E38</f>
        <v>0.2752</v>
      </c>
      <c r="G38" s="52"/>
      <c r="H38" s="377">
        <f t="shared" si="3"/>
        <v>0</v>
      </c>
      <c r="I38" s="7"/>
      <c r="J38" s="25"/>
    </row>
    <row r="39" spans="1:10" s="24" customFormat="1" ht="28.5" customHeight="1">
      <c r="A39" s="82"/>
      <c r="B39" s="316" t="s">
        <v>467</v>
      </c>
      <c r="C39" s="46" t="s">
        <v>1002</v>
      </c>
      <c r="D39" s="46" t="s">
        <v>22</v>
      </c>
      <c r="E39" s="337">
        <v>0.939</v>
      </c>
      <c r="F39" s="52">
        <f>E39*F36</f>
        <v>15.024</v>
      </c>
      <c r="G39" s="52"/>
      <c r="H39" s="377">
        <f t="shared" si="3"/>
        <v>0</v>
      </c>
      <c r="I39" s="7"/>
      <c r="J39" s="25"/>
    </row>
    <row r="40" spans="1:10" s="24" customFormat="1" ht="28.5" customHeight="1">
      <c r="A40" s="319"/>
      <c r="B40" s="319" t="s">
        <v>1473</v>
      </c>
      <c r="C40" s="317" t="s">
        <v>683</v>
      </c>
      <c r="D40" s="317" t="s">
        <v>15</v>
      </c>
      <c r="E40" s="319">
        <v>0.16</v>
      </c>
      <c r="F40" s="317">
        <f>E40*F36</f>
        <v>2.56</v>
      </c>
      <c r="G40" s="469"/>
      <c r="H40" s="317">
        <f t="shared" si="3"/>
        <v>0</v>
      </c>
      <c r="I40" s="7"/>
      <c r="J40" s="25"/>
    </row>
    <row r="41" spans="1:10" s="24" customFormat="1" ht="28.5" customHeight="1">
      <c r="A41" s="82"/>
      <c r="B41" s="336" t="s">
        <v>1476</v>
      </c>
      <c r="C41" s="46" t="s">
        <v>684</v>
      </c>
      <c r="D41" s="46" t="s">
        <v>15</v>
      </c>
      <c r="E41" s="319">
        <v>0.08</v>
      </c>
      <c r="F41" s="52">
        <f>E41*F36</f>
        <v>1.28</v>
      </c>
      <c r="G41" s="52"/>
      <c r="H41" s="317">
        <f t="shared" si="3"/>
        <v>0</v>
      </c>
      <c r="I41" s="7"/>
      <c r="J41" s="25"/>
    </row>
    <row r="42" spans="1:10" s="24" customFormat="1" ht="28.5" customHeight="1">
      <c r="A42" s="82"/>
      <c r="B42" s="316" t="s">
        <v>1481</v>
      </c>
      <c r="C42" s="46" t="s">
        <v>682</v>
      </c>
      <c r="D42" s="46" t="s">
        <v>15</v>
      </c>
      <c r="E42" s="319">
        <v>0.04</v>
      </c>
      <c r="F42" s="52">
        <f>E42*F36</f>
        <v>0.64</v>
      </c>
      <c r="G42" s="52"/>
      <c r="H42" s="317">
        <f t="shared" si="3"/>
        <v>0</v>
      </c>
      <c r="I42" s="7"/>
      <c r="J42" s="25"/>
    </row>
    <row r="43" spans="1:10" s="24" customFormat="1" ht="28.5" customHeight="1">
      <c r="A43" s="82"/>
      <c r="B43" s="316" t="s">
        <v>1478</v>
      </c>
      <c r="C43" s="46" t="s">
        <v>685</v>
      </c>
      <c r="D43" s="46" t="s">
        <v>15</v>
      </c>
      <c r="E43" s="319">
        <v>0.17</v>
      </c>
      <c r="F43" s="52">
        <f>E43*F36</f>
        <v>2.72</v>
      </c>
      <c r="G43" s="52"/>
      <c r="H43" s="317">
        <f t="shared" si="3"/>
        <v>0</v>
      </c>
      <c r="I43" s="7"/>
      <c r="J43" s="25"/>
    </row>
    <row r="44" spans="1:12" s="5" customFormat="1" ht="26.25" customHeight="1">
      <c r="A44" s="82"/>
      <c r="B44" s="49" t="s">
        <v>4</v>
      </c>
      <c r="C44" s="46" t="s">
        <v>18</v>
      </c>
      <c r="D44" s="46" t="s">
        <v>16</v>
      </c>
      <c r="E44" s="167">
        <v>0.0393</v>
      </c>
      <c r="F44" s="52">
        <f>F36*E44</f>
        <v>0.6288</v>
      </c>
      <c r="G44" s="52"/>
      <c r="H44" s="377">
        <f t="shared" si="3"/>
        <v>0</v>
      </c>
      <c r="I44" s="7" t="e">
        <f>#REF!</f>
        <v>#REF!</v>
      </c>
      <c r="J44" s="36"/>
      <c r="K44" s="32"/>
      <c r="L44" s="32"/>
    </row>
    <row r="45" spans="1:10" s="24" customFormat="1" ht="74.25" customHeight="1">
      <c r="A45" s="81" t="s">
        <v>41</v>
      </c>
      <c r="B45" s="54" t="s">
        <v>166</v>
      </c>
      <c r="C45" s="55" t="s">
        <v>571</v>
      </c>
      <c r="D45" s="55" t="s">
        <v>22</v>
      </c>
      <c r="E45" s="55"/>
      <c r="F45" s="379">
        <v>24</v>
      </c>
      <c r="G45" s="70"/>
      <c r="H45" s="380">
        <f>SUM(H46:H53)</f>
        <v>0</v>
      </c>
      <c r="I45" s="7"/>
      <c r="J45" s="27"/>
    </row>
    <row r="46" spans="1:10" s="24" customFormat="1" ht="29.25" customHeight="1">
      <c r="A46" s="82"/>
      <c r="B46" s="82" t="s">
        <v>4</v>
      </c>
      <c r="C46" s="46" t="s">
        <v>136</v>
      </c>
      <c r="D46" s="46" t="s">
        <v>5</v>
      </c>
      <c r="E46" s="157">
        <v>1.56</v>
      </c>
      <c r="F46" s="52">
        <f>F45*E46</f>
        <v>37.44</v>
      </c>
      <c r="G46" s="47"/>
      <c r="H46" s="377">
        <f aca="true" t="shared" si="4" ref="H46:H53">F46*G46</f>
        <v>0</v>
      </c>
      <c r="I46" s="7"/>
      <c r="J46" s="27"/>
    </row>
    <row r="47" spans="1:10" s="24" customFormat="1" ht="29.25" customHeight="1">
      <c r="A47" s="82"/>
      <c r="B47" s="82" t="s">
        <v>4</v>
      </c>
      <c r="C47" s="46" t="s">
        <v>137</v>
      </c>
      <c r="D47" s="46" t="s">
        <v>16</v>
      </c>
      <c r="E47" s="157">
        <v>0.0217</v>
      </c>
      <c r="F47" s="52">
        <f>F45*E47</f>
        <v>0.5208</v>
      </c>
      <c r="G47" s="52"/>
      <c r="H47" s="377">
        <f t="shared" si="4"/>
        <v>0</v>
      </c>
      <c r="I47" s="7"/>
      <c r="J47" s="27"/>
    </row>
    <row r="48" spans="1:10" s="24" customFormat="1" ht="29.25" customHeight="1">
      <c r="A48" s="82"/>
      <c r="B48" s="316" t="s">
        <v>480</v>
      </c>
      <c r="C48" s="46" t="s">
        <v>709</v>
      </c>
      <c r="D48" s="46" t="s">
        <v>22</v>
      </c>
      <c r="E48" s="337">
        <v>0.937</v>
      </c>
      <c r="F48" s="52">
        <f>E48*F45</f>
        <v>22.488</v>
      </c>
      <c r="G48" s="52"/>
      <c r="H48" s="377">
        <f t="shared" si="4"/>
        <v>0</v>
      </c>
      <c r="I48" s="7"/>
      <c r="J48" s="27"/>
    </row>
    <row r="49" spans="1:10" s="24" customFormat="1" ht="29.25" customHeight="1">
      <c r="A49" s="319"/>
      <c r="B49" s="319" t="s">
        <v>1474</v>
      </c>
      <c r="C49" s="317" t="s">
        <v>687</v>
      </c>
      <c r="D49" s="317" t="s">
        <v>15</v>
      </c>
      <c r="E49" s="319">
        <v>0.16</v>
      </c>
      <c r="F49" s="317">
        <f>E49*F45</f>
        <v>3.84</v>
      </c>
      <c r="G49" s="469"/>
      <c r="H49" s="317">
        <f t="shared" si="4"/>
        <v>0</v>
      </c>
      <c r="I49" s="7"/>
      <c r="J49" s="27"/>
    </row>
    <row r="50" spans="1:10" s="24" customFormat="1" ht="29.25" customHeight="1">
      <c r="A50" s="82"/>
      <c r="B50" s="336" t="s">
        <v>1477</v>
      </c>
      <c r="C50" s="46" t="s">
        <v>688</v>
      </c>
      <c r="D50" s="46" t="s">
        <v>15</v>
      </c>
      <c r="E50" s="319">
        <v>0.07</v>
      </c>
      <c r="F50" s="52">
        <f>E50*F45</f>
        <v>1.6800000000000002</v>
      </c>
      <c r="G50" s="377"/>
      <c r="H50" s="317">
        <f t="shared" si="4"/>
        <v>0</v>
      </c>
      <c r="I50" s="7"/>
      <c r="J50" s="27"/>
    </row>
    <row r="51" spans="1:10" s="24" customFormat="1" ht="27.75" customHeight="1">
      <c r="A51" s="82"/>
      <c r="B51" s="316" t="s">
        <v>1482</v>
      </c>
      <c r="C51" s="46" t="s">
        <v>682</v>
      </c>
      <c r="D51" s="46" t="s">
        <v>15</v>
      </c>
      <c r="E51" s="319">
        <v>0.04</v>
      </c>
      <c r="F51" s="52">
        <f>E51*F45</f>
        <v>0.96</v>
      </c>
      <c r="G51" s="377"/>
      <c r="H51" s="317">
        <f t="shared" si="4"/>
        <v>0</v>
      </c>
      <c r="I51" s="7"/>
      <c r="J51" s="27"/>
    </row>
    <row r="52" spans="1:10" s="24" customFormat="1" ht="34.5" customHeight="1">
      <c r="A52" s="82"/>
      <c r="B52" s="316" t="s">
        <v>1479</v>
      </c>
      <c r="C52" s="46" t="s">
        <v>689</v>
      </c>
      <c r="D52" s="46" t="s">
        <v>15</v>
      </c>
      <c r="E52" s="319">
        <v>0.14</v>
      </c>
      <c r="F52" s="52">
        <f>E52*F45</f>
        <v>3.3600000000000003</v>
      </c>
      <c r="G52" s="377"/>
      <c r="H52" s="317">
        <f t="shared" si="4"/>
        <v>0</v>
      </c>
      <c r="I52" s="7"/>
      <c r="J52" s="27"/>
    </row>
    <row r="53" spans="1:10" s="24" customFormat="1" ht="31.5" customHeight="1">
      <c r="A53" s="82"/>
      <c r="B53" s="49" t="s">
        <v>4</v>
      </c>
      <c r="C53" s="46" t="s">
        <v>18</v>
      </c>
      <c r="D53" s="46" t="s">
        <v>16</v>
      </c>
      <c r="E53" s="167">
        <v>0.0708</v>
      </c>
      <c r="F53" s="52">
        <f>F45*E53</f>
        <v>1.6992</v>
      </c>
      <c r="G53" s="52"/>
      <c r="H53" s="377">
        <f t="shared" si="4"/>
        <v>0</v>
      </c>
      <c r="I53" s="7"/>
      <c r="J53" s="27"/>
    </row>
    <row r="54" spans="1:10" s="24" customFormat="1" ht="57.75" customHeight="1">
      <c r="A54" s="81" t="s">
        <v>44</v>
      </c>
      <c r="B54" s="378" t="s">
        <v>142</v>
      </c>
      <c r="C54" s="375" t="s">
        <v>482</v>
      </c>
      <c r="D54" s="374" t="s">
        <v>15</v>
      </c>
      <c r="E54" s="375"/>
      <c r="F54" s="379">
        <v>6</v>
      </c>
      <c r="G54" s="226"/>
      <c r="H54" s="380">
        <f>SUM(H55:H58)</f>
        <v>0</v>
      </c>
      <c r="I54" s="7"/>
      <c r="J54" s="27"/>
    </row>
    <row r="55" spans="1:10" s="24" customFormat="1" ht="30.75" customHeight="1">
      <c r="A55" s="82"/>
      <c r="B55" s="497" t="s">
        <v>4</v>
      </c>
      <c r="C55" s="496" t="s">
        <v>136</v>
      </c>
      <c r="D55" s="496" t="s">
        <v>5</v>
      </c>
      <c r="E55" s="496">
        <v>1.51</v>
      </c>
      <c r="F55" s="377">
        <f>F54*E55</f>
        <v>9.06</v>
      </c>
      <c r="G55" s="222"/>
      <c r="H55" s="377">
        <f>F55*G55</f>
        <v>0</v>
      </c>
      <c r="I55" s="7"/>
      <c r="J55" s="27"/>
    </row>
    <row r="56" spans="1:10" s="24" customFormat="1" ht="31.5" customHeight="1">
      <c r="A56" s="82"/>
      <c r="B56" s="497" t="s">
        <v>4</v>
      </c>
      <c r="C56" s="496" t="s">
        <v>137</v>
      </c>
      <c r="D56" s="496" t="s">
        <v>16</v>
      </c>
      <c r="E56" s="372">
        <v>0.13</v>
      </c>
      <c r="F56" s="377">
        <f>F54*E56</f>
        <v>0.78</v>
      </c>
      <c r="G56" s="52"/>
      <c r="H56" s="377">
        <f>F56*G56</f>
        <v>0</v>
      </c>
      <c r="I56" s="7"/>
      <c r="J56" s="27"/>
    </row>
    <row r="57" spans="1:10" s="24" customFormat="1" ht="30" customHeight="1">
      <c r="A57" s="82"/>
      <c r="B57" s="497" t="s">
        <v>572</v>
      </c>
      <c r="C57" s="496" t="s">
        <v>483</v>
      </c>
      <c r="D57" s="496" t="s">
        <v>15</v>
      </c>
      <c r="E57" s="381">
        <v>1</v>
      </c>
      <c r="F57" s="377">
        <f>E57*F54</f>
        <v>6</v>
      </c>
      <c r="G57" s="377"/>
      <c r="H57" s="377">
        <f>F57*G57</f>
        <v>0</v>
      </c>
      <c r="I57" s="7"/>
      <c r="J57" s="27"/>
    </row>
    <row r="58" spans="1:10" s="24" customFormat="1" ht="28.5" customHeight="1">
      <c r="A58" s="82"/>
      <c r="B58" s="373" t="s">
        <v>4</v>
      </c>
      <c r="C58" s="496" t="s">
        <v>18</v>
      </c>
      <c r="D58" s="496" t="s">
        <v>16</v>
      </c>
      <c r="E58" s="373">
        <v>0.07</v>
      </c>
      <c r="F58" s="377">
        <f>F54*E58</f>
        <v>0.42000000000000004</v>
      </c>
      <c r="G58" s="52"/>
      <c r="H58" s="377">
        <f>F58*G58</f>
        <v>0</v>
      </c>
      <c r="I58" s="7"/>
      <c r="J58" s="27"/>
    </row>
    <row r="59" spans="1:10" s="24" customFormat="1" ht="39.75" customHeight="1">
      <c r="A59" s="376" t="s">
        <v>45</v>
      </c>
      <c r="B59" s="378" t="s">
        <v>142</v>
      </c>
      <c r="C59" s="375" t="s">
        <v>484</v>
      </c>
      <c r="D59" s="374" t="s">
        <v>15</v>
      </c>
      <c r="E59" s="375"/>
      <c r="F59" s="379">
        <v>7</v>
      </c>
      <c r="G59" s="226"/>
      <c r="H59" s="380">
        <f>SUM(H60:H63)</f>
        <v>0</v>
      </c>
      <c r="I59" s="7"/>
      <c r="J59" s="27"/>
    </row>
    <row r="60" spans="1:10" s="24" customFormat="1" ht="28.5" customHeight="1">
      <c r="A60" s="497"/>
      <c r="B60" s="497" t="s">
        <v>4</v>
      </c>
      <c r="C60" s="496" t="s">
        <v>136</v>
      </c>
      <c r="D60" s="496" t="s">
        <v>5</v>
      </c>
      <c r="E60" s="496">
        <v>1.51</v>
      </c>
      <c r="F60" s="377">
        <f>F59*E60</f>
        <v>10.57</v>
      </c>
      <c r="G60" s="222"/>
      <c r="H60" s="377">
        <f>F60*G60</f>
        <v>0</v>
      </c>
      <c r="I60" s="7"/>
      <c r="J60" s="27"/>
    </row>
    <row r="61" spans="1:10" s="24" customFormat="1" ht="28.5" customHeight="1">
      <c r="A61" s="497"/>
      <c r="B61" s="497" t="s">
        <v>4</v>
      </c>
      <c r="C61" s="496" t="s">
        <v>137</v>
      </c>
      <c r="D61" s="496" t="s">
        <v>16</v>
      </c>
      <c r="E61" s="372">
        <v>0.13</v>
      </c>
      <c r="F61" s="377">
        <f>F59*E61</f>
        <v>0.91</v>
      </c>
      <c r="G61" s="52"/>
      <c r="H61" s="377">
        <f>F61*G61</f>
        <v>0</v>
      </c>
      <c r="I61" s="7"/>
      <c r="J61" s="27"/>
    </row>
    <row r="62" spans="1:10" s="24" customFormat="1" ht="28.5" customHeight="1">
      <c r="A62" s="497"/>
      <c r="B62" s="497" t="s">
        <v>507</v>
      </c>
      <c r="C62" s="496" t="s">
        <v>275</v>
      </c>
      <c r="D62" s="496" t="s">
        <v>15</v>
      </c>
      <c r="E62" s="381">
        <v>1</v>
      </c>
      <c r="F62" s="377">
        <f>E62*F59</f>
        <v>7</v>
      </c>
      <c r="G62" s="377"/>
      <c r="H62" s="377">
        <f>F62*G62</f>
        <v>0</v>
      </c>
      <c r="I62" s="7"/>
      <c r="J62" s="27"/>
    </row>
    <row r="63" spans="1:10" s="24" customFormat="1" ht="28.5" customHeight="1">
      <c r="A63" s="497"/>
      <c r="B63" s="373" t="s">
        <v>4</v>
      </c>
      <c r="C63" s="496" t="s">
        <v>18</v>
      </c>
      <c r="D63" s="496" t="s">
        <v>16</v>
      </c>
      <c r="E63" s="373">
        <v>0.07</v>
      </c>
      <c r="F63" s="377">
        <f>F59*E63</f>
        <v>0.49000000000000005</v>
      </c>
      <c r="G63" s="52"/>
      <c r="H63" s="377">
        <f>F63*G63</f>
        <v>0</v>
      </c>
      <c r="I63" s="7"/>
      <c r="J63" s="27"/>
    </row>
    <row r="64" spans="1:10" s="24" customFormat="1" ht="47.25" customHeight="1">
      <c r="A64" s="376" t="s">
        <v>71</v>
      </c>
      <c r="B64" s="378" t="s">
        <v>142</v>
      </c>
      <c r="C64" s="375" t="s">
        <v>506</v>
      </c>
      <c r="D64" s="374" t="s">
        <v>15</v>
      </c>
      <c r="E64" s="375"/>
      <c r="F64" s="379">
        <v>2</v>
      </c>
      <c r="G64" s="226"/>
      <c r="H64" s="380">
        <f>SUM(H65:H68)</f>
        <v>0</v>
      </c>
      <c r="I64" s="7"/>
      <c r="J64" s="27"/>
    </row>
    <row r="65" spans="1:10" s="24" customFormat="1" ht="30.75" customHeight="1">
      <c r="A65" s="497"/>
      <c r="B65" s="497" t="s">
        <v>4</v>
      </c>
      <c r="C65" s="496" t="s">
        <v>136</v>
      </c>
      <c r="D65" s="496" t="s">
        <v>5</v>
      </c>
      <c r="E65" s="496">
        <v>1.51</v>
      </c>
      <c r="F65" s="377">
        <f>F64*E65</f>
        <v>3.02</v>
      </c>
      <c r="G65" s="222"/>
      <c r="H65" s="377">
        <f>F65*G65</f>
        <v>0</v>
      </c>
      <c r="I65" s="7"/>
      <c r="J65" s="27"/>
    </row>
    <row r="66" spans="1:10" s="24" customFormat="1" ht="30.75" customHeight="1">
      <c r="A66" s="497"/>
      <c r="B66" s="497" t="s">
        <v>4</v>
      </c>
      <c r="C66" s="496" t="s">
        <v>137</v>
      </c>
      <c r="D66" s="496" t="s">
        <v>16</v>
      </c>
      <c r="E66" s="372">
        <v>0.13</v>
      </c>
      <c r="F66" s="377">
        <f>F64*E66</f>
        <v>0.26</v>
      </c>
      <c r="G66" s="52"/>
      <c r="H66" s="377">
        <f>F66*G66</f>
        <v>0</v>
      </c>
      <c r="I66" s="7"/>
      <c r="J66" s="27"/>
    </row>
    <row r="67" spans="1:10" s="24" customFormat="1" ht="30" customHeight="1">
      <c r="A67" s="497"/>
      <c r="B67" s="497" t="s">
        <v>472</v>
      </c>
      <c r="C67" s="496" t="s">
        <v>481</v>
      </c>
      <c r="D67" s="496" t="s">
        <v>15</v>
      </c>
      <c r="E67" s="381">
        <v>1</v>
      </c>
      <c r="F67" s="377">
        <f>E67*F64</f>
        <v>2</v>
      </c>
      <c r="G67" s="377"/>
      <c r="H67" s="377">
        <f>F67*G67</f>
        <v>0</v>
      </c>
      <c r="I67" s="7"/>
      <c r="J67" s="27"/>
    </row>
    <row r="68" spans="1:10" s="24" customFormat="1" ht="30.75" customHeight="1">
      <c r="A68" s="497"/>
      <c r="B68" s="373" t="s">
        <v>4</v>
      </c>
      <c r="C68" s="496" t="s">
        <v>18</v>
      </c>
      <c r="D68" s="496" t="s">
        <v>16</v>
      </c>
      <c r="E68" s="373">
        <v>0.07</v>
      </c>
      <c r="F68" s="377">
        <f>F64*E68</f>
        <v>0.14</v>
      </c>
      <c r="G68" s="52"/>
      <c r="H68" s="377">
        <f>F68*G68</f>
        <v>0</v>
      </c>
      <c r="I68" s="7"/>
      <c r="J68" s="27"/>
    </row>
    <row r="69" spans="1:8" ht="47.25" customHeight="1">
      <c r="A69" s="376" t="s">
        <v>66</v>
      </c>
      <c r="B69" s="378" t="s">
        <v>167</v>
      </c>
      <c r="C69" s="375" t="s">
        <v>1651</v>
      </c>
      <c r="D69" s="374" t="s">
        <v>15</v>
      </c>
      <c r="E69" s="375"/>
      <c r="F69" s="379">
        <v>55</v>
      </c>
      <c r="G69" s="226"/>
      <c r="H69" s="380">
        <f>SUM(H70:H73)</f>
        <v>0</v>
      </c>
    </row>
    <row r="70" spans="1:8" ht="30" customHeight="1">
      <c r="A70" s="82"/>
      <c r="B70" s="46" t="s">
        <v>4</v>
      </c>
      <c r="C70" s="46" t="s">
        <v>136</v>
      </c>
      <c r="D70" s="46" t="s">
        <v>5</v>
      </c>
      <c r="E70" s="157">
        <v>0.82</v>
      </c>
      <c r="F70" s="52">
        <f>F69*E70</f>
        <v>45.099999999999994</v>
      </c>
      <c r="G70" s="47"/>
      <c r="H70" s="377">
        <f>F70*G70</f>
        <v>0</v>
      </c>
    </row>
    <row r="71" spans="1:8" ht="25.5" customHeight="1">
      <c r="A71" s="82"/>
      <c r="B71" s="46" t="s">
        <v>4</v>
      </c>
      <c r="C71" s="46" t="s">
        <v>137</v>
      </c>
      <c r="D71" s="46" t="s">
        <v>16</v>
      </c>
      <c r="E71" s="157">
        <v>0.01</v>
      </c>
      <c r="F71" s="52">
        <f>F69*E71</f>
        <v>0.55</v>
      </c>
      <c r="G71" s="52"/>
      <c r="H71" s="52">
        <f>F71*G71</f>
        <v>0</v>
      </c>
    </row>
    <row r="72" spans="1:8" ht="30" customHeight="1">
      <c r="A72" s="497"/>
      <c r="B72" s="316" t="s">
        <v>1483</v>
      </c>
      <c r="C72" s="496" t="s">
        <v>1652</v>
      </c>
      <c r="D72" s="496" t="s">
        <v>15</v>
      </c>
      <c r="E72" s="222">
        <v>1</v>
      </c>
      <c r="F72" s="377">
        <f>E72*F69</f>
        <v>55</v>
      </c>
      <c r="G72" s="377"/>
      <c r="H72" s="377">
        <f>F72*G72</f>
        <v>0</v>
      </c>
    </row>
    <row r="73" spans="1:8" ht="32.25" customHeight="1">
      <c r="A73" s="82"/>
      <c r="B73" s="46" t="s">
        <v>4</v>
      </c>
      <c r="C73" s="46" t="s">
        <v>18</v>
      </c>
      <c r="D73" s="46" t="s">
        <v>16</v>
      </c>
      <c r="E73" s="167">
        <v>0.07</v>
      </c>
      <c r="F73" s="52">
        <f>F69*E73</f>
        <v>3.8500000000000005</v>
      </c>
      <c r="G73" s="52"/>
      <c r="H73" s="52">
        <f>F73*G73</f>
        <v>0</v>
      </c>
    </row>
    <row r="74" spans="1:8" ht="153" customHeight="1">
      <c r="A74" s="376" t="s">
        <v>67</v>
      </c>
      <c r="B74" s="378" t="s">
        <v>167</v>
      </c>
      <c r="C74" s="375" t="s">
        <v>1687</v>
      </c>
      <c r="D74" s="374" t="s">
        <v>15</v>
      </c>
      <c r="E74" s="375"/>
      <c r="F74" s="379">
        <v>28</v>
      </c>
      <c r="G74" s="226"/>
      <c r="H74" s="380">
        <f>SUM(H75:H80)</f>
        <v>0</v>
      </c>
    </row>
    <row r="75" spans="1:8" ht="32.25" customHeight="1">
      <c r="A75" s="82"/>
      <c r="B75" s="46" t="s">
        <v>4</v>
      </c>
      <c r="C75" s="46" t="s">
        <v>136</v>
      </c>
      <c r="D75" s="46" t="s">
        <v>5</v>
      </c>
      <c r="E75" s="157">
        <v>0.82</v>
      </c>
      <c r="F75" s="52">
        <f>F74*E75</f>
        <v>22.959999999999997</v>
      </c>
      <c r="G75" s="47"/>
      <c r="H75" s="377">
        <f aca="true" t="shared" si="5" ref="H75:H80">F75*G75</f>
        <v>0</v>
      </c>
    </row>
    <row r="76" spans="1:8" ht="32.25" customHeight="1">
      <c r="A76" s="82"/>
      <c r="B76" s="46" t="s">
        <v>4</v>
      </c>
      <c r="C76" s="46" t="s">
        <v>137</v>
      </c>
      <c r="D76" s="46" t="s">
        <v>16</v>
      </c>
      <c r="E76" s="157">
        <v>0.01</v>
      </c>
      <c r="F76" s="52">
        <f>F74*E76</f>
        <v>0.28</v>
      </c>
      <c r="G76" s="52"/>
      <c r="H76" s="52">
        <f t="shared" si="5"/>
        <v>0</v>
      </c>
    </row>
    <row r="77" spans="1:8" ht="32.25" customHeight="1">
      <c r="A77" s="497"/>
      <c r="B77" s="501" t="s">
        <v>1196</v>
      </c>
      <c r="C77" s="496" t="s">
        <v>1007</v>
      </c>
      <c r="D77" s="496" t="s">
        <v>15</v>
      </c>
      <c r="E77" s="222">
        <v>1</v>
      </c>
      <c r="F77" s="377">
        <f>E77*F74</f>
        <v>28</v>
      </c>
      <c r="G77" s="377"/>
      <c r="H77" s="377">
        <f t="shared" si="5"/>
        <v>0</v>
      </c>
    </row>
    <row r="78" spans="1:8" ht="32.25" customHeight="1">
      <c r="A78" s="623"/>
      <c r="B78" s="501"/>
      <c r="C78" s="624" t="s">
        <v>1688</v>
      </c>
      <c r="D78" s="624" t="s">
        <v>107</v>
      </c>
      <c r="E78" s="222">
        <v>1</v>
      </c>
      <c r="F78" s="377">
        <v>28</v>
      </c>
      <c r="G78" s="377"/>
      <c r="H78" s="377">
        <f t="shared" si="5"/>
        <v>0</v>
      </c>
    </row>
    <row r="79" spans="1:8" ht="32.25" customHeight="1">
      <c r="A79" s="623"/>
      <c r="B79" s="501"/>
      <c r="C79" s="624" t="s">
        <v>1689</v>
      </c>
      <c r="D79" s="624" t="s">
        <v>15</v>
      </c>
      <c r="E79" s="222">
        <v>1</v>
      </c>
      <c r="F79" s="377">
        <v>13</v>
      </c>
      <c r="G79" s="377"/>
      <c r="H79" s="377">
        <f t="shared" si="5"/>
        <v>0</v>
      </c>
    </row>
    <row r="80" spans="1:8" ht="32.25" customHeight="1">
      <c r="A80" s="82"/>
      <c r="B80" s="46" t="s">
        <v>4</v>
      </c>
      <c r="C80" s="46" t="s">
        <v>18</v>
      </c>
      <c r="D80" s="46" t="s">
        <v>16</v>
      </c>
      <c r="E80" s="167">
        <v>0.07</v>
      </c>
      <c r="F80" s="52">
        <f>F74*E80</f>
        <v>1.9600000000000002</v>
      </c>
      <c r="G80" s="52"/>
      <c r="H80" s="52">
        <f t="shared" si="5"/>
        <v>0</v>
      </c>
    </row>
    <row r="81" spans="1:8" ht="40.5" customHeight="1">
      <c r="A81" s="376" t="s">
        <v>81</v>
      </c>
      <c r="B81" s="378" t="s">
        <v>167</v>
      </c>
      <c r="C81" s="375" t="s">
        <v>1194</v>
      </c>
      <c r="D81" s="374" t="s">
        <v>15</v>
      </c>
      <c r="E81" s="375"/>
      <c r="F81" s="226">
        <v>4</v>
      </c>
      <c r="G81" s="226"/>
      <c r="H81" s="380">
        <f>SUM(H82:H85)</f>
        <v>0</v>
      </c>
    </row>
    <row r="82" spans="1:8" ht="32.25" customHeight="1">
      <c r="A82" s="82"/>
      <c r="B82" s="46" t="s">
        <v>4</v>
      </c>
      <c r="C82" s="46" t="s">
        <v>136</v>
      </c>
      <c r="D82" s="46" t="s">
        <v>5</v>
      </c>
      <c r="E82" s="157">
        <v>0.82</v>
      </c>
      <c r="F82" s="52">
        <f>F81*E82</f>
        <v>3.28</v>
      </c>
      <c r="G82" s="47"/>
      <c r="H82" s="377">
        <f>F82*G82</f>
        <v>0</v>
      </c>
    </row>
    <row r="83" spans="1:8" ht="34.5" customHeight="1">
      <c r="A83" s="82"/>
      <c r="B83" s="46" t="s">
        <v>4</v>
      </c>
      <c r="C83" s="46" t="s">
        <v>137</v>
      </c>
      <c r="D83" s="46" t="s">
        <v>16</v>
      </c>
      <c r="E83" s="157">
        <v>0.01</v>
      </c>
      <c r="F83" s="52">
        <f>F81*E83</f>
        <v>0.04</v>
      </c>
      <c r="G83" s="52"/>
      <c r="H83" s="52">
        <f>F83*G83</f>
        <v>0</v>
      </c>
    </row>
    <row r="84" spans="1:8" ht="32.25" customHeight="1">
      <c r="A84" s="497"/>
      <c r="B84" s="496" t="s">
        <v>1485</v>
      </c>
      <c r="C84" s="496" t="s">
        <v>1195</v>
      </c>
      <c r="D84" s="496" t="s">
        <v>15</v>
      </c>
      <c r="E84" s="222">
        <v>1</v>
      </c>
      <c r="F84" s="377">
        <f>E84*F81</f>
        <v>4</v>
      </c>
      <c r="G84" s="377"/>
      <c r="H84" s="377">
        <f>F84*G84</f>
        <v>0</v>
      </c>
    </row>
    <row r="85" spans="1:8" ht="32.25" customHeight="1">
      <c r="A85" s="82"/>
      <c r="B85" s="46" t="s">
        <v>4</v>
      </c>
      <c r="C85" s="46" t="s">
        <v>18</v>
      </c>
      <c r="D85" s="46" t="s">
        <v>16</v>
      </c>
      <c r="E85" s="167">
        <v>0.07</v>
      </c>
      <c r="F85" s="52">
        <f>F81*E85</f>
        <v>0.28</v>
      </c>
      <c r="G85" s="52"/>
      <c r="H85" s="52">
        <f>F85*G85</f>
        <v>0</v>
      </c>
    </row>
    <row r="86" spans="1:8" ht="44.25" customHeight="1">
      <c r="A86" s="376" t="s">
        <v>88</v>
      </c>
      <c r="B86" s="375" t="s">
        <v>1003</v>
      </c>
      <c r="C86" s="375" t="s">
        <v>1004</v>
      </c>
      <c r="D86" s="375" t="s">
        <v>15</v>
      </c>
      <c r="E86" s="374"/>
      <c r="F86" s="137">
        <v>4</v>
      </c>
      <c r="G86" s="137"/>
      <c r="H86" s="380">
        <f>H87+H88+H89+H90</f>
        <v>0</v>
      </c>
    </row>
    <row r="87" spans="1:8" ht="30" customHeight="1">
      <c r="A87" s="376"/>
      <c r="B87" s="497" t="s">
        <v>4</v>
      </c>
      <c r="C87" s="496" t="s">
        <v>128</v>
      </c>
      <c r="D87" s="373" t="s">
        <v>1005</v>
      </c>
      <c r="E87" s="496">
        <v>2.58</v>
      </c>
      <c r="F87" s="213">
        <f>F86*E87</f>
        <v>10.32</v>
      </c>
      <c r="G87" s="222"/>
      <c r="H87" s="222">
        <f>F87*G87</f>
        <v>0</v>
      </c>
    </row>
    <row r="88" spans="1:8" ht="31.5" customHeight="1">
      <c r="A88" s="497"/>
      <c r="B88" s="497" t="s">
        <v>4</v>
      </c>
      <c r="C88" s="496" t="s">
        <v>106</v>
      </c>
      <c r="D88" s="496" t="s">
        <v>16</v>
      </c>
      <c r="E88" s="496">
        <v>0.17</v>
      </c>
      <c r="F88" s="377">
        <v>7.5</v>
      </c>
      <c r="G88" s="52"/>
      <c r="H88" s="222">
        <f>F88*G88</f>
        <v>0</v>
      </c>
    </row>
    <row r="89" spans="1:8" ht="30" customHeight="1">
      <c r="A89" s="497"/>
      <c r="B89" s="496" t="s">
        <v>1484</v>
      </c>
      <c r="C89" s="496" t="s">
        <v>1006</v>
      </c>
      <c r="D89" s="496" t="s">
        <v>80</v>
      </c>
      <c r="E89" s="377">
        <v>1</v>
      </c>
      <c r="F89" s="377">
        <f>E89*F86</f>
        <v>4</v>
      </c>
      <c r="G89" s="377"/>
      <c r="H89" s="222">
        <f>F89*G89</f>
        <v>0</v>
      </c>
    </row>
    <row r="90" spans="1:8" ht="27.75" customHeight="1">
      <c r="A90" s="376"/>
      <c r="B90" s="497" t="s">
        <v>4</v>
      </c>
      <c r="C90" s="496" t="s">
        <v>103</v>
      </c>
      <c r="D90" s="496" t="s">
        <v>16</v>
      </c>
      <c r="E90" s="496">
        <v>0.23</v>
      </c>
      <c r="F90" s="381">
        <v>10.1</v>
      </c>
      <c r="G90" s="52"/>
      <c r="H90" s="222">
        <f>F90*G90</f>
        <v>0</v>
      </c>
    </row>
    <row r="91" spans="1:12" s="5" customFormat="1" ht="27" customHeight="1">
      <c r="A91" s="497"/>
      <c r="B91" s="497"/>
      <c r="C91" s="148" t="s">
        <v>176</v>
      </c>
      <c r="D91" s="375" t="s">
        <v>16</v>
      </c>
      <c r="E91" s="375"/>
      <c r="F91" s="375"/>
      <c r="G91" s="226"/>
      <c r="H91" s="380">
        <f>H9+H18+H27+H36+H45+H54+H59+H64+H69+H86+H74+H81</f>
        <v>0</v>
      </c>
      <c r="I91" s="7"/>
      <c r="J91" s="28"/>
      <c r="K91" s="26"/>
      <c r="L91" s="26"/>
    </row>
    <row r="92" spans="1:12" s="5" customFormat="1" ht="27.75" customHeight="1">
      <c r="A92" s="275"/>
      <c r="B92" s="275"/>
      <c r="C92" s="276" t="s">
        <v>254</v>
      </c>
      <c r="D92" s="277"/>
      <c r="E92" s="277"/>
      <c r="F92" s="277"/>
      <c r="G92" s="323"/>
      <c r="H92" s="323">
        <f>H87+H70+H65+H46+H37+H10+H55+H19+H28+H60+H75+H82</f>
        <v>0</v>
      </c>
      <c r="I92" s="7"/>
      <c r="J92" s="28"/>
      <c r="K92" s="26"/>
      <c r="L92" s="26"/>
    </row>
    <row r="93" spans="1:12" s="109" customFormat="1" ht="25.5" customHeight="1">
      <c r="A93" s="262"/>
      <c r="B93" s="171"/>
      <c r="C93" s="263" t="s">
        <v>168</v>
      </c>
      <c r="D93" s="264"/>
      <c r="E93" s="264"/>
      <c r="F93" s="264"/>
      <c r="G93" s="262"/>
      <c r="H93" s="176"/>
      <c r="I93" s="106"/>
      <c r="J93" s="209"/>
      <c r="K93" s="209"/>
      <c r="L93" s="209"/>
    </row>
    <row r="94" spans="1:12" s="109" customFormat="1" ht="63.75" customHeight="1">
      <c r="A94" s="81" t="s">
        <v>13</v>
      </c>
      <c r="B94" s="54" t="s">
        <v>169</v>
      </c>
      <c r="C94" s="55" t="s">
        <v>226</v>
      </c>
      <c r="D94" s="55" t="s">
        <v>22</v>
      </c>
      <c r="E94" s="55"/>
      <c r="F94" s="379">
        <v>24</v>
      </c>
      <c r="G94" s="70"/>
      <c r="H94" s="380">
        <f>SUM(H95:H99)</f>
        <v>0</v>
      </c>
      <c r="I94" s="200"/>
      <c r="J94" s="209"/>
      <c r="K94" s="209"/>
      <c r="L94" s="209"/>
    </row>
    <row r="95" spans="1:12" s="209" customFormat="1" ht="30" customHeight="1">
      <c r="A95" s="82"/>
      <c r="B95" s="82" t="s">
        <v>4</v>
      </c>
      <c r="C95" s="46" t="s">
        <v>136</v>
      </c>
      <c r="D95" s="46" t="s">
        <v>5</v>
      </c>
      <c r="E95" s="157">
        <v>0.609</v>
      </c>
      <c r="F95" s="52">
        <f>F94*E95</f>
        <v>14.616</v>
      </c>
      <c r="G95" s="47"/>
      <c r="H95" s="377">
        <f>F95*G95</f>
        <v>0</v>
      </c>
      <c r="I95" s="202"/>
      <c r="J95" s="202"/>
      <c r="K95" s="202"/>
      <c r="L95" s="202"/>
    </row>
    <row r="96" spans="1:12" s="209" customFormat="1" ht="26.25" customHeight="1">
      <c r="A96" s="82"/>
      <c r="B96" s="82" t="s">
        <v>4</v>
      </c>
      <c r="C96" s="46" t="s">
        <v>137</v>
      </c>
      <c r="D96" s="46" t="s">
        <v>16</v>
      </c>
      <c r="E96" s="157">
        <v>0.0021</v>
      </c>
      <c r="F96" s="117">
        <f>F94*E96</f>
        <v>0.0504</v>
      </c>
      <c r="G96" s="52"/>
      <c r="H96" s="377">
        <f>F96*G96</f>
        <v>0</v>
      </c>
      <c r="I96" s="108"/>
      <c r="J96" s="109"/>
      <c r="K96" s="109"/>
      <c r="L96" s="109"/>
    </row>
    <row r="97" spans="1:10" s="109" customFormat="1" ht="29.25" customHeight="1">
      <c r="A97" s="82"/>
      <c r="B97" s="82" t="s">
        <v>485</v>
      </c>
      <c r="C97" s="46" t="s">
        <v>271</v>
      </c>
      <c r="D97" s="46" t="s">
        <v>22</v>
      </c>
      <c r="E97" s="47">
        <v>1</v>
      </c>
      <c r="F97" s="52">
        <f>E97*F94</f>
        <v>24</v>
      </c>
      <c r="G97" s="52"/>
      <c r="H97" s="377">
        <f>F97*G97</f>
        <v>0</v>
      </c>
      <c r="I97" s="106" t="e">
        <f>#REF!</f>
        <v>#REF!</v>
      </c>
      <c r="J97" s="107"/>
    </row>
    <row r="98" spans="1:10" s="109" customFormat="1" ht="29.25" customHeight="1">
      <c r="A98" s="319"/>
      <c r="B98" s="316" t="s">
        <v>360</v>
      </c>
      <c r="C98" s="319" t="s">
        <v>710</v>
      </c>
      <c r="D98" s="319" t="s">
        <v>53</v>
      </c>
      <c r="E98" s="319">
        <v>0.14</v>
      </c>
      <c r="F98" s="319">
        <f>E98*F94</f>
        <v>3.3600000000000003</v>
      </c>
      <c r="G98" s="469"/>
      <c r="H98" s="319">
        <f>F98*G98</f>
        <v>0</v>
      </c>
      <c r="I98" s="106"/>
      <c r="J98" s="107"/>
    </row>
    <row r="99" spans="1:12" s="209" customFormat="1" ht="29.25" customHeight="1">
      <c r="A99" s="82"/>
      <c r="B99" s="49" t="s">
        <v>4</v>
      </c>
      <c r="C99" s="46" t="s">
        <v>18</v>
      </c>
      <c r="D99" s="46" t="s">
        <v>16</v>
      </c>
      <c r="E99" s="49">
        <v>0.156</v>
      </c>
      <c r="F99" s="52">
        <f>F94*E99</f>
        <v>3.7439999999999998</v>
      </c>
      <c r="G99" s="52"/>
      <c r="H99" s="52">
        <f>F99*G99</f>
        <v>0</v>
      </c>
      <c r="I99" s="201"/>
      <c r="J99" s="201"/>
      <c r="K99" s="201"/>
      <c r="L99" s="201"/>
    </row>
    <row r="100" spans="1:12" s="209" customFormat="1" ht="60" customHeight="1">
      <c r="A100" s="81" t="s">
        <v>37</v>
      </c>
      <c r="B100" s="54" t="s">
        <v>1198</v>
      </c>
      <c r="C100" s="55" t="s">
        <v>1197</v>
      </c>
      <c r="D100" s="55" t="s">
        <v>22</v>
      </c>
      <c r="E100" s="55"/>
      <c r="F100" s="379">
        <v>14</v>
      </c>
      <c r="G100" s="70"/>
      <c r="H100" s="380">
        <f>SUM(H101:H105)</f>
        <v>0</v>
      </c>
      <c r="I100" s="201"/>
      <c r="J100" s="201"/>
      <c r="K100" s="201"/>
      <c r="L100" s="201"/>
    </row>
    <row r="101" spans="1:12" s="209" customFormat="1" ht="27.75" customHeight="1">
      <c r="A101" s="82"/>
      <c r="B101" s="82" t="s">
        <v>4</v>
      </c>
      <c r="C101" s="46" t="s">
        <v>136</v>
      </c>
      <c r="D101" s="46" t="s">
        <v>5</v>
      </c>
      <c r="E101" s="157">
        <v>0.609</v>
      </c>
      <c r="F101" s="52">
        <f>F100*E101</f>
        <v>8.526</v>
      </c>
      <c r="G101" s="47"/>
      <c r="H101" s="377">
        <f>F101*G101</f>
        <v>0</v>
      </c>
      <c r="I101" s="201"/>
      <c r="J101" s="201"/>
      <c r="K101" s="201"/>
      <c r="L101" s="201"/>
    </row>
    <row r="102" spans="1:12" s="209" customFormat="1" ht="29.25" customHeight="1">
      <c r="A102" s="82"/>
      <c r="B102" s="82" t="s">
        <v>4</v>
      </c>
      <c r="C102" s="46" t="s">
        <v>137</v>
      </c>
      <c r="D102" s="46" t="s">
        <v>16</v>
      </c>
      <c r="E102" s="157">
        <v>0.0021</v>
      </c>
      <c r="F102" s="117">
        <f>F100*E102</f>
        <v>0.0294</v>
      </c>
      <c r="G102" s="52"/>
      <c r="H102" s="377">
        <f>F102*G102</f>
        <v>0</v>
      </c>
      <c r="I102" s="201"/>
      <c r="J102" s="201"/>
      <c r="K102" s="201"/>
      <c r="L102" s="201"/>
    </row>
    <row r="103" spans="1:12" s="209" customFormat="1" ht="36.75" customHeight="1">
      <c r="A103" s="82"/>
      <c r="B103" s="82" t="s">
        <v>478</v>
      </c>
      <c r="C103" s="46" t="s">
        <v>1199</v>
      </c>
      <c r="D103" s="46" t="s">
        <v>22</v>
      </c>
      <c r="E103" s="47">
        <v>1</v>
      </c>
      <c r="F103" s="52">
        <f>E103*F100</f>
        <v>14</v>
      </c>
      <c r="G103" s="52"/>
      <c r="H103" s="377">
        <f>F103*G103</f>
        <v>0</v>
      </c>
      <c r="I103" s="201"/>
      <c r="J103" s="201"/>
      <c r="K103" s="201"/>
      <c r="L103" s="201"/>
    </row>
    <row r="104" spans="1:12" s="209" customFormat="1" ht="27" customHeight="1">
      <c r="A104" s="319"/>
      <c r="B104" s="316" t="s">
        <v>360</v>
      </c>
      <c r="C104" s="319" t="s">
        <v>710</v>
      </c>
      <c r="D104" s="319" t="s">
        <v>53</v>
      </c>
      <c r="E104" s="319">
        <v>0.14</v>
      </c>
      <c r="F104" s="319">
        <f>E104*F100</f>
        <v>1.9600000000000002</v>
      </c>
      <c r="G104" s="469"/>
      <c r="H104" s="319">
        <f>F104*G104</f>
        <v>0</v>
      </c>
      <c r="I104" s="201"/>
      <c r="J104" s="201"/>
      <c r="K104" s="201"/>
      <c r="L104" s="201"/>
    </row>
    <row r="105" spans="1:12" s="209" customFormat="1" ht="29.25" customHeight="1">
      <c r="A105" s="82"/>
      <c r="B105" s="49" t="s">
        <v>4</v>
      </c>
      <c r="C105" s="46" t="s">
        <v>18</v>
      </c>
      <c r="D105" s="46" t="s">
        <v>16</v>
      </c>
      <c r="E105" s="49">
        <v>0.156</v>
      </c>
      <c r="F105" s="52">
        <f>F100*E105</f>
        <v>2.184</v>
      </c>
      <c r="G105" s="52"/>
      <c r="H105" s="52">
        <f>F105*G105</f>
        <v>0</v>
      </c>
      <c r="I105" s="201"/>
      <c r="J105" s="201"/>
      <c r="K105" s="201"/>
      <c r="L105" s="201"/>
    </row>
    <row r="106" spans="1:12" s="202" customFormat="1" ht="63" customHeight="1">
      <c r="A106" s="81" t="s">
        <v>63</v>
      </c>
      <c r="B106" s="54" t="s">
        <v>170</v>
      </c>
      <c r="C106" s="55" t="s">
        <v>270</v>
      </c>
      <c r="D106" s="55" t="s">
        <v>22</v>
      </c>
      <c r="E106" s="55"/>
      <c r="F106" s="80">
        <v>112</v>
      </c>
      <c r="G106" s="70"/>
      <c r="H106" s="380">
        <f>SUM(H107:H111)</f>
        <v>0</v>
      </c>
      <c r="I106" s="204"/>
      <c r="J106" s="204"/>
      <c r="K106" s="204"/>
      <c r="L106" s="204"/>
    </row>
    <row r="107" spans="1:12" s="202" customFormat="1" ht="33.75" customHeight="1">
      <c r="A107" s="82"/>
      <c r="B107" s="82" t="s">
        <v>4</v>
      </c>
      <c r="C107" s="46" t="s">
        <v>148</v>
      </c>
      <c r="D107" s="46" t="s">
        <v>5</v>
      </c>
      <c r="E107" s="157">
        <v>0.583</v>
      </c>
      <c r="F107" s="117">
        <f>F106*E107</f>
        <v>65.29599999999999</v>
      </c>
      <c r="G107" s="47"/>
      <c r="H107" s="377">
        <f>F107*G107</f>
        <v>0</v>
      </c>
      <c r="I107" s="204"/>
      <c r="J107" s="204"/>
      <c r="K107" s="204"/>
      <c r="L107" s="204"/>
    </row>
    <row r="108" spans="1:12" s="202" customFormat="1" ht="33.75" customHeight="1">
      <c r="A108" s="82"/>
      <c r="B108" s="82" t="s">
        <v>4</v>
      </c>
      <c r="C108" s="46" t="s">
        <v>137</v>
      </c>
      <c r="D108" s="46" t="s">
        <v>16</v>
      </c>
      <c r="E108" s="157">
        <v>0.0046</v>
      </c>
      <c r="F108" s="117">
        <f>F106*E108</f>
        <v>0.5152</v>
      </c>
      <c r="G108" s="52"/>
      <c r="H108" s="377">
        <f>F108*G108</f>
        <v>0</v>
      </c>
      <c r="I108" s="204"/>
      <c r="J108" s="204"/>
      <c r="K108" s="204"/>
      <c r="L108" s="204"/>
    </row>
    <row r="109" spans="1:12" s="202" customFormat="1" ht="33.75" customHeight="1">
      <c r="A109" s="82"/>
      <c r="B109" s="82" t="s">
        <v>1354</v>
      </c>
      <c r="C109" s="46" t="s">
        <v>272</v>
      </c>
      <c r="D109" s="46" t="s">
        <v>22</v>
      </c>
      <c r="E109" s="47">
        <v>1</v>
      </c>
      <c r="F109" s="52">
        <f>E109*F106</f>
        <v>112</v>
      </c>
      <c r="G109" s="52"/>
      <c r="H109" s="377">
        <f>F109*G109</f>
        <v>0</v>
      </c>
      <c r="I109" s="204"/>
      <c r="J109" s="204"/>
      <c r="K109" s="204"/>
      <c r="L109" s="204"/>
    </row>
    <row r="110" spans="1:12" s="202" customFormat="1" ht="33.75" customHeight="1">
      <c r="A110" s="319"/>
      <c r="B110" s="316" t="s">
        <v>360</v>
      </c>
      <c r="C110" s="319" t="s">
        <v>710</v>
      </c>
      <c r="D110" s="319" t="s">
        <v>53</v>
      </c>
      <c r="E110" s="337">
        <v>0.235</v>
      </c>
      <c r="F110" s="319">
        <f>E110*F106</f>
        <v>26.32</v>
      </c>
      <c r="G110" s="469"/>
      <c r="H110" s="319">
        <f>F110*G110</f>
        <v>0</v>
      </c>
      <c r="I110" s="204"/>
      <c r="J110" s="204"/>
      <c r="K110" s="204"/>
      <c r="L110" s="204"/>
    </row>
    <row r="111" spans="1:12" s="202" customFormat="1" ht="33.75" customHeight="1">
      <c r="A111" s="82"/>
      <c r="B111" s="49" t="s">
        <v>4</v>
      </c>
      <c r="C111" s="46" t="s">
        <v>18</v>
      </c>
      <c r="D111" s="46" t="s">
        <v>16</v>
      </c>
      <c r="E111" s="49">
        <v>0.208</v>
      </c>
      <c r="F111" s="117">
        <f>F106*E111</f>
        <v>23.296</v>
      </c>
      <c r="G111" s="52"/>
      <c r="H111" s="52">
        <f>F111*G111</f>
        <v>0</v>
      </c>
      <c r="I111" s="204"/>
      <c r="J111" s="204"/>
      <c r="K111" s="204"/>
      <c r="L111" s="204"/>
    </row>
    <row r="112" spans="1:12" s="202" customFormat="1" ht="45" customHeight="1">
      <c r="A112" s="81" t="s">
        <v>64</v>
      </c>
      <c r="B112" s="54" t="s">
        <v>171</v>
      </c>
      <c r="C112" s="55" t="s">
        <v>508</v>
      </c>
      <c r="D112" s="158" t="s">
        <v>54</v>
      </c>
      <c r="E112" s="70"/>
      <c r="F112" s="70">
        <v>1</v>
      </c>
      <c r="G112" s="70"/>
      <c r="H112" s="380">
        <f>SUM(H113:H117)</f>
        <v>0</v>
      </c>
      <c r="I112" s="204"/>
      <c r="J112" s="204"/>
      <c r="K112" s="204"/>
      <c r="L112" s="204"/>
    </row>
    <row r="113" spans="1:12" s="202" customFormat="1" ht="33.75" customHeight="1">
      <c r="A113" s="82"/>
      <c r="B113" s="48" t="s">
        <v>4</v>
      </c>
      <c r="C113" s="46" t="s">
        <v>136</v>
      </c>
      <c r="D113" s="46" t="s">
        <v>5</v>
      </c>
      <c r="E113" s="47">
        <v>1.56</v>
      </c>
      <c r="F113" s="52">
        <f>F112*E113</f>
        <v>1.56</v>
      </c>
      <c r="G113" s="47"/>
      <c r="H113" s="377">
        <f>F113*G113</f>
        <v>0</v>
      </c>
      <c r="I113" s="204"/>
      <c r="J113" s="204"/>
      <c r="K113" s="204"/>
      <c r="L113" s="204"/>
    </row>
    <row r="114" spans="1:12" s="202" customFormat="1" ht="33.75" customHeight="1">
      <c r="A114" s="82"/>
      <c r="B114" s="48" t="s">
        <v>4</v>
      </c>
      <c r="C114" s="46" t="s">
        <v>137</v>
      </c>
      <c r="D114" s="46" t="s">
        <v>16</v>
      </c>
      <c r="E114" s="47">
        <v>0.06</v>
      </c>
      <c r="F114" s="52">
        <f>F112*E114</f>
        <v>0.06</v>
      </c>
      <c r="G114" s="52"/>
      <c r="H114" s="52">
        <f>F114*G114</f>
        <v>0</v>
      </c>
      <c r="I114" s="204"/>
      <c r="J114" s="204"/>
      <c r="K114" s="204"/>
      <c r="L114" s="204"/>
    </row>
    <row r="115" spans="1:12" s="202" customFormat="1" ht="33.75" customHeight="1">
      <c r="A115" s="82"/>
      <c r="B115" s="168" t="s">
        <v>573</v>
      </c>
      <c r="C115" s="46" t="s">
        <v>1488</v>
      </c>
      <c r="D115" s="49" t="s">
        <v>54</v>
      </c>
      <c r="E115" s="52">
        <v>1</v>
      </c>
      <c r="F115" s="52">
        <f>F112*E115</f>
        <v>1</v>
      </c>
      <c r="G115" s="52"/>
      <c r="H115" s="52">
        <f>F115*G115</f>
        <v>0</v>
      </c>
      <c r="I115" s="204"/>
      <c r="J115" s="204"/>
      <c r="K115" s="204"/>
      <c r="L115" s="204"/>
    </row>
    <row r="116" spans="1:12" s="202" customFormat="1" ht="33.75" customHeight="1">
      <c r="A116" s="82"/>
      <c r="B116" s="168" t="s">
        <v>1486</v>
      </c>
      <c r="C116" s="46" t="s">
        <v>235</v>
      </c>
      <c r="D116" s="49" t="s">
        <v>15</v>
      </c>
      <c r="E116" s="52">
        <v>0.555</v>
      </c>
      <c r="F116" s="52">
        <f>E116*F112</f>
        <v>0.555</v>
      </c>
      <c r="G116" s="52"/>
      <c r="H116" s="52">
        <f>F116*G116</f>
        <v>0</v>
      </c>
      <c r="I116" s="204"/>
      <c r="J116" s="204"/>
      <c r="K116" s="204"/>
      <c r="L116" s="204"/>
    </row>
    <row r="117" spans="1:12" s="202" customFormat="1" ht="33.75" customHeight="1">
      <c r="A117" s="82"/>
      <c r="B117" s="110" t="s">
        <v>4</v>
      </c>
      <c r="C117" s="46" t="s">
        <v>18</v>
      </c>
      <c r="D117" s="46" t="s">
        <v>16</v>
      </c>
      <c r="E117" s="52">
        <v>0.29</v>
      </c>
      <c r="F117" s="52">
        <f>F112*E117</f>
        <v>0.29</v>
      </c>
      <c r="G117" s="52"/>
      <c r="H117" s="52">
        <f>F117*G117</f>
        <v>0</v>
      </c>
      <c r="I117" s="204"/>
      <c r="J117" s="204"/>
      <c r="K117" s="204"/>
      <c r="L117" s="204"/>
    </row>
    <row r="118" spans="1:12" s="202" customFormat="1" ht="61.5" customHeight="1">
      <c r="A118" s="81" t="s">
        <v>41</v>
      </c>
      <c r="B118" s="54" t="s">
        <v>173</v>
      </c>
      <c r="C118" s="55" t="s">
        <v>1692</v>
      </c>
      <c r="D118" s="158" t="s">
        <v>54</v>
      </c>
      <c r="E118" s="70"/>
      <c r="F118" s="70">
        <v>1</v>
      </c>
      <c r="G118" s="70"/>
      <c r="H118" s="380">
        <f>SUM(H119:H123)</f>
        <v>0</v>
      </c>
      <c r="I118" s="204"/>
      <c r="J118" s="204"/>
      <c r="K118" s="204"/>
      <c r="L118" s="204"/>
    </row>
    <row r="119" spans="1:12" s="202" customFormat="1" ht="33.75" customHeight="1">
      <c r="A119" s="82"/>
      <c r="B119" s="48" t="s">
        <v>4</v>
      </c>
      <c r="C119" s="46" t="s">
        <v>136</v>
      </c>
      <c r="D119" s="46" t="s">
        <v>5</v>
      </c>
      <c r="E119" s="47">
        <v>2.44</v>
      </c>
      <c r="F119" s="52">
        <f>F118*E119</f>
        <v>2.44</v>
      </c>
      <c r="G119" s="47"/>
      <c r="H119" s="377">
        <f>F119*G119</f>
        <v>0</v>
      </c>
      <c r="I119" s="204"/>
      <c r="J119" s="204"/>
      <c r="K119" s="204"/>
      <c r="L119" s="204"/>
    </row>
    <row r="120" spans="1:12" s="202" customFormat="1" ht="33.75" customHeight="1">
      <c r="A120" s="82"/>
      <c r="B120" s="48" t="s">
        <v>4</v>
      </c>
      <c r="C120" s="46" t="s">
        <v>137</v>
      </c>
      <c r="D120" s="46" t="s">
        <v>16</v>
      </c>
      <c r="E120" s="47">
        <v>0.13</v>
      </c>
      <c r="F120" s="52">
        <f>F118*E120</f>
        <v>0.13</v>
      </c>
      <c r="G120" s="52"/>
      <c r="H120" s="52">
        <f>F120*G120</f>
        <v>0</v>
      </c>
      <c r="I120" s="204"/>
      <c r="J120" s="204"/>
      <c r="K120" s="204"/>
      <c r="L120" s="204"/>
    </row>
    <row r="121" spans="1:12" s="202" customFormat="1" ht="33.75" customHeight="1">
      <c r="A121" s="82"/>
      <c r="B121" s="168" t="s">
        <v>512</v>
      </c>
      <c r="C121" s="46" t="s">
        <v>273</v>
      </c>
      <c r="D121" s="49" t="s">
        <v>54</v>
      </c>
      <c r="E121" s="52">
        <v>1</v>
      </c>
      <c r="F121" s="52">
        <f>E121*F118</f>
        <v>1</v>
      </c>
      <c r="G121" s="52"/>
      <c r="H121" s="52">
        <f>F121*G121</f>
        <v>0</v>
      </c>
      <c r="I121" s="204"/>
      <c r="J121" s="204"/>
      <c r="K121" s="204"/>
      <c r="L121" s="204"/>
    </row>
    <row r="122" spans="1:12" s="202" customFormat="1" ht="31.5" customHeight="1">
      <c r="A122" s="82"/>
      <c r="B122" s="168" t="s">
        <v>1486</v>
      </c>
      <c r="C122" s="46" t="s">
        <v>235</v>
      </c>
      <c r="D122" s="49" t="s">
        <v>15</v>
      </c>
      <c r="E122" s="52">
        <v>0.55</v>
      </c>
      <c r="F122" s="52">
        <f>E122*F118</f>
        <v>0.55</v>
      </c>
      <c r="G122" s="52"/>
      <c r="H122" s="52">
        <f>F122*G122</f>
        <v>0</v>
      </c>
      <c r="I122" s="204"/>
      <c r="J122" s="204"/>
      <c r="K122" s="204"/>
      <c r="L122" s="204"/>
    </row>
    <row r="123" spans="1:12" s="202" customFormat="1" ht="33.75" customHeight="1">
      <c r="A123" s="82"/>
      <c r="B123" s="110" t="s">
        <v>4</v>
      </c>
      <c r="C123" s="46" t="s">
        <v>72</v>
      </c>
      <c r="D123" s="46" t="s">
        <v>16</v>
      </c>
      <c r="E123" s="52">
        <v>0.94</v>
      </c>
      <c r="F123" s="52">
        <f>F118*E123</f>
        <v>0.94</v>
      </c>
      <c r="G123" s="52"/>
      <c r="H123" s="52">
        <f>F123*G123</f>
        <v>0</v>
      </c>
      <c r="I123" s="204"/>
      <c r="J123" s="204"/>
      <c r="K123" s="204"/>
      <c r="L123" s="204"/>
    </row>
    <row r="124" spans="1:12" s="202" customFormat="1" ht="48" customHeight="1">
      <c r="A124" s="81" t="s">
        <v>44</v>
      </c>
      <c r="B124" s="54" t="s">
        <v>510</v>
      </c>
      <c r="C124" s="55" t="s">
        <v>511</v>
      </c>
      <c r="D124" s="158" t="s">
        <v>54</v>
      </c>
      <c r="E124" s="70"/>
      <c r="F124" s="70">
        <v>1</v>
      </c>
      <c r="G124" s="70"/>
      <c r="H124" s="380">
        <f>SUM(H125:H128)</f>
        <v>0</v>
      </c>
      <c r="I124" s="204"/>
      <c r="J124" s="204"/>
      <c r="K124" s="204"/>
      <c r="L124" s="204"/>
    </row>
    <row r="125" spans="1:12" s="202" customFormat="1" ht="33.75" customHeight="1">
      <c r="A125" s="82"/>
      <c r="B125" s="48" t="s">
        <v>4</v>
      </c>
      <c r="C125" s="46" t="s">
        <v>136</v>
      </c>
      <c r="D125" s="46" t="s">
        <v>5</v>
      </c>
      <c r="E125" s="47">
        <v>2.47</v>
      </c>
      <c r="F125" s="52">
        <f>F124*E125</f>
        <v>2.47</v>
      </c>
      <c r="G125" s="47"/>
      <c r="H125" s="377">
        <f>F125*G125</f>
        <v>0</v>
      </c>
      <c r="I125" s="204"/>
      <c r="J125" s="204"/>
      <c r="K125" s="204"/>
      <c r="L125" s="204"/>
    </row>
    <row r="126" spans="1:12" s="202" customFormat="1" ht="32.25" customHeight="1">
      <c r="A126" s="82"/>
      <c r="B126" s="48" t="s">
        <v>4</v>
      </c>
      <c r="C126" s="46" t="s">
        <v>137</v>
      </c>
      <c r="D126" s="46" t="s">
        <v>16</v>
      </c>
      <c r="E126" s="47">
        <v>0.02</v>
      </c>
      <c r="F126" s="52">
        <f>F124*E126</f>
        <v>0.02</v>
      </c>
      <c r="G126" s="52"/>
      <c r="H126" s="52">
        <f>F126*G126</f>
        <v>0</v>
      </c>
      <c r="I126" s="204"/>
      <c r="J126" s="204"/>
      <c r="K126" s="204"/>
      <c r="L126" s="204"/>
    </row>
    <row r="127" spans="1:12" s="202" customFormat="1" ht="33.75" customHeight="1">
      <c r="A127" s="82"/>
      <c r="B127" s="168" t="s">
        <v>1487</v>
      </c>
      <c r="C127" s="46" t="s">
        <v>513</v>
      </c>
      <c r="D127" s="49" t="s">
        <v>54</v>
      </c>
      <c r="E127" s="52">
        <v>1</v>
      </c>
      <c r="F127" s="52">
        <f>F124*E127</f>
        <v>1</v>
      </c>
      <c r="G127" s="52"/>
      <c r="H127" s="52">
        <f>F127*G127</f>
        <v>0</v>
      </c>
      <c r="I127" s="204"/>
      <c r="J127" s="204"/>
      <c r="K127" s="204"/>
      <c r="L127" s="204"/>
    </row>
    <row r="128" spans="1:12" s="202" customFormat="1" ht="33.75" customHeight="1">
      <c r="A128" s="82"/>
      <c r="B128" s="110" t="s">
        <v>4</v>
      </c>
      <c r="C128" s="46" t="s">
        <v>18</v>
      </c>
      <c r="D128" s="46" t="s">
        <v>16</v>
      </c>
      <c r="E128" s="52">
        <v>0.26</v>
      </c>
      <c r="F128" s="52">
        <f>F124*E128</f>
        <v>0.26</v>
      </c>
      <c r="G128" s="52"/>
      <c r="H128" s="52">
        <f>F128*G128</f>
        <v>0</v>
      </c>
      <c r="I128" s="204"/>
      <c r="J128" s="204"/>
      <c r="K128" s="204"/>
      <c r="L128" s="204"/>
    </row>
    <row r="129" spans="1:12" s="202" customFormat="1" ht="45" customHeight="1">
      <c r="A129" s="81" t="s">
        <v>45</v>
      </c>
      <c r="B129" s="54" t="s">
        <v>173</v>
      </c>
      <c r="C129" s="55" t="s">
        <v>1690</v>
      </c>
      <c r="D129" s="158" t="s">
        <v>54</v>
      </c>
      <c r="E129" s="70"/>
      <c r="F129" s="70">
        <v>10</v>
      </c>
      <c r="G129" s="70"/>
      <c r="H129" s="380">
        <f>SUM(H130:H134)</f>
        <v>0</v>
      </c>
      <c r="I129" s="204"/>
      <c r="J129" s="204"/>
      <c r="K129" s="204"/>
      <c r="L129" s="204"/>
    </row>
    <row r="130" spans="1:12" s="202" customFormat="1" ht="33.75" customHeight="1">
      <c r="A130" s="82"/>
      <c r="B130" s="48" t="s">
        <v>4</v>
      </c>
      <c r="C130" s="46" t="s">
        <v>136</v>
      </c>
      <c r="D130" s="46" t="s">
        <v>5</v>
      </c>
      <c r="E130" s="47">
        <v>2.44</v>
      </c>
      <c r="F130" s="52">
        <f>F129*E130</f>
        <v>24.4</v>
      </c>
      <c r="G130" s="47"/>
      <c r="H130" s="377">
        <f>F130*G130</f>
        <v>0</v>
      </c>
      <c r="I130" s="204"/>
      <c r="J130" s="204"/>
      <c r="K130" s="204"/>
      <c r="L130" s="204"/>
    </row>
    <row r="131" spans="1:12" s="202" customFormat="1" ht="33.75" customHeight="1">
      <c r="A131" s="82"/>
      <c r="B131" s="48" t="s">
        <v>4</v>
      </c>
      <c r="C131" s="46" t="s">
        <v>137</v>
      </c>
      <c r="D131" s="46" t="s">
        <v>16</v>
      </c>
      <c r="E131" s="47">
        <v>0.13</v>
      </c>
      <c r="F131" s="52">
        <f>F129*E131</f>
        <v>1.3</v>
      </c>
      <c r="G131" s="52"/>
      <c r="H131" s="52">
        <f>F131*G131</f>
        <v>0</v>
      </c>
      <c r="I131" s="204"/>
      <c r="J131" s="204"/>
      <c r="K131" s="204"/>
      <c r="L131" s="204"/>
    </row>
    <row r="132" spans="1:12" s="202" customFormat="1" ht="33.75" customHeight="1">
      <c r="A132" s="82"/>
      <c r="B132" s="168" t="s">
        <v>1030</v>
      </c>
      <c r="C132" s="46" t="s">
        <v>633</v>
      </c>
      <c r="D132" s="49" t="s">
        <v>54</v>
      </c>
      <c r="E132" s="52">
        <v>1</v>
      </c>
      <c r="F132" s="52">
        <f>E132*F129</f>
        <v>10</v>
      </c>
      <c r="G132" s="52"/>
      <c r="H132" s="52">
        <f>F132*G132</f>
        <v>0</v>
      </c>
      <c r="I132" s="204"/>
      <c r="J132" s="204"/>
      <c r="K132" s="204"/>
      <c r="L132" s="204"/>
    </row>
    <row r="133" spans="1:12" s="202" customFormat="1" ht="33.75" customHeight="1">
      <c r="A133" s="82"/>
      <c r="B133" s="168" t="s">
        <v>509</v>
      </c>
      <c r="C133" s="46" t="s">
        <v>235</v>
      </c>
      <c r="D133" s="49" t="s">
        <v>15</v>
      </c>
      <c r="E133" s="52">
        <v>0.55</v>
      </c>
      <c r="F133" s="52">
        <f>E133*F129</f>
        <v>5.5</v>
      </c>
      <c r="G133" s="52"/>
      <c r="H133" s="52">
        <f>F133*G133</f>
        <v>0</v>
      </c>
      <c r="I133" s="204"/>
      <c r="J133" s="204"/>
      <c r="K133" s="204"/>
      <c r="L133" s="204"/>
    </row>
    <row r="134" spans="1:12" s="202" customFormat="1" ht="33.75" customHeight="1">
      <c r="A134" s="82"/>
      <c r="B134" s="110" t="s">
        <v>4</v>
      </c>
      <c r="C134" s="46" t="s">
        <v>72</v>
      </c>
      <c r="D134" s="46" t="s">
        <v>16</v>
      </c>
      <c r="E134" s="52">
        <v>0.94</v>
      </c>
      <c r="F134" s="52">
        <f>F129*E134</f>
        <v>9.399999999999999</v>
      </c>
      <c r="G134" s="52"/>
      <c r="H134" s="52">
        <f>F134*G134</f>
        <v>0</v>
      </c>
      <c r="I134" s="204"/>
      <c r="J134" s="204"/>
      <c r="K134" s="204"/>
      <c r="L134" s="204"/>
    </row>
    <row r="135" spans="1:12" s="202" customFormat="1" ht="49.5" customHeight="1">
      <c r="A135" s="81" t="s">
        <v>71</v>
      </c>
      <c r="B135" s="54" t="s">
        <v>171</v>
      </c>
      <c r="C135" s="55" t="s">
        <v>217</v>
      </c>
      <c r="D135" s="158" t="s">
        <v>54</v>
      </c>
      <c r="E135" s="70"/>
      <c r="F135" s="70">
        <v>27</v>
      </c>
      <c r="G135" s="70"/>
      <c r="H135" s="380">
        <f>SUM(H136:H139)</f>
        <v>0</v>
      </c>
      <c r="I135" s="204"/>
      <c r="J135" s="204"/>
      <c r="K135" s="204"/>
      <c r="L135" s="204"/>
    </row>
    <row r="136" spans="1:12" s="202" customFormat="1" ht="33.75" customHeight="1">
      <c r="A136" s="82"/>
      <c r="B136" s="48" t="s">
        <v>4</v>
      </c>
      <c r="C136" s="46" t="s">
        <v>136</v>
      </c>
      <c r="D136" s="46" t="s">
        <v>5</v>
      </c>
      <c r="E136" s="47">
        <v>1.56</v>
      </c>
      <c r="F136" s="52">
        <f>F135*E136</f>
        <v>42.120000000000005</v>
      </c>
      <c r="G136" s="47"/>
      <c r="H136" s="377">
        <f>F136*G136</f>
        <v>0</v>
      </c>
      <c r="I136" s="204"/>
      <c r="J136" s="204"/>
      <c r="K136" s="204"/>
      <c r="L136" s="204"/>
    </row>
    <row r="137" spans="1:12" s="202" customFormat="1" ht="33.75" customHeight="1">
      <c r="A137" s="82"/>
      <c r="B137" s="48" t="s">
        <v>4</v>
      </c>
      <c r="C137" s="46" t="s">
        <v>137</v>
      </c>
      <c r="D137" s="46" t="s">
        <v>16</v>
      </c>
      <c r="E137" s="47">
        <v>0.06</v>
      </c>
      <c r="F137" s="52">
        <f>F135*E137</f>
        <v>1.6199999999999999</v>
      </c>
      <c r="G137" s="52"/>
      <c r="H137" s="52">
        <f>F137*G137</f>
        <v>0</v>
      </c>
      <c r="I137" s="204"/>
      <c r="J137" s="204"/>
      <c r="K137" s="204"/>
      <c r="L137" s="204"/>
    </row>
    <row r="138" spans="1:12" s="202" customFormat="1" ht="33.75" customHeight="1">
      <c r="A138" s="82"/>
      <c r="B138" s="168" t="s">
        <v>574</v>
      </c>
      <c r="C138" s="46" t="s">
        <v>172</v>
      </c>
      <c r="D138" s="49" t="s">
        <v>54</v>
      </c>
      <c r="E138" s="52">
        <v>1</v>
      </c>
      <c r="F138" s="52">
        <f>F135*E138</f>
        <v>27</v>
      </c>
      <c r="G138" s="52"/>
      <c r="H138" s="52">
        <f>F138*G138</f>
        <v>0</v>
      </c>
      <c r="I138" s="204"/>
      <c r="J138" s="204"/>
      <c r="K138" s="204"/>
      <c r="L138" s="204"/>
    </row>
    <row r="139" spans="1:12" s="202" customFormat="1" ht="33.75" customHeight="1">
      <c r="A139" s="82"/>
      <c r="B139" s="110" t="s">
        <v>4</v>
      </c>
      <c r="C139" s="46" t="s">
        <v>18</v>
      </c>
      <c r="D139" s="46" t="s">
        <v>16</v>
      </c>
      <c r="E139" s="52">
        <v>0.29</v>
      </c>
      <c r="F139" s="52">
        <f>F135*E139</f>
        <v>7.829999999999999</v>
      </c>
      <c r="G139" s="52"/>
      <c r="H139" s="52">
        <f>F139*G139</f>
        <v>0</v>
      </c>
      <c r="I139" s="204"/>
      <c r="J139" s="204"/>
      <c r="K139" s="204"/>
      <c r="L139" s="204"/>
    </row>
    <row r="140" spans="1:12" s="202" customFormat="1" ht="53.25" customHeight="1">
      <c r="A140" s="81" t="s">
        <v>66</v>
      </c>
      <c r="B140" s="54" t="s">
        <v>486</v>
      </c>
      <c r="C140" s="375" t="s">
        <v>1691</v>
      </c>
      <c r="D140" s="158" t="s">
        <v>54</v>
      </c>
      <c r="E140" s="70"/>
      <c r="F140" s="70">
        <v>16</v>
      </c>
      <c r="G140" s="70"/>
      <c r="H140" s="380">
        <f>SUM(H141:H145)</f>
        <v>0</v>
      </c>
      <c r="I140" s="204"/>
      <c r="J140" s="204"/>
      <c r="K140" s="204"/>
      <c r="L140" s="204"/>
    </row>
    <row r="141" spans="1:12" s="202" customFormat="1" ht="33.75" customHeight="1">
      <c r="A141" s="82"/>
      <c r="B141" s="48" t="s">
        <v>4</v>
      </c>
      <c r="C141" s="46" t="s">
        <v>136</v>
      </c>
      <c r="D141" s="46" t="s">
        <v>5</v>
      </c>
      <c r="E141" s="47">
        <v>3.66</v>
      </c>
      <c r="F141" s="52">
        <f>F140*E141</f>
        <v>58.56</v>
      </c>
      <c r="G141" s="47"/>
      <c r="H141" s="377">
        <f>F141*G141</f>
        <v>0</v>
      </c>
      <c r="I141" s="204"/>
      <c r="J141" s="204"/>
      <c r="K141" s="204"/>
      <c r="L141" s="204"/>
    </row>
    <row r="142" spans="1:12" s="202" customFormat="1" ht="33.75" customHeight="1">
      <c r="A142" s="82"/>
      <c r="B142" s="48" t="s">
        <v>4</v>
      </c>
      <c r="C142" s="46" t="s">
        <v>137</v>
      </c>
      <c r="D142" s="46" t="s">
        <v>16</v>
      </c>
      <c r="E142" s="47">
        <v>0.28</v>
      </c>
      <c r="F142" s="52">
        <f>F140*E142</f>
        <v>4.48</v>
      </c>
      <c r="G142" s="52"/>
      <c r="H142" s="52">
        <f>F142*G142</f>
        <v>0</v>
      </c>
      <c r="I142" s="204"/>
      <c r="J142" s="204"/>
      <c r="K142" s="204"/>
      <c r="L142" s="204"/>
    </row>
    <row r="143" spans="1:12" s="202" customFormat="1" ht="33.75" customHeight="1">
      <c r="A143" s="82"/>
      <c r="B143" s="168" t="s">
        <v>1489</v>
      </c>
      <c r="C143" s="46" t="s">
        <v>1490</v>
      </c>
      <c r="D143" s="49" t="s">
        <v>15</v>
      </c>
      <c r="E143" s="52">
        <v>1</v>
      </c>
      <c r="F143" s="52">
        <f>E143*F140</f>
        <v>16</v>
      </c>
      <c r="G143" s="52"/>
      <c r="H143" s="52">
        <f>F143*G143</f>
        <v>0</v>
      </c>
      <c r="I143" s="204"/>
      <c r="J143" s="204"/>
      <c r="K143" s="204"/>
      <c r="L143" s="204"/>
    </row>
    <row r="144" spans="1:12" s="202" customFormat="1" ht="33.75" customHeight="1">
      <c r="A144" s="82"/>
      <c r="B144" s="168" t="s">
        <v>1492</v>
      </c>
      <c r="C144" s="46" t="s">
        <v>1491</v>
      </c>
      <c r="D144" s="49" t="s">
        <v>15</v>
      </c>
      <c r="E144" s="52">
        <v>1</v>
      </c>
      <c r="F144" s="52">
        <f>E144*F140</f>
        <v>16</v>
      </c>
      <c r="G144" s="52"/>
      <c r="H144" s="52">
        <f>F144*G144</f>
        <v>0</v>
      </c>
      <c r="I144" s="204"/>
      <c r="J144" s="204"/>
      <c r="K144" s="204"/>
      <c r="L144" s="204"/>
    </row>
    <row r="145" spans="1:12" s="202" customFormat="1" ht="33.75" customHeight="1">
      <c r="A145" s="82"/>
      <c r="B145" s="110" t="s">
        <v>4</v>
      </c>
      <c r="C145" s="46" t="s">
        <v>72</v>
      </c>
      <c r="D145" s="46" t="s">
        <v>16</v>
      </c>
      <c r="E145" s="52">
        <v>1.24</v>
      </c>
      <c r="F145" s="52">
        <f>F140*E145</f>
        <v>19.84</v>
      </c>
      <c r="G145" s="52"/>
      <c r="H145" s="52">
        <f>F145*G145</f>
        <v>0</v>
      </c>
      <c r="I145" s="204"/>
      <c r="J145" s="204"/>
      <c r="K145" s="204"/>
      <c r="L145" s="204"/>
    </row>
    <row r="146" spans="1:12" s="202" customFormat="1" ht="76.5" customHeight="1">
      <c r="A146" s="81" t="s">
        <v>67</v>
      </c>
      <c r="B146" s="378" t="s">
        <v>1008</v>
      </c>
      <c r="C146" s="375" t="s">
        <v>1653</v>
      </c>
      <c r="D146" s="158" t="s">
        <v>54</v>
      </c>
      <c r="E146" s="70"/>
      <c r="F146" s="70">
        <v>4</v>
      </c>
      <c r="G146" s="70"/>
      <c r="H146" s="380">
        <f>SUM(H147:H150)</f>
        <v>0</v>
      </c>
      <c r="I146" s="203"/>
      <c r="J146" s="204"/>
      <c r="K146" s="204"/>
      <c r="L146" s="204"/>
    </row>
    <row r="147" spans="1:12" s="202" customFormat="1" ht="27" customHeight="1">
      <c r="A147" s="82"/>
      <c r="B147" s="48" t="s">
        <v>4</v>
      </c>
      <c r="C147" s="46" t="s">
        <v>136</v>
      </c>
      <c r="D147" s="46" t="s">
        <v>5</v>
      </c>
      <c r="E147" s="47">
        <v>2.58</v>
      </c>
      <c r="F147" s="52">
        <f>F146*E147</f>
        <v>10.32</v>
      </c>
      <c r="G147" s="47"/>
      <c r="H147" s="377">
        <f>F147*G147</f>
        <v>0</v>
      </c>
      <c r="I147" s="203"/>
      <c r="J147" s="204"/>
      <c r="K147" s="204"/>
      <c r="L147" s="204"/>
    </row>
    <row r="148" spans="1:12" s="202" customFormat="1" ht="27" customHeight="1">
      <c r="A148" s="82"/>
      <c r="B148" s="48" t="s">
        <v>4</v>
      </c>
      <c r="C148" s="46" t="s">
        <v>137</v>
      </c>
      <c r="D148" s="46" t="s">
        <v>16</v>
      </c>
      <c r="E148" s="47">
        <v>0.17</v>
      </c>
      <c r="F148" s="52">
        <f>F146*E148</f>
        <v>0.68</v>
      </c>
      <c r="G148" s="52"/>
      <c r="H148" s="377">
        <f>F148*G148</f>
        <v>0</v>
      </c>
      <c r="I148" s="203"/>
      <c r="J148" s="204"/>
      <c r="K148" s="204"/>
      <c r="L148" s="204"/>
    </row>
    <row r="149" spans="1:12" s="202" customFormat="1" ht="33" customHeight="1">
      <c r="A149" s="82"/>
      <c r="B149" s="316" t="s">
        <v>1455</v>
      </c>
      <c r="C149" s="46" t="s">
        <v>1654</v>
      </c>
      <c r="D149" s="49" t="s">
        <v>54</v>
      </c>
      <c r="E149" s="52">
        <v>1</v>
      </c>
      <c r="F149" s="52">
        <f>E149*F146</f>
        <v>4</v>
      </c>
      <c r="G149" s="52"/>
      <c r="H149" s="377">
        <f>F149*G149</f>
        <v>0</v>
      </c>
      <c r="I149" s="203"/>
      <c r="J149" s="204"/>
      <c r="K149" s="204"/>
      <c r="L149" s="204"/>
    </row>
    <row r="150" spans="1:12" s="202" customFormat="1" ht="30.75" customHeight="1">
      <c r="A150" s="82"/>
      <c r="B150" s="110" t="s">
        <v>4</v>
      </c>
      <c r="C150" s="46" t="s">
        <v>72</v>
      </c>
      <c r="D150" s="46" t="s">
        <v>16</v>
      </c>
      <c r="E150" s="52">
        <v>0.23</v>
      </c>
      <c r="F150" s="52">
        <f>F146*E150</f>
        <v>0.92</v>
      </c>
      <c r="G150" s="52"/>
      <c r="H150" s="377">
        <f>F150*G150</f>
        <v>0</v>
      </c>
      <c r="I150" s="203"/>
      <c r="J150" s="204"/>
      <c r="K150" s="204"/>
      <c r="L150" s="204"/>
    </row>
    <row r="151" spans="1:8" ht="30.75" customHeight="1">
      <c r="A151" s="497"/>
      <c r="B151" s="497"/>
      <c r="C151" s="148" t="s">
        <v>177</v>
      </c>
      <c r="D151" s="375" t="s">
        <v>16</v>
      </c>
      <c r="E151" s="375"/>
      <c r="F151" s="375"/>
      <c r="G151" s="375"/>
      <c r="H151" s="226">
        <f>H94+H106+H112+H118+H124+H135+H146+H129+H140+H100</f>
        <v>0</v>
      </c>
    </row>
    <row r="152" spans="1:8" ht="31.5" customHeight="1">
      <c r="A152" s="497"/>
      <c r="B152" s="497"/>
      <c r="C152" s="148" t="s">
        <v>254</v>
      </c>
      <c r="D152" s="375" t="s">
        <v>16</v>
      </c>
      <c r="E152" s="375"/>
      <c r="F152" s="375"/>
      <c r="G152" s="375"/>
      <c r="H152" s="226">
        <f>H147+H136+H125+H119+H113+H107+H95+H130+H141+H101</f>
        <v>0</v>
      </c>
    </row>
    <row r="153" spans="1:12" ht="37.5" customHeight="1">
      <c r="A153" s="497"/>
      <c r="B153" s="376"/>
      <c r="C153" s="375" t="s">
        <v>274</v>
      </c>
      <c r="D153" s="375" t="s">
        <v>16</v>
      </c>
      <c r="E153" s="496"/>
      <c r="F153" s="496"/>
      <c r="G153" s="496"/>
      <c r="H153" s="226">
        <f>H91+H151</f>
        <v>0</v>
      </c>
      <c r="L153" s="258"/>
    </row>
    <row r="154" spans="1:8" ht="32.25" customHeight="1">
      <c r="A154" s="497"/>
      <c r="B154" s="497"/>
      <c r="C154" s="496" t="s">
        <v>3</v>
      </c>
      <c r="D154" s="147" t="s">
        <v>16</v>
      </c>
      <c r="E154" s="496"/>
      <c r="F154" s="142">
        <v>0.12</v>
      </c>
      <c r="G154" s="496"/>
      <c r="H154" s="222">
        <f>H153*F154</f>
        <v>0</v>
      </c>
    </row>
    <row r="155" spans="1:8" ht="30.75" customHeight="1">
      <c r="A155" s="376"/>
      <c r="B155" s="376"/>
      <c r="C155" s="375" t="s">
        <v>131</v>
      </c>
      <c r="D155" s="375" t="s">
        <v>16</v>
      </c>
      <c r="E155" s="375"/>
      <c r="F155" s="375"/>
      <c r="G155" s="375"/>
      <c r="H155" s="226">
        <f>H153+H154</f>
        <v>0</v>
      </c>
    </row>
    <row r="156" spans="1:8" ht="33.75" customHeight="1">
      <c r="A156" s="497"/>
      <c r="B156" s="497"/>
      <c r="C156" s="496" t="s">
        <v>119</v>
      </c>
      <c r="D156" s="147" t="s">
        <v>16</v>
      </c>
      <c r="E156" s="496"/>
      <c r="F156" s="142">
        <v>0.08</v>
      </c>
      <c r="G156" s="496"/>
      <c r="H156" s="222">
        <f>H155*0.08</f>
        <v>0</v>
      </c>
    </row>
    <row r="157" spans="1:8" ht="47.25" customHeight="1">
      <c r="A157" s="71"/>
      <c r="B157" s="54"/>
      <c r="C157" s="619" t="s">
        <v>1650</v>
      </c>
      <c r="D157" s="55" t="s">
        <v>16</v>
      </c>
      <c r="E157" s="55"/>
      <c r="F157" s="162"/>
      <c r="G157" s="55"/>
      <c r="H157" s="160">
        <f>SUM(H155:H156)</f>
        <v>0</v>
      </c>
    </row>
    <row r="158" spans="1:8" ht="17.25" customHeight="1">
      <c r="A158" s="56"/>
      <c r="B158" s="57"/>
      <c r="C158" s="58"/>
      <c r="D158" s="59"/>
      <c r="E158" s="60"/>
      <c r="F158" s="60"/>
      <c r="G158" s="60"/>
      <c r="H158" s="61"/>
    </row>
    <row r="159" spans="1:8" ht="15.75">
      <c r="A159" s="56"/>
      <c r="B159" s="57"/>
      <c r="C159" s="58"/>
      <c r="D159" s="59"/>
      <c r="E159" s="60"/>
      <c r="F159" s="60"/>
      <c r="G159" s="60"/>
      <c r="H159" s="61"/>
    </row>
    <row r="160" spans="1:8" ht="15.75">
      <c r="A160" s="62"/>
      <c r="B160" s="57"/>
      <c r="C160" s="63"/>
      <c r="D160" s="659"/>
      <c r="E160" s="659"/>
      <c r="F160" s="659"/>
      <c r="G160" s="123"/>
      <c r="H160" s="64"/>
    </row>
    <row r="161" spans="1:8" ht="15.75">
      <c r="A161" s="499"/>
      <c r="B161" s="143"/>
      <c r="C161" s="210"/>
      <c r="D161" s="210"/>
      <c r="E161" s="210"/>
      <c r="F161" s="210"/>
      <c r="G161" s="210"/>
      <c r="H161" s="144"/>
    </row>
    <row r="162" spans="1:8" ht="15.75">
      <c r="A162" s="499"/>
      <c r="B162" s="143"/>
      <c r="C162" s="210"/>
      <c r="D162" s="210"/>
      <c r="E162" s="210"/>
      <c r="F162" s="210"/>
      <c r="G162" s="210"/>
      <c r="H162" s="144"/>
    </row>
  </sheetData>
  <sheetProtection/>
  <autoFilter ref="A7:L157"/>
  <mergeCells count="11">
    <mergeCell ref="A1:H1"/>
    <mergeCell ref="A2:H2"/>
    <mergeCell ref="A4:H4"/>
    <mergeCell ref="A3:H3"/>
    <mergeCell ref="D5:D6"/>
    <mergeCell ref="E5:F5"/>
    <mergeCell ref="G5:H5"/>
    <mergeCell ref="D160:F160"/>
    <mergeCell ref="A5:A6"/>
    <mergeCell ref="B5:B6"/>
    <mergeCell ref="C5:C6"/>
  </mergeCells>
  <printOptions/>
  <pageMargins left="0.47"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xl/worksheets/sheet5.xml><?xml version="1.0" encoding="utf-8"?>
<worksheet xmlns="http://schemas.openxmlformats.org/spreadsheetml/2006/main" xmlns:r="http://schemas.openxmlformats.org/officeDocument/2006/relationships">
  <sheetPr>
    <tabColor rgb="FFFFFF00"/>
  </sheetPr>
  <dimension ref="A1:L129"/>
  <sheetViews>
    <sheetView zoomScalePageLayoutView="0" workbookViewId="0" topLeftCell="A1">
      <selection activeCell="G8" sqref="G8"/>
    </sheetView>
  </sheetViews>
  <sheetFormatPr defaultColWidth="9.140625" defaultRowHeight="12.75"/>
  <cols>
    <col min="1" max="1" width="4.140625" style="145" customWidth="1"/>
    <col min="2" max="2" width="14.57421875" style="146" customWidth="1"/>
    <col min="3" max="3" width="34.8515625" style="204" customWidth="1"/>
    <col min="4" max="4" width="8.421875" style="204" customWidth="1"/>
    <col min="5" max="5" width="7.7109375" style="204" customWidth="1"/>
    <col min="6" max="6" width="9.8515625" style="204" customWidth="1"/>
    <col min="7" max="7" width="8.00390625" style="204" customWidth="1"/>
    <col min="8" max="8" width="10.28125" style="258" customWidth="1"/>
    <col min="9" max="9" width="16.140625" style="203" hidden="1" customWidth="1"/>
    <col min="10" max="10" width="22.140625" style="204" hidden="1" customWidth="1"/>
    <col min="11" max="11" width="4.140625" style="204" customWidth="1"/>
    <col min="12" max="12" width="11.140625" style="204" customWidth="1"/>
    <col min="13" max="24" width="9.140625" style="204" customWidth="1"/>
    <col min="25" max="25" width="6.421875" style="204" customWidth="1"/>
    <col min="26" max="26" width="1.421875" style="204" customWidth="1"/>
    <col min="27" max="16384" width="9.140625" style="204" customWidth="1"/>
  </cols>
  <sheetData>
    <row r="1" spans="1:9" ht="28.5" customHeight="1">
      <c r="A1" s="662" t="str">
        <f>'ლ.რ № 1-2'!A1:H1</f>
        <v>qobuleTis municipalitetis sofel xucubanSi sajaro skolis Zveli korpusebis demontaJi da axali skolis Senobis mSenebloba</v>
      </c>
      <c r="B1" s="662"/>
      <c r="C1" s="662"/>
      <c r="D1" s="662"/>
      <c r="E1" s="662"/>
      <c r="F1" s="662"/>
      <c r="G1" s="662"/>
      <c r="H1" s="662"/>
      <c r="I1" s="204"/>
    </row>
    <row r="2" spans="1:9" ht="18" customHeight="1">
      <c r="A2" s="662" t="s">
        <v>307</v>
      </c>
      <c r="B2" s="662"/>
      <c r="C2" s="662"/>
      <c r="D2" s="662"/>
      <c r="E2" s="662"/>
      <c r="F2" s="662"/>
      <c r="G2" s="662"/>
      <c r="H2" s="662"/>
      <c r="I2" s="204"/>
    </row>
    <row r="3" spans="1:9" ht="5.25" customHeight="1">
      <c r="A3" s="662"/>
      <c r="B3" s="662"/>
      <c r="C3" s="662"/>
      <c r="D3" s="662"/>
      <c r="E3" s="662"/>
      <c r="F3" s="662"/>
      <c r="G3" s="662"/>
      <c r="H3" s="662"/>
      <c r="I3" s="138"/>
    </row>
    <row r="4" spans="1:9" ht="24.75" customHeight="1">
      <c r="A4" s="662" t="s">
        <v>180</v>
      </c>
      <c r="B4" s="662"/>
      <c r="C4" s="662"/>
      <c r="D4" s="662"/>
      <c r="E4" s="662"/>
      <c r="F4" s="662"/>
      <c r="G4" s="662"/>
      <c r="H4" s="662"/>
      <c r="I4" s="204"/>
    </row>
    <row r="5" spans="1:10" ht="33.75" customHeight="1">
      <c r="A5" s="671" t="s">
        <v>7</v>
      </c>
      <c r="B5" s="672" t="s">
        <v>8</v>
      </c>
      <c r="C5" s="673" t="s">
        <v>9</v>
      </c>
      <c r="D5" s="674" t="s">
        <v>6</v>
      </c>
      <c r="E5" s="670" t="s">
        <v>10</v>
      </c>
      <c r="F5" s="670"/>
      <c r="G5" s="670" t="s">
        <v>1</v>
      </c>
      <c r="H5" s="670"/>
      <c r="I5" s="74"/>
      <c r="J5" s="74"/>
    </row>
    <row r="6" spans="1:10" ht="58.5" customHeight="1">
      <c r="A6" s="671"/>
      <c r="B6" s="672"/>
      <c r="C6" s="673"/>
      <c r="D6" s="674"/>
      <c r="E6" s="139" t="s">
        <v>11</v>
      </c>
      <c r="F6" s="139" t="s">
        <v>12</v>
      </c>
      <c r="G6" s="139" t="s">
        <v>11</v>
      </c>
      <c r="H6" s="384" t="s">
        <v>12</v>
      </c>
      <c r="I6" s="140"/>
      <c r="J6" s="74"/>
    </row>
    <row r="7" spans="1:10" s="141" customFormat="1" ht="26.25" customHeight="1">
      <c r="A7" s="173" t="s">
        <v>13</v>
      </c>
      <c r="B7" s="173">
        <v>2</v>
      </c>
      <c r="C7" s="174">
        <v>3</v>
      </c>
      <c r="D7" s="174">
        <v>4</v>
      </c>
      <c r="E7" s="174">
        <v>5</v>
      </c>
      <c r="F7" s="174">
        <v>6</v>
      </c>
      <c r="G7" s="174">
        <v>7</v>
      </c>
      <c r="H7" s="175">
        <v>8</v>
      </c>
      <c r="I7" s="75"/>
      <c r="J7" s="65"/>
    </row>
    <row r="8" spans="1:12" s="141" customFormat="1" ht="57" customHeight="1">
      <c r="A8" s="81" t="s">
        <v>13</v>
      </c>
      <c r="B8" s="54" t="s">
        <v>269</v>
      </c>
      <c r="C8" s="55" t="s">
        <v>819</v>
      </c>
      <c r="D8" s="158" t="s">
        <v>266</v>
      </c>
      <c r="E8" s="55"/>
      <c r="F8" s="70">
        <v>152.43</v>
      </c>
      <c r="G8" s="55"/>
      <c r="H8" s="380">
        <f>SUM(H9:H23)</f>
        <v>0</v>
      </c>
      <c r="I8" s="7"/>
      <c r="J8" s="27"/>
      <c r="K8" s="24"/>
      <c r="L8" s="24"/>
    </row>
    <row r="9" spans="1:12" s="141" customFormat="1" ht="26.25" customHeight="1">
      <c r="A9" s="82"/>
      <c r="B9" s="48" t="s">
        <v>4</v>
      </c>
      <c r="C9" s="46" t="s">
        <v>136</v>
      </c>
      <c r="D9" s="46" t="s">
        <v>5</v>
      </c>
      <c r="E9" s="46">
        <v>0.442</v>
      </c>
      <c r="F9" s="52">
        <f>F8*E9</f>
        <v>67.37406</v>
      </c>
      <c r="G9" s="47"/>
      <c r="H9" s="377">
        <f aca="true" t="shared" si="0" ref="H9:H23">F9*G9</f>
        <v>0</v>
      </c>
      <c r="I9" s="7"/>
      <c r="J9" s="27"/>
      <c r="K9" s="24"/>
      <c r="L9" s="24"/>
    </row>
    <row r="10" spans="1:12" s="141" customFormat="1" ht="26.25" customHeight="1">
      <c r="A10" s="82"/>
      <c r="B10" s="48" t="s">
        <v>4</v>
      </c>
      <c r="C10" s="46" t="s">
        <v>137</v>
      </c>
      <c r="D10" s="46" t="s">
        <v>16</v>
      </c>
      <c r="E10" s="157">
        <v>0.0276</v>
      </c>
      <c r="F10" s="52">
        <f>F8*E10</f>
        <v>4.2070680000000005</v>
      </c>
      <c r="G10" s="52"/>
      <c r="H10" s="52">
        <f t="shared" si="0"/>
        <v>0</v>
      </c>
      <c r="I10" s="7"/>
      <c r="J10" s="27"/>
      <c r="K10" s="24"/>
      <c r="L10" s="24"/>
    </row>
    <row r="11" spans="1:12" s="141" customFormat="1" ht="29.25" customHeight="1">
      <c r="A11" s="82"/>
      <c r="B11" s="224" t="s">
        <v>1200</v>
      </c>
      <c r="C11" s="496" t="s">
        <v>1289</v>
      </c>
      <c r="D11" s="496" t="s">
        <v>15</v>
      </c>
      <c r="E11" s="457" t="s">
        <v>267</v>
      </c>
      <c r="F11" s="377">
        <v>1</v>
      </c>
      <c r="G11" s="377"/>
      <c r="H11" s="52">
        <f>F11*G11</f>
        <v>0</v>
      </c>
      <c r="I11" s="7"/>
      <c r="J11" s="27"/>
      <c r="K11" s="24"/>
      <c r="L11" s="315"/>
    </row>
    <row r="12" spans="1:12" s="141" customFormat="1" ht="29.25" customHeight="1">
      <c r="A12" s="82"/>
      <c r="B12" s="224" t="s">
        <v>268</v>
      </c>
      <c r="C12" s="46" t="s">
        <v>1290</v>
      </c>
      <c r="D12" s="46" t="s">
        <v>15</v>
      </c>
      <c r="E12" s="458" t="s">
        <v>267</v>
      </c>
      <c r="F12" s="52">
        <v>16</v>
      </c>
      <c r="G12" s="377"/>
      <c r="H12" s="52">
        <f t="shared" si="0"/>
        <v>0</v>
      </c>
      <c r="I12" s="7"/>
      <c r="J12" s="27"/>
      <c r="K12" s="24"/>
      <c r="L12" s="315"/>
    </row>
    <row r="13" spans="1:12" s="141" customFormat="1" ht="30" customHeight="1">
      <c r="A13" s="82"/>
      <c r="B13" s="224" t="s">
        <v>268</v>
      </c>
      <c r="C13" s="496" t="s">
        <v>1291</v>
      </c>
      <c r="D13" s="496" t="s">
        <v>15</v>
      </c>
      <c r="E13" s="457" t="s">
        <v>267</v>
      </c>
      <c r="F13" s="377">
        <v>3</v>
      </c>
      <c r="G13" s="377"/>
      <c r="H13" s="52">
        <f t="shared" si="0"/>
        <v>0</v>
      </c>
      <c r="I13" s="7"/>
      <c r="J13" s="27"/>
      <c r="K13" s="24"/>
      <c r="L13" s="315"/>
    </row>
    <row r="14" spans="1:12" s="141" customFormat="1" ht="33.75" customHeight="1">
      <c r="A14" s="82"/>
      <c r="B14" s="224" t="s">
        <v>268</v>
      </c>
      <c r="C14" s="496" t="s">
        <v>1292</v>
      </c>
      <c r="D14" s="496" t="s">
        <v>15</v>
      </c>
      <c r="E14" s="457" t="s">
        <v>267</v>
      </c>
      <c r="F14" s="377">
        <v>32</v>
      </c>
      <c r="G14" s="377"/>
      <c r="H14" s="52">
        <f>F14*G14</f>
        <v>0</v>
      </c>
      <c r="I14" s="7"/>
      <c r="J14" s="27"/>
      <c r="K14" s="24"/>
      <c r="L14" s="315"/>
    </row>
    <row r="15" spans="1:12" s="141" customFormat="1" ht="34.5" customHeight="1">
      <c r="A15" s="497"/>
      <c r="B15" s="224" t="s">
        <v>1203</v>
      </c>
      <c r="C15" s="496" t="s">
        <v>1293</v>
      </c>
      <c r="D15" s="496" t="s">
        <v>15</v>
      </c>
      <c r="E15" s="457" t="s">
        <v>267</v>
      </c>
      <c r="F15" s="377">
        <v>7</v>
      </c>
      <c r="G15" s="377"/>
      <c r="H15" s="377">
        <f>F15*G15</f>
        <v>0</v>
      </c>
      <c r="I15" s="7"/>
      <c r="J15" s="27"/>
      <c r="K15" s="24"/>
      <c r="L15" s="315"/>
    </row>
    <row r="16" spans="1:12" s="141" customFormat="1" ht="30.75" customHeight="1">
      <c r="A16" s="497"/>
      <c r="B16" s="224" t="s">
        <v>632</v>
      </c>
      <c r="C16" s="496" t="s">
        <v>1294</v>
      </c>
      <c r="D16" s="496" t="s">
        <v>15</v>
      </c>
      <c r="E16" s="457" t="s">
        <v>267</v>
      </c>
      <c r="F16" s="377">
        <v>7</v>
      </c>
      <c r="G16" s="377"/>
      <c r="H16" s="377">
        <f t="shared" si="0"/>
        <v>0</v>
      </c>
      <c r="I16" s="7"/>
      <c r="J16" s="27"/>
      <c r="K16" s="24"/>
      <c r="L16" s="315"/>
    </row>
    <row r="17" spans="1:12" s="141" customFormat="1" ht="30.75" customHeight="1">
      <c r="A17" s="497"/>
      <c r="B17" s="224" t="s">
        <v>632</v>
      </c>
      <c r="C17" s="496" t="s">
        <v>1295</v>
      </c>
      <c r="D17" s="496" t="s">
        <v>15</v>
      </c>
      <c r="E17" s="457" t="s">
        <v>267</v>
      </c>
      <c r="F17" s="377">
        <v>16</v>
      </c>
      <c r="G17" s="377"/>
      <c r="H17" s="377">
        <f t="shared" si="0"/>
        <v>0</v>
      </c>
      <c r="I17" s="7"/>
      <c r="J17" s="27"/>
      <c r="K17" s="24"/>
      <c r="L17" s="315"/>
    </row>
    <row r="18" spans="1:12" s="141" customFormat="1" ht="30.75" customHeight="1">
      <c r="A18" s="497"/>
      <c r="B18" s="224" t="s">
        <v>632</v>
      </c>
      <c r="C18" s="496" t="s">
        <v>1296</v>
      </c>
      <c r="D18" s="496" t="s">
        <v>15</v>
      </c>
      <c r="E18" s="457" t="s">
        <v>267</v>
      </c>
      <c r="F18" s="377">
        <v>14</v>
      </c>
      <c r="G18" s="377"/>
      <c r="H18" s="377">
        <f t="shared" si="0"/>
        <v>0</v>
      </c>
      <c r="I18" s="7"/>
      <c r="J18" s="27"/>
      <c r="K18" s="24"/>
      <c r="L18" s="315"/>
    </row>
    <row r="19" spans="1:12" s="141" customFormat="1" ht="30.75" customHeight="1">
      <c r="A19" s="497"/>
      <c r="B19" s="224" t="s">
        <v>1493</v>
      </c>
      <c r="C19" s="496" t="s">
        <v>1297</v>
      </c>
      <c r="D19" s="496" t="s">
        <v>15</v>
      </c>
      <c r="E19" s="457" t="s">
        <v>267</v>
      </c>
      <c r="F19" s="377">
        <v>2</v>
      </c>
      <c r="G19" s="377"/>
      <c r="H19" s="377">
        <f>F19*G19</f>
        <v>0</v>
      </c>
      <c r="I19" s="7"/>
      <c r="J19" s="27"/>
      <c r="K19" s="24"/>
      <c r="L19" s="315"/>
    </row>
    <row r="20" spans="1:12" s="141" customFormat="1" ht="33" customHeight="1">
      <c r="A20" s="497"/>
      <c r="B20" s="224" t="s">
        <v>1202</v>
      </c>
      <c r="C20" s="496" t="s">
        <v>1298</v>
      </c>
      <c r="D20" s="496" t="s">
        <v>15</v>
      </c>
      <c r="E20" s="457" t="s">
        <v>267</v>
      </c>
      <c r="F20" s="377">
        <v>1</v>
      </c>
      <c r="G20" s="377"/>
      <c r="H20" s="377">
        <f t="shared" si="0"/>
        <v>0</v>
      </c>
      <c r="I20" s="7"/>
      <c r="J20" s="27"/>
      <c r="K20" s="24"/>
      <c r="L20" s="315"/>
    </row>
    <row r="21" spans="1:12" s="141" customFormat="1" ht="33" customHeight="1">
      <c r="A21" s="497"/>
      <c r="B21" s="224" t="s">
        <v>1201</v>
      </c>
      <c r="C21" s="496" t="s">
        <v>1299</v>
      </c>
      <c r="D21" s="496" t="s">
        <v>15</v>
      </c>
      <c r="E21" s="457" t="s">
        <v>267</v>
      </c>
      <c r="F21" s="377">
        <v>1</v>
      </c>
      <c r="G21" s="377"/>
      <c r="H21" s="377">
        <f t="shared" si="0"/>
        <v>0</v>
      </c>
      <c r="I21" s="7"/>
      <c r="J21" s="27"/>
      <c r="K21" s="24"/>
      <c r="L21" s="315"/>
    </row>
    <row r="22" spans="1:12" s="141" customFormat="1" ht="26.25" customHeight="1">
      <c r="A22" s="497"/>
      <c r="B22" s="459" t="s">
        <v>1494</v>
      </c>
      <c r="C22" s="496" t="s">
        <v>1495</v>
      </c>
      <c r="D22" s="496" t="s">
        <v>80</v>
      </c>
      <c r="E22" s="457">
        <v>0.442</v>
      </c>
      <c r="F22" s="319">
        <f>E22*F8</f>
        <v>67.37406</v>
      </c>
      <c r="G22" s="373"/>
      <c r="H22" s="377">
        <f t="shared" si="0"/>
        <v>0</v>
      </c>
      <c r="I22" s="7"/>
      <c r="J22" s="27"/>
      <c r="K22" s="24"/>
      <c r="L22" s="197"/>
    </row>
    <row r="23" spans="1:12" s="141" customFormat="1" ht="27.75" customHeight="1">
      <c r="A23" s="82"/>
      <c r="B23" s="50" t="s">
        <v>4</v>
      </c>
      <c r="C23" s="46" t="s">
        <v>18</v>
      </c>
      <c r="D23" s="46" t="s">
        <v>16</v>
      </c>
      <c r="E23" s="49">
        <v>0.0654</v>
      </c>
      <c r="F23" s="52">
        <f>F8*E23</f>
        <v>9.968922000000001</v>
      </c>
      <c r="G23" s="52"/>
      <c r="H23" s="52">
        <f t="shared" si="0"/>
        <v>0</v>
      </c>
      <c r="I23" s="7"/>
      <c r="J23" s="27"/>
      <c r="K23" s="24"/>
      <c r="L23" s="24"/>
    </row>
    <row r="24" spans="1:10" s="141" customFormat="1" ht="94.5" customHeight="1">
      <c r="A24" s="81" t="s">
        <v>37</v>
      </c>
      <c r="B24" s="54" t="s">
        <v>164</v>
      </c>
      <c r="C24" s="55" t="s">
        <v>288</v>
      </c>
      <c r="D24" s="55" t="s">
        <v>22</v>
      </c>
      <c r="E24" s="55"/>
      <c r="F24" s="80">
        <v>116</v>
      </c>
      <c r="G24" s="55"/>
      <c r="H24" s="380">
        <f>SUM(H25:H32)</f>
        <v>0</v>
      </c>
      <c r="I24" s="75"/>
      <c r="J24" s="65"/>
    </row>
    <row r="25" spans="1:10" s="141" customFormat="1" ht="26.25" customHeight="1">
      <c r="A25" s="82"/>
      <c r="B25" s="82" t="s">
        <v>4</v>
      </c>
      <c r="C25" s="46" t="s">
        <v>148</v>
      </c>
      <c r="D25" s="46" t="s">
        <v>5</v>
      </c>
      <c r="E25" s="157">
        <v>1.43</v>
      </c>
      <c r="F25" s="52">
        <f>F24*E25</f>
        <v>165.88</v>
      </c>
      <c r="G25" s="47"/>
      <c r="H25" s="377">
        <f aca="true" t="shared" si="1" ref="H25:H32">F25*G25</f>
        <v>0</v>
      </c>
      <c r="I25" s="75"/>
      <c r="J25" s="65"/>
    </row>
    <row r="26" spans="1:10" s="141" customFormat="1" ht="26.25" customHeight="1">
      <c r="A26" s="82"/>
      <c r="B26" s="82" t="s">
        <v>4</v>
      </c>
      <c r="C26" s="46" t="s">
        <v>137</v>
      </c>
      <c r="D26" s="46" t="s">
        <v>16</v>
      </c>
      <c r="E26" s="157">
        <v>0.0257</v>
      </c>
      <c r="F26" s="52">
        <f>F24*E26</f>
        <v>2.9812000000000003</v>
      </c>
      <c r="G26" s="52"/>
      <c r="H26" s="377">
        <f t="shared" si="1"/>
        <v>0</v>
      </c>
      <c r="I26" s="75"/>
      <c r="J26" s="65"/>
    </row>
    <row r="27" spans="1:10" s="141" customFormat="1" ht="26.25" customHeight="1">
      <c r="A27" s="82"/>
      <c r="B27" s="316" t="s">
        <v>1303</v>
      </c>
      <c r="C27" s="46" t="s">
        <v>1000</v>
      </c>
      <c r="D27" s="46" t="s">
        <v>22</v>
      </c>
      <c r="E27" s="225">
        <v>0.929</v>
      </c>
      <c r="F27" s="52">
        <f>E27*F24</f>
        <v>107.76400000000001</v>
      </c>
      <c r="G27" s="52"/>
      <c r="H27" s="377">
        <f t="shared" si="1"/>
        <v>0</v>
      </c>
      <c r="I27" s="75"/>
      <c r="J27" s="65"/>
    </row>
    <row r="28" spans="1:10" s="141" customFormat="1" ht="26.25" customHeight="1">
      <c r="A28" s="317"/>
      <c r="B28" s="317" t="s">
        <v>1472</v>
      </c>
      <c r="C28" s="317" t="s">
        <v>705</v>
      </c>
      <c r="D28" s="317" t="s">
        <v>15</v>
      </c>
      <c r="E28" s="317">
        <v>0.28</v>
      </c>
      <c r="F28" s="317">
        <f>E28*F24</f>
        <v>32.480000000000004</v>
      </c>
      <c r="G28" s="469"/>
      <c r="H28" s="317">
        <f t="shared" si="1"/>
        <v>0</v>
      </c>
      <c r="I28" s="75"/>
      <c r="J28" s="65"/>
    </row>
    <row r="29" spans="1:10" s="141" customFormat="1" ht="26.25" customHeight="1">
      <c r="A29" s="82"/>
      <c r="B29" s="336" t="s">
        <v>1475</v>
      </c>
      <c r="C29" s="46" t="s">
        <v>706</v>
      </c>
      <c r="D29" s="46" t="s">
        <v>15</v>
      </c>
      <c r="E29" s="47">
        <v>0.08</v>
      </c>
      <c r="F29" s="52">
        <f>E29*F24</f>
        <v>9.28</v>
      </c>
      <c r="G29" s="469"/>
      <c r="H29" s="317">
        <f t="shared" si="1"/>
        <v>0</v>
      </c>
      <c r="I29" s="75"/>
      <c r="J29" s="65"/>
    </row>
    <row r="30" spans="1:10" s="141" customFormat="1" ht="31.5" customHeight="1">
      <c r="A30" s="82"/>
      <c r="B30" s="336" t="s">
        <v>1480</v>
      </c>
      <c r="C30" s="46" t="s">
        <v>682</v>
      </c>
      <c r="D30" s="46" t="s">
        <v>15</v>
      </c>
      <c r="E30" s="47">
        <v>0.04</v>
      </c>
      <c r="F30" s="52">
        <f>E30*F24</f>
        <v>4.64</v>
      </c>
      <c r="G30" s="469"/>
      <c r="H30" s="317">
        <f t="shared" si="1"/>
        <v>0</v>
      </c>
      <c r="I30" s="75"/>
      <c r="J30" s="65"/>
    </row>
    <row r="31" spans="1:10" s="141" customFormat="1" ht="36.75" customHeight="1">
      <c r="A31" s="82"/>
      <c r="B31" s="316" t="s">
        <v>1478</v>
      </c>
      <c r="C31" s="46" t="s">
        <v>707</v>
      </c>
      <c r="D31" s="46" t="s">
        <v>15</v>
      </c>
      <c r="E31" s="47">
        <v>0.23</v>
      </c>
      <c r="F31" s="52">
        <f>E31*F24</f>
        <v>26.68</v>
      </c>
      <c r="G31" s="52"/>
      <c r="H31" s="317">
        <f t="shared" si="1"/>
        <v>0</v>
      </c>
      <c r="I31" s="75"/>
      <c r="J31" s="65"/>
    </row>
    <row r="32" spans="1:10" s="141" customFormat="1" ht="26.25" customHeight="1">
      <c r="A32" s="82"/>
      <c r="B32" s="49" t="s">
        <v>4</v>
      </c>
      <c r="C32" s="46" t="s">
        <v>18</v>
      </c>
      <c r="D32" s="46" t="s">
        <v>16</v>
      </c>
      <c r="E32" s="167">
        <v>0.0457</v>
      </c>
      <c r="F32" s="52">
        <f>F24*E32</f>
        <v>5.3012</v>
      </c>
      <c r="G32" s="52"/>
      <c r="H32" s="377">
        <f t="shared" si="1"/>
        <v>0</v>
      </c>
      <c r="I32" s="75"/>
      <c r="J32" s="65"/>
    </row>
    <row r="33" spans="1:10" s="141" customFormat="1" ht="86.25" customHeight="1">
      <c r="A33" s="81" t="s">
        <v>63</v>
      </c>
      <c r="B33" s="54" t="s">
        <v>166</v>
      </c>
      <c r="C33" s="55" t="s">
        <v>466</v>
      </c>
      <c r="D33" s="55" t="s">
        <v>22</v>
      </c>
      <c r="E33" s="55"/>
      <c r="F33" s="80">
        <v>108</v>
      </c>
      <c r="G33" s="70"/>
      <c r="H33" s="380">
        <f>SUM(H34:H41)</f>
        <v>0</v>
      </c>
      <c r="I33" s="75"/>
      <c r="J33" s="65"/>
    </row>
    <row r="34" spans="1:10" s="141" customFormat="1" ht="26.25" customHeight="1">
      <c r="A34" s="82"/>
      <c r="B34" s="82" t="s">
        <v>4</v>
      </c>
      <c r="C34" s="46" t="s">
        <v>136</v>
      </c>
      <c r="D34" s="46" t="s">
        <v>5</v>
      </c>
      <c r="E34" s="157">
        <v>1.56</v>
      </c>
      <c r="F34" s="52">
        <f>F33*E34</f>
        <v>168.48000000000002</v>
      </c>
      <c r="G34" s="47"/>
      <c r="H34" s="377">
        <f aca="true" t="shared" si="2" ref="H34:H41">F34*G34</f>
        <v>0</v>
      </c>
      <c r="I34" s="75"/>
      <c r="J34" s="65"/>
    </row>
    <row r="35" spans="1:10" s="141" customFormat="1" ht="26.25" customHeight="1">
      <c r="A35" s="82"/>
      <c r="B35" s="82" t="s">
        <v>4</v>
      </c>
      <c r="C35" s="46" t="s">
        <v>137</v>
      </c>
      <c r="D35" s="46" t="s">
        <v>16</v>
      </c>
      <c r="E35" s="157">
        <v>0.0217</v>
      </c>
      <c r="F35" s="52">
        <f>F33*E35</f>
        <v>2.3436</v>
      </c>
      <c r="G35" s="52"/>
      <c r="H35" s="377">
        <f t="shared" si="2"/>
        <v>0</v>
      </c>
      <c r="I35" s="75"/>
      <c r="J35" s="65"/>
    </row>
    <row r="36" spans="1:10" s="141" customFormat="1" ht="26.25" customHeight="1">
      <c r="A36" s="82"/>
      <c r="B36" s="316" t="s">
        <v>1501</v>
      </c>
      <c r="C36" s="46" t="s">
        <v>686</v>
      </c>
      <c r="D36" s="46" t="s">
        <v>22</v>
      </c>
      <c r="E36" s="337">
        <v>0.937</v>
      </c>
      <c r="F36" s="52">
        <f>E36*F33</f>
        <v>101.19600000000001</v>
      </c>
      <c r="G36" s="52"/>
      <c r="H36" s="377">
        <f t="shared" si="2"/>
        <v>0</v>
      </c>
      <c r="I36" s="75"/>
      <c r="J36" s="65"/>
    </row>
    <row r="37" spans="1:10" s="141" customFormat="1" ht="26.25" customHeight="1">
      <c r="A37" s="319"/>
      <c r="B37" s="319" t="s">
        <v>1474</v>
      </c>
      <c r="C37" s="317" t="s">
        <v>687</v>
      </c>
      <c r="D37" s="317" t="s">
        <v>15</v>
      </c>
      <c r="E37" s="319">
        <v>0.16</v>
      </c>
      <c r="F37" s="317">
        <f>E37*F33</f>
        <v>17.28</v>
      </c>
      <c r="G37" s="469"/>
      <c r="H37" s="317">
        <f t="shared" si="2"/>
        <v>0</v>
      </c>
      <c r="I37" s="75"/>
      <c r="J37" s="65"/>
    </row>
    <row r="38" spans="1:10" s="141" customFormat="1" ht="26.25" customHeight="1">
      <c r="A38" s="82"/>
      <c r="B38" s="336" t="s">
        <v>1477</v>
      </c>
      <c r="C38" s="46" t="s">
        <v>688</v>
      </c>
      <c r="D38" s="46" t="s">
        <v>15</v>
      </c>
      <c r="E38" s="319">
        <v>0.07</v>
      </c>
      <c r="F38" s="52">
        <f>E38*F33</f>
        <v>7.5600000000000005</v>
      </c>
      <c r="G38" s="377"/>
      <c r="H38" s="317">
        <f t="shared" si="2"/>
        <v>0</v>
      </c>
      <c r="I38" s="75"/>
      <c r="J38" s="65"/>
    </row>
    <row r="39" spans="1:10" s="141" customFormat="1" ht="29.25" customHeight="1">
      <c r="A39" s="82"/>
      <c r="B39" s="316" t="s">
        <v>1482</v>
      </c>
      <c r="C39" s="46" t="s">
        <v>682</v>
      </c>
      <c r="D39" s="46" t="s">
        <v>15</v>
      </c>
      <c r="E39" s="319">
        <v>0.04</v>
      </c>
      <c r="F39" s="52">
        <f>E39*F33</f>
        <v>4.32</v>
      </c>
      <c r="G39" s="377"/>
      <c r="H39" s="317">
        <f t="shared" si="2"/>
        <v>0</v>
      </c>
      <c r="I39" s="75"/>
      <c r="J39" s="65"/>
    </row>
    <row r="40" spans="1:10" s="141" customFormat="1" ht="29.25" customHeight="1">
      <c r="A40" s="82"/>
      <c r="B40" s="316" t="s">
        <v>1479</v>
      </c>
      <c r="C40" s="46" t="s">
        <v>689</v>
      </c>
      <c r="D40" s="46" t="s">
        <v>15</v>
      </c>
      <c r="E40" s="319">
        <v>0.14</v>
      </c>
      <c r="F40" s="52">
        <f>E40*F33</f>
        <v>15.120000000000001</v>
      </c>
      <c r="G40" s="377"/>
      <c r="H40" s="317">
        <f t="shared" si="2"/>
        <v>0</v>
      </c>
      <c r="I40" s="75"/>
      <c r="J40" s="65"/>
    </row>
    <row r="41" spans="1:10" s="141" customFormat="1" ht="33" customHeight="1">
      <c r="A41" s="82"/>
      <c r="B41" s="49" t="s">
        <v>4</v>
      </c>
      <c r="C41" s="46" t="s">
        <v>18</v>
      </c>
      <c r="D41" s="46" t="s">
        <v>16</v>
      </c>
      <c r="E41" s="167">
        <v>0.0708</v>
      </c>
      <c r="F41" s="52">
        <f>F33*E41</f>
        <v>7.6464</v>
      </c>
      <c r="G41" s="52"/>
      <c r="H41" s="377">
        <f t="shared" si="2"/>
        <v>0</v>
      </c>
      <c r="I41" s="75"/>
      <c r="J41" s="65"/>
    </row>
    <row r="42" spans="1:10" s="141" customFormat="1" ht="82.5" customHeight="1">
      <c r="A42" s="81" t="s">
        <v>64</v>
      </c>
      <c r="B42" s="54" t="s">
        <v>174</v>
      </c>
      <c r="C42" s="55" t="s">
        <v>289</v>
      </c>
      <c r="D42" s="55" t="s">
        <v>22</v>
      </c>
      <c r="E42" s="55"/>
      <c r="F42" s="80">
        <v>520</v>
      </c>
      <c r="G42" s="70"/>
      <c r="H42" s="380">
        <f>SUM(H43:H50)</f>
        <v>0</v>
      </c>
      <c r="I42" s="75"/>
      <c r="J42" s="65"/>
    </row>
    <row r="43" spans="1:10" s="141" customFormat="1" ht="29.25" customHeight="1">
      <c r="A43" s="82"/>
      <c r="B43" s="82" t="s">
        <v>4</v>
      </c>
      <c r="C43" s="46" t="s">
        <v>136</v>
      </c>
      <c r="D43" s="46" t="s">
        <v>5</v>
      </c>
      <c r="E43" s="157">
        <v>1.35</v>
      </c>
      <c r="F43" s="52">
        <f>F42*E43</f>
        <v>702</v>
      </c>
      <c r="G43" s="47"/>
      <c r="H43" s="377">
        <f aca="true" t="shared" si="3" ref="H43:H50">F43*G43</f>
        <v>0</v>
      </c>
      <c r="I43" s="75"/>
      <c r="J43" s="65"/>
    </row>
    <row r="44" spans="1:10" s="141" customFormat="1" ht="29.25" customHeight="1">
      <c r="A44" s="82"/>
      <c r="B44" s="82" t="s">
        <v>4</v>
      </c>
      <c r="C44" s="46" t="s">
        <v>137</v>
      </c>
      <c r="D44" s="46" t="s">
        <v>16</v>
      </c>
      <c r="E44" s="157">
        <v>0.0314</v>
      </c>
      <c r="F44" s="52">
        <f>F42*E44</f>
        <v>16.328</v>
      </c>
      <c r="G44" s="52"/>
      <c r="H44" s="377">
        <f t="shared" si="3"/>
        <v>0</v>
      </c>
      <c r="I44" s="75"/>
      <c r="J44" s="65"/>
    </row>
    <row r="45" spans="1:10" s="141" customFormat="1" ht="29.25" customHeight="1">
      <c r="A45" s="82"/>
      <c r="B45" s="316" t="s">
        <v>701</v>
      </c>
      <c r="C45" s="46" t="s">
        <v>690</v>
      </c>
      <c r="D45" s="46" t="s">
        <v>22</v>
      </c>
      <c r="E45" s="337">
        <v>0.946</v>
      </c>
      <c r="F45" s="52">
        <f>E45*F42</f>
        <v>491.91999999999996</v>
      </c>
      <c r="G45" s="52"/>
      <c r="H45" s="377">
        <f t="shared" si="3"/>
        <v>0</v>
      </c>
      <c r="I45" s="75"/>
      <c r="J45" s="65"/>
    </row>
    <row r="46" spans="1:10" s="141" customFormat="1" ht="29.25" customHeight="1">
      <c r="A46" s="319"/>
      <c r="B46" s="319" t="s">
        <v>1503</v>
      </c>
      <c r="C46" s="317" t="s">
        <v>691</v>
      </c>
      <c r="D46" s="317" t="s">
        <v>15</v>
      </c>
      <c r="E46" s="319">
        <v>0.16</v>
      </c>
      <c r="F46" s="317">
        <f>E46*F42</f>
        <v>83.2</v>
      </c>
      <c r="G46" s="469"/>
      <c r="H46" s="460">
        <f t="shared" si="3"/>
        <v>0</v>
      </c>
      <c r="I46" s="75"/>
      <c r="J46" s="65"/>
    </row>
    <row r="47" spans="1:10" s="141" customFormat="1" ht="29.25" customHeight="1">
      <c r="A47" s="82"/>
      <c r="B47" s="316" t="s">
        <v>1505</v>
      </c>
      <c r="C47" s="46" t="s">
        <v>692</v>
      </c>
      <c r="D47" s="46" t="s">
        <v>15</v>
      </c>
      <c r="E47" s="319">
        <v>0.05</v>
      </c>
      <c r="F47" s="377">
        <f>E47*F42</f>
        <v>26</v>
      </c>
      <c r="G47" s="377"/>
      <c r="H47" s="460">
        <f t="shared" si="3"/>
        <v>0</v>
      </c>
      <c r="I47" s="75"/>
      <c r="J47" s="65"/>
    </row>
    <row r="48" spans="1:10" s="141" customFormat="1" ht="25.5" customHeight="1">
      <c r="A48" s="82"/>
      <c r="B48" s="316" t="s">
        <v>1507</v>
      </c>
      <c r="C48" s="46" t="s">
        <v>682</v>
      </c>
      <c r="D48" s="46" t="s">
        <v>15</v>
      </c>
      <c r="E48" s="319">
        <v>0.04</v>
      </c>
      <c r="F48" s="377">
        <f>E48*F42</f>
        <v>20.8</v>
      </c>
      <c r="G48" s="377"/>
      <c r="H48" s="460">
        <f t="shared" si="3"/>
        <v>0</v>
      </c>
      <c r="I48" s="75"/>
      <c r="J48" s="65"/>
    </row>
    <row r="49" spans="1:10" s="141" customFormat="1" ht="36" customHeight="1">
      <c r="A49" s="82"/>
      <c r="B49" s="316" t="s">
        <v>1511</v>
      </c>
      <c r="C49" s="46" t="s">
        <v>693</v>
      </c>
      <c r="D49" s="46" t="s">
        <v>15</v>
      </c>
      <c r="E49" s="319">
        <v>0.08</v>
      </c>
      <c r="F49" s="377">
        <f>E49*F42</f>
        <v>41.6</v>
      </c>
      <c r="G49" s="377"/>
      <c r="H49" s="460">
        <f t="shared" si="3"/>
        <v>0</v>
      </c>
      <c r="I49" s="75"/>
      <c r="J49" s="65"/>
    </row>
    <row r="50" spans="1:10" s="141" customFormat="1" ht="28.5" customHeight="1">
      <c r="A50" s="82"/>
      <c r="B50" s="49" t="s">
        <v>4</v>
      </c>
      <c r="C50" s="46" t="s">
        <v>18</v>
      </c>
      <c r="D50" s="46" t="s">
        <v>16</v>
      </c>
      <c r="E50" s="167">
        <v>0.0652</v>
      </c>
      <c r="F50" s="52">
        <f>F42*E50</f>
        <v>33.903999999999996</v>
      </c>
      <c r="G50" s="52"/>
      <c r="H50" s="377">
        <f t="shared" si="3"/>
        <v>0</v>
      </c>
      <c r="I50" s="75"/>
      <c r="J50" s="65"/>
    </row>
    <row r="51" spans="1:10" s="141" customFormat="1" ht="75.75" customHeight="1">
      <c r="A51" s="81" t="s">
        <v>41</v>
      </c>
      <c r="B51" s="54" t="s">
        <v>174</v>
      </c>
      <c r="C51" s="55" t="s">
        <v>694</v>
      </c>
      <c r="D51" s="55" t="s">
        <v>22</v>
      </c>
      <c r="E51" s="55"/>
      <c r="F51" s="80">
        <v>8</v>
      </c>
      <c r="G51" s="70"/>
      <c r="H51" s="380">
        <f>SUM(H52:H59)</f>
        <v>0</v>
      </c>
      <c r="I51" s="75"/>
      <c r="J51" s="65"/>
    </row>
    <row r="52" spans="1:10" s="141" customFormat="1" ht="28.5" customHeight="1">
      <c r="A52" s="82"/>
      <c r="B52" s="82" t="s">
        <v>4</v>
      </c>
      <c r="C52" s="46" t="s">
        <v>136</v>
      </c>
      <c r="D52" s="46" t="s">
        <v>5</v>
      </c>
      <c r="E52" s="157">
        <v>1.35</v>
      </c>
      <c r="F52" s="52">
        <f>F51*E52</f>
        <v>10.8</v>
      </c>
      <c r="G52" s="47"/>
      <c r="H52" s="377">
        <f aca="true" t="shared" si="4" ref="H52:H59">F52*G52</f>
        <v>0</v>
      </c>
      <c r="I52" s="75"/>
      <c r="J52" s="65"/>
    </row>
    <row r="53" spans="1:10" s="141" customFormat="1" ht="28.5" customHeight="1">
      <c r="A53" s="82"/>
      <c r="B53" s="82" t="s">
        <v>4</v>
      </c>
      <c r="C53" s="46" t="s">
        <v>137</v>
      </c>
      <c r="D53" s="46" t="s">
        <v>16</v>
      </c>
      <c r="E53" s="157">
        <v>0.0314</v>
      </c>
      <c r="F53" s="52">
        <f>F51*E53</f>
        <v>0.2512</v>
      </c>
      <c r="G53" s="52"/>
      <c r="H53" s="377">
        <f t="shared" si="4"/>
        <v>0</v>
      </c>
      <c r="I53" s="75"/>
      <c r="J53" s="65"/>
    </row>
    <row r="54" spans="1:10" s="141" customFormat="1" ht="28.5" customHeight="1">
      <c r="A54" s="82"/>
      <c r="B54" s="316" t="s">
        <v>469</v>
      </c>
      <c r="C54" s="46" t="s">
        <v>695</v>
      </c>
      <c r="D54" s="46" t="s">
        <v>22</v>
      </c>
      <c r="E54" s="337">
        <v>0.946</v>
      </c>
      <c r="F54" s="52">
        <f>E54*F51</f>
        <v>7.568</v>
      </c>
      <c r="G54" s="52"/>
      <c r="H54" s="377">
        <f t="shared" si="4"/>
        <v>0</v>
      </c>
      <c r="I54" s="75"/>
      <c r="J54" s="65"/>
    </row>
    <row r="55" spans="1:10" s="141" customFormat="1" ht="28.5" customHeight="1">
      <c r="A55" s="319"/>
      <c r="B55" s="319" t="s">
        <v>1504</v>
      </c>
      <c r="C55" s="317" t="s">
        <v>696</v>
      </c>
      <c r="D55" s="317" t="s">
        <v>15</v>
      </c>
      <c r="E55" s="319">
        <v>0.16</v>
      </c>
      <c r="F55" s="317">
        <f>E55*F51</f>
        <v>1.28</v>
      </c>
      <c r="G55" s="469"/>
      <c r="H55" s="460">
        <f t="shared" si="4"/>
        <v>0</v>
      </c>
      <c r="I55" s="75"/>
      <c r="J55" s="65"/>
    </row>
    <row r="56" spans="1:10" s="141" customFormat="1" ht="28.5" customHeight="1">
      <c r="A56" s="82"/>
      <c r="B56" s="316" t="s">
        <v>1506</v>
      </c>
      <c r="C56" s="46" t="s">
        <v>697</v>
      </c>
      <c r="D56" s="46" t="s">
        <v>15</v>
      </c>
      <c r="E56" s="319">
        <v>0.05</v>
      </c>
      <c r="F56" s="377">
        <f>E56*F51</f>
        <v>0.4</v>
      </c>
      <c r="G56" s="377"/>
      <c r="H56" s="460">
        <f t="shared" si="4"/>
        <v>0</v>
      </c>
      <c r="I56" s="75"/>
      <c r="J56" s="65"/>
    </row>
    <row r="57" spans="1:10" s="141" customFormat="1" ht="28.5" customHeight="1">
      <c r="A57" s="82"/>
      <c r="B57" s="316" t="s">
        <v>1508</v>
      </c>
      <c r="C57" s="46" t="s">
        <v>682</v>
      </c>
      <c r="D57" s="46" t="s">
        <v>15</v>
      </c>
      <c r="E57" s="319">
        <v>0.04</v>
      </c>
      <c r="F57" s="377">
        <f>E57*F51</f>
        <v>0.32</v>
      </c>
      <c r="G57" s="377"/>
      <c r="H57" s="460">
        <f t="shared" si="4"/>
        <v>0</v>
      </c>
      <c r="I57" s="75"/>
      <c r="J57" s="65"/>
    </row>
    <row r="58" spans="1:10" s="141" customFormat="1" ht="33.75" customHeight="1">
      <c r="A58" s="82"/>
      <c r="B58" s="316" t="s">
        <v>1512</v>
      </c>
      <c r="C58" s="46" t="s">
        <v>700</v>
      </c>
      <c r="D58" s="46" t="s">
        <v>15</v>
      </c>
      <c r="E58" s="319">
        <v>0.08</v>
      </c>
      <c r="F58" s="377">
        <f>E58*F51</f>
        <v>0.64</v>
      </c>
      <c r="G58" s="377"/>
      <c r="H58" s="460">
        <f t="shared" si="4"/>
        <v>0</v>
      </c>
      <c r="I58" s="75"/>
      <c r="J58" s="65"/>
    </row>
    <row r="59" spans="1:10" s="141" customFormat="1" ht="28.5" customHeight="1">
      <c r="A59" s="82"/>
      <c r="B59" s="49" t="s">
        <v>4</v>
      </c>
      <c r="C59" s="46" t="s">
        <v>18</v>
      </c>
      <c r="D59" s="46" t="s">
        <v>16</v>
      </c>
      <c r="E59" s="167">
        <v>0.0652</v>
      </c>
      <c r="F59" s="52">
        <f>F51*E59</f>
        <v>0.5216</v>
      </c>
      <c r="G59" s="52"/>
      <c r="H59" s="377">
        <f t="shared" si="4"/>
        <v>0</v>
      </c>
      <c r="I59" s="75"/>
      <c r="J59" s="65"/>
    </row>
    <row r="60" spans="1:10" s="141" customFormat="1" ht="81.75" customHeight="1">
      <c r="A60" s="81" t="s">
        <v>44</v>
      </c>
      <c r="B60" s="54" t="s">
        <v>175</v>
      </c>
      <c r="C60" s="55" t="s">
        <v>468</v>
      </c>
      <c r="D60" s="55" t="s">
        <v>22</v>
      </c>
      <c r="E60" s="55"/>
      <c r="F60" s="80">
        <v>8</v>
      </c>
      <c r="G60" s="70"/>
      <c r="H60" s="380">
        <f>SUM(H61:H66)</f>
        <v>0</v>
      </c>
      <c r="I60" s="75"/>
      <c r="J60" s="65"/>
    </row>
    <row r="61" spans="1:10" s="141" customFormat="1" ht="26.25" customHeight="1">
      <c r="A61" s="82"/>
      <c r="B61" s="82" t="s">
        <v>4</v>
      </c>
      <c r="C61" s="46" t="s">
        <v>136</v>
      </c>
      <c r="D61" s="46" t="s">
        <v>5</v>
      </c>
      <c r="E61" s="157">
        <v>1.57</v>
      </c>
      <c r="F61" s="52">
        <f>F60*E61</f>
        <v>12.56</v>
      </c>
      <c r="G61" s="47"/>
      <c r="H61" s="377">
        <f aca="true" t="shared" si="5" ref="H61:H66">F61*G61</f>
        <v>0</v>
      </c>
      <c r="I61" s="75"/>
      <c r="J61" s="65"/>
    </row>
    <row r="62" spans="1:10" s="141" customFormat="1" ht="26.25" customHeight="1">
      <c r="A62" s="82"/>
      <c r="B62" s="82" t="s">
        <v>4</v>
      </c>
      <c r="C62" s="46" t="s">
        <v>137</v>
      </c>
      <c r="D62" s="46" t="s">
        <v>16</v>
      </c>
      <c r="E62" s="157">
        <v>0.0525</v>
      </c>
      <c r="F62" s="52">
        <f>F60*E62</f>
        <v>0.42</v>
      </c>
      <c r="G62" s="52"/>
      <c r="H62" s="377">
        <f t="shared" si="5"/>
        <v>0</v>
      </c>
      <c r="I62" s="75"/>
      <c r="J62" s="65"/>
    </row>
    <row r="63" spans="1:10" s="141" customFormat="1" ht="32.25" customHeight="1">
      <c r="A63" s="82"/>
      <c r="B63" s="316" t="s">
        <v>1228</v>
      </c>
      <c r="C63" s="46" t="s">
        <v>698</v>
      </c>
      <c r="D63" s="46" t="s">
        <v>22</v>
      </c>
      <c r="E63" s="337">
        <v>0.946</v>
      </c>
      <c r="F63" s="52">
        <f>E63*F60</f>
        <v>7.568</v>
      </c>
      <c r="G63" s="52"/>
      <c r="H63" s="377">
        <f t="shared" si="5"/>
        <v>0</v>
      </c>
      <c r="I63" s="75"/>
      <c r="J63" s="65"/>
    </row>
    <row r="64" spans="1:10" s="141" customFormat="1" ht="29.25" customHeight="1">
      <c r="A64" s="82"/>
      <c r="B64" s="316" t="s">
        <v>1509</v>
      </c>
      <c r="C64" s="46" t="s">
        <v>682</v>
      </c>
      <c r="D64" s="46" t="s">
        <v>15</v>
      </c>
      <c r="E64" s="319">
        <v>0.03</v>
      </c>
      <c r="F64" s="317">
        <f>E64*F60</f>
        <v>0.24</v>
      </c>
      <c r="G64" s="377"/>
      <c r="H64" s="460">
        <f t="shared" si="5"/>
        <v>0</v>
      </c>
      <c r="I64" s="75"/>
      <c r="J64" s="65"/>
    </row>
    <row r="65" spans="1:10" s="141" customFormat="1" ht="38.25" customHeight="1">
      <c r="A65" s="82"/>
      <c r="B65" s="316" t="s">
        <v>1513</v>
      </c>
      <c r="C65" s="46" t="s">
        <v>699</v>
      </c>
      <c r="D65" s="46" t="s">
        <v>15</v>
      </c>
      <c r="E65" s="319">
        <v>0.07</v>
      </c>
      <c r="F65" s="377">
        <f>E65*F60</f>
        <v>0.56</v>
      </c>
      <c r="G65" s="377"/>
      <c r="H65" s="460">
        <f t="shared" si="5"/>
        <v>0</v>
      </c>
      <c r="I65" s="75"/>
      <c r="J65" s="65"/>
    </row>
    <row r="66" spans="1:10" s="141" customFormat="1" ht="29.25" customHeight="1">
      <c r="A66" s="82"/>
      <c r="B66" s="49" t="s">
        <v>4</v>
      </c>
      <c r="C66" s="46" t="s">
        <v>18</v>
      </c>
      <c r="D66" s="46" t="s">
        <v>16</v>
      </c>
      <c r="E66" s="167">
        <v>0.0478</v>
      </c>
      <c r="F66" s="52">
        <f>F60*E66</f>
        <v>0.3824</v>
      </c>
      <c r="G66" s="52"/>
      <c r="H66" s="377">
        <f t="shared" si="5"/>
        <v>0</v>
      </c>
      <c r="I66" s="75"/>
      <c r="J66" s="65"/>
    </row>
    <row r="67" spans="1:10" s="141" customFormat="1" ht="74.25" customHeight="1">
      <c r="A67" s="376" t="s">
        <v>45</v>
      </c>
      <c r="B67" s="54" t="s">
        <v>715</v>
      </c>
      <c r="C67" s="55" t="s">
        <v>716</v>
      </c>
      <c r="D67" s="55" t="s">
        <v>22</v>
      </c>
      <c r="E67" s="55"/>
      <c r="F67" s="379">
        <v>12</v>
      </c>
      <c r="G67" s="70"/>
      <c r="H67" s="380">
        <f>H68+H69+H70+H71+H72+H73+H74</f>
        <v>0</v>
      </c>
      <c r="I67" s="75"/>
      <c r="J67" s="65"/>
    </row>
    <row r="68" spans="1:10" s="141" customFormat="1" ht="29.25" customHeight="1">
      <c r="A68" s="82"/>
      <c r="B68" s="82" t="s">
        <v>4</v>
      </c>
      <c r="C68" s="46" t="s">
        <v>136</v>
      </c>
      <c r="D68" s="46" t="s">
        <v>5</v>
      </c>
      <c r="E68" s="157">
        <v>1.4</v>
      </c>
      <c r="F68" s="52">
        <f>F67*E68</f>
        <v>16.799999999999997</v>
      </c>
      <c r="G68" s="47"/>
      <c r="H68" s="377">
        <f aca="true" t="shared" si="6" ref="H68:H73">F68*G68</f>
        <v>0</v>
      </c>
      <c r="I68" s="75"/>
      <c r="J68" s="65"/>
    </row>
    <row r="69" spans="1:10" s="141" customFormat="1" ht="29.25" customHeight="1">
      <c r="A69" s="82"/>
      <c r="B69" s="82" t="s">
        <v>4</v>
      </c>
      <c r="C69" s="46" t="s">
        <v>137</v>
      </c>
      <c r="D69" s="46" t="s">
        <v>16</v>
      </c>
      <c r="E69" s="157">
        <v>0.0472</v>
      </c>
      <c r="F69" s="52">
        <f>F67*E69</f>
        <v>0.5664</v>
      </c>
      <c r="G69" s="52"/>
      <c r="H69" s="377">
        <f t="shared" si="6"/>
        <v>0</v>
      </c>
      <c r="I69" s="75"/>
      <c r="J69" s="65"/>
    </row>
    <row r="70" spans="1:10" s="141" customFormat="1" ht="33" customHeight="1">
      <c r="A70" s="82"/>
      <c r="B70" s="316" t="s">
        <v>1502</v>
      </c>
      <c r="C70" s="46" t="s">
        <v>717</v>
      </c>
      <c r="D70" s="46" t="s">
        <v>22</v>
      </c>
      <c r="E70" s="337">
        <v>0.974</v>
      </c>
      <c r="F70" s="52">
        <f>E70*F67</f>
        <v>11.687999999999999</v>
      </c>
      <c r="G70" s="52"/>
      <c r="H70" s="377">
        <f t="shared" si="6"/>
        <v>0</v>
      </c>
      <c r="I70" s="75"/>
      <c r="J70" s="65"/>
    </row>
    <row r="71" spans="1:10" s="141" customFormat="1" ht="29.25" customHeight="1">
      <c r="A71" s="82"/>
      <c r="B71" s="316" t="s">
        <v>1510</v>
      </c>
      <c r="C71" s="46" t="s">
        <v>682</v>
      </c>
      <c r="D71" s="46" t="s">
        <v>15</v>
      </c>
      <c r="E71" s="319">
        <v>0.03</v>
      </c>
      <c r="F71" s="377">
        <v>1</v>
      </c>
      <c r="G71" s="377"/>
      <c r="H71" s="317">
        <f t="shared" si="6"/>
        <v>0</v>
      </c>
      <c r="I71" s="75"/>
      <c r="J71" s="65"/>
    </row>
    <row r="72" spans="1:10" s="141" customFormat="1" ht="32.25" customHeight="1">
      <c r="A72" s="82"/>
      <c r="B72" s="314" t="s">
        <v>1514</v>
      </c>
      <c r="C72" s="46" t="s">
        <v>718</v>
      </c>
      <c r="D72" s="46" t="s">
        <v>15</v>
      </c>
      <c r="E72" s="319">
        <v>0.06</v>
      </c>
      <c r="F72" s="377">
        <v>1</v>
      </c>
      <c r="G72" s="377"/>
      <c r="H72" s="317">
        <f t="shared" si="6"/>
        <v>0</v>
      </c>
      <c r="I72" s="75"/>
      <c r="J72" s="65"/>
    </row>
    <row r="73" spans="1:10" s="141" customFormat="1" ht="29.25" customHeight="1">
      <c r="A73" s="82"/>
      <c r="B73" s="49" t="s">
        <v>4</v>
      </c>
      <c r="C73" s="46" t="s">
        <v>18</v>
      </c>
      <c r="D73" s="46" t="s">
        <v>16</v>
      </c>
      <c r="E73" s="167">
        <v>0.0425</v>
      </c>
      <c r="F73" s="52">
        <f>F67*E73</f>
        <v>0.51</v>
      </c>
      <c r="G73" s="52"/>
      <c r="H73" s="377">
        <f t="shared" si="6"/>
        <v>0</v>
      </c>
      <c r="I73" s="75"/>
      <c r="J73" s="65"/>
    </row>
    <row r="74" spans="1:10" s="141" customFormat="1" ht="29.25" customHeight="1">
      <c r="A74" s="317"/>
      <c r="B74" s="317" t="s">
        <v>1515</v>
      </c>
      <c r="C74" s="317" t="s">
        <v>719</v>
      </c>
      <c r="D74" s="317" t="s">
        <v>15</v>
      </c>
      <c r="E74" s="317">
        <v>0.08</v>
      </c>
      <c r="F74" s="317">
        <v>1</v>
      </c>
      <c r="G74" s="460"/>
      <c r="H74" s="377">
        <f>F74*G74</f>
        <v>0</v>
      </c>
      <c r="I74" s="75"/>
      <c r="J74" s="65"/>
    </row>
    <row r="75" spans="1:10" s="141" customFormat="1" ht="54.75" customHeight="1">
      <c r="A75" s="376" t="s">
        <v>71</v>
      </c>
      <c r="B75" s="378" t="s">
        <v>142</v>
      </c>
      <c r="C75" s="375" t="s">
        <v>470</v>
      </c>
      <c r="D75" s="374" t="s">
        <v>15</v>
      </c>
      <c r="E75" s="375"/>
      <c r="F75" s="379">
        <v>14</v>
      </c>
      <c r="G75" s="226"/>
      <c r="H75" s="380">
        <f>SUM(H76:H79)</f>
        <v>0</v>
      </c>
      <c r="I75" s="75"/>
      <c r="J75" s="65"/>
    </row>
    <row r="76" spans="1:10" s="141" customFormat="1" ht="29.25" customHeight="1">
      <c r="A76" s="497"/>
      <c r="B76" s="497" t="s">
        <v>4</v>
      </c>
      <c r="C76" s="496" t="s">
        <v>136</v>
      </c>
      <c r="D76" s="496" t="s">
        <v>5</v>
      </c>
      <c r="E76" s="496">
        <v>1.51</v>
      </c>
      <c r="F76" s="377">
        <f>F75*E76</f>
        <v>21.14</v>
      </c>
      <c r="G76" s="222"/>
      <c r="H76" s="377">
        <f>F76*G76</f>
        <v>0</v>
      </c>
      <c r="I76" s="75"/>
      <c r="J76" s="65"/>
    </row>
    <row r="77" spans="1:10" s="141" customFormat="1" ht="29.25" customHeight="1">
      <c r="A77" s="497"/>
      <c r="B77" s="497" t="s">
        <v>4</v>
      </c>
      <c r="C77" s="496" t="s">
        <v>137</v>
      </c>
      <c r="D77" s="496" t="s">
        <v>16</v>
      </c>
      <c r="E77" s="372">
        <v>0.13</v>
      </c>
      <c r="F77" s="377">
        <f>F75*E77</f>
        <v>1.82</v>
      </c>
      <c r="G77" s="52"/>
      <c r="H77" s="377">
        <f>F77*G77</f>
        <v>0</v>
      </c>
      <c r="I77" s="75"/>
      <c r="J77" s="65"/>
    </row>
    <row r="78" spans="1:10" s="141" customFormat="1" ht="29.25" customHeight="1">
      <c r="A78" s="497"/>
      <c r="B78" s="497" t="s">
        <v>631</v>
      </c>
      <c r="C78" s="496" t="s">
        <v>471</v>
      </c>
      <c r="D78" s="496" t="s">
        <v>15</v>
      </c>
      <c r="E78" s="381">
        <v>1</v>
      </c>
      <c r="F78" s="377">
        <f>E78*F75</f>
        <v>14</v>
      </c>
      <c r="G78" s="377"/>
      <c r="H78" s="377">
        <f>F78*G78</f>
        <v>0</v>
      </c>
      <c r="I78" s="75"/>
      <c r="J78" s="65"/>
    </row>
    <row r="79" spans="1:10" s="141" customFormat="1" ht="29.25" customHeight="1">
      <c r="A79" s="497"/>
      <c r="B79" s="373" t="s">
        <v>4</v>
      </c>
      <c r="C79" s="496" t="s">
        <v>18</v>
      </c>
      <c r="D79" s="496" t="s">
        <v>16</v>
      </c>
      <c r="E79" s="373">
        <v>0.07</v>
      </c>
      <c r="F79" s="377">
        <f>F75*E79</f>
        <v>0.9800000000000001</v>
      </c>
      <c r="G79" s="52"/>
      <c r="H79" s="377">
        <f>F79*G79</f>
        <v>0</v>
      </c>
      <c r="I79" s="75"/>
      <c r="J79" s="65"/>
    </row>
    <row r="80" spans="1:10" s="141" customFormat="1" ht="56.25" customHeight="1">
      <c r="A80" s="376" t="s">
        <v>66</v>
      </c>
      <c r="B80" s="378" t="s">
        <v>527</v>
      </c>
      <c r="C80" s="375" t="s">
        <v>1204</v>
      </c>
      <c r="D80" s="374" t="s">
        <v>15</v>
      </c>
      <c r="E80" s="375"/>
      <c r="F80" s="379">
        <v>2</v>
      </c>
      <c r="G80" s="226"/>
      <c r="H80" s="380">
        <f>SUM(H81:H84)</f>
        <v>0</v>
      </c>
      <c r="I80" s="75"/>
      <c r="J80" s="65"/>
    </row>
    <row r="81" spans="1:10" s="141" customFormat="1" ht="31.5" customHeight="1">
      <c r="A81" s="497"/>
      <c r="B81" s="497" t="s">
        <v>4</v>
      </c>
      <c r="C81" s="496" t="s">
        <v>136</v>
      </c>
      <c r="D81" s="496" t="s">
        <v>5</v>
      </c>
      <c r="E81" s="496">
        <v>2.67</v>
      </c>
      <c r="F81" s="377">
        <f>F80*E81</f>
        <v>5.34</v>
      </c>
      <c r="G81" s="222"/>
      <c r="H81" s="377">
        <f>F81*G81</f>
        <v>0</v>
      </c>
      <c r="I81" s="75"/>
      <c r="J81" s="65"/>
    </row>
    <row r="82" spans="1:10" s="141" customFormat="1" ht="31.5" customHeight="1">
      <c r="A82" s="497"/>
      <c r="B82" s="497" t="s">
        <v>4</v>
      </c>
      <c r="C82" s="496" t="s">
        <v>137</v>
      </c>
      <c r="D82" s="496" t="s">
        <v>16</v>
      </c>
      <c r="E82" s="372">
        <v>0.29</v>
      </c>
      <c r="F82" s="377">
        <f>F80*E82</f>
        <v>0.58</v>
      </c>
      <c r="G82" s="52"/>
      <c r="H82" s="377">
        <f>F82*G82</f>
        <v>0</v>
      </c>
      <c r="I82" s="75"/>
      <c r="J82" s="65"/>
    </row>
    <row r="83" spans="1:10" s="141" customFormat="1" ht="31.5" customHeight="1">
      <c r="A83" s="497"/>
      <c r="B83" s="497" t="s">
        <v>1206</v>
      </c>
      <c r="C83" s="496" t="s">
        <v>1205</v>
      </c>
      <c r="D83" s="496" t="s">
        <v>15</v>
      </c>
      <c r="E83" s="381">
        <v>1</v>
      </c>
      <c r="F83" s="377">
        <f>E83*F80</f>
        <v>2</v>
      </c>
      <c r="G83" s="377"/>
      <c r="H83" s="377">
        <f>F83*G83</f>
        <v>0</v>
      </c>
      <c r="I83" s="75"/>
      <c r="J83" s="65"/>
    </row>
    <row r="84" spans="1:10" s="141" customFormat="1" ht="31.5" customHeight="1">
      <c r="A84" s="497"/>
      <c r="B84" s="373" t="s">
        <v>4</v>
      </c>
      <c r="C84" s="496" t="s">
        <v>18</v>
      </c>
      <c r="D84" s="496" t="s">
        <v>16</v>
      </c>
      <c r="E84" s="373">
        <v>0.27</v>
      </c>
      <c r="F84" s="377">
        <f>F80*E84</f>
        <v>0.54</v>
      </c>
      <c r="G84" s="52"/>
      <c r="H84" s="377">
        <f>F84*G84</f>
        <v>0</v>
      </c>
      <c r="I84" s="75"/>
      <c r="J84" s="65"/>
    </row>
    <row r="85" spans="1:10" s="141" customFormat="1" ht="51.75" customHeight="1">
      <c r="A85" s="81" t="s">
        <v>67</v>
      </c>
      <c r="B85" s="54" t="s">
        <v>142</v>
      </c>
      <c r="C85" s="55" t="s">
        <v>516</v>
      </c>
      <c r="D85" s="55" t="s">
        <v>15</v>
      </c>
      <c r="E85" s="55"/>
      <c r="F85" s="226">
        <v>100</v>
      </c>
      <c r="G85" s="70"/>
      <c r="H85" s="380">
        <f>H86+H87+H88+H89</f>
        <v>0</v>
      </c>
      <c r="I85" s="75"/>
      <c r="J85" s="65"/>
    </row>
    <row r="86" spans="1:10" s="141" customFormat="1" ht="27.75" customHeight="1">
      <c r="A86" s="82"/>
      <c r="B86" s="46" t="s">
        <v>4</v>
      </c>
      <c r="C86" s="46" t="s">
        <v>136</v>
      </c>
      <c r="D86" s="46" t="s">
        <v>5</v>
      </c>
      <c r="E86" s="157">
        <v>1.51</v>
      </c>
      <c r="F86" s="52">
        <f>F85*E86</f>
        <v>151</v>
      </c>
      <c r="G86" s="47"/>
      <c r="H86" s="377">
        <f>F86*G86</f>
        <v>0</v>
      </c>
      <c r="I86" s="75"/>
      <c r="J86" s="65"/>
    </row>
    <row r="87" spans="1:10" s="141" customFormat="1" ht="31.5" customHeight="1">
      <c r="A87" s="82"/>
      <c r="B87" s="46" t="s">
        <v>4</v>
      </c>
      <c r="C87" s="46" t="s">
        <v>153</v>
      </c>
      <c r="D87" s="46" t="s">
        <v>16</v>
      </c>
      <c r="E87" s="157">
        <v>0.13</v>
      </c>
      <c r="F87" s="52">
        <f>F85*E87</f>
        <v>13</v>
      </c>
      <c r="G87" s="52"/>
      <c r="H87" s="377">
        <f>F87*G87</f>
        <v>0</v>
      </c>
      <c r="I87" s="75"/>
      <c r="J87" s="65"/>
    </row>
    <row r="88" spans="1:10" s="141" customFormat="1" ht="31.5" customHeight="1">
      <c r="A88" s="82"/>
      <c r="B88" s="177" t="s">
        <v>514</v>
      </c>
      <c r="C88" s="46" t="s">
        <v>181</v>
      </c>
      <c r="D88" s="46" t="s">
        <v>15</v>
      </c>
      <c r="E88" s="49">
        <v>1</v>
      </c>
      <c r="F88" s="83">
        <f>E88*F85</f>
        <v>100</v>
      </c>
      <c r="G88" s="52"/>
      <c r="H88" s="52">
        <f>F88*G88</f>
        <v>0</v>
      </c>
      <c r="I88" s="75"/>
      <c r="J88" s="65"/>
    </row>
    <row r="89" spans="1:10" s="141" customFormat="1" ht="31.5" customHeight="1">
      <c r="A89" s="82"/>
      <c r="B89" s="46" t="s">
        <v>4</v>
      </c>
      <c r="C89" s="46" t="s">
        <v>72</v>
      </c>
      <c r="D89" s="46" t="s">
        <v>16</v>
      </c>
      <c r="E89" s="167">
        <v>0.07</v>
      </c>
      <c r="F89" s="52">
        <f>F85*E89</f>
        <v>7.000000000000001</v>
      </c>
      <c r="G89" s="52"/>
      <c r="H89" s="377">
        <f>F89*G89</f>
        <v>0</v>
      </c>
      <c r="I89" s="75"/>
      <c r="J89" s="65"/>
    </row>
    <row r="90" spans="1:10" s="141" customFormat="1" ht="46.5" customHeight="1">
      <c r="A90" s="81" t="s">
        <v>81</v>
      </c>
      <c r="B90" s="54" t="s">
        <v>142</v>
      </c>
      <c r="C90" s="55" t="s">
        <v>517</v>
      </c>
      <c r="D90" s="55" t="s">
        <v>15</v>
      </c>
      <c r="E90" s="55"/>
      <c r="F90" s="226">
        <v>100</v>
      </c>
      <c r="G90" s="70"/>
      <c r="H90" s="380">
        <f>H91+H92+H93+H94</f>
        <v>0</v>
      </c>
      <c r="I90" s="75"/>
      <c r="J90" s="65"/>
    </row>
    <row r="91" spans="1:10" s="141" customFormat="1" ht="32.25" customHeight="1">
      <c r="A91" s="82"/>
      <c r="B91" s="46" t="s">
        <v>4</v>
      </c>
      <c r="C91" s="46" t="s">
        <v>136</v>
      </c>
      <c r="D91" s="46" t="s">
        <v>5</v>
      </c>
      <c r="E91" s="157">
        <v>1.51</v>
      </c>
      <c r="F91" s="52">
        <f>F90*E91</f>
        <v>151</v>
      </c>
      <c r="G91" s="47"/>
      <c r="H91" s="377">
        <f>F91*G91</f>
        <v>0</v>
      </c>
      <c r="I91" s="75"/>
      <c r="J91" s="65"/>
    </row>
    <row r="92" spans="1:10" s="141" customFormat="1" ht="27.75" customHeight="1">
      <c r="A92" s="82"/>
      <c r="B92" s="46" t="s">
        <v>4</v>
      </c>
      <c r="C92" s="46" t="s">
        <v>153</v>
      </c>
      <c r="D92" s="46" t="s">
        <v>16</v>
      </c>
      <c r="E92" s="157">
        <v>0.13</v>
      </c>
      <c r="F92" s="52">
        <f>F90*E92</f>
        <v>13</v>
      </c>
      <c r="G92" s="52"/>
      <c r="H92" s="377">
        <f>F92*G92</f>
        <v>0</v>
      </c>
      <c r="I92" s="75"/>
      <c r="J92" s="65"/>
    </row>
    <row r="93" spans="1:10" s="141" customFormat="1" ht="26.25" customHeight="1">
      <c r="A93" s="82"/>
      <c r="B93" s="177" t="s">
        <v>570</v>
      </c>
      <c r="C93" s="46" t="s">
        <v>515</v>
      </c>
      <c r="D93" s="46" t="s">
        <v>15</v>
      </c>
      <c r="E93" s="49">
        <v>1</v>
      </c>
      <c r="F93" s="105">
        <f>E93*F90</f>
        <v>100</v>
      </c>
      <c r="G93" s="52"/>
      <c r="H93" s="52">
        <f>F93*G93</f>
        <v>0</v>
      </c>
      <c r="I93" s="75"/>
      <c r="J93" s="65"/>
    </row>
    <row r="94" spans="1:10" s="141" customFormat="1" ht="32.25" customHeight="1">
      <c r="A94" s="82"/>
      <c r="B94" s="46" t="s">
        <v>4</v>
      </c>
      <c r="C94" s="46" t="s">
        <v>72</v>
      </c>
      <c r="D94" s="46" t="s">
        <v>16</v>
      </c>
      <c r="E94" s="167">
        <v>0.07</v>
      </c>
      <c r="F94" s="52">
        <f>F90*E94</f>
        <v>7.000000000000001</v>
      </c>
      <c r="G94" s="52"/>
      <c r="H94" s="377">
        <f>F94*G94</f>
        <v>0</v>
      </c>
      <c r="I94" s="75"/>
      <c r="J94" s="65"/>
    </row>
    <row r="95" spans="1:10" s="141" customFormat="1" ht="55.5" customHeight="1">
      <c r="A95" s="215" t="s">
        <v>88</v>
      </c>
      <c r="B95" s="502" t="s">
        <v>1020</v>
      </c>
      <c r="C95" s="215" t="s">
        <v>1023</v>
      </c>
      <c r="D95" s="215" t="s">
        <v>1021</v>
      </c>
      <c r="E95" s="386"/>
      <c r="F95" s="387">
        <v>108</v>
      </c>
      <c r="G95" s="387"/>
      <c r="H95" s="388">
        <f>H96+H98+H99+H97</f>
        <v>0</v>
      </c>
      <c r="I95" s="75"/>
      <c r="J95" s="65"/>
    </row>
    <row r="96" spans="1:10" s="141" customFormat="1" ht="32.25" customHeight="1">
      <c r="A96" s="216"/>
      <c r="B96" s="217" t="s">
        <v>4</v>
      </c>
      <c r="C96" s="217" t="s">
        <v>128</v>
      </c>
      <c r="D96" s="217" t="s">
        <v>5</v>
      </c>
      <c r="E96" s="389">
        <v>0.0861</v>
      </c>
      <c r="F96" s="390">
        <f>E96*F95</f>
        <v>9.2988</v>
      </c>
      <c r="G96" s="390"/>
      <c r="H96" s="218">
        <f>F96*G96</f>
        <v>0</v>
      </c>
      <c r="I96" s="75"/>
      <c r="J96" s="65"/>
    </row>
    <row r="97" spans="1:10" s="141" customFormat="1" ht="29.25" customHeight="1">
      <c r="A97" s="216"/>
      <c r="B97" s="217" t="s">
        <v>4</v>
      </c>
      <c r="C97" s="217" t="s">
        <v>106</v>
      </c>
      <c r="D97" s="503" t="s">
        <v>16</v>
      </c>
      <c r="E97" s="504">
        <v>0.0394</v>
      </c>
      <c r="F97" s="505">
        <f>F95*E97</f>
        <v>4.255199999999999</v>
      </c>
      <c r="G97" s="505"/>
      <c r="H97" s="506">
        <f>F97*G97</f>
        <v>0</v>
      </c>
      <c r="I97" s="75"/>
      <c r="J97" s="65"/>
    </row>
    <row r="98" spans="1:10" s="141" customFormat="1" ht="39" customHeight="1">
      <c r="A98" s="216"/>
      <c r="B98" s="217" t="s">
        <v>1500</v>
      </c>
      <c r="C98" s="217" t="s">
        <v>1024</v>
      </c>
      <c r="D98" s="390" t="s">
        <v>1021</v>
      </c>
      <c r="E98" s="390">
        <v>1.02</v>
      </c>
      <c r="F98" s="390">
        <f>E98*F95</f>
        <v>110.16</v>
      </c>
      <c r="G98" s="391"/>
      <c r="H98" s="218">
        <f>F98*G98</f>
        <v>0</v>
      </c>
      <c r="I98" s="75"/>
      <c r="J98" s="65"/>
    </row>
    <row r="99" spans="1:10" s="141" customFormat="1" ht="33.75" customHeight="1">
      <c r="A99" s="216"/>
      <c r="B99" s="217" t="s">
        <v>4</v>
      </c>
      <c r="C99" s="217" t="s">
        <v>1022</v>
      </c>
      <c r="D99" s="217" t="s">
        <v>16</v>
      </c>
      <c r="E99" s="389">
        <v>0.0184</v>
      </c>
      <c r="F99" s="390">
        <f>E99*F95</f>
        <v>1.9872</v>
      </c>
      <c r="G99" s="505"/>
      <c r="H99" s="218">
        <f>F99*G99</f>
        <v>0</v>
      </c>
      <c r="I99" s="75"/>
      <c r="J99" s="65"/>
    </row>
    <row r="100" spans="1:10" s="141" customFormat="1" ht="54.75" customHeight="1">
      <c r="A100" s="215" t="s">
        <v>68</v>
      </c>
      <c r="B100" s="502" t="s">
        <v>1020</v>
      </c>
      <c r="C100" s="215" t="s">
        <v>1025</v>
      </c>
      <c r="D100" s="215" t="s">
        <v>1021</v>
      </c>
      <c r="E100" s="386"/>
      <c r="F100" s="387">
        <v>520</v>
      </c>
      <c r="G100" s="387"/>
      <c r="H100" s="388">
        <f>H101+H103+H104+H102</f>
        <v>0</v>
      </c>
      <c r="I100" s="75"/>
      <c r="J100" s="65"/>
    </row>
    <row r="101" spans="1:10" s="141" customFormat="1" ht="32.25" customHeight="1">
      <c r="A101" s="216"/>
      <c r="B101" s="217" t="s">
        <v>4</v>
      </c>
      <c r="C101" s="217" t="s">
        <v>128</v>
      </c>
      <c r="D101" s="217" t="s">
        <v>5</v>
      </c>
      <c r="E101" s="389">
        <v>0.0861</v>
      </c>
      <c r="F101" s="390">
        <f>E101*F100</f>
        <v>44.772</v>
      </c>
      <c r="G101" s="390"/>
      <c r="H101" s="218">
        <f>F101*G101</f>
        <v>0</v>
      </c>
      <c r="I101" s="75"/>
      <c r="J101" s="65"/>
    </row>
    <row r="102" spans="1:10" s="141" customFormat="1" ht="32.25" customHeight="1">
      <c r="A102" s="216"/>
      <c r="B102" s="217" t="s">
        <v>4</v>
      </c>
      <c r="C102" s="217" t="s">
        <v>106</v>
      </c>
      <c r="D102" s="503" t="s">
        <v>16</v>
      </c>
      <c r="E102" s="504">
        <v>0.0394</v>
      </c>
      <c r="F102" s="505">
        <f>F100*E102</f>
        <v>20.488</v>
      </c>
      <c r="G102" s="505"/>
      <c r="H102" s="506">
        <f>F102*G102</f>
        <v>0</v>
      </c>
      <c r="I102" s="75"/>
      <c r="J102" s="65"/>
    </row>
    <row r="103" spans="1:10" s="141" customFormat="1" ht="32.25" customHeight="1">
      <c r="A103" s="216"/>
      <c r="B103" s="217" t="s">
        <v>1499</v>
      </c>
      <c r="C103" s="217" t="s">
        <v>1026</v>
      </c>
      <c r="D103" s="390" t="s">
        <v>1021</v>
      </c>
      <c r="E103" s="390">
        <v>1.02</v>
      </c>
      <c r="F103" s="390">
        <f>E103*F100</f>
        <v>530.4</v>
      </c>
      <c r="G103" s="391"/>
      <c r="H103" s="218">
        <f>F103*G103</f>
        <v>0</v>
      </c>
      <c r="I103" s="75"/>
      <c r="J103" s="65"/>
    </row>
    <row r="104" spans="1:10" s="141" customFormat="1" ht="32.25" customHeight="1">
      <c r="A104" s="216"/>
      <c r="B104" s="217" t="s">
        <v>4</v>
      </c>
      <c r="C104" s="217" t="s">
        <v>1022</v>
      </c>
      <c r="D104" s="217" t="s">
        <v>16</v>
      </c>
      <c r="E104" s="389">
        <v>0.0184</v>
      </c>
      <c r="F104" s="390">
        <f>E104*F100</f>
        <v>9.568</v>
      </c>
      <c r="G104" s="505"/>
      <c r="H104" s="218">
        <f>F104*G104</f>
        <v>0</v>
      </c>
      <c r="I104" s="75"/>
      <c r="J104" s="65"/>
    </row>
    <row r="105" spans="1:10" s="141" customFormat="1" ht="46.5" customHeight="1">
      <c r="A105" s="215" t="s">
        <v>74</v>
      </c>
      <c r="B105" s="502" t="s">
        <v>1027</v>
      </c>
      <c r="C105" s="215" t="s">
        <v>1096</v>
      </c>
      <c r="D105" s="215" t="s">
        <v>1021</v>
      </c>
      <c r="E105" s="386"/>
      <c r="F105" s="387">
        <v>8</v>
      </c>
      <c r="G105" s="387"/>
      <c r="H105" s="388">
        <f>H106+H108+H107+H109</f>
        <v>0</v>
      </c>
      <c r="I105" s="75"/>
      <c r="J105" s="65"/>
    </row>
    <row r="106" spans="1:10" s="141" customFormat="1" ht="32.25" customHeight="1">
      <c r="A106" s="216"/>
      <c r="B106" s="217" t="s">
        <v>4</v>
      </c>
      <c r="C106" s="217" t="s">
        <v>128</v>
      </c>
      <c r="D106" s="217" t="s">
        <v>5</v>
      </c>
      <c r="E106" s="389">
        <v>0.0963</v>
      </c>
      <c r="F106" s="390">
        <f>E106*F105</f>
        <v>0.7704</v>
      </c>
      <c r="G106" s="390"/>
      <c r="H106" s="218">
        <f>F106*G106</f>
        <v>0</v>
      </c>
      <c r="I106" s="75"/>
      <c r="J106" s="65"/>
    </row>
    <row r="107" spans="1:10" s="141" customFormat="1" ht="32.25" customHeight="1">
      <c r="A107" s="216"/>
      <c r="B107" s="217" t="s">
        <v>4</v>
      </c>
      <c r="C107" s="217" t="s">
        <v>106</v>
      </c>
      <c r="D107" s="503" t="s">
        <v>16</v>
      </c>
      <c r="E107" s="504">
        <v>0.0451</v>
      </c>
      <c r="F107" s="505">
        <f>F105*E107</f>
        <v>0.3608</v>
      </c>
      <c r="G107" s="505"/>
      <c r="H107" s="506">
        <f>F107*G107</f>
        <v>0</v>
      </c>
      <c r="I107" s="75"/>
      <c r="J107" s="65"/>
    </row>
    <row r="108" spans="1:10" s="141" customFormat="1" ht="32.25" customHeight="1">
      <c r="A108" s="216"/>
      <c r="B108" s="217" t="s">
        <v>1496</v>
      </c>
      <c r="C108" s="217" t="s">
        <v>1098</v>
      </c>
      <c r="D108" s="390" t="s">
        <v>1021</v>
      </c>
      <c r="E108" s="390">
        <v>1.02</v>
      </c>
      <c r="F108" s="390">
        <f>E108*F105</f>
        <v>8.16</v>
      </c>
      <c r="G108" s="390"/>
      <c r="H108" s="218">
        <f>F108*G108</f>
        <v>0</v>
      </c>
      <c r="I108" s="75"/>
      <c r="J108" s="65"/>
    </row>
    <row r="109" spans="1:10" s="141" customFormat="1" ht="32.25" customHeight="1">
      <c r="A109" s="216"/>
      <c r="B109" s="217" t="s">
        <v>4</v>
      </c>
      <c r="C109" s="217" t="s">
        <v>1022</v>
      </c>
      <c r="D109" s="217" t="s">
        <v>16</v>
      </c>
      <c r="E109" s="389">
        <v>0.0218</v>
      </c>
      <c r="F109" s="390">
        <f>E109*F105</f>
        <v>0.1744</v>
      </c>
      <c r="G109" s="505"/>
      <c r="H109" s="218">
        <f>F109*G109</f>
        <v>0</v>
      </c>
      <c r="I109" s="75"/>
      <c r="J109" s="65"/>
    </row>
    <row r="110" spans="1:10" s="141" customFormat="1" ht="42" customHeight="1">
      <c r="A110" s="215" t="s">
        <v>55</v>
      </c>
      <c r="B110" s="502" t="s">
        <v>1027</v>
      </c>
      <c r="C110" s="215" t="s">
        <v>1097</v>
      </c>
      <c r="D110" s="215" t="s">
        <v>1021</v>
      </c>
      <c r="E110" s="386"/>
      <c r="F110" s="387">
        <v>8</v>
      </c>
      <c r="G110" s="387"/>
      <c r="H110" s="388">
        <f>H111+H113+H112+H114</f>
        <v>0</v>
      </c>
      <c r="I110" s="75"/>
      <c r="J110" s="65"/>
    </row>
    <row r="111" spans="1:10" s="141" customFormat="1" ht="32.25" customHeight="1">
      <c r="A111" s="216"/>
      <c r="B111" s="217" t="s">
        <v>4</v>
      </c>
      <c r="C111" s="217" t="s">
        <v>128</v>
      </c>
      <c r="D111" s="217" t="s">
        <v>5</v>
      </c>
      <c r="E111" s="389">
        <v>0.0963</v>
      </c>
      <c r="F111" s="390">
        <f>E111*F110</f>
        <v>0.7704</v>
      </c>
      <c r="G111" s="390"/>
      <c r="H111" s="218">
        <f>F111*G111</f>
        <v>0</v>
      </c>
      <c r="I111" s="75"/>
      <c r="J111" s="65"/>
    </row>
    <row r="112" spans="1:10" s="141" customFormat="1" ht="32.25" customHeight="1">
      <c r="A112" s="216"/>
      <c r="B112" s="217" t="s">
        <v>4</v>
      </c>
      <c r="C112" s="217" t="s">
        <v>106</v>
      </c>
      <c r="D112" s="503" t="s">
        <v>16</v>
      </c>
      <c r="E112" s="504">
        <v>0.0451</v>
      </c>
      <c r="F112" s="505">
        <f>F110*E112</f>
        <v>0.3608</v>
      </c>
      <c r="G112" s="505"/>
      <c r="H112" s="506">
        <f>F112*G112</f>
        <v>0</v>
      </c>
      <c r="I112" s="75"/>
      <c r="J112" s="65"/>
    </row>
    <row r="113" spans="1:10" s="141" customFormat="1" ht="30" customHeight="1">
      <c r="A113" s="216"/>
      <c r="B113" s="217" t="s">
        <v>1497</v>
      </c>
      <c r="C113" s="217" t="s">
        <v>1099</v>
      </c>
      <c r="D113" s="390" t="s">
        <v>1021</v>
      </c>
      <c r="E113" s="390">
        <v>1.02</v>
      </c>
      <c r="F113" s="390">
        <f>E113*F110</f>
        <v>8.16</v>
      </c>
      <c r="G113" s="390"/>
      <c r="H113" s="218">
        <f>F113*G113</f>
        <v>0</v>
      </c>
      <c r="I113" s="75"/>
      <c r="J113" s="65"/>
    </row>
    <row r="114" spans="1:10" s="141" customFormat="1" ht="32.25" customHeight="1">
      <c r="A114" s="216"/>
      <c r="B114" s="217" t="s">
        <v>4</v>
      </c>
      <c r="C114" s="217" t="s">
        <v>1022</v>
      </c>
      <c r="D114" s="217" t="s">
        <v>16</v>
      </c>
      <c r="E114" s="389">
        <v>0.0218</v>
      </c>
      <c r="F114" s="390">
        <f>E114*F110</f>
        <v>0.1744</v>
      </c>
      <c r="G114" s="505"/>
      <c r="H114" s="218">
        <f>F114*G114</f>
        <v>0</v>
      </c>
      <c r="I114" s="75"/>
      <c r="J114" s="65"/>
    </row>
    <row r="115" spans="1:10" s="141" customFormat="1" ht="45" customHeight="1">
      <c r="A115" s="215" t="s">
        <v>51</v>
      </c>
      <c r="B115" s="502" t="s">
        <v>1027</v>
      </c>
      <c r="C115" s="215" t="s">
        <v>1207</v>
      </c>
      <c r="D115" s="215" t="s">
        <v>1021</v>
      </c>
      <c r="E115" s="386"/>
      <c r="F115" s="387">
        <v>8</v>
      </c>
      <c r="G115" s="387"/>
      <c r="H115" s="388">
        <f>H116+H118+H117+H119</f>
        <v>0</v>
      </c>
      <c r="I115" s="75"/>
      <c r="J115" s="65"/>
    </row>
    <row r="116" spans="1:10" s="141" customFormat="1" ht="32.25" customHeight="1">
      <c r="A116" s="216"/>
      <c r="B116" s="217" t="s">
        <v>4</v>
      </c>
      <c r="C116" s="217" t="s">
        <v>128</v>
      </c>
      <c r="D116" s="217" t="s">
        <v>5</v>
      </c>
      <c r="E116" s="389">
        <v>0.0963</v>
      </c>
      <c r="F116" s="390">
        <f>E116*F115</f>
        <v>0.7704</v>
      </c>
      <c r="G116" s="390"/>
      <c r="H116" s="218">
        <f>F116*G116</f>
        <v>0</v>
      </c>
      <c r="I116" s="75"/>
      <c r="J116" s="65"/>
    </row>
    <row r="117" spans="1:10" s="141" customFormat="1" ht="32.25" customHeight="1">
      <c r="A117" s="216"/>
      <c r="B117" s="217" t="s">
        <v>4</v>
      </c>
      <c r="C117" s="217" t="s">
        <v>106</v>
      </c>
      <c r="D117" s="503" t="s">
        <v>16</v>
      </c>
      <c r="E117" s="504">
        <v>0.0451</v>
      </c>
      <c r="F117" s="505">
        <f>F115*E117</f>
        <v>0.3608</v>
      </c>
      <c r="G117" s="505"/>
      <c r="H117" s="506">
        <f>F117*G117</f>
        <v>0</v>
      </c>
      <c r="I117" s="75"/>
      <c r="J117" s="65"/>
    </row>
    <row r="118" spans="1:10" s="141" customFormat="1" ht="32.25" customHeight="1">
      <c r="A118" s="216"/>
      <c r="B118" s="217" t="s">
        <v>1498</v>
      </c>
      <c r="C118" s="217" t="s">
        <v>1208</v>
      </c>
      <c r="D118" s="390" t="s">
        <v>1021</v>
      </c>
      <c r="E118" s="390">
        <v>1.02</v>
      </c>
      <c r="F118" s="390">
        <f>E118*F115</f>
        <v>8.16</v>
      </c>
      <c r="G118" s="390"/>
      <c r="H118" s="218">
        <f>F118*G118</f>
        <v>0</v>
      </c>
      <c r="I118" s="75"/>
      <c r="J118" s="65"/>
    </row>
    <row r="119" spans="1:10" s="141" customFormat="1" ht="32.25" customHeight="1">
      <c r="A119" s="216"/>
      <c r="B119" s="217" t="s">
        <v>4</v>
      </c>
      <c r="C119" s="217" t="s">
        <v>1022</v>
      </c>
      <c r="D119" s="217" t="s">
        <v>16</v>
      </c>
      <c r="E119" s="389">
        <v>0.0218</v>
      </c>
      <c r="F119" s="390">
        <f>E119*F115</f>
        <v>0.1744</v>
      </c>
      <c r="G119" s="505"/>
      <c r="H119" s="218">
        <f>F119*G119</f>
        <v>0</v>
      </c>
      <c r="I119" s="75"/>
      <c r="J119" s="65"/>
    </row>
    <row r="120" spans="1:12" s="1" customFormat="1" ht="34.5" customHeight="1">
      <c r="A120" s="497"/>
      <c r="B120" s="376"/>
      <c r="C120" s="375" t="s">
        <v>144</v>
      </c>
      <c r="D120" s="375" t="s">
        <v>16</v>
      </c>
      <c r="E120" s="496"/>
      <c r="F120" s="496"/>
      <c r="G120" s="496"/>
      <c r="H120" s="380">
        <f>H8+H24+H33+H42+H51+H60+H75+H80+H85+H90+H95+H100+H110+H105+H115+H67</f>
        <v>0</v>
      </c>
      <c r="I120" s="24"/>
      <c r="J120" s="24"/>
      <c r="K120" s="24"/>
      <c r="L120" s="24"/>
    </row>
    <row r="121" spans="1:8" ht="31.5" customHeight="1">
      <c r="A121" s="82"/>
      <c r="B121" s="48"/>
      <c r="C121" s="46" t="s">
        <v>227</v>
      </c>
      <c r="D121" s="46" t="s">
        <v>16</v>
      </c>
      <c r="E121" s="46"/>
      <c r="F121" s="53">
        <v>0.1</v>
      </c>
      <c r="G121" s="46"/>
      <c r="H121" s="52">
        <f>H120*F121</f>
        <v>0</v>
      </c>
    </row>
    <row r="122" spans="1:8" ht="35.25" customHeight="1">
      <c r="A122" s="82"/>
      <c r="B122" s="54"/>
      <c r="C122" s="55" t="s">
        <v>127</v>
      </c>
      <c r="D122" s="55" t="s">
        <v>16</v>
      </c>
      <c r="E122" s="55"/>
      <c r="F122" s="55"/>
      <c r="G122" s="55"/>
      <c r="H122" s="160">
        <f>H120+H121</f>
        <v>0</v>
      </c>
    </row>
    <row r="123" spans="1:8" ht="33" customHeight="1">
      <c r="A123" s="82"/>
      <c r="B123" s="48"/>
      <c r="C123" s="46" t="s">
        <v>39</v>
      </c>
      <c r="D123" s="46" t="s">
        <v>16</v>
      </c>
      <c r="E123" s="46"/>
      <c r="F123" s="53">
        <v>0.08</v>
      </c>
      <c r="G123" s="46"/>
      <c r="H123" s="52">
        <f>H122*F123</f>
        <v>0</v>
      </c>
    </row>
    <row r="124" spans="1:8" ht="52.5" customHeight="1">
      <c r="A124" s="72"/>
      <c r="B124" s="54"/>
      <c r="C124" s="619" t="s">
        <v>1655</v>
      </c>
      <c r="D124" s="55" t="s">
        <v>16</v>
      </c>
      <c r="E124" s="55"/>
      <c r="F124" s="162"/>
      <c r="G124" s="55"/>
      <c r="H124" s="160">
        <f>SUM(H122:H123)</f>
        <v>0</v>
      </c>
    </row>
    <row r="125" spans="1:8" ht="27" customHeight="1">
      <c r="A125" s="56"/>
      <c r="B125" s="57"/>
      <c r="C125" s="58"/>
      <c r="D125" s="59"/>
      <c r="E125" s="60"/>
      <c r="F125" s="60"/>
      <c r="G125" s="60"/>
      <c r="H125" s="78"/>
    </row>
    <row r="126" spans="1:12" s="24" customFormat="1" ht="30" customHeight="1">
      <c r="A126" s="56"/>
      <c r="B126" s="57"/>
      <c r="C126" s="58"/>
      <c r="D126" s="59"/>
      <c r="E126" s="60"/>
      <c r="F126" s="60"/>
      <c r="G126" s="60"/>
      <c r="H126" s="78"/>
      <c r="I126" s="203"/>
      <c r="J126" s="204"/>
      <c r="K126" s="204"/>
      <c r="L126" s="204"/>
    </row>
    <row r="127" spans="1:12" s="24" customFormat="1" ht="15.75">
      <c r="A127" s="62"/>
      <c r="B127" s="57"/>
      <c r="C127" s="63"/>
      <c r="D127" s="659"/>
      <c r="E127" s="659"/>
      <c r="F127" s="659"/>
      <c r="G127" s="123"/>
      <c r="H127" s="196"/>
      <c r="I127" s="203"/>
      <c r="J127" s="204"/>
      <c r="K127" s="204"/>
      <c r="L127" s="204"/>
    </row>
    <row r="128" spans="1:12" s="24" customFormat="1" ht="18.75" customHeight="1">
      <c r="A128" s="499"/>
      <c r="B128" s="143"/>
      <c r="C128" s="210"/>
      <c r="D128" s="210"/>
      <c r="E128" s="210"/>
      <c r="F128" s="210"/>
      <c r="G128" s="210"/>
      <c r="H128" s="385"/>
      <c r="I128" s="203"/>
      <c r="J128" s="204"/>
      <c r="K128" s="204"/>
      <c r="L128" s="204"/>
    </row>
    <row r="129" spans="1:12" s="24" customFormat="1" ht="15.75">
      <c r="A129" s="499"/>
      <c r="B129" s="143"/>
      <c r="C129" s="210"/>
      <c r="D129" s="210"/>
      <c r="E129" s="210"/>
      <c r="F129" s="210"/>
      <c r="G129" s="210"/>
      <c r="H129" s="385"/>
      <c r="I129" s="203"/>
      <c r="J129" s="204"/>
      <c r="K129" s="204"/>
      <c r="L129" s="204"/>
    </row>
  </sheetData>
  <sheetProtection/>
  <autoFilter ref="A7:L124"/>
  <mergeCells count="11">
    <mergeCell ref="E5:F5"/>
    <mergeCell ref="G5:H5"/>
    <mergeCell ref="A1:H1"/>
    <mergeCell ref="A2:H2"/>
    <mergeCell ref="A3:H3"/>
    <mergeCell ref="A4:H4"/>
    <mergeCell ref="D127:F127"/>
    <mergeCell ref="A5:A6"/>
    <mergeCell ref="B5:B6"/>
    <mergeCell ref="C5:C6"/>
    <mergeCell ref="D5:D6"/>
  </mergeCells>
  <printOptions/>
  <pageMargins left="0.28" right="0.47" top="0.31" bottom="0.46"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I37"/>
  <sheetViews>
    <sheetView zoomScalePageLayoutView="0" workbookViewId="0" topLeftCell="A1">
      <selection activeCell="G8" sqref="G8:G17"/>
    </sheetView>
  </sheetViews>
  <sheetFormatPr defaultColWidth="9.140625" defaultRowHeight="12.75"/>
  <cols>
    <col min="1" max="1" width="4.140625" style="145" customWidth="1"/>
    <col min="2" max="2" width="10.8515625" style="146" customWidth="1"/>
    <col min="3" max="3" width="31.57421875" style="204" customWidth="1"/>
    <col min="4" max="5" width="7.57421875" style="204" customWidth="1"/>
    <col min="6" max="6" width="9.8515625" style="204" customWidth="1"/>
    <col min="7" max="7" width="10.28125" style="204" customWidth="1"/>
    <col min="8" max="8" width="10.7109375" style="203" customWidth="1"/>
    <col min="9" max="9" width="16.140625" style="203" hidden="1" customWidth="1"/>
    <col min="10" max="10" width="22.140625" style="204" hidden="1" customWidth="1"/>
    <col min="11" max="11" width="1.57421875" style="204" customWidth="1"/>
    <col min="12" max="12" width="12.8515625" style="204" customWidth="1"/>
    <col min="13" max="16384" width="9.140625" style="204" customWidth="1"/>
  </cols>
  <sheetData>
    <row r="1" spans="1:9" ht="32.25" customHeight="1">
      <c r="A1" s="662" t="str">
        <f>'ლხ #1-3'!A1:H1</f>
        <v>qobuleTis municipalitetis sofel xucubanSi sajaro skolis Zveli korpusebis demontaJi da axali skolis Senobis mSenebloba</v>
      </c>
      <c r="B1" s="662"/>
      <c r="C1" s="662"/>
      <c r="D1" s="662"/>
      <c r="E1" s="662"/>
      <c r="F1" s="662"/>
      <c r="G1" s="662"/>
      <c r="H1" s="662"/>
      <c r="I1" s="204"/>
    </row>
    <row r="2" spans="1:9" ht="16.5" customHeight="1">
      <c r="A2" s="662" t="s">
        <v>308</v>
      </c>
      <c r="B2" s="662"/>
      <c r="C2" s="662"/>
      <c r="D2" s="662"/>
      <c r="E2" s="662"/>
      <c r="F2" s="662"/>
      <c r="G2" s="662"/>
      <c r="H2" s="662"/>
      <c r="I2" s="204"/>
    </row>
    <row r="3" spans="1:9" ht="7.5" customHeight="1">
      <c r="A3" s="662"/>
      <c r="B3" s="662"/>
      <c r="C3" s="662"/>
      <c r="D3" s="662"/>
      <c r="E3" s="662"/>
      <c r="F3" s="662"/>
      <c r="G3" s="662"/>
      <c r="H3" s="662"/>
      <c r="I3" s="138"/>
    </row>
    <row r="4" spans="1:9" ht="16.5" customHeight="1">
      <c r="A4" s="662" t="s">
        <v>216</v>
      </c>
      <c r="B4" s="662"/>
      <c r="C4" s="662"/>
      <c r="D4" s="662"/>
      <c r="E4" s="662"/>
      <c r="F4" s="662"/>
      <c r="G4" s="662"/>
      <c r="H4" s="662"/>
      <c r="I4" s="204"/>
    </row>
    <row r="5" spans="1:8" s="152" customFormat="1" ht="38.25" customHeight="1">
      <c r="A5" s="670" t="s">
        <v>7</v>
      </c>
      <c r="B5" s="674" t="s">
        <v>8</v>
      </c>
      <c r="C5" s="670" t="s">
        <v>132</v>
      </c>
      <c r="D5" s="674" t="s">
        <v>133</v>
      </c>
      <c r="E5" s="670" t="s">
        <v>10</v>
      </c>
      <c r="F5" s="670"/>
      <c r="G5" s="670" t="s">
        <v>134</v>
      </c>
      <c r="H5" s="670"/>
    </row>
    <row r="6" spans="1:8" s="152" customFormat="1" ht="79.5" customHeight="1">
      <c r="A6" s="670"/>
      <c r="B6" s="674"/>
      <c r="C6" s="670"/>
      <c r="D6" s="674"/>
      <c r="E6" s="490" t="s">
        <v>111</v>
      </c>
      <c r="F6" s="490" t="s">
        <v>112</v>
      </c>
      <c r="G6" s="490" t="s">
        <v>111</v>
      </c>
      <c r="H6" s="490" t="s">
        <v>31</v>
      </c>
    </row>
    <row r="7" spans="1:8" s="152" customFormat="1" ht="19.5" customHeight="1">
      <c r="A7" s="491">
        <v>1</v>
      </c>
      <c r="B7" s="491">
        <v>2</v>
      </c>
      <c r="C7" s="491">
        <v>3</v>
      </c>
      <c r="D7" s="491">
        <v>4</v>
      </c>
      <c r="E7" s="491">
        <v>5</v>
      </c>
      <c r="F7" s="491">
        <v>6</v>
      </c>
      <c r="G7" s="491">
        <v>7</v>
      </c>
      <c r="H7" s="491">
        <v>8</v>
      </c>
    </row>
    <row r="8" spans="1:8" s="152" customFormat="1" ht="72.75" customHeight="1">
      <c r="A8" s="376" t="s">
        <v>13</v>
      </c>
      <c r="B8" s="378" t="s">
        <v>627</v>
      </c>
      <c r="C8" s="375" t="s">
        <v>681</v>
      </c>
      <c r="D8" s="375" t="s">
        <v>43</v>
      </c>
      <c r="E8" s="375"/>
      <c r="F8" s="226">
        <v>60</v>
      </c>
      <c r="G8" s="375"/>
      <c r="H8" s="380">
        <f>SUM(H9:H13)</f>
        <v>0</v>
      </c>
    </row>
    <row r="9" spans="1:8" s="152" customFormat="1" ht="28.5" customHeight="1">
      <c r="A9" s="497"/>
      <c r="B9" s="497" t="s">
        <v>4</v>
      </c>
      <c r="C9" s="496" t="s">
        <v>148</v>
      </c>
      <c r="D9" s="496" t="s">
        <v>5</v>
      </c>
      <c r="E9" s="225">
        <v>1.54</v>
      </c>
      <c r="F9" s="377">
        <f>F8*E9</f>
        <v>92.4</v>
      </c>
      <c r="G9" s="222"/>
      <c r="H9" s="377">
        <f>F9*G9</f>
        <v>0</v>
      </c>
    </row>
    <row r="10" spans="1:8" s="152" customFormat="1" ht="28.5" customHeight="1">
      <c r="A10" s="497"/>
      <c r="B10" s="497" t="s">
        <v>4</v>
      </c>
      <c r="C10" s="496" t="s">
        <v>137</v>
      </c>
      <c r="D10" s="496" t="s">
        <v>16</v>
      </c>
      <c r="E10" s="225">
        <v>0.0373</v>
      </c>
      <c r="F10" s="377">
        <f>F8*E10</f>
        <v>2.238</v>
      </c>
      <c r="G10" s="377"/>
      <c r="H10" s="377">
        <f>F10*G10</f>
        <v>0</v>
      </c>
    </row>
    <row r="11" spans="1:8" s="152" customFormat="1" ht="34.5" customHeight="1">
      <c r="A11" s="497"/>
      <c r="B11" s="496" t="s">
        <v>1453</v>
      </c>
      <c r="C11" s="496" t="s">
        <v>991</v>
      </c>
      <c r="D11" s="496" t="s">
        <v>43</v>
      </c>
      <c r="E11" s="222">
        <v>1</v>
      </c>
      <c r="F11" s="377">
        <f>E11*F8</f>
        <v>60</v>
      </c>
      <c r="G11" s="377"/>
      <c r="H11" s="377">
        <f>F11*G11</f>
        <v>0</v>
      </c>
    </row>
    <row r="12" spans="1:8" s="152" customFormat="1" ht="32.25" customHeight="1">
      <c r="A12" s="497"/>
      <c r="B12" s="314" t="s">
        <v>1349</v>
      </c>
      <c r="C12" s="496" t="s">
        <v>521</v>
      </c>
      <c r="D12" s="496" t="s">
        <v>53</v>
      </c>
      <c r="E12" s="222">
        <v>0.65</v>
      </c>
      <c r="F12" s="377">
        <f>E12*F8</f>
        <v>39</v>
      </c>
      <c r="G12" s="377"/>
      <c r="H12" s="377">
        <f>F12*G12</f>
        <v>0</v>
      </c>
    </row>
    <row r="13" spans="1:8" s="152" customFormat="1" ht="30" customHeight="1">
      <c r="A13" s="497"/>
      <c r="B13" s="373" t="s">
        <v>4</v>
      </c>
      <c r="C13" s="496" t="s">
        <v>18</v>
      </c>
      <c r="D13" s="496" t="s">
        <v>16</v>
      </c>
      <c r="E13" s="373">
        <v>0.169</v>
      </c>
      <c r="F13" s="377">
        <f>F8*E13</f>
        <v>10.14</v>
      </c>
      <c r="G13" s="377"/>
      <c r="H13" s="377">
        <f>F13*G13</f>
        <v>0</v>
      </c>
    </row>
    <row r="14" spans="1:8" s="152" customFormat="1" ht="47.25" customHeight="1">
      <c r="A14" s="376" t="s">
        <v>37</v>
      </c>
      <c r="B14" s="378" t="s">
        <v>522</v>
      </c>
      <c r="C14" s="375" t="s">
        <v>625</v>
      </c>
      <c r="D14" s="374" t="s">
        <v>15</v>
      </c>
      <c r="E14" s="375"/>
      <c r="F14" s="226">
        <v>44</v>
      </c>
      <c r="G14" s="226"/>
      <c r="H14" s="380">
        <f>SUM(H15:H17)</f>
        <v>0</v>
      </c>
    </row>
    <row r="15" spans="1:8" s="152" customFormat="1" ht="28.5" customHeight="1">
      <c r="A15" s="497"/>
      <c r="B15" s="224" t="s">
        <v>4</v>
      </c>
      <c r="C15" s="496" t="s">
        <v>136</v>
      </c>
      <c r="D15" s="496" t="s">
        <v>5</v>
      </c>
      <c r="E15" s="222">
        <v>1.34</v>
      </c>
      <c r="F15" s="377">
        <f>F14*E15</f>
        <v>58.96</v>
      </c>
      <c r="G15" s="222"/>
      <c r="H15" s="377">
        <f>F15*G15</f>
        <v>0</v>
      </c>
    </row>
    <row r="16" spans="1:8" s="152" customFormat="1" ht="30" customHeight="1">
      <c r="A16" s="497"/>
      <c r="B16" s="497" t="s">
        <v>1454</v>
      </c>
      <c r="C16" s="496" t="s">
        <v>626</v>
      </c>
      <c r="D16" s="373" t="s">
        <v>15</v>
      </c>
      <c r="E16" s="377">
        <v>1</v>
      </c>
      <c r="F16" s="377">
        <f>E16*F14</f>
        <v>44</v>
      </c>
      <c r="G16" s="377"/>
      <c r="H16" s="377">
        <f>F16*G16</f>
        <v>0</v>
      </c>
    </row>
    <row r="17" spans="1:8" s="152" customFormat="1" ht="30" customHeight="1">
      <c r="A17" s="497"/>
      <c r="B17" s="168" t="s">
        <v>4</v>
      </c>
      <c r="C17" s="496" t="s">
        <v>18</v>
      </c>
      <c r="D17" s="496" t="s">
        <v>16</v>
      </c>
      <c r="E17" s="377">
        <v>0.16</v>
      </c>
      <c r="F17" s="377">
        <f>F14*E17</f>
        <v>7.04</v>
      </c>
      <c r="G17" s="377"/>
      <c r="H17" s="377">
        <f>F17*G17</f>
        <v>0</v>
      </c>
    </row>
    <row r="18" spans="1:8" ht="42.75" customHeight="1">
      <c r="A18" s="376"/>
      <c r="B18" s="375"/>
      <c r="C18" s="375" t="s">
        <v>89</v>
      </c>
      <c r="D18" s="375" t="s">
        <v>16</v>
      </c>
      <c r="E18" s="375"/>
      <c r="F18" s="375"/>
      <c r="G18" s="226"/>
      <c r="H18" s="226">
        <f>H8+H14</f>
        <v>0</v>
      </c>
    </row>
    <row r="19" spans="1:8" ht="32.25" customHeight="1">
      <c r="A19" s="82"/>
      <c r="B19" s="48"/>
      <c r="C19" s="46" t="s">
        <v>227</v>
      </c>
      <c r="D19" s="46" t="s">
        <v>16</v>
      </c>
      <c r="E19" s="46"/>
      <c r="F19" s="53">
        <v>0.1</v>
      </c>
      <c r="G19" s="47"/>
      <c r="H19" s="52">
        <f>H18*F19</f>
        <v>0</v>
      </c>
    </row>
    <row r="20" spans="1:8" ht="26.25" customHeight="1">
      <c r="A20" s="82"/>
      <c r="B20" s="54"/>
      <c r="C20" s="55" t="s">
        <v>127</v>
      </c>
      <c r="D20" s="55" t="s">
        <v>16</v>
      </c>
      <c r="E20" s="55"/>
      <c r="F20" s="55"/>
      <c r="G20" s="70"/>
      <c r="H20" s="160">
        <f>H18+H19</f>
        <v>0</v>
      </c>
    </row>
    <row r="21" spans="1:8" ht="25.5" customHeight="1">
      <c r="A21" s="82"/>
      <c r="B21" s="48"/>
      <c r="C21" s="46" t="s">
        <v>39</v>
      </c>
      <c r="D21" s="46" t="s">
        <v>16</v>
      </c>
      <c r="E21" s="46"/>
      <c r="F21" s="53">
        <v>0.08</v>
      </c>
      <c r="G21" s="46"/>
      <c r="H21" s="52">
        <f>H20*F21</f>
        <v>0</v>
      </c>
    </row>
    <row r="22" spans="1:8" ht="59.25" customHeight="1">
      <c r="A22" s="72"/>
      <c r="B22" s="54"/>
      <c r="C22" s="619" t="s">
        <v>1611</v>
      </c>
      <c r="D22" s="55" t="s">
        <v>16</v>
      </c>
      <c r="E22" s="55"/>
      <c r="F22" s="162"/>
      <c r="G22" s="55"/>
      <c r="H22" s="160">
        <f>SUM(H20:H21)</f>
        <v>0</v>
      </c>
    </row>
    <row r="23" spans="1:8" ht="26.25" customHeight="1">
      <c r="A23" s="675"/>
      <c r="B23" s="675"/>
      <c r="C23" s="675"/>
      <c r="D23" s="675"/>
      <c r="E23" s="675"/>
      <c r="F23" s="675"/>
      <c r="G23" s="675"/>
      <c r="H23" s="675"/>
    </row>
    <row r="24" spans="1:8" ht="15.75">
      <c r="A24" s="62"/>
      <c r="B24" s="57"/>
      <c r="C24" s="63"/>
      <c r="D24" s="659"/>
      <c r="E24" s="659"/>
      <c r="F24" s="659"/>
      <c r="G24" s="123"/>
      <c r="H24" s="64"/>
    </row>
    <row r="25" spans="1:8" ht="16.5">
      <c r="A25" s="150"/>
      <c r="B25" s="151"/>
      <c r="C25" s="494"/>
      <c r="D25" s="494"/>
      <c r="E25" s="494"/>
      <c r="F25" s="676"/>
      <c r="G25" s="676"/>
      <c r="H25" s="151"/>
    </row>
    <row r="26" spans="1:8" ht="16.5">
      <c r="A26" s="150"/>
      <c r="B26" s="149"/>
      <c r="C26" s="495"/>
      <c r="D26" s="153"/>
      <c r="E26" s="153"/>
      <c r="F26" s="677"/>
      <c r="G26" s="677"/>
      <c r="H26" s="149"/>
    </row>
    <row r="27" spans="1:8" ht="15.75">
      <c r="A27" s="499"/>
      <c r="B27" s="143"/>
      <c r="C27" s="210"/>
      <c r="D27" s="210"/>
      <c r="E27" s="210"/>
      <c r="F27" s="210"/>
      <c r="G27" s="210"/>
      <c r="H27" s="144"/>
    </row>
    <row r="28" spans="1:8" ht="15.75">
      <c r="A28" s="499"/>
      <c r="B28" s="143"/>
      <c r="C28" s="210"/>
      <c r="D28" s="210"/>
      <c r="E28" s="210"/>
      <c r="F28" s="210"/>
      <c r="G28" s="210"/>
      <c r="H28" s="144"/>
    </row>
    <row r="29" spans="1:8" ht="15.75">
      <c r="A29" s="499"/>
      <c r="B29" s="143"/>
      <c r="C29" s="210"/>
      <c r="D29" s="210"/>
      <c r="E29" s="210"/>
      <c r="F29" s="210"/>
      <c r="G29" s="210"/>
      <c r="H29" s="144"/>
    </row>
    <row r="30" spans="1:8" ht="15.75">
      <c r="A30" s="499"/>
      <c r="B30" s="143"/>
      <c r="C30" s="210"/>
      <c r="D30" s="210"/>
      <c r="E30" s="210"/>
      <c r="F30" s="210"/>
      <c r="G30" s="210"/>
      <c r="H30" s="144"/>
    </row>
    <row r="31" spans="1:8" ht="15.75">
      <c r="A31" s="499"/>
      <c r="B31" s="143"/>
      <c r="C31" s="210"/>
      <c r="D31" s="210"/>
      <c r="E31" s="210"/>
      <c r="F31" s="210"/>
      <c r="G31" s="210"/>
      <c r="H31" s="144"/>
    </row>
    <row r="32" spans="1:8" ht="15.75">
      <c r="A32" s="499"/>
      <c r="B32" s="143"/>
      <c r="C32" s="210"/>
      <c r="D32" s="210"/>
      <c r="E32" s="210"/>
      <c r="F32" s="210"/>
      <c r="G32" s="210"/>
      <c r="H32" s="144"/>
    </row>
    <row r="33" spans="1:8" ht="15.75">
      <c r="A33" s="499"/>
      <c r="B33" s="143"/>
      <c r="C33" s="210"/>
      <c r="D33" s="210"/>
      <c r="E33" s="210"/>
      <c r="F33" s="210"/>
      <c r="G33" s="210"/>
      <c r="H33" s="144"/>
    </row>
    <row r="34" spans="1:8" ht="15.75">
      <c r="A34" s="499"/>
      <c r="B34" s="143"/>
      <c r="C34" s="210"/>
      <c r="D34" s="210"/>
      <c r="E34" s="210"/>
      <c r="F34" s="210"/>
      <c r="G34" s="210"/>
      <c r="H34" s="144"/>
    </row>
    <row r="35" spans="1:8" ht="15.75">
      <c r="A35" s="499"/>
      <c r="B35" s="143"/>
      <c r="C35" s="210"/>
      <c r="D35" s="210"/>
      <c r="E35" s="210"/>
      <c r="F35" s="210"/>
      <c r="G35" s="210"/>
      <c r="H35" s="144"/>
    </row>
    <row r="36" spans="1:8" ht="15.75">
      <c r="A36" s="499"/>
      <c r="B36" s="143"/>
      <c r="C36" s="210"/>
      <c r="D36" s="210"/>
      <c r="E36" s="210"/>
      <c r="F36" s="210"/>
      <c r="G36" s="210"/>
      <c r="H36" s="144"/>
    </row>
    <row r="37" spans="1:8" ht="15.75">
      <c r="A37" s="499"/>
      <c r="B37" s="143"/>
      <c r="C37" s="210"/>
      <c r="D37" s="210"/>
      <c r="E37" s="210"/>
      <c r="F37" s="210"/>
      <c r="G37" s="210"/>
      <c r="H37" s="144"/>
    </row>
  </sheetData>
  <sheetProtection/>
  <mergeCells count="14">
    <mergeCell ref="F25:G25"/>
    <mergeCell ref="F26:G26"/>
    <mergeCell ref="A5:A6"/>
    <mergeCell ref="B5:B6"/>
    <mergeCell ref="C5:C6"/>
    <mergeCell ref="D5:D6"/>
    <mergeCell ref="E5:F5"/>
    <mergeCell ref="G5:H5"/>
    <mergeCell ref="A1:H1"/>
    <mergeCell ref="A2:H2"/>
    <mergeCell ref="A3:H3"/>
    <mergeCell ref="A4:H4"/>
    <mergeCell ref="D24:F24"/>
    <mergeCell ref="A23:H23"/>
  </mergeCells>
  <printOptions/>
  <pageMargins left="0.7" right="0.33" top="0.25" bottom="0.39"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O181"/>
  <sheetViews>
    <sheetView zoomScalePageLayoutView="0" workbookViewId="0" topLeftCell="A1">
      <selection activeCell="C5" sqref="C5:C6"/>
    </sheetView>
  </sheetViews>
  <sheetFormatPr defaultColWidth="9.140625" defaultRowHeight="12.75"/>
  <cols>
    <col min="1" max="1" width="4.140625" style="145" customWidth="1"/>
    <col min="2" max="2" width="9.8515625" style="146" customWidth="1"/>
    <col min="3" max="3" width="43.8515625" style="204" customWidth="1"/>
    <col min="4" max="4" width="6.7109375" style="204" customWidth="1"/>
    <col min="5" max="5" width="7.28125" style="204" customWidth="1"/>
    <col min="6" max="6" width="8.421875" style="204" customWidth="1"/>
    <col min="7" max="7" width="6.421875" style="1" customWidth="1"/>
    <col min="8" max="8" width="10.7109375" style="11" customWidth="1"/>
    <col min="9" max="9" width="9.00390625" style="11" hidden="1" customWidth="1"/>
    <col min="10" max="10" width="10.57421875" style="7" hidden="1" customWidth="1"/>
    <col min="11" max="11" width="7.57421875" style="3" hidden="1" customWidth="1"/>
    <col min="12" max="12" width="9.140625" style="3" hidden="1" customWidth="1"/>
    <col min="13" max="13" width="0" style="3" hidden="1" customWidth="1"/>
    <col min="14" max="14" width="0.42578125" style="3" customWidth="1"/>
    <col min="15" max="15" width="14.57421875" style="1" customWidth="1"/>
    <col min="16" max="16384" width="9.140625" style="1" customWidth="1"/>
  </cols>
  <sheetData>
    <row r="1" spans="1:10" ht="38.25" customHeight="1">
      <c r="A1" s="642" t="str">
        <f>'ლ.რ № 1-2'!A1:H1</f>
        <v>qobuleTis municipalitetis sofel xucubanSi sajaro skolis Zveli korpusebis demontaJi da axali skolis Senobis mSenebloba</v>
      </c>
      <c r="B1" s="642"/>
      <c r="C1" s="642"/>
      <c r="D1" s="642"/>
      <c r="E1" s="642"/>
      <c r="F1" s="642"/>
      <c r="G1" s="642"/>
      <c r="H1" s="642"/>
      <c r="I1" s="3"/>
      <c r="J1" s="2"/>
    </row>
    <row r="2" spans="1:10" ht="18.75" customHeight="1">
      <c r="A2" s="661" t="s">
        <v>309</v>
      </c>
      <c r="B2" s="661"/>
      <c r="C2" s="661"/>
      <c r="D2" s="661"/>
      <c r="E2" s="661"/>
      <c r="F2" s="661"/>
      <c r="G2" s="661"/>
      <c r="H2" s="661"/>
      <c r="I2" s="3"/>
      <c r="J2" s="2"/>
    </row>
    <row r="3" spans="1:10" ht="6.75" customHeight="1">
      <c r="A3" s="662"/>
      <c r="B3" s="662"/>
      <c r="C3" s="662"/>
      <c r="D3" s="662"/>
      <c r="E3" s="662"/>
      <c r="F3" s="662"/>
      <c r="G3" s="662"/>
      <c r="H3" s="662"/>
      <c r="I3" s="3"/>
      <c r="J3" s="2"/>
    </row>
    <row r="4" spans="1:10" ht="16.5" customHeight="1">
      <c r="A4" s="662" t="s">
        <v>116</v>
      </c>
      <c r="B4" s="662"/>
      <c r="C4" s="662"/>
      <c r="D4" s="662"/>
      <c r="E4" s="662"/>
      <c r="F4" s="662"/>
      <c r="G4" s="662"/>
      <c r="H4" s="662"/>
      <c r="I4" s="3"/>
      <c r="J4" s="2"/>
    </row>
    <row r="5" spans="1:11" ht="27.75" customHeight="1">
      <c r="A5" s="680" t="s">
        <v>7</v>
      </c>
      <c r="B5" s="668" t="s">
        <v>8</v>
      </c>
      <c r="C5" s="681" t="s">
        <v>9</v>
      </c>
      <c r="D5" s="678" t="s">
        <v>6</v>
      </c>
      <c r="E5" s="679" t="s">
        <v>10</v>
      </c>
      <c r="F5" s="679"/>
      <c r="G5" s="654" t="s">
        <v>1</v>
      </c>
      <c r="H5" s="654"/>
      <c r="I5" s="10"/>
      <c r="J5" s="17"/>
      <c r="K5" s="10"/>
    </row>
    <row r="6" spans="1:11" ht="54" customHeight="1">
      <c r="A6" s="680"/>
      <c r="B6" s="668"/>
      <c r="C6" s="681"/>
      <c r="D6" s="678"/>
      <c r="E6" s="184" t="s">
        <v>11</v>
      </c>
      <c r="F6" s="184" t="s">
        <v>12</v>
      </c>
      <c r="G6" s="44" t="s">
        <v>11</v>
      </c>
      <c r="H6" s="155" t="s">
        <v>12</v>
      </c>
      <c r="I6" s="12"/>
      <c r="J6" s="8"/>
      <c r="K6" s="10"/>
    </row>
    <row r="7" spans="1:14" s="5" customFormat="1" ht="24" customHeight="1">
      <c r="A7" s="376" t="s">
        <v>13</v>
      </c>
      <c r="B7" s="376">
        <v>2</v>
      </c>
      <c r="C7" s="375">
        <v>3</v>
      </c>
      <c r="D7" s="375">
        <v>4</v>
      </c>
      <c r="E7" s="375">
        <v>5</v>
      </c>
      <c r="F7" s="375">
        <v>6</v>
      </c>
      <c r="G7" s="101">
        <v>7</v>
      </c>
      <c r="H7" s="71">
        <v>8</v>
      </c>
      <c r="I7" s="9"/>
      <c r="J7" s="9"/>
      <c r="K7" s="16"/>
      <c r="L7" s="6"/>
      <c r="M7" s="6"/>
      <c r="N7" s="6"/>
    </row>
    <row r="8" spans="1:14" s="5" customFormat="1" ht="48.75" customHeight="1">
      <c r="A8" s="322">
        <v>1</v>
      </c>
      <c r="B8" s="325" t="s">
        <v>155</v>
      </c>
      <c r="C8" s="277" t="s">
        <v>636</v>
      </c>
      <c r="D8" s="277" t="s">
        <v>15</v>
      </c>
      <c r="E8" s="277"/>
      <c r="F8" s="323">
        <v>1</v>
      </c>
      <c r="G8" s="176"/>
      <c r="H8" s="333">
        <f>SUM(H9:H12)</f>
        <v>0</v>
      </c>
      <c r="I8" s="9"/>
      <c r="J8" s="9"/>
      <c r="K8" s="16"/>
      <c r="L8" s="6"/>
      <c r="M8" s="6"/>
      <c r="N8" s="6"/>
    </row>
    <row r="9" spans="1:14" s="5" customFormat="1" ht="30.75" customHeight="1">
      <c r="A9" s="497"/>
      <c r="B9" s="224" t="s">
        <v>4</v>
      </c>
      <c r="C9" s="496" t="s">
        <v>136</v>
      </c>
      <c r="D9" s="496" t="s">
        <v>5</v>
      </c>
      <c r="E9" s="222">
        <v>7</v>
      </c>
      <c r="F9" s="222">
        <f>E9*F8</f>
        <v>7</v>
      </c>
      <c r="G9" s="47"/>
      <c r="H9" s="222">
        <f>G9*F9</f>
        <v>0</v>
      </c>
      <c r="I9" s="9"/>
      <c r="J9" s="9"/>
      <c r="K9" s="16"/>
      <c r="L9" s="6"/>
      <c r="M9" s="6"/>
      <c r="N9" s="6"/>
    </row>
    <row r="10" spans="1:14" s="5" customFormat="1" ht="28.5" customHeight="1">
      <c r="A10" s="497"/>
      <c r="B10" s="224" t="s">
        <v>4</v>
      </c>
      <c r="C10" s="496" t="s">
        <v>129</v>
      </c>
      <c r="D10" s="496" t="s">
        <v>16</v>
      </c>
      <c r="E10" s="222">
        <v>0.74</v>
      </c>
      <c r="F10" s="222">
        <f>E10*F8</f>
        <v>0.74</v>
      </c>
      <c r="G10" s="47"/>
      <c r="H10" s="222">
        <f>G10*F10</f>
        <v>0</v>
      </c>
      <c r="I10" s="9"/>
      <c r="J10" s="9"/>
      <c r="K10" s="16"/>
      <c r="L10" s="6"/>
      <c r="M10" s="6"/>
      <c r="N10" s="6"/>
    </row>
    <row r="11" spans="1:14" s="5" customFormat="1" ht="36" customHeight="1">
      <c r="A11" s="497"/>
      <c r="B11" s="224" t="s">
        <v>1457</v>
      </c>
      <c r="C11" s="222" t="s">
        <v>637</v>
      </c>
      <c r="D11" s="496" t="s">
        <v>15</v>
      </c>
      <c r="E11" s="377">
        <v>1</v>
      </c>
      <c r="F11" s="377">
        <v>1</v>
      </c>
      <c r="G11" s="377"/>
      <c r="H11" s="377">
        <f>F11*G11</f>
        <v>0</v>
      </c>
      <c r="I11" s="9"/>
      <c r="J11" s="9"/>
      <c r="K11" s="16"/>
      <c r="L11" s="6"/>
      <c r="M11" s="6"/>
      <c r="N11" s="6"/>
    </row>
    <row r="12" spans="1:14" s="5" customFormat="1" ht="25.5" customHeight="1">
      <c r="A12" s="497"/>
      <c r="B12" s="224" t="s">
        <v>4</v>
      </c>
      <c r="C12" s="496" t="s">
        <v>18</v>
      </c>
      <c r="D12" s="496" t="s">
        <v>16</v>
      </c>
      <c r="E12" s="496">
        <v>9.67</v>
      </c>
      <c r="F12" s="222">
        <f>F8*E12</f>
        <v>9.67</v>
      </c>
      <c r="G12" s="47"/>
      <c r="H12" s="222">
        <f>G12*F12</f>
        <v>0</v>
      </c>
      <c r="I12" s="9"/>
      <c r="J12" s="9"/>
      <c r="K12" s="16"/>
      <c r="L12" s="6"/>
      <c r="M12" s="6"/>
      <c r="N12" s="6"/>
    </row>
    <row r="13" spans="1:14" s="5" customFormat="1" ht="49.5" customHeight="1">
      <c r="A13" s="221">
        <v>2</v>
      </c>
      <c r="B13" s="378" t="s">
        <v>968</v>
      </c>
      <c r="C13" s="375" t="s">
        <v>1083</v>
      </c>
      <c r="D13" s="375" t="s">
        <v>107</v>
      </c>
      <c r="E13" s="375"/>
      <c r="F13" s="323">
        <v>1</v>
      </c>
      <c r="G13" s="70"/>
      <c r="H13" s="380">
        <f>H14+H15+H16</f>
        <v>0</v>
      </c>
      <c r="I13" s="9"/>
      <c r="J13" s="9"/>
      <c r="K13" s="16"/>
      <c r="L13" s="6"/>
      <c r="M13" s="6"/>
      <c r="N13" s="6"/>
    </row>
    <row r="14" spans="1:14" s="5" customFormat="1" ht="30" customHeight="1">
      <c r="A14" s="497"/>
      <c r="B14" s="224" t="s">
        <v>4</v>
      </c>
      <c r="C14" s="496" t="s">
        <v>136</v>
      </c>
      <c r="D14" s="496" t="s">
        <v>5</v>
      </c>
      <c r="E14" s="496">
        <v>2.75</v>
      </c>
      <c r="F14" s="222">
        <f>E14*F13</f>
        <v>2.75</v>
      </c>
      <c r="G14" s="47"/>
      <c r="H14" s="222">
        <f>G14*F14</f>
        <v>0</v>
      </c>
      <c r="I14" s="9"/>
      <c r="J14" s="9"/>
      <c r="K14" s="16"/>
      <c r="L14" s="6"/>
      <c r="M14" s="6"/>
      <c r="N14" s="6"/>
    </row>
    <row r="15" spans="1:14" s="5" customFormat="1" ht="35.25" customHeight="1">
      <c r="A15" s="497"/>
      <c r="B15" s="224" t="s">
        <v>969</v>
      </c>
      <c r="C15" s="496" t="s">
        <v>970</v>
      </c>
      <c r="D15" s="496" t="s">
        <v>15</v>
      </c>
      <c r="E15" s="377">
        <v>1</v>
      </c>
      <c r="F15" s="377">
        <f>F13*E15</f>
        <v>1</v>
      </c>
      <c r="G15" s="52"/>
      <c r="H15" s="52">
        <f>F15*G15</f>
        <v>0</v>
      </c>
      <c r="I15" s="9"/>
      <c r="J15" s="9"/>
      <c r="K15" s="16"/>
      <c r="L15" s="6"/>
      <c r="M15" s="6"/>
      <c r="N15" s="6"/>
    </row>
    <row r="16" spans="1:14" s="5" customFormat="1" ht="30" customHeight="1">
      <c r="A16" s="497"/>
      <c r="B16" s="224" t="s">
        <v>4</v>
      </c>
      <c r="C16" s="496" t="s">
        <v>18</v>
      </c>
      <c r="D16" s="496" t="s">
        <v>16</v>
      </c>
      <c r="E16" s="496">
        <v>2.18</v>
      </c>
      <c r="F16" s="222">
        <f>E16*F13</f>
        <v>2.18</v>
      </c>
      <c r="G16" s="47"/>
      <c r="H16" s="222">
        <f>G16*F16</f>
        <v>0</v>
      </c>
      <c r="I16" s="9"/>
      <c r="J16" s="9"/>
      <c r="K16" s="16"/>
      <c r="L16" s="6"/>
      <c r="M16" s="6"/>
      <c r="N16" s="6"/>
    </row>
    <row r="17" spans="1:14" s="5" customFormat="1" ht="51.75" customHeight="1">
      <c r="A17" s="221">
        <v>3</v>
      </c>
      <c r="B17" s="378" t="s">
        <v>163</v>
      </c>
      <c r="C17" s="375" t="s">
        <v>971</v>
      </c>
      <c r="D17" s="375" t="s">
        <v>107</v>
      </c>
      <c r="E17" s="226"/>
      <c r="F17" s="323">
        <v>4</v>
      </c>
      <c r="G17" s="70"/>
      <c r="H17" s="380">
        <f>H18+H19+H20</f>
        <v>0</v>
      </c>
      <c r="I17" s="9"/>
      <c r="J17" s="9"/>
      <c r="K17" s="16"/>
      <c r="L17" s="6"/>
      <c r="M17" s="6"/>
      <c r="N17" s="6"/>
    </row>
    <row r="18" spans="1:14" s="5" customFormat="1" ht="34.5" customHeight="1">
      <c r="A18" s="497"/>
      <c r="B18" s="224" t="s">
        <v>4</v>
      </c>
      <c r="C18" s="496" t="s">
        <v>136</v>
      </c>
      <c r="D18" s="496" t="s">
        <v>5</v>
      </c>
      <c r="E18" s="496">
        <v>1.99</v>
      </c>
      <c r="F18" s="222">
        <f>E18*F17</f>
        <v>7.96</v>
      </c>
      <c r="G18" s="47"/>
      <c r="H18" s="222">
        <f>G18*F18</f>
        <v>0</v>
      </c>
      <c r="I18" s="9"/>
      <c r="J18" s="9"/>
      <c r="K18" s="16"/>
      <c r="L18" s="6"/>
      <c r="M18" s="6"/>
      <c r="N18" s="6"/>
    </row>
    <row r="19" spans="1:14" s="5" customFormat="1" ht="30" customHeight="1">
      <c r="A19" s="497"/>
      <c r="B19" s="224" t="s">
        <v>241</v>
      </c>
      <c r="C19" s="496" t="s">
        <v>972</v>
      </c>
      <c r="D19" s="496" t="s">
        <v>15</v>
      </c>
      <c r="E19" s="377">
        <v>1</v>
      </c>
      <c r="F19" s="377">
        <f>F17*E19</f>
        <v>4</v>
      </c>
      <c r="G19" s="52"/>
      <c r="H19" s="52">
        <f>F19*G19</f>
        <v>0</v>
      </c>
      <c r="I19" s="9"/>
      <c r="J19" s="9"/>
      <c r="K19" s="16"/>
      <c r="L19" s="6"/>
      <c r="M19" s="6"/>
      <c r="N19" s="6"/>
    </row>
    <row r="20" spans="1:14" s="5" customFormat="1" ht="36" customHeight="1">
      <c r="A20" s="497"/>
      <c r="B20" s="224" t="s">
        <v>4</v>
      </c>
      <c r="C20" s="496" t="s">
        <v>18</v>
      </c>
      <c r="D20" s="496" t="s">
        <v>16</v>
      </c>
      <c r="E20" s="496">
        <v>1.39</v>
      </c>
      <c r="F20" s="222">
        <f>E20*F17</f>
        <v>5.56</v>
      </c>
      <c r="G20" s="47"/>
      <c r="H20" s="222">
        <f>G20*F20</f>
        <v>0</v>
      </c>
      <c r="I20" s="9"/>
      <c r="J20" s="9"/>
      <c r="K20" s="16"/>
      <c r="L20" s="6"/>
      <c r="M20" s="6"/>
      <c r="N20" s="6"/>
    </row>
    <row r="21" spans="1:14" s="5" customFormat="1" ht="53.25" customHeight="1">
      <c r="A21" s="221">
        <v>4</v>
      </c>
      <c r="B21" s="378" t="s">
        <v>163</v>
      </c>
      <c r="C21" s="375" t="s">
        <v>545</v>
      </c>
      <c r="D21" s="375" t="s">
        <v>15</v>
      </c>
      <c r="E21" s="226"/>
      <c r="F21" s="226">
        <v>2</v>
      </c>
      <c r="G21" s="70"/>
      <c r="H21" s="380">
        <f>H22+H23+H24</f>
        <v>0</v>
      </c>
      <c r="I21" s="9"/>
      <c r="J21" s="9"/>
      <c r="K21" s="16"/>
      <c r="L21" s="6"/>
      <c r="M21" s="6"/>
      <c r="N21" s="6"/>
    </row>
    <row r="22" spans="1:14" s="5" customFormat="1" ht="33" customHeight="1">
      <c r="A22" s="497"/>
      <c r="B22" s="224" t="s">
        <v>4</v>
      </c>
      <c r="C22" s="496" t="s">
        <v>136</v>
      </c>
      <c r="D22" s="496" t="s">
        <v>5</v>
      </c>
      <c r="E22" s="496">
        <v>1.99</v>
      </c>
      <c r="F22" s="222">
        <f>E22*F21</f>
        <v>3.98</v>
      </c>
      <c r="G22" s="47"/>
      <c r="H22" s="222">
        <f>G22*F22</f>
        <v>0</v>
      </c>
      <c r="I22" s="9"/>
      <c r="J22" s="9"/>
      <c r="K22" s="16"/>
      <c r="L22" s="6"/>
      <c r="M22" s="6"/>
      <c r="N22" s="6"/>
    </row>
    <row r="23" spans="1:14" s="5" customFormat="1" ht="30" customHeight="1">
      <c r="A23" s="497"/>
      <c r="B23" s="224" t="s">
        <v>239</v>
      </c>
      <c r="C23" s="496" t="s">
        <v>240</v>
      </c>
      <c r="D23" s="496" t="s">
        <v>15</v>
      </c>
      <c r="E23" s="377">
        <v>1</v>
      </c>
      <c r="F23" s="377">
        <f>F21*E23</f>
        <v>2</v>
      </c>
      <c r="G23" s="377"/>
      <c r="H23" s="52">
        <f>F23*G23</f>
        <v>0</v>
      </c>
      <c r="I23" s="9"/>
      <c r="J23" s="9"/>
      <c r="K23" s="16"/>
      <c r="L23" s="6"/>
      <c r="M23" s="6"/>
      <c r="N23" s="6"/>
    </row>
    <row r="24" spans="1:14" s="5" customFormat="1" ht="30" customHeight="1">
      <c r="A24" s="497"/>
      <c r="B24" s="224" t="s">
        <v>4</v>
      </c>
      <c r="C24" s="496" t="s">
        <v>18</v>
      </c>
      <c r="D24" s="496" t="s">
        <v>16</v>
      </c>
      <c r="E24" s="496">
        <v>1.39</v>
      </c>
      <c r="F24" s="222">
        <f>E24*F21</f>
        <v>2.78</v>
      </c>
      <c r="G24" s="47"/>
      <c r="H24" s="222">
        <f>G24*F24</f>
        <v>0</v>
      </c>
      <c r="I24" s="9"/>
      <c r="J24" s="9"/>
      <c r="K24" s="16"/>
      <c r="L24" s="6"/>
      <c r="M24" s="6"/>
      <c r="N24" s="6"/>
    </row>
    <row r="25" spans="1:14" s="5" customFormat="1" ht="51" customHeight="1">
      <c r="A25" s="221">
        <v>5</v>
      </c>
      <c r="B25" s="378" t="s">
        <v>163</v>
      </c>
      <c r="C25" s="375" t="s">
        <v>966</v>
      </c>
      <c r="D25" s="375" t="s">
        <v>15</v>
      </c>
      <c r="E25" s="226"/>
      <c r="F25" s="226">
        <v>1</v>
      </c>
      <c r="G25" s="70"/>
      <c r="H25" s="380">
        <f>H26+H27+H28</f>
        <v>0</v>
      </c>
      <c r="I25" s="9"/>
      <c r="J25" s="9"/>
      <c r="K25" s="16"/>
      <c r="L25" s="6"/>
      <c r="M25" s="6"/>
      <c r="N25" s="6"/>
    </row>
    <row r="26" spans="1:14" s="5" customFormat="1" ht="30" customHeight="1">
      <c r="A26" s="497"/>
      <c r="B26" s="224" t="s">
        <v>4</v>
      </c>
      <c r="C26" s="496" t="s">
        <v>136</v>
      </c>
      <c r="D26" s="496" t="s">
        <v>5</v>
      </c>
      <c r="E26" s="496">
        <v>1.99</v>
      </c>
      <c r="F26" s="222">
        <f>E26*F25</f>
        <v>1.99</v>
      </c>
      <c r="G26" s="47"/>
      <c r="H26" s="222">
        <f>G26*F26</f>
        <v>0</v>
      </c>
      <c r="I26" s="9"/>
      <c r="J26" s="9"/>
      <c r="K26" s="16"/>
      <c r="L26" s="6"/>
      <c r="M26" s="6"/>
      <c r="N26" s="6"/>
    </row>
    <row r="27" spans="1:14" s="5" customFormat="1" ht="30" customHeight="1">
      <c r="A27" s="497"/>
      <c r="B27" s="224" t="s">
        <v>239</v>
      </c>
      <c r="C27" s="496" t="s">
        <v>967</v>
      </c>
      <c r="D27" s="496" t="s">
        <v>15</v>
      </c>
      <c r="E27" s="377">
        <v>1</v>
      </c>
      <c r="F27" s="377">
        <f>F25*E27</f>
        <v>1</v>
      </c>
      <c r="G27" s="377"/>
      <c r="H27" s="52">
        <f>F27*G27</f>
        <v>0</v>
      </c>
      <c r="I27" s="9"/>
      <c r="J27" s="9"/>
      <c r="K27" s="16"/>
      <c r="L27" s="6"/>
      <c r="M27" s="6"/>
      <c r="N27" s="6"/>
    </row>
    <row r="28" spans="1:14" s="5" customFormat="1" ht="30" customHeight="1">
      <c r="A28" s="497"/>
      <c r="B28" s="224" t="s">
        <v>4</v>
      </c>
      <c r="C28" s="496" t="s">
        <v>18</v>
      </c>
      <c r="D28" s="496" t="s">
        <v>16</v>
      </c>
      <c r="E28" s="496">
        <v>1.39</v>
      </c>
      <c r="F28" s="222">
        <f>E28*F25</f>
        <v>1.39</v>
      </c>
      <c r="G28" s="47"/>
      <c r="H28" s="222">
        <f>G28*F28</f>
        <v>0</v>
      </c>
      <c r="I28" s="9"/>
      <c r="J28" s="9"/>
      <c r="K28" s="16"/>
      <c r="L28" s="6"/>
      <c r="M28" s="6"/>
      <c r="N28" s="6"/>
    </row>
    <row r="29" spans="1:14" s="5" customFormat="1" ht="52.5" customHeight="1">
      <c r="A29" s="221">
        <v>6</v>
      </c>
      <c r="B29" s="378" t="s">
        <v>163</v>
      </c>
      <c r="C29" s="375" t="s">
        <v>638</v>
      </c>
      <c r="D29" s="375" t="s">
        <v>15</v>
      </c>
      <c r="E29" s="226"/>
      <c r="F29" s="226">
        <v>1</v>
      </c>
      <c r="G29" s="70"/>
      <c r="H29" s="380">
        <f>H30+H31+H32</f>
        <v>0</v>
      </c>
      <c r="I29" s="9"/>
      <c r="J29" s="9"/>
      <c r="K29" s="16"/>
      <c r="L29" s="6"/>
      <c r="M29" s="6"/>
      <c r="N29" s="6"/>
    </row>
    <row r="30" spans="1:14" s="5" customFormat="1" ht="30" customHeight="1">
      <c r="A30" s="497"/>
      <c r="B30" s="224" t="s">
        <v>4</v>
      </c>
      <c r="C30" s="496" t="s">
        <v>136</v>
      </c>
      <c r="D30" s="496" t="s">
        <v>5</v>
      </c>
      <c r="E30" s="496">
        <v>1.99</v>
      </c>
      <c r="F30" s="222">
        <f>E30*F29</f>
        <v>1.99</v>
      </c>
      <c r="G30" s="47"/>
      <c r="H30" s="222">
        <f>G30*F30</f>
        <v>0</v>
      </c>
      <c r="I30" s="9"/>
      <c r="J30" s="9"/>
      <c r="K30" s="16"/>
      <c r="L30" s="6"/>
      <c r="M30" s="6"/>
      <c r="N30" s="6"/>
    </row>
    <row r="31" spans="1:14" s="5" customFormat="1" ht="30" customHeight="1">
      <c r="A31" s="497"/>
      <c r="B31" s="224" t="s">
        <v>239</v>
      </c>
      <c r="C31" s="496" t="s">
        <v>448</v>
      </c>
      <c r="D31" s="496" t="s">
        <v>15</v>
      </c>
      <c r="E31" s="377">
        <v>1</v>
      </c>
      <c r="F31" s="377">
        <f>F29*E31</f>
        <v>1</v>
      </c>
      <c r="G31" s="377"/>
      <c r="H31" s="52">
        <f>F31*G31</f>
        <v>0</v>
      </c>
      <c r="I31" s="9"/>
      <c r="J31" s="9"/>
      <c r="K31" s="16"/>
      <c r="L31" s="6"/>
      <c r="M31" s="6"/>
      <c r="N31" s="6"/>
    </row>
    <row r="32" spans="1:14" s="5" customFormat="1" ht="30" customHeight="1">
      <c r="A32" s="497"/>
      <c r="B32" s="224" t="s">
        <v>4</v>
      </c>
      <c r="C32" s="496" t="s">
        <v>18</v>
      </c>
      <c r="D32" s="496" t="s">
        <v>16</v>
      </c>
      <c r="E32" s="496">
        <v>1.39</v>
      </c>
      <c r="F32" s="222">
        <f>E32*F29</f>
        <v>1.39</v>
      </c>
      <c r="G32" s="47"/>
      <c r="H32" s="222">
        <f>G32*F32</f>
        <v>0</v>
      </c>
      <c r="I32" s="9"/>
      <c r="J32" s="9"/>
      <c r="K32" s="16"/>
      <c r="L32" s="6"/>
      <c r="M32" s="6"/>
      <c r="N32" s="6"/>
    </row>
    <row r="33" spans="1:14" s="5" customFormat="1" ht="53.25" customHeight="1">
      <c r="A33" s="221">
        <v>7</v>
      </c>
      <c r="B33" s="378" t="s">
        <v>163</v>
      </c>
      <c r="C33" s="375" t="s">
        <v>1084</v>
      </c>
      <c r="D33" s="375" t="s">
        <v>15</v>
      </c>
      <c r="E33" s="226"/>
      <c r="F33" s="226">
        <v>1</v>
      </c>
      <c r="G33" s="70"/>
      <c r="H33" s="380">
        <f>H34+H35+H36</f>
        <v>0</v>
      </c>
      <c r="I33" s="9"/>
      <c r="J33" s="9"/>
      <c r="K33" s="16"/>
      <c r="L33" s="6"/>
      <c r="M33" s="6"/>
      <c r="N33" s="6"/>
    </row>
    <row r="34" spans="1:14" s="5" customFormat="1" ht="30" customHeight="1">
      <c r="A34" s="497"/>
      <c r="B34" s="224" t="s">
        <v>4</v>
      </c>
      <c r="C34" s="496" t="s">
        <v>136</v>
      </c>
      <c r="D34" s="496" t="s">
        <v>5</v>
      </c>
      <c r="E34" s="496">
        <v>1.99</v>
      </c>
      <c r="F34" s="222">
        <f>E34*F33</f>
        <v>1.99</v>
      </c>
      <c r="G34" s="47"/>
      <c r="H34" s="222">
        <f>G34*F34</f>
        <v>0</v>
      </c>
      <c r="I34" s="9"/>
      <c r="J34" s="9"/>
      <c r="K34" s="16"/>
      <c r="L34" s="6"/>
      <c r="M34" s="6"/>
      <c r="N34" s="6"/>
    </row>
    <row r="35" spans="1:14" s="5" customFormat="1" ht="30" customHeight="1">
      <c r="A35" s="497"/>
      <c r="B35" s="224" t="s">
        <v>1086</v>
      </c>
      <c r="C35" s="496" t="s">
        <v>1085</v>
      </c>
      <c r="D35" s="496" t="s">
        <v>15</v>
      </c>
      <c r="E35" s="377">
        <v>1</v>
      </c>
      <c r="F35" s="377">
        <f>F33*E35</f>
        <v>1</v>
      </c>
      <c r="G35" s="377"/>
      <c r="H35" s="52">
        <f>F35*G35</f>
        <v>0</v>
      </c>
      <c r="I35" s="9"/>
      <c r="J35" s="9"/>
      <c r="K35" s="16"/>
      <c r="L35" s="6"/>
      <c r="M35" s="6"/>
      <c r="N35" s="6"/>
    </row>
    <row r="36" spans="1:14" s="5" customFormat="1" ht="30" customHeight="1">
      <c r="A36" s="497"/>
      <c r="B36" s="224" t="s">
        <v>4</v>
      </c>
      <c r="C36" s="496" t="s">
        <v>18</v>
      </c>
      <c r="D36" s="496" t="s">
        <v>16</v>
      </c>
      <c r="E36" s="496">
        <v>1.39</v>
      </c>
      <c r="F36" s="222">
        <f>E36*F33</f>
        <v>1.39</v>
      </c>
      <c r="G36" s="47"/>
      <c r="H36" s="222">
        <f>G36*F36</f>
        <v>0</v>
      </c>
      <c r="I36" s="9"/>
      <c r="J36" s="9"/>
      <c r="K36" s="16"/>
      <c r="L36" s="6"/>
      <c r="M36" s="6"/>
      <c r="N36" s="6"/>
    </row>
    <row r="37" spans="1:14" s="5" customFormat="1" ht="51" customHeight="1">
      <c r="A37" s="221">
        <v>8</v>
      </c>
      <c r="B37" s="378" t="s">
        <v>973</v>
      </c>
      <c r="C37" s="375" t="s">
        <v>974</v>
      </c>
      <c r="D37" s="375" t="s">
        <v>15</v>
      </c>
      <c r="E37" s="375"/>
      <c r="F37" s="226">
        <v>1</v>
      </c>
      <c r="G37" s="70"/>
      <c r="H37" s="380">
        <f>SUM(H38:H39)</f>
        <v>0</v>
      </c>
      <c r="I37" s="9"/>
      <c r="J37" s="9"/>
      <c r="K37" s="16"/>
      <c r="L37" s="6"/>
      <c r="M37" s="6"/>
      <c r="N37" s="6"/>
    </row>
    <row r="38" spans="1:14" s="5" customFormat="1" ht="30" customHeight="1">
      <c r="A38" s="497"/>
      <c r="B38" s="224" t="s">
        <v>4</v>
      </c>
      <c r="C38" s="496" t="s">
        <v>136</v>
      </c>
      <c r="D38" s="496" t="s">
        <v>5</v>
      </c>
      <c r="E38" s="496">
        <v>2</v>
      </c>
      <c r="F38" s="222">
        <f>E38*F37</f>
        <v>2</v>
      </c>
      <c r="G38" s="47"/>
      <c r="H38" s="222">
        <f>G38*F38</f>
        <v>0</v>
      </c>
      <c r="I38" s="9"/>
      <c r="J38" s="9"/>
      <c r="K38" s="16"/>
      <c r="L38" s="6"/>
      <c r="M38" s="6"/>
      <c r="N38" s="6"/>
    </row>
    <row r="39" spans="1:14" s="5" customFormat="1" ht="30" customHeight="1">
      <c r="A39" s="497"/>
      <c r="B39" s="227" t="s">
        <v>1458</v>
      </c>
      <c r="C39" s="496" t="s">
        <v>975</v>
      </c>
      <c r="D39" s="496" t="s">
        <v>15</v>
      </c>
      <c r="E39" s="373">
        <v>1</v>
      </c>
      <c r="F39" s="377">
        <f>E39*F37</f>
        <v>1</v>
      </c>
      <c r="G39" s="52"/>
      <c r="H39" s="47">
        <f>F39*G39</f>
        <v>0</v>
      </c>
      <c r="I39" s="9"/>
      <c r="J39" s="9"/>
      <c r="K39" s="16"/>
      <c r="L39" s="6"/>
      <c r="M39" s="6"/>
      <c r="N39" s="6"/>
    </row>
    <row r="40" spans="1:14" s="5" customFormat="1" ht="48.75" customHeight="1">
      <c r="A40" s="221">
        <v>9</v>
      </c>
      <c r="B40" s="378" t="s">
        <v>163</v>
      </c>
      <c r="C40" s="375" t="s">
        <v>976</v>
      </c>
      <c r="D40" s="375" t="s">
        <v>107</v>
      </c>
      <c r="E40" s="226"/>
      <c r="F40" s="323">
        <v>1</v>
      </c>
      <c r="G40" s="70"/>
      <c r="H40" s="380">
        <f>H41+H42+H43</f>
        <v>0</v>
      </c>
      <c r="I40" s="9"/>
      <c r="J40" s="9"/>
      <c r="K40" s="16"/>
      <c r="L40" s="6"/>
      <c r="M40" s="6"/>
      <c r="N40" s="6"/>
    </row>
    <row r="41" spans="1:14" s="5" customFormat="1" ht="30" customHeight="1">
      <c r="A41" s="497"/>
      <c r="B41" s="224" t="s">
        <v>4</v>
      </c>
      <c r="C41" s="496" t="s">
        <v>136</v>
      </c>
      <c r="D41" s="496" t="s">
        <v>5</v>
      </c>
      <c r="E41" s="496">
        <v>1.99</v>
      </c>
      <c r="F41" s="222">
        <f>E41*F40</f>
        <v>1.99</v>
      </c>
      <c r="G41" s="47"/>
      <c r="H41" s="222">
        <f>G41*F41</f>
        <v>0</v>
      </c>
      <c r="I41" s="9"/>
      <c r="J41" s="9"/>
      <c r="K41" s="16"/>
      <c r="L41" s="6"/>
      <c r="M41" s="6"/>
      <c r="N41" s="6"/>
    </row>
    <row r="42" spans="1:14" s="5" customFormat="1" ht="30" customHeight="1">
      <c r="A42" s="497"/>
      <c r="B42" s="224" t="s">
        <v>241</v>
      </c>
      <c r="C42" s="496" t="s">
        <v>972</v>
      </c>
      <c r="D42" s="496" t="s">
        <v>15</v>
      </c>
      <c r="E42" s="377">
        <v>1</v>
      </c>
      <c r="F42" s="377">
        <f>F40*E42</f>
        <v>1</v>
      </c>
      <c r="G42" s="52"/>
      <c r="H42" s="52">
        <f>F42*G42</f>
        <v>0</v>
      </c>
      <c r="I42" s="9"/>
      <c r="J42" s="9"/>
      <c r="K42" s="16"/>
      <c r="L42" s="6"/>
      <c r="M42" s="6"/>
      <c r="N42" s="6"/>
    </row>
    <row r="43" spans="1:14" s="5" customFormat="1" ht="30" customHeight="1">
      <c r="A43" s="497"/>
      <c r="B43" s="224" t="s">
        <v>4</v>
      </c>
      <c r="C43" s="496" t="s">
        <v>18</v>
      </c>
      <c r="D43" s="496" t="s">
        <v>16</v>
      </c>
      <c r="E43" s="496">
        <v>1.39</v>
      </c>
      <c r="F43" s="222">
        <f>E43*F40</f>
        <v>1.39</v>
      </c>
      <c r="G43" s="47"/>
      <c r="H43" s="222">
        <f>G43*F43</f>
        <v>0</v>
      </c>
      <c r="I43" s="9"/>
      <c r="J43" s="9"/>
      <c r="K43" s="16"/>
      <c r="L43" s="6"/>
      <c r="M43" s="6"/>
      <c r="N43" s="6"/>
    </row>
    <row r="44" spans="1:14" s="5" customFormat="1" ht="41.25" customHeight="1">
      <c r="A44" s="221">
        <v>10</v>
      </c>
      <c r="B44" s="378" t="s">
        <v>973</v>
      </c>
      <c r="C44" s="375" t="s">
        <v>977</v>
      </c>
      <c r="D44" s="375" t="s">
        <v>15</v>
      </c>
      <c r="E44" s="375"/>
      <c r="F44" s="226">
        <v>1</v>
      </c>
      <c r="G44" s="70"/>
      <c r="H44" s="380">
        <f>SUM(H45:H46)</f>
        <v>0</v>
      </c>
      <c r="I44" s="9"/>
      <c r="J44" s="9"/>
      <c r="K44" s="16"/>
      <c r="L44" s="6"/>
      <c r="M44" s="6"/>
      <c r="N44" s="6"/>
    </row>
    <row r="45" spans="1:14" s="5" customFormat="1" ht="30" customHeight="1">
      <c r="A45" s="497"/>
      <c r="B45" s="224" t="s">
        <v>4</v>
      </c>
      <c r="C45" s="496" t="s">
        <v>136</v>
      </c>
      <c r="D45" s="496" t="s">
        <v>5</v>
      </c>
      <c r="E45" s="496">
        <v>2</v>
      </c>
      <c r="F45" s="222">
        <f>E45*F44</f>
        <v>2</v>
      </c>
      <c r="G45" s="47"/>
      <c r="H45" s="222">
        <f>G45*F45</f>
        <v>0</v>
      </c>
      <c r="I45" s="9"/>
      <c r="J45" s="9"/>
      <c r="K45" s="16"/>
      <c r="L45" s="6"/>
      <c r="M45" s="6"/>
      <c r="N45" s="6"/>
    </row>
    <row r="46" spans="1:14" s="5" customFormat="1" ht="30" customHeight="1">
      <c r="A46" s="497"/>
      <c r="B46" s="227" t="s">
        <v>1458</v>
      </c>
      <c r="C46" s="496" t="s">
        <v>975</v>
      </c>
      <c r="D46" s="496" t="s">
        <v>15</v>
      </c>
      <c r="E46" s="373">
        <v>1</v>
      </c>
      <c r="F46" s="377">
        <f>E46*F44</f>
        <v>1</v>
      </c>
      <c r="G46" s="52"/>
      <c r="H46" s="47">
        <f>F46*G46</f>
        <v>0</v>
      </c>
      <c r="I46" s="9"/>
      <c r="J46" s="9"/>
      <c r="K46" s="16"/>
      <c r="L46" s="6"/>
      <c r="M46" s="6"/>
      <c r="N46" s="6"/>
    </row>
    <row r="47" spans="1:14" s="5" customFormat="1" ht="54.75" customHeight="1">
      <c r="A47" s="221">
        <v>11</v>
      </c>
      <c r="B47" s="378" t="s">
        <v>163</v>
      </c>
      <c r="C47" s="375" t="s">
        <v>1087</v>
      </c>
      <c r="D47" s="375" t="s">
        <v>15</v>
      </c>
      <c r="E47" s="226"/>
      <c r="F47" s="226">
        <v>1</v>
      </c>
      <c r="G47" s="70"/>
      <c r="H47" s="380">
        <f>H48+H49+H50</f>
        <v>0</v>
      </c>
      <c r="I47" s="9"/>
      <c r="J47" s="9"/>
      <c r="K47" s="16"/>
      <c r="L47" s="6"/>
      <c r="M47" s="6"/>
      <c r="N47" s="6"/>
    </row>
    <row r="48" spans="1:14" s="5" customFormat="1" ht="30" customHeight="1">
      <c r="A48" s="497"/>
      <c r="B48" s="224" t="s">
        <v>4</v>
      </c>
      <c r="C48" s="496" t="s">
        <v>136</v>
      </c>
      <c r="D48" s="496" t="s">
        <v>5</v>
      </c>
      <c r="E48" s="496">
        <v>1.99</v>
      </c>
      <c r="F48" s="222">
        <f>E48*F47</f>
        <v>1.99</v>
      </c>
      <c r="G48" s="47"/>
      <c r="H48" s="222">
        <f>G48*F48</f>
        <v>0</v>
      </c>
      <c r="I48" s="9"/>
      <c r="J48" s="9"/>
      <c r="K48" s="16"/>
      <c r="L48" s="6"/>
      <c r="M48" s="6"/>
      <c r="N48" s="6"/>
    </row>
    <row r="49" spans="1:14" s="5" customFormat="1" ht="32.25" customHeight="1">
      <c r="A49" s="497"/>
      <c r="B49" s="224" t="s">
        <v>239</v>
      </c>
      <c r="C49" s="496" t="s">
        <v>448</v>
      </c>
      <c r="D49" s="496" t="s">
        <v>15</v>
      </c>
      <c r="E49" s="377">
        <v>1</v>
      </c>
      <c r="F49" s="377">
        <f>F47*E49</f>
        <v>1</v>
      </c>
      <c r="G49" s="377"/>
      <c r="H49" s="52">
        <f>F49*G49</f>
        <v>0</v>
      </c>
      <c r="I49" s="9"/>
      <c r="J49" s="9"/>
      <c r="K49" s="16"/>
      <c r="L49" s="6"/>
      <c r="M49" s="6"/>
      <c r="N49" s="6"/>
    </row>
    <row r="50" spans="1:14" s="5" customFormat="1" ht="30" customHeight="1">
      <c r="A50" s="497"/>
      <c r="B50" s="224" t="s">
        <v>4</v>
      </c>
      <c r="C50" s="496" t="s">
        <v>18</v>
      </c>
      <c r="D50" s="496" t="s">
        <v>16</v>
      </c>
      <c r="E50" s="496">
        <v>1.39</v>
      </c>
      <c r="F50" s="222">
        <f>E50*F47</f>
        <v>1.39</v>
      </c>
      <c r="G50" s="47"/>
      <c r="H50" s="222">
        <f>G50*F50</f>
        <v>0</v>
      </c>
      <c r="I50" s="9"/>
      <c r="J50" s="9"/>
      <c r="K50" s="16"/>
      <c r="L50" s="6"/>
      <c r="M50" s="6"/>
      <c r="N50" s="6"/>
    </row>
    <row r="51" spans="1:14" s="5" customFormat="1" ht="45.75" customHeight="1">
      <c r="A51" s="221">
        <v>12</v>
      </c>
      <c r="B51" s="378" t="s">
        <v>973</v>
      </c>
      <c r="C51" s="375" t="s">
        <v>1154</v>
      </c>
      <c r="D51" s="375" t="s">
        <v>15</v>
      </c>
      <c r="E51" s="375"/>
      <c r="F51" s="226">
        <v>3</v>
      </c>
      <c r="G51" s="70"/>
      <c r="H51" s="380">
        <f>SUM(H52:H53)</f>
        <v>0</v>
      </c>
      <c r="I51" s="9"/>
      <c r="J51" s="9"/>
      <c r="K51" s="16"/>
      <c r="L51" s="6"/>
      <c r="M51" s="6"/>
      <c r="N51" s="6"/>
    </row>
    <row r="52" spans="1:14" s="5" customFormat="1" ht="30" customHeight="1">
      <c r="A52" s="497"/>
      <c r="B52" s="224" t="s">
        <v>4</v>
      </c>
      <c r="C52" s="496" t="s">
        <v>136</v>
      </c>
      <c r="D52" s="496" t="s">
        <v>5</v>
      </c>
      <c r="E52" s="496">
        <v>2</v>
      </c>
      <c r="F52" s="222">
        <f>E52*F51</f>
        <v>6</v>
      </c>
      <c r="G52" s="47"/>
      <c r="H52" s="222">
        <f>G52*F52</f>
        <v>0</v>
      </c>
      <c r="I52" s="9"/>
      <c r="J52" s="9"/>
      <c r="K52" s="16"/>
      <c r="L52" s="6"/>
      <c r="M52" s="6"/>
      <c r="N52" s="6"/>
    </row>
    <row r="53" spans="1:14" s="5" customFormat="1" ht="30" customHeight="1">
      <c r="A53" s="497"/>
      <c r="B53" s="227" t="s">
        <v>1459</v>
      </c>
      <c r="C53" s="496" t="s">
        <v>1155</v>
      </c>
      <c r="D53" s="496" t="s">
        <v>15</v>
      </c>
      <c r="E53" s="373">
        <v>1</v>
      </c>
      <c r="F53" s="377">
        <f>E53*F51</f>
        <v>3</v>
      </c>
      <c r="G53" s="52"/>
      <c r="H53" s="47">
        <f>F53*G53</f>
        <v>0</v>
      </c>
      <c r="I53" s="9"/>
      <c r="J53" s="9"/>
      <c r="K53" s="16"/>
      <c r="L53" s="6"/>
      <c r="M53" s="6"/>
      <c r="N53" s="6"/>
    </row>
    <row r="54" spans="1:14" s="5" customFormat="1" ht="49.5" customHeight="1">
      <c r="A54" s="221">
        <v>13</v>
      </c>
      <c r="B54" s="378" t="s">
        <v>163</v>
      </c>
      <c r="C54" s="375" t="s">
        <v>978</v>
      </c>
      <c r="D54" s="375" t="s">
        <v>107</v>
      </c>
      <c r="E54" s="226"/>
      <c r="F54" s="323">
        <v>3</v>
      </c>
      <c r="G54" s="70"/>
      <c r="H54" s="380">
        <f>H55+H56+H57</f>
        <v>0</v>
      </c>
      <c r="I54" s="9"/>
      <c r="J54" s="9"/>
      <c r="K54" s="16"/>
      <c r="L54" s="6"/>
      <c r="M54" s="6"/>
      <c r="N54" s="6"/>
    </row>
    <row r="55" spans="1:14" s="5" customFormat="1" ht="30" customHeight="1">
      <c r="A55" s="497"/>
      <c r="B55" s="224" t="s">
        <v>4</v>
      </c>
      <c r="C55" s="496" t="s">
        <v>136</v>
      </c>
      <c r="D55" s="496" t="s">
        <v>5</v>
      </c>
      <c r="E55" s="496">
        <v>1.99</v>
      </c>
      <c r="F55" s="222">
        <f>E55*F54</f>
        <v>5.97</v>
      </c>
      <c r="G55" s="47"/>
      <c r="H55" s="222">
        <f>G55*F55</f>
        <v>0</v>
      </c>
      <c r="I55" s="9"/>
      <c r="J55" s="9"/>
      <c r="K55" s="16"/>
      <c r="L55" s="6"/>
      <c r="M55" s="6"/>
      <c r="N55" s="6"/>
    </row>
    <row r="56" spans="1:14" s="5" customFormat="1" ht="30" customHeight="1">
      <c r="A56" s="497"/>
      <c r="B56" s="224" t="s">
        <v>241</v>
      </c>
      <c r="C56" s="496" t="s">
        <v>972</v>
      </c>
      <c r="D56" s="496" t="s">
        <v>15</v>
      </c>
      <c r="E56" s="377">
        <v>1</v>
      </c>
      <c r="F56" s="377">
        <f>F54*E56</f>
        <v>3</v>
      </c>
      <c r="G56" s="52"/>
      <c r="H56" s="52">
        <f>F56*G56</f>
        <v>0</v>
      </c>
      <c r="I56" s="9"/>
      <c r="J56" s="9"/>
      <c r="K56" s="16"/>
      <c r="L56" s="6"/>
      <c r="M56" s="6"/>
      <c r="N56" s="6"/>
    </row>
    <row r="57" spans="1:14" s="5" customFormat="1" ht="30" customHeight="1">
      <c r="A57" s="497"/>
      <c r="B57" s="224" t="s">
        <v>4</v>
      </c>
      <c r="C57" s="496" t="s">
        <v>18</v>
      </c>
      <c r="D57" s="496" t="s">
        <v>16</v>
      </c>
      <c r="E57" s="496">
        <v>1.39</v>
      </c>
      <c r="F57" s="222">
        <f>E57*F54</f>
        <v>4.17</v>
      </c>
      <c r="G57" s="47"/>
      <c r="H57" s="222">
        <f>G57*F57</f>
        <v>0</v>
      </c>
      <c r="I57" s="9"/>
      <c r="J57" s="9"/>
      <c r="K57" s="16"/>
      <c r="L57" s="6"/>
      <c r="M57" s="6"/>
      <c r="N57" s="6"/>
    </row>
    <row r="58" spans="1:14" s="5" customFormat="1" ht="54.75" customHeight="1">
      <c r="A58" s="221">
        <v>14</v>
      </c>
      <c r="B58" s="378" t="s">
        <v>163</v>
      </c>
      <c r="C58" s="375" t="s">
        <v>979</v>
      </c>
      <c r="D58" s="375" t="s">
        <v>15</v>
      </c>
      <c r="E58" s="226"/>
      <c r="F58" s="226">
        <v>23</v>
      </c>
      <c r="G58" s="70"/>
      <c r="H58" s="380">
        <f>H59+H60+H61</f>
        <v>0</v>
      </c>
      <c r="I58" s="9"/>
      <c r="J58" s="9"/>
      <c r="K58" s="16"/>
      <c r="L58" s="6"/>
      <c r="M58" s="6"/>
      <c r="N58" s="6"/>
    </row>
    <row r="59" spans="1:14" s="5" customFormat="1" ht="30" customHeight="1">
      <c r="A59" s="497"/>
      <c r="B59" s="224" t="s">
        <v>4</v>
      </c>
      <c r="C59" s="496" t="s">
        <v>136</v>
      </c>
      <c r="D59" s="496" t="s">
        <v>5</v>
      </c>
      <c r="E59" s="496">
        <v>1.99</v>
      </c>
      <c r="F59" s="222">
        <f>E59*F58</f>
        <v>45.77</v>
      </c>
      <c r="G59" s="47"/>
      <c r="H59" s="222">
        <f>G59*F59</f>
        <v>0</v>
      </c>
      <c r="I59" s="9"/>
      <c r="J59" s="9"/>
      <c r="K59" s="16"/>
      <c r="L59" s="6"/>
      <c r="M59" s="6"/>
      <c r="N59" s="6"/>
    </row>
    <row r="60" spans="1:14" s="5" customFormat="1" ht="30" customHeight="1">
      <c r="A60" s="497"/>
      <c r="B60" s="224" t="s">
        <v>239</v>
      </c>
      <c r="C60" s="496" t="s">
        <v>448</v>
      </c>
      <c r="D60" s="496" t="s">
        <v>15</v>
      </c>
      <c r="E60" s="377">
        <v>1</v>
      </c>
      <c r="F60" s="377">
        <f>F58*E60</f>
        <v>23</v>
      </c>
      <c r="G60" s="377"/>
      <c r="H60" s="52">
        <f>F60*G60</f>
        <v>0</v>
      </c>
      <c r="I60" s="9"/>
      <c r="J60" s="9"/>
      <c r="K60" s="16"/>
      <c r="L60" s="6"/>
      <c r="M60" s="6"/>
      <c r="N60" s="6"/>
    </row>
    <row r="61" spans="1:14" s="5" customFormat="1" ht="30" customHeight="1">
      <c r="A61" s="497"/>
      <c r="B61" s="224" t="s">
        <v>4</v>
      </c>
      <c r="C61" s="496" t="s">
        <v>18</v>
      </c>
      <c r="D61" s="496" t="s">
        <v>16</v>
      </c>
      <c r="E61" s="496">
        <v>1.39</v>
      </c>
      <c r="F61" s="222">
        <f>E61*F58</f>
        <v>31.97</v>
      </c>
      <c r="G61" s="47"/>
      <c r="H61" s="222">
        <f>G61*F61</f>
        <v>0</v>
      </c>
      <c r="I61" s="9"/>
      <c r="J61" s="9"/>
      <c r="K61" s="16"/>
      <c r="L61" s="6"/>
      <c r="M61" s="6"/>
      <c r="N61" s="6"/>
    </row>
    <row r="62" spans="1:14" s="5" customFormat="1" ht="51" customHeight="1">
      <c r="A62" s="221">
        <v>15</v>
      </c>
      <c r="B62" s="378" t="s">
        <v>163</v>
      </c>
      <c r="C62" s="375" t="s">
        <v>1156</v>
      </c>
      <c r="D62" s="375" t="s">
        <v>15</v>
      </c>
      <c r="E62" s="226"/>
      <c r="F62" s="226">
        <v>1</v>
      </c>
      <c r="G62" s="70"/>
      <c r="H62" s="380">
        <f>H63+H64+H65</f>
        <v>0</v>
      </c>
      <c r="I62" s="9"/>
      <c r="J62" s="9"/>
      <c r="K62" s="16"/>
      <c r="L62" s="6"/>
      <c r="M62" s="6"/>
      <c r="N62" s="6"/>
    </row>
    <row r="63" spans="1:14" s="5" customFormat="1" ht="30" customHeight="1">
      <c r="A63" s="497"/>
      <c r="B63" s="224" t="s">
        <v>4</v>
      </c>
      <c r="C63" s="496" t="s">
        <v>136</v>
      </c>
      <c r="D63" s="496" t="s">
        <v>5</v>
      </c>
      <c r="E63" s="496">
        <v>1.99</v>
      </c>
      <c r="F63" s="222">
        <f>E63*F62</f>
        <v>1.99</v>
      </c>
      <c r="G63" s="47"/>
      <c r="H63" s="222">
        <f>G63*F63</f>
        <v>0</v>
      </c>
      <c r="I63" s="9"/>
      <c r="J63" s="9"/>
      <c r="K63" s="16"/>
      <c r="L63" s="6"/>
      <c r="M63" s="6"/>
      <c r="N63" s="6"/>
    </row>
    <row r="64" spans="1:14" s="5" customFormat="1" ht="30" customHeight="1">
      <c r="A64" s="497"/>
      <c r="B64" s="224" t="s">
        <v>1456</v>
      </c>
      <c r="C64" s="496" t="s">
        <v>1157</v>
      </c>
      <c r="D64" s="496" t="s">
        <v>15</v>
      </c>
      <c r="E64" s="377">
        <v>1</v>
      </c>
      <c r="F64" s="377">
        <f>E64*F62</f>
        <v>1</v>
      </c>
      <c r="G64" s="377"/>
      <c r="H64" s="52">
        <f>F64*G64</f>
        <v>0</v>
      </c>
      <c r="I64" s="9"/>
      <c r="J64" s="9"/>
      <c r="K64" s="16"/>
      <c r="L64" s="6"/>
      <c r="M64" s="6"/>
      <c r="N64" s="6"/>
    </row>
    <row r="65" spans="1:14" s="5" customFormat="1" ht="30" customHeight="1">
      <c r="A65" s="497"/>
      <c r="B65" s="224" t="s">
        <v>4</v>
      </c>
      <c r="C65" s="496" t="s">
        <v>18</v>
      </c>
      <c r="D65" s="496" t="s">
        <v>16</v>
      </c>
      <c r="E65" s="496">
        <v>1.39</v>
      </c>
      <c r="F65" s="222">
        <f>E65*F62</f>
        <v>1.39</v>
      </c>
      <c r="G65" s="47"/>
      <c r="H65" s="222">
        <f>G65*F65</f>
        <v>0</v>
      </c>
      <c r="I65" s="9"/>
      <c r="J65" s="9"/>
      <c r="K65" s="16"/>
      <c r="L65" s="6"/>
      <c r="M65" s="6"/>
      <c r="N65" s="6"/>
    </row>
    <row r="66" spans="1:14" s="5" customFormat="1" ht="60" customHeight="1">
      <c r="A66" s="221">
        <v>16</v>
      </c>
      <c r="B66" s="378" t="s">
        <v>163</v>
      </c>
      <c r="C66" s="375" t="s">
        <v>980</v>
      </c>
      <c r="D66" s="375" t="s">
        <v>15</v>
      </c>
      <c r="E66" s="226"/>
      <c r="F66" s="226">
        <v>22</v>
      </c>
      <c r="G66" s="70"/>
      <c r="H66" s="380">
        <f>H67+H68+H69</f>
        <v>0</v>
      </c>
      <c r="I66" s="9"/>
      <c r="J66" s="9"/>
      <c r="K66" s="16"/>
      <c r="L66" s="6"/>
      <c r="M66" s="6"/>
      <c r="N66" s="6"/>
    </row>
    <row r="67" spans="1:14" s="5" customFormat="1" ht="30.75" customHeight="1">
      <c r="A67" s="497"/>
      <c r="B67" s="224" t="s">
        <v>4</v>
      </c>
      <c r="C67" s="496" t="s">
        <v>136</v>
      </c>
      <c r="D67" s="496" t="s">
        <v>5</v>
      </c>
      <c r="E67" s="496">
        <v>1.99</v>
      </c>
      <c r="F67" s="222">
        <f>E67*F66</f>
        <v>43.78</v>
      </c>
      <c r="G67" s="47"/>
      <c r="H67" s="222">
        <f>G67*F67</f>
        <v>0</v>
      </c>
      <c r="I67" s="9"/>
      <c r="J67" s="9"/>
      <c r="K67" s="16"/>
      <c r="L67" s="6"/>
      <c r="M67" s="6"/>
      <c r="N67" s="6"/>
    </row>
    <row r="68" spans="1:14" s="5" customFormat="1" ht="37.5" customHeight="1">
      <c r="A68" s="497"/>
      <c r="B68" s="224" t="s">
        <v>1456</v>
      </c>
      <c r="C68" s="496" t="s">
        <v>981</v>
      </c>
      <c r="D68" s="496" t="s">
        <v>15</v>
      </c>
      <c r="E68" s="377">
        <v>1</v>
      </c>
      <c r="F68" s="377">
        <f>E68*F66</f>
        <v>22</v>
      </c>
      <c r="G68" s="377"/>
      <c r="H68" s="52">
        <f>F68*G68</f>
        <v>0</v>
      </c>
      <c r="I68" s="9"/>
      <c r="J68" s="9"/>
      <c r="K68" s="16"/>
      <c r="L68" s="6"/>
      <c r="M68" s="6"/>
      <c r="N68" s="6"/>
    </row>
    <row r="69" spans="1:14" s="5" customFormat="1" ht="33" customHeight="1">
      <c r="A69" s="497"/>
      <c r="B69" s="224" t="s">
        <v>4</v>
      </c>
      <c r="C69" s="496" t="s">
        <v>18</v>
      </c>
      <c r="D69" s="496" t="s">
        <v>16</v>
      </c>
      <c r="E69" s="496">
        <v>1.39</v>
      </c>
      <c r="F69" s="222">
        <f>E69*F66</f>
        <v>30.58</v>
      </c>
      <c r="G69" s="47"/>
      <c r="H69" s="222">
        <f>G69*F69</f>
        <v>0</v>
      </c>
      <c r="I69" s="9"/>
      <c r="J69" s="9"/>
      <c r="K69" s="16"/>
      <c r="L69" s="6"/>
      <c r="M69" s="6"/>
      <c r="N69" s="6"/>
    </row>
    <row r="70" spans="1:14" s="5" customFormat="1" ht="54" customHeight="1">
      <c r="A70" s="221">
        <v>17</v>
      </c>
      <c r="B70" s="325" t="s">
        <v>965</v>
      </c>
      <c r="C70" s="375" t="s">
        <v>156</v>
      </c>
      <c r="D70" s="375" t="s">
        <v>15</v>
      </c>
      <c r="E70" s="375"/>
      <c r="F70" s="226">
        <v>61</v>
      </c>
      <c r="G70" s="70"/>
      <c r="H70" s="380">
        <f>H71+H73+H72</f>
        <v>0</v>
      </c>
      <c r="I70" s="9"/>
      <c r="J70" s="9"/>
      <c r="K70" s="16"/>
      <c r="L70" s="6"/>
      <c r="M70" s="6"/>
      <c r="N70" s="6"/>
    </row>
    <row r="71" spans="1:14" s="5" customFormat="1" ht="30" customHeight="1">
      <c r="A71" s="497"/>
      <c r="B71" s="224" t="s">
        <v>4</v>
      </c>
      <c r="C71" s="496" t="s">
        <v>136</v>
      </c>
      <c r="D71" s="496" t="s">
        <v>5</v>
      </c>
      <c r="E71" s="496">
        <v>0.5</v>
      </c>
      <c r="F71" s="222">
        <f>F70*E71</f>
        <v>30.5</v>
      </c>
      <c r="G71" s="222"/>
      <c r="H71" s="222">
        <f>G71*F71</f>
        <v>0</v>
      </c>
      <c r="I71" s="9"/>
      <c r="J71" s="9"/>
      <c r="K71" s="16"/>
      <c r="L71" s="6"/>
      <c r="M71" s="6"/>
      <c r="N71" s="6"/>
    </row>
    <row r="72" spans="1:14" s="5" customFormat="1" ht="27" customHeight="1">
      <c r="A72" s="497"/>
      <c r="B72" s="224" t="s">
        <v>1461</v>
      </c>
      <c r="C72" s="496" t="s">
        <v>157</v>
      </c>
      <c r="D72" s="496" t="s">
        <v>15</v>
      </c>
      <c r="E72" s="377">
        <v>1</v>
      </c>
      <c r="F72" s="377">
        <f>E72*F70</f>
        <v>61</v>
      </c>
      <c r="G72" s="377"/>
      <c r="H72" s="377">
        <f>F72*G72</f>
        <v>0</v>
      </c>
      <c r="I72" s="9"/>
      <c r="J72" s="9"/>
      <c r="K72" s="16"/>
      <c r="L72" s="6"/>
      <c r="M72" s="6"/>
      <c r="N72" s="6"/>
    </row>
    <row r="73" spans="1:14" s="5" customFormat="1" ht="30" customHeight="1">
      <c r="A73" s="497"/>
      <c r="B73" s="224" t="s">
        <v>4</v>
      </c>
      <c r="C73" s="496" t="s">
        <v>72</v>
      </c>
      <c r="D73" s="496" t="s">
        <v>16</v>
      </c>
      <c r="E73" s="225">
        <v>0.2</v>
      </c>
      <c r="F73" s="222">
        <f>F70*E73</f>
        <v>12.200000000000001</v>
      </c>
      <c r="G73" s="47"/>
      <c r="H73" s="222">
        <f>F73*G73</f>
        <v>0</v>
      </c>
      <c r="I73" s="9"/>
      <c r="J73" s="9"/>
      <c r="K73" s="16"/>
      <c r="L73" s="6"/>
      <c r="M73" s="6"/>
      <c r="N73" s="6"/>
    </row>
    <row r="74" spans="1:14" s="5" customFormat="1" ht="54" customHeight="1">
      <c r="A74" s="221">
        <v>18</v>
      </c>
      <c r="B74" s="378" t="s">
        <v>261</v>
      </c>
      <c r="C74" s="375" t="s">
        <v>158</v>
      </c>
      <c r="D74" s="375" t="s">
        <v>15</v>
      </c>
      <c r="E74" s="375"/>
      <c r="F74" s="226">
        <v>142</v>
      </c>
      <c r="G74" s="70"/>
      <c r="H74" s="380">
        <f>H75+H77+H78+H76</f>
        <v>0</v>
      </c>
      <c r="I74" s="9"/>
      <c r="J74" s="9"/>
      <c r="K74" s="16"/>
      <c r="L74" s="6"/>
      <c r="M74" s="6"/>
      <c r="N74" s="6"/>
    </row>
    <row r="75" spans="1:14" s="5" customFormat="1" ht="31.5" customHeight="1">
      <c r="A75" s="497"/>
      <c r="B75" s="224" t="s">
        <v>4</v>
      </c>
      <c r="C75" s="496" t="s">
        <v>136</v>
      </c>
      <c r="D75" s="496" t="s">
        <v>5</v>
      </c>
      <c r="E75" s="496">
        <v>0.22</v>
      </c>
      <c r="F75" s="222">
        <f>F74*E75</f>
        <v>31.24</v>
      </c>
      <c r="G75" s="47"/>
      <c r="H75" s="222">
        <f>G75*F75</f>
        <v>0</v>
      </c>
      <c r="I75" s="9"/>
      <c r="J75" s="9"/>
      <c r="K75" s="16"/>
      <c r="L75" s="6"/>
      <c r="M75" s="6"/>
      <c r="N75" s="6"/>
    </row>
    <row r="76" spans="1:14" s="5" customFormat="1" ht="38.25" customHeight="1">
      <c r="A76" s="497"/>
      <c r="B76" s="224" t="s">
        <v>4</v>
      </c>
      <c r="C76" s="496" t="s">
        <v>129</v>
      </c>
      <c r="D76" s="496" t="s">
        <v>23</v>
      </c>
      <c r="E76" s="225">
        <v>0.0002</v>
      </c>
      <c r="F76" s="222">
        <f>F74*E76</f>
        <v>0.0284</v>
      </c>
      <c r="G76" s="47"/>
      <c r="H76" s="222">
        <f>G76*F76</f>
        <v>0</v>
      </c>
      <c r="I76" s="9"/>
      <c r="J76" s="9"/>
      <c r="K76" s="16"/>
      <c r="L76" s="6"/>
      <c r="M76" s="6"/>
      <c r="N76" s="6"/>
    </row>
    <row r="77" spans="1:14" s="5" customFormat="1" ht="32.25" customHeight="1">
      <c r="A77" s="497"/>
      <c r="B77" s="224" t="s">
        <v>1460</v>
      </c>
      <c r="C77" s="496" t="s">
        <v>159</v>
      </c>
      <c r="D77" s="496" t="s">
        <v>80</v>
      </c>
      <c r="E77" s="373">
        <v>1</v>
      </c>
      <c r="F77" s="105">
        <f>E77*F74</f>
        <v>142</v>
      </c>
      <c r="G77" s="377"/>
      <c r="H77" s="52">
        <f>F77*G77</f>
        <v>0</v>
      </c>
      <c r="I77" s="9"/>
      <c r="J77" s="9"/>
      <c r="K77" s="16"/>
      <c r="L77" s="6"/>
      <c r="M77" s="6"/>
      <c r="N77" s="6"/>
    </row>
    <row r="78" spans="1:14" s="5" customFormat="1" ht="32.25" customHeight="1">
      <c r="A78" s="497"/>
      <c r="B78" s="224" t="s">
        <v>4</v>
      </c>
      <c r="C78" s="496" t="s">
        <v>18</v>
      </c>
      <c r="D78" s="496" t="s">
        <v>16</v>
      </c>
      <c r="E78" s="225">
        <v>0.0828</v>
      </c>
      <c r="F78" s="222">
        <f>F74*E78</f>
        <v>11.7576</v>
      </c>
      <c r="G78" s="47"/>
      <c r="H78" s="47">
        <f>F78*G78</f>
        <v>0</v>
      </c>
      <c r="I78" s="9"/>
      <c r="J78" s="9"/>
      <c r="K78" s="16"/>
      <c r="L78" s="6"/>
      <c r="M78" s="6"/>
      <c r="N78" s="6"/>
    </row>
    <row r="79" spans="1:14" s="5" customFormat="1" ht="52.5" customHeight="1">
      <c r="A79" s="221">
        <v>19</v>
      </c>
      <c r="B79" s="378" t="s">
        <v>262</v>
      </c>
      <c r="C79" s="375" t="s">
        <v>160</v>
      </c>
      <c r="D79" s="375" t="s">
        <v>107</v>
      </c>
      <c r="E79" s="375"/>
      <c r="F79" s="226">
        <v>57</v>
      </c>
      <c r="G79" s="70"/>
      <c r="H79" s="380">
        <f>SUM(H80:H83)</f>
        <v>0</v>
      </c>
      <c r="I79" s="9"/>
      <c r="J79" s="9"/>
      <c r="K79" s="16"/>
      <c r="L79" s="6"/>
      <c r="M79" s="6"/>
      <c r="N79" s="6"/>
    </row>
    <row r="80" spans="1:14" s="5" customFormat="1" ht="27" customHeight="1">
      <c r="A80" s="497"/>
      <c r="B80" s="224" t="s">
        <v>4</v>
      </c>
      <c r="C80" s="496" t="s">
        <v>136</v>
      </c>
      <c r="D80" s="496" t="s">
        <v>5</v>
      </c>
      <c r="E80" s="496">
        <v>0.2</v>
      </c>
      <c r="F80" s="222">
        <f>F79*E80</f>
        <v>11.4</v>
      </c>
      <c r="G80" s="47"/>
      <c r="H80" s="222">
        <f>G80*F80</f>
        <v>0</v>
      </c>
      <c r="I80" s="9"/>
      <c r="J80" s="9"/>
      <c r="K80" s="16"/>
      <c r="L80" s="6"/>
      <c r="M80" s="6"/>
      <c r="N80" s="6"/>
    </row>
    <row r="81" spans="1:14" s="5" customFormat="1" ht="30.75" customHeight="1">
      <c r="A81" s="497"/>
      <c r="B81" s="224" t="s">
        <v>4</v>
      </c>
      <c r="C81" s="496" t="s">
        <v>129</v>
      </c>
      <c r="D81" s="496" t="s">
        <v>23</v>
      </c>
      <c r="E81" s="212">
        <v>0.0005</v>
      </c>
      <c r="F81" s="222">
        <f>F79*E81</f>
        <v>0.0285</v>
      </c>
      <c r="G81" s="47"/>
      <c r="H81" s="222">
        <f>G81*F81</f>
        <v>0</v>
      </c>
      <c r="I81" s="9"/>
      <c r="J81" s="9"/>
      <c r="K81" s="16"/>
      <c r="L81" s="6"/>
      <c r="M81" s="6"/>
      <c r="N81" s="6"/>
    </row>
    <row r="82" spans="1:14" s="5" customFormat="1" ht="28.5" customHeight="1">
      <c r="A82" s="497"/>
      <c r="B82" s="224" t="s">
        <v>243</v>
      </c>
      <c r="C82" s="496" t="s">
        <v>75</v>
      </c>
      <c r="D82" s="496" t="s">
        <v>80</v>
      </c>
      <c r="E82" s="377">
        <v>1</v>
      </c>
      <c r="F82" s="377">
        <f>F79*E82</f>
        <v>57</v>
      </c>
      <c r="G82" s="377"/>
      <c r="H82" s="52">
        <f>F82*G82</f>
        <v>0</v>
      </c>
      <c r="I82" s="9"/>
      <c r="J82" s="9"/>
      <c r="K82" s="16"/>
      <c r="L82" s="6"/>
      <c r="M82" s="6"/>
      <c r="N82" s="6"/>
    </row>
    <row r="83" spans="1:14" s="5" customFormat="1" ht="32.25" customHeight="1">
      <c r="A83" s="497"/>
      <c r="B83" s="224" t="s">
        <v>4</v>
      </c>
      <c r="C83" s="496" t="s">
        <v>18</v>
      </c>
      <c r="D83" s="496" t="s">
        <v>16</v>
      </c>
      <c r="E83" s="225">
        <v>0.0825</v>
      </c>
      <c r="F83" s="222">
        <f>F79*E83</f>
        <v>4.702500000000001</v>
      </c>
      <c r="G83" s="47"/>
      <c r="H83" s="47">
        <f>F83*G83</f>
        <v>0</v>
      </c>
      <c r="I83" s="9"/>
      <c r="J83" s="9"/>
      <c r="K83" s="16"/>
      <c r="L83" s="6"/>
      <c r="M83" s="6"/>
      <c r="N83" s="6"/>
    </row>
    <row r="84" spans="1:14" s="5" customFormat="1" ht="54" customHeight="1">
      <c r="A84" s="221">
        <v>20</v>
      </c>
      <c r="B84" s="378" t="s">
        <v>263</v>
      </c>
      <c r="C84" s="375" t="s">
        <v>242</v>
      </c>
      <c r="D84" s="375" t="s">
        <v>107</v>
      </c>
      <c r="E84" s="375"/>
      <c r="F84" s="226">
        <v>5</v>
      </c>
      <c r="G84" s="70"/>
      <c r="H84" s="380">
        <f>SUM(H85:H88)</f>
        <v>0</v>
      </c>
      <c r="I84" s="9"/>
      <c r="J84" s="9"/>
      <c r="K84" s="16"/>
      <c r="L84" s="6"/>
      <c r="M84" s="6"/>
      <c r="N84" s="6"/>
    </row>
    <row r="85" spans="1:14" s="5" customFormat="1" ht="27" customHeight="1">
      <c r="A85" s="497"/>
      <c r="B85" s="224" t="s">
        <v>4</v>
      </c>
      <c r="C85" s="496" t="s">
        <v>136</v>
      </c>
      <c r="D85" s="496" t="s">
        <v>5</v>
      </c>
      <c r="E85" s="496">
        <v>0.27</v>
      </c>
      <c r="F85" s="222">
        <f>F84*E85</f>
        <v>1.35</v>
      </c>
      <c r="G85" s="47"/>
      <c r="H85" s="222">
        <f>G85*F85</f>
        <v>0</v>
      </c>
      <c r="I85" s="9"/>
      <c r="J85" s="9"/>
      <c r="K85" s="16"/>
      <c r="L85" s="6"/>
      <c r="M85" s="6"/>
      <c r="N85" s="6"/>
    </row>
    <row r="86" spans="1:14" s="5" customFormat="1" ht="24" customHeight="1">
      <c r="A86" s="497"/>
      <c r="B86" s="224" t="s">
        <v>4</v>
      </c>
      <c r="C86" s="496" t="s">
        <v>129</v>
      </c>
      <c r="D86" s="496" t="s">
        <v>23</v>
      </c>
      <c r="E86" s="212">
        <v>0.0004</v>
      </c>
      <c r="F86" s="222">
        <f>F84*E86</f>
        <v>0.002</v>
      </c>
      <c r="G86" s="47"/>
      <c r="H86" s="222">
        <f>G86*F86</f>
        <v>0</v>
      </c>
      <c r="I86" s="9"/>
      <c r="J86" s="9"/>
      <c r="K86" s="16"/>
      <c r="L86" s="6"/>
      <c r="M86" s="6"/>
      <c r="N86" s="6"/>
    </row>
    <row r="87" spans="1:14" s="5" customFormat="1" ht="27.75" customHeight="1">
      <c r="A87" s="497"/>
      <c r="B87" s="224" t="s">
        <v>244</v>
      </c>
      <c r="C87" s="496" t="s">
        <v>76</v>
      </c>
      <c r="D87" s="496" t="s">
        <v>80</v>
      </c>
      <c r="E87" s="377">
        <v>1</v>
      </c>
      <c r="F87" s="377">
        <f>F84*E87</f>
        <v>5</v>
      </c>
      <c r="G87" s="377"/>
      <c r="H87" s="52">
        <f>F87*G87</f>
        <v>0</v>
      </c>
      <c r="I87" s="9"/>
      <c r="J87" s="9"/>
      <c r="K87" s="16"/>
      <c r="L87" s="6"/>
      <c r="M87" s="6"/>
      <c r="N87" s="6"/>
    </row>
    <row r="88" spans="1:14" s="5" customFormat="1" ht="32.25" customHeight="1">
      <c r="A88" s="497"/>
      <c r="B88" s="224" t="s">
        <v>4</v>
      </c>
      <c r="C88" s="496" t="s">
        <v>18</v>
      </c>
      <c r="D88" s="496" t="s">
        <v>16</v>
      </c>
      <c r="E88" s="225">
        <v>0.0746</v>
      </c>
      <c r="F88" s="222">
        <f>F84*E88</f>
        <v>0.373</v>
      </c>
      <c r="G88" s="47"/>
      <c r="H88" s="47">
        <f>F88*G88</f>
        <v>0</v>
      </c>
      <c r="I88" s="9"/>
      <c r="J88" s="9"/>
      <c r="K88" s="16"/>
      <c r="L88" s="6"/>
      <c r="M88" s="6"/>
      <c r="N88" s="6"/>
    </row>
    <row r="89" spans="1:14" s="5" customFormat="1" ht="54" customHeight="1">
      <c r="A89" s="221">
        <v>21</v>
      </c>
      <c r="B89" s="378" t="s">
        <v>449</v>
      </c>
      <c r="C89" s="375" t="s">
        <v>450</v>
      </c>
      <c r="D89" s="375" t="s">
        <v>15</v>
      </c>
      <c r="E89" s="375"/>
      <c r="F89" s="226">
        <v>1</v>
      </c>
      <c r="G89" s="70"/>
      <c r="H89" s="380">
        <f>H90+H91+H92</f>
        <v>0</v>
      </c>
      <c r="I89" s="9"/>
      <c r="J89" s="9"/>
      <c r="K89" s="16"/>
      <c r="L89" s="6"/>
      <c r="M89" s="6"/>
      <c r="N89" s="6"/>
    </row>
    <row r="90" spans="1:14" s="5" customFormat="1" ht="27" customHeight="1">
      <c r="A90" s="497"/>
      <c r="B90" s="224" t="s">
        <v>4</v>
      </c>
      <c r="C90" s="496" t="s">
        <v>136</v>
      </c>
      <c r="D90" s="496" t="s">
        <v>5</v>
      </c>
      <c r="E90" s="496">
        <v>2</v>
      </c>
      <c r="F90" s="222">
        <f>F89*E90</f>
        <v>2</v>
      </c>
      <c r="G90" s="47"/>
      <c r="H90" s="222">
        <f>G90*F90</f>
        <v>0</v>
      </c>
      <c r="I90" s="9"/>
      <c r="J90" s="9"/>
      <c r="K90" s="16"/>
      <c r="L90" s="6"/>
      <c r="M90" s="6"/>
      <c r="N90" s="6"/>
    </row>
    <row r="91" spans="1:14" s="5" customFormat="1" ht="30" customHeight="1">
      <c r="A91" s="497"/>
      <c r="B91" s="224" t="s">
        <v>1462</v>
      </c>
      <c r="C91" s="496" t="s">
        <v>451</v>
      </c>
      <c r="D91" s="496" t="s">
        <v>80</v>
      </c>
      <c r="E91" s="377">
        <v>1</v>
      </c>
      <c r="F91" s="377">
        <f>E91*F89</f>
        <v>1</v>
      </c>
      <c r="G91" s="377"/>
      <c r="H91" s="52">
        <f>F91*G91</f>
        <v>0</v>
      </c>
      <c r="I91" s="9"/>
      <c r="J91" s="9"/>
      <c r="K91" s="16"/>
      <c r="L91" s="6"/>
      <c r="M91" s="6"/>
      <c r="N91" s="6"/>
    </row>
    <row r="92" spans="1:14" s="5" customFormat="1" ht="27.75" customHeight="1">
      <c r="A92" s="497"/>
      <c r="B92" s="224" t="s">
        <v>4</v>
      </c>
      <c r="C92" s="496" t="s">
        <v>18</v>
      </c>
      <c r="D92" s="496" t="s">
        <v>16</v>
      </c>
      <c r="E92" s="225">
        <v>0.14</v>
      </c>
      <c r="F92" s="222">
        <f>F89*E92</f>
        <v>0.14</v>
      </c>
      <c r="G92" s="47"/>
      <c r="H92" s="47">
        <f>F92*G92</f>
        <v>0</v>
      </c>
      <c r="I92" s="9"/>
      <c r="J92" s="9"/>
      <c r="K92" s="16"/>
      <c r="L92" s="6"/>
      <c r="M92" s="6"/>
      <c r="N92" s="6"/>
    </row>
    <row r="93" spans="1:14" s="5" customFormat="1" ht="61.5" customHeight="1">
      <c r="A93" s="376" t="s">
        <v>52</v>
      </c>
      <c r="B93" s="378" t="s">
        <v>264</v>
      </c>
      <c r="C93" s="375" t="s">
        <v>1656</v>
      </c>
      <c r="D93" s="375" t="s">
        <v>107</v>
      </c>
      <c r="E93" s="545"/>
      <c r="F93" s="226">
        <v>178</v>
      </c>
      <c r="G93" s="70"/>
      <c r="H93" s="380">
        <f>SUM(H94:H97)</f>
        <v>0</v>
      </c>
      <c r="I93" s="9"/>
      <c r="J93" s="9"/>
      <c r="K93" s="16"/>
      <c r="L93" s="6"/>
      <c r="M93" s="6"/>
      <c r="N93" s="6"/>
    </row>
    <row r="94" spans="1:14" s="5" customFormat="1" ht="30" customHeight="1">
      <c r="A94" s="497"/>
      <c r="B94" s="224" t="s">
        <v>4</v>
      </c>
      <c r="C94" s="496" t="s">
        <v>136</v>
      </c>
      <c r="D94" s="496" t="s">
        <v>5</v>
      </c>
      <c r="E94" s="496">
        <v>1.65</v>
      </c>
      <c r="F94" s="377">
        <f>F93*E94</f>
        <v>293.7</v>
      </c>
      <c r="G94" s="47"/>
      <c r="H94" s="377">
        <f>F94*G94</f>
        <v>0</v>
      </c>
      <c r="I94" s="9"/>
      <c r="J94" s="9"/>
      <c r="K94" s="16"/>
      <c r="L94" s="6"/>
      <c r="M94" s="6"/>
      <c r="N94" s="6"/>
    </row>
    <row r="95" spans="1:14" s="5" customFormat="1" ht="32.25" customHeight="1">
      <c r="A95" s="497"/>
      <c r="B95" s="224" t="s">
        <v>4</v>
      </c>
      <c r="C95" s="496" t="s">
        <v>129</v>
      </c>
      <c r="D95" s="496" t="s">
        <v>23</v>
      </c>
      <c r="E95" s="212">
        <v>0.022</v>
      </c>
      <c r="F95" s="222">
        <f>F93*E95</f>
        <v>3.916</v>
      </c>
      <c r="G95" s="47"/>
      <c r="H95" s="222">
        <f>G95*F95</f>
        <v>0</v>
      </c>
      <c r="I95" s="9"/>
      <c r="J95" s="9"/>
      <c r="K95" s="16"/>
      <c r="L95" s="6"/>
      <c r="M95" s="6"/>
      <c r="N95" s="6"/>
    </row>
    <row r="96" spans="1:14" s="5" customFormat="1" ht="47.25" customHeight="1">
      <c r="A96" s="497"/>
      <c r="B96" s="224" t="s">
        <v>2</v>
      </c>
      <c r="C96" s="496" t="s">
        <v>1088</v>
      </c>
      <c r="D96" s="496" t="s">
        <v>80</v>
      </c>
      <c r="E96" s="225">
        <v>1</v>
      </c>
      <c r="F96" s="222">
        <f>E96*F93</f>
        <v>178</v>
      </c>
      <c r="G96" s="47"/>
      <c r="H96" s="222">
        <f>G96*F96</f>
        <v>0</v>
      </c>
      <c r="I96" s="9"/>
      <c r="J96" s="9"/>
      <c r="K96" s="16"/>
      <c r="L96" s="6"/>
      <c r="M96" s="6"/>
      <c r="N96" s="6"/>
    </row>
    <row r="97" spans="1:14" s="5" customFormat="1" ht="32.25" customHeight="1">
      <c r="A97" s="497"/>
      <c r="B97" s="224" t="s">
        <v>4</v>
      </c>
      <c r="C97" s="496" t="s">
        <v>18</v>
      </c>
      <c r="D97" s="496" t="s">
        <v>16</v>
      </c>
      <c r="E97" s="373">
        <v>0.306</v>
      </c>
      <c r="F97" s="377">
        <f>F93*E97</f>
        <v>54.467999999999996</v>
      </c>
      <c r="G97" s="47"/>
      <c r="H97" s="52">
        <f>F97*G97</f>
        <v>0</v>
      </c>
      <c r="I97" s="9"/>
      <c r="J97" s="9"/>
      <c r="K97" s="16"/>
      <c r="L97" s="6"/>
      <c r="M97" s="6"/>
      <c r="N97" s="6"/>
    </row>
    <row r="98" spans="1:14" s="5" customFormat="1" ht="61.5" customHeight="1">
      <c r="A98" s="376" t="s">
        <v>83</v>
      </c>
      <c r="B98" s="378" t="s">
        <v>476</v>
      </c>
      <c r="C98" s="375" t="s">
        <v>642</v>
      </c>
      <c r="D98" s="375" t="s">
        <v>107</v>
      </c>
      <c r="E98" s="375"/>
      <c r="F98" s="226">
        <v>18</v>
      </c>
      <c r="G98" s="70"/>
      <c r="H98" s="380">
        <f>SUM(H99:H102)</f>
        <v>0</v>
      </c>
      <c r="I98" s="9"/>
      <c r="J98" s="9"/>
      <c r="K98" s="16"/>
      <c r="L98" s="6"/>
      <c r="M98" s="6"/>
      <c r="N98" s="6"/>
    </row>
    <row r="99" spans="1:14" s="5" customFormat="1" ht="27.75" customHeight="1">
      <c r="A99" s="497"/>
      <c r="B99" s="224" t="s">
        <v>4</v>
      </c>
      <c r="C99" s="496" t="s">
        <v>136</v>
      </c>
      <c r="D99" s="496" t="s">
        <v>5</v>
      </c>
      <c r="E99" s="496">
        <v>1.65</v>
      </c>
      <c r="F99" s="377">
        <f>F98*E99</f>
        <v>29.7</v>
      </c>
      <c r="G99" s="47"/>
      <c r="H99" s="377">
        <f>F99*G99</f>
        <v>0</v>
      </c>
      <c r="I99" s="9"/>
      <c r="J99" s="9"/>
      <c r="K99" s="16"/>
      <c r="L99" s="6"/>
      <c r="M99" s="6"/>
      <c r="N99" s="6"/>
    </row>
    <row r="100" spans="1:14" s="5" customFormat="1" ht="25.5" customHeight="1">
      <c r="A100" s="497"/>
      <c r="B100" s="224" t="s">
        <v>4</v>
      </c>
      <c r="C100" s="496" t="s">
        <v>129</v>
      </c>
      <c r="D100" s="496" t="s">
        <v>23</v>
      </c>
      <c r="E100" s="212">
        <v>0.022</v>
      </c>
      <c r="F100" s="222">
        <f>F98*E100</f>
        <v>0.39599999999999996</v>
      </c>
      <c r="G100" s="47"/>
      <c r="H100" s="222">
        <f>G100*F100</f>
        <v>0</v>
      </c>
      <c r="I100" s="9"/>
      <c r="J100" s="9"/>
      <c r="K100" s="16"/>
      <c r="L100" s="6"/>
      <c r="M100" s="6"/>
      <c r="N100" s="6"/>
    </row>
    <row r="101" spans="1:14" s="5" customFormat="1" ht="34.5" customHeight="1">
      <c r="A101" s="497"/>
      <c r="B101" s="224" t="s">
        <v>2</v>
      </c>
      <c r="C101" s="496" t="s">
        <v>1089</v>
      </c>
      <c r="D101" s="496" t="s">
        <v>80</v>
      </c>
      <c r="E101" s="373">
        <v>1</v>
      </c>
      <c r="F101" s="377">
        <f>E101*F98</f>
        <v>18</v>
      </c>
      <c r="G101" s="377"/>
      <c r="H101" s="52">
        <f>F101*G101</f>
        <v>0</v>
      </c>
      <c r="I101" s="9"/>
      <c r="J101" s="9"/>
      <c r="K101" s="16"/>
      <c r="L101" s="6"/>
      <c r="M101" s="6"/>
      <c r="N101" s="6"/>
    </row>
    <row r="102" spans="1:14" s="5" customFormat="1" ht="33" customHeight="1">
      <c r="A102" s="497"/>
      <c r="B102" s="224" t="s">
        <v>4</v>
      </c>
      <c r="C102" s="496" t="s">
        <v>18</v>
      </c>
      <c r="D102" s="496" t="s">
        <v>16</v>
      </c>
      <c r="E102" s="373">
        <v>0.306</v>
      </c>
      <c r="F102" s="377">
        <f>F98*E102</f>
        <v>5.508</v>
      </c>
      <c r="G102" s="47"/>
      <c r="H102" s="52">
        <f>F102*G102</f>
        <v>0</v>
      </c>
      <c r="I102" s="9"/>
      <c r="J102" s="9"/>
      <c r="K102" s="16"/>
      <c r="L102" s="6"/>
      <c r="M102" s="6"/>
      <c r="N102" s="6"/>
    </row>
    <row r="103" spans="1:14" s="5" customFormat="1" ht="53.25" customHeight="1">
      <c r="A103" s="376" t="s">
        <v>70</v>
      </c>
      <c r="B103" s="378" t="s">
        <v>264</v>
      </c>
      <c r="C103" s="375" t="s">
        <v>982</v>
      </c>
      <c r="D103" s="375" t="s">
        <v>107</v>
      </c>
      <c r="E103" s="226"/>
      <c r="F103" s="226">
        <v>24</v>
      </c>
      <c r="G103" s="70"/>
      <c r="H103" s="380">
        <f>SUM(H104:H107)</f>
        <v>0</v>
      </c>
      <c r="I103" s="9"/>
      <c r="J103" s="9"/>
      <c r="K103" s="16"/>
      <c r="L103" s="6"/>
      <c r="M103" s="6"/>
      <c r="N103" s="6"/>
    </row>
    <row r="104" spans="1:14" s="5" customFormat="1" ht="26.25" customHeight="1">
      <c r="A104" s="497"/>
      <c r="B104" s="224" t="s">
        <v>4</v>
      </c>
      <c r="C104" s="496" t="s">
        <v>136</v>
      </c>
      <c r="D104" s="496" t="s">
        <v>5</v>
      </c>
      <c r="E104" s="496">
        <v>1.65</v>
      </c>
      <c r="F104" s="377">
        <f>F103*E104</f>
        <v>39.599999999999994</v>
      </c>
      <c r="G104" s="47"/>
      <c r="H104" s="377">
        <f>F104*G104</f>
        <v>0</v>
      </c>
      <c r="I104" s="9"/>
      <c r="J104" s="9"/>
      <c r="K104" s="16"/>
      <c r="L104" s="6"/>
      <c r="M104" s="6"/>
      <c r="N104" s="6"/>
    </row>
    <row r="105" spans="1:14" s="5" customFormat="1" ht="27" customHeight="1">
      <c r="A105" s="497"/>
      <c r="B105" s="224" t="s">
        <v>4</v>
      </c>
      <c r="C105" s="496" t="s">
        <v>129</v>
      </c>
      <c r="D105" s="496" t="s">
        <v>23</v>
      </c>
      <c r="E105" s="212">
        <v>0.022</v>
      </c>
      <c r="F105" s="222">
        <f>F103*E105</f>
        <v>0.528</v>
      </c>
      <c r="G105" s="47"/>
      <c r="H105" s="222">
        <f>G105*F105</f>
        <v>0</v>
      </c>
      <c r="I105" s="9"/>
      <c r="J105" s="9"/>
      <c r="K105" s="16"/>
      <c r="L105" s="6"/>
      <c r="M105" s="6"/>
      <c r="N105" s="6"/>
    </row>
    <row r="106" spans="1:14" s="5" customFormat="1" ht="32.25" customHeight="1">
      <c r="A106" s="497"/>
      <c r="B106" s="224" t="s">
        <v>2</v>
      </c>
      <c r="C106" s="496" t="s">
        <v>643</v>
      </c>
      <c r="D106" s="496" t="s">
        <v>80</v>
      </c>
      <c r="E106" s="377">
        <v>1</v>
      </c>
      <c r="F106" s="377">
        <f>E106*F103</f>
        <v>24</v>
      </c>
      <c r="G106" s="377"/>
      <c r="H106" s="52">
        <f>F106*G106</f>
        <v>0</v>
      </c>
      <c r="I106" s="9"/>
      <c r="J106" s="9"/>
      <c r="K106" s="16"/>
      <c r="L106" s="6"/>
      <c r="M106" s="6"/>
      <c r="N106" s="6"/>
    </row>
    <row r="107" spans="1:14" s="5" customFormat="1" ht="32.25" customHeight="1">
      <c r="A107" s="497"/>
      <c r="B107" s="224" t="s">
        <v>4</v>
      </c>
      <c r="C107" s="496" t="s">
        <v>18</v>
      </c>
      <c r="D107" s="496" t="s">
        <v>16</v>
      </c>
      <c r="E107" s="373">
        <v>0.306</v>
      </c>
      <c r="F107" s="377">
        <f>F103*E107</f>
        <v>7.343999999999999</v>
      </c>
      <c r="G107" s="47"/>
      <c r="H107" s="52">
        <f>F107*G107</f>
        <v>0</v>
      </c>
      <c r="I107" s="9"/>
      <c r="J107" s="9"/>
      <c r="K107" s="16"/>
      <c r="L107" s="6"/>
      <c r="M107" s="6"/>
      <c r="N107" s="6"/>
    </row>
    <row r="108" spans="1:14" s="5" customFormat="1" ht="64.5" customHeight="1">
      <c r="A108" s="376" t="s">
        <v>865</v>
      </c>
      <c r="B108" s="378" t="s">
        <v>264</v>
      </c>
      <c r="C108" s="375" t="s">
        <v>1658</v>
      </c>
      <c r="D108" s="375" t="s">
        <v>107</v>
      </c>
      <c r="E108" s="226"/>
      <c r="F108" s="226">
        <v>17</v>
      </c>
      <c r="G108" s="70"/>
      <c r="H108" s="380">
        <f>SUM(H109:H112)</f>
        <v>0</v>
      </c>
      <c r="I108" s="9"/>
      <c r="J108" s="9"/>
      <c r="K108" s="16"/>
      <c r="L108" s="6"/>
      <c r="M108" s="6"/>
      <c r="N108" s="6"/>
    </row>
    <row r="109" spans="1:14" s="5" customFormat="1" ht="29.25" customHeight="1">
      <c r="A109" s="497"/>
      <c r="B109" s="224" t="s">
        <v>4</v>
      </c>
      <c r="C109" s="496" t="s">
        <v>136</v>
      </c>
      <c r="D109" s="496" t="s">
        <v>5</v>
      </c>
      <c r="E109" s="496">
        <v>1.65</v>
      </c>
      <c r="F109" s="377">
        <f>F108*E109</f>
        <v>28.049999999999997</v>
      </c>
      <c r="G109" s="47"/>
      <c r="H109" s="377">
        <f>F109*G109</f>
        <v>0</v>
      </c>
      <c r="I109" s="9"/>
      <c r="J109" s="9"/>
      <c r="K109" s="16"/>
      <c r="L109" s="6"/>
      <c r="M109" s="6"/>
      <c r="N109" s="6"/>
    </row>
    <row r="110" spans="1:14" s="5" customFormat="1" ht="27.75" customHeight="1">
      <c r="A110" s="497"/>
      <c r="B110" s="224" t="s">
        <v>4</v>
      </c>
      <c r="C110" s="496" t="s">
        <v>129</v>
      </c>
      <c r="D110" s="496" t="s">
        <v>23</v>
      </c>
      <c r="E110" s="212">
        <v>0.022</v>
      </c>
      <c r="F110" s="222">
        <f>F108*E110</f>
        <v>0.374</v>
      </c>
      <c r="G110" s="47"/>
      <c r="H110" s="222">
        <f>G110*F110</f>
        <v>0</v>
      </c>
      <c r="I110" s="9"/>
      <c r="J110" s="9"/>
      <c r="K110" s="16"/>
      <c r="L110" s="6"/>
      <c r="M110" s="6"/>
      <c r="N110" s="6"/>
    </row>
    <row r="111" spans="1:14" s="5" customFormat="1" ht="43.5" customHeight="1">
      <c r="A111" s="497"/>
      <c r="B111" s="224" t="s">
        <v>2</v>
      </c>
      <c r="C111" s="496" t="s">
        <v>1158</v>
      </c>
      <c r="D111" s="496" t="s">
        <v>80</v>
      </c>
      <c r="E111" s="377">
        <v>1</v>
      </c>
      <c r="F111" s="377">
        <f>E111*F108</f>
        <v>17</v>
      </c>
      <c r="G111" s="377"/>
      <c r="H111" s="52">
        <f>F111*G111</f>
        <v>0</v>
      </c>
      <c r="I111" s="9"/>
      <c r="J111" s="9"/>
      <c r="K111" s="16"/>
      <c r="L111" s="6"/>
      <c r="M111" s="6"/>
      <c r="N111" s="6"/>
    </row>
    <row r="112" spans="1:14" s="5" customFormat="1" ht="27.75" customHeight="1">
      <c r="A112" s="497"/>
      <c r="B112" s="224" t="s">
        <v>4</v>
      </c>
      <c r="C112" s="496" t="s">
        <v>18</v>
      </c>
      <c r="D112" s="496" t="s">
        <v>16</v>
      </c>
      <c r="E112" s="373">
        <v>0.306</v>
      </c>
      <c r="F112" s="377">
        <f>F108*E112</f>
        <v>5.202</v>
      </c>
      <c r="G112" s="47"/>
      <c r="H112" s="52">
        <f>F112*G112</f>
        <v>0</v>
      </c>
      <c r="I112" s="9"/>
      <c r="J112" s="9"/>
      <c r="K112" s="16"/>
      <c r="L112" s="6"/>
      <c r="M112" s="6"/>
      <c r="N112" s="6"/>
    </row>
    <row r="113" spans="1:14" s="5" customFormat="1" ht="60" customHeight="1">
      <c r="A113" s="376" t="s">
        <v>784</v>
      </c>
      <c r="B113" s="378" t="s">
        <v>265</v>
      </c>
      <c r="C113" s="375" t="s">
        <v>983</v>
      </c>
      <c r="D113" s="375" t="s">
        <v>107</v>
      </c>
      <c r="E113" s="375"/>
      <c r="F113" s="226">
        <v>6</v>
      </c>
      <c r="G113" s="70"/>
      <c r="H113" s="380">
        <f>SUM(H114:H117)</f>
        <v>0</v>
      </c>
      <c r="I113" s="9"/>
      <c r="J113" s="9"/>
      <c r="K113" s="16"/>
      <c r="L113" s="6"/>
      <c r="M113" s="6"/>
      <c r="N113" s="6"/>
    </row>
    <row r="114" spans="1:14" s="5" customFormat="1" ht="31.5" customHeight="1">
      <c r="A114" s="497"/>
      <c r="B114" s="224" t="s">
        <v>4</v>
      </c>
      <c r="C114" s="496" t="s">
        <v>136</v>
      </c>
      <c r="D114" s="496" t="s">
        <v>5</v>
      </c>
      <c r="E114" s="496">
        <v>1.65</v>
      </c>
      <c r="F114" s="377">
        <f>F113*E114</f>
        <v>9.899999999999999</v>
      </c>
      <c r="G114" s="47"/>
      <c r="H114" s="377">
        <f>F114*G114</f>
        <v>0</v>
      </c>
      <c r="I114" s="9"/>
      <c r="J114" s="9"/>
      <c r="K114" s="16"/>
      <c r="L114" s="6"/>
      <c r="M114" s="6"/>
      <c r="N114" s="6"/>
    </row>
    <row r="115" spans="1:14" s="5" customFormat="1" ht="31.5" customHeight="1">
      <c r="A115" s="497"/>
      <c r="B115" s="224" t="s">
        <v>4</v>
      </c>
      <c r="C115" s="496" t="s">
        <v>129</v>
      </c>
      <c r="D115" s="496" t="s">
        <v>23</v>
      </c>
      <c r="E115" s="212">
        <v>0.022</v>
      </c>
      <c r="F115" s="222">
        <f>F113*E115</f>
        <v>0.132</v>
      </c>
      <c r="G115" s="47"/>
      <c r="H115" s="222">
        <f>G115*F115</f>
        <v>0</v>
      </c>
      <c r="I115" s="9"/>
      <c r="J115" s="9"/>
      <c r="K115" s="16"/>
      <c r="L115" s="6"/>
      <c r="M115" s="6"/>
      <c r="N115" s="6"/>
    </row>
    <row r="116" spans="1:14" s="5" customFormat="1" ht="36" customHeight="1">
      <c r="A116" s="497"/>
      <c r="B116" s="224" t="s">
        <v>2</v>
      </c>
      <c r="C116" s="496" t="s">
        <v>644</v>
      </c>
      <c r="D116" s="496" t="s">
        <v>80</v>
      </c>
      <c r="E116" s="377">
        <v>1</v>
      </c>
      <c r="F116" s="377">
        <f>E116*F113</f>
        <v>6</v>
      </c>
      <c r="G116" s="377"/>
      <c r="H116" s="52">
        <f>F116*G116</f>
        <v>0</v>
      </c>
      <c r="I116" s="9"/>
      <c r="J116" s="9"/>
      <c r="K116" s="16"/>
      <c r="L116" s="6"/>
      <c r="M116" s="6"/>
      <c r="N116" s="6"/>
    </row>
    <row r="117" spans="1:14" s="5" customFormat="1" ht="29.25" customHeight="1">
      <c r="A117" s="497"/>
      <c r="B117" s="224" t="s">
        <v>4</v>
      </c>
      <c r="C117" s="496" t="s">
        <v>18</v>
      </c>
      <c r="D117" s="496" t="s">
        <v>16</v>
      </c>
      <c r="E117" s="373">
        <v>0.306</v>
      </c>
      <c r="F117" s="377">
        <f>F113*E117</f>
        <v>1.8359999999999999</v>
      </c>
      <c r="G117" s="47"/>
      <c r="H117" s="52">
        <f>F117*G117</f>
        <v>0</v>
      </c>
      <c r="I117" s="9"/>
      <c r="J117" s="9"/>
      <c r="K117" s="16"/>
      <c r="L117" s="6"/>
      <c r="M117" s="6"/>
      <c r="N117" s="6"/>
    </row>
    <row r="118" spans="1:14" s="5" customFormat="1" ht="59.25" customHeight="1">
      <c r="A118" s="376" t="s">
        <v>284</v>
      </c>
      <c r="B118" s="378" t="s">
        <v>265</v>
      </c>
      <c r="C118" s="375" t="s">
        <v>474</v>
      </c>
      <c r="D118" s="375" t="s">
        <v>107</v>
      </c>
      <c r="E118" s="375"/>
      <c r="F118" s="226">
        <v>102</v>
      </c>
      <c r="G118" s="70"/>
      <c r="H118" s="380">
        <f>SUM(H119:H122)</f>
        <v>0</v>
      </c>
      <c r="I118" s="9"/>
      <c r="J118" s="9"/>
      <c r="K118" s="16"/>
      <c r="L118" s="6"/>
      <c r="M118" s="6"/>
      <c r="N118" s="6"/>
    </row>
    <row r="119" spans="1:14" s="5" customFormat="1" ht="32.25" customHeight="1">
      <c r="A119" s="497"/>
      <c r="B119" s="224" t="s">
        <v>4</v>
      </c>
      <c r="C119" s="496" t="s">
        <v>136</v>
      </c>
      <c r="D119" s="496" t="s">
        <v>5</v>
      </c>
      <c r="E119" s="496">
        <v>1.65</v>
      </c>
      <c r="F119" s="377">
        <f>F118*E119</f>
        <v>168.29999999999998</v>
      </c>
      <c r="G119" s="47"/>
      <c r="H119" s="377">
        <f>F119*G119</f>
        <v>0</v>
      </c>
      <c r="I119" s="9"/>
      <c r="J119" s="9"/>
      <c r="K119" s="16"/>
      <c r="L119" s="6"/>
      <c r="M119" s="6"/>
      <c r="N119" s="6"/>
    </row>
    <row r="120" spans="1:14" s="5" customFormat="1" ht="28.5" customHeight="1">
      <c r="A120" s="497"/>
      <c r="B120" s="224" t="s">
        <v>4</v>
      </c>
      <c r="C120" s="496" t="s">
        <v>129</v>
      </c>
      <c r="D120" s="496" t="s">
        <v>23</v>
      </c>
      <c r="E120" s="212">
        <v>0.022</v>
      </c>
      <c r="F120" s="222">
        <f>F118*E120</f>
        <v>2.2439999999999998</v>
      </c>
      <c r="G120" s="47"/>
      <c r="H120" s="222">
        <f>G120*F120</f>
        <v>0</v>
      </c>
      <c r="I120" s="9"/>
      <c r="J120" s="9"/>
      <c r="K120" s="16"/>
      <c r="L120" s="6"/>
      <c r="M120" s="6"/>
      <c r="N120" s="6"/>
    </row>
    <row r="121" spans="1:14" s="5" customFormat="1" ht="35.25" customHeight="1">
      <c r="A121" s="497"/>
      <c r="B121" s="224" t="s">
        <v>1470</v>
      </c>
      <c r="C121" s="496" t="s">
        <v>475</v>
      </c>
      <c r="D121" s="496" t="s">
        <v>80</v>
      </c>
      <c r="E121" s="377">
        <v>1</v>
      </c>
      <c r="F121" s="377">
        <f>E121*F118</f>
        <v>102</v>
      </c>
      <c r="G121" s="377"/>
      <c r="H121" s="52">
        <f>F121*G121</f>
        <v>0</v>
      </c>
      <c r="I121" s="9"/>
      <c r="J121" s="9"/>
      <c r="K121" s="16"/>
      <c r="L121" s="6"/>
      <c r="M121" s="6"/>
      <c r="N121" s="6"/>
    </row>
    <row r="122" spans="1:14" s="5" customFormat="1" ht="29.25" customHeight="1">
      <c r="A122" s="497"/>
      <c r="B122" s="224" t="s">
        <v>4</v>
      </c>
      <c r="C122" s="496" t="s">
        <v>18</v>
      </c>
      <c r="D122" s="496" t="s">
        <v>16</v>
      </c>
      <c r="E122" s="373">
        <v>0.306</v>
      </c>
      <c r="F122" s="377">
        <f>F118*E122</f>
        <v>31.212</v>
      </c>
      <c r="G122" s="47"/>
      <c r="H122" s="52">
        <f>F122*G122</f>
        <v>0</v>
      </c>
      <c r="I122" s="9"/>
      <c r="J122" s="9"/>
      <c r="K122" s="16"/>
      <c r="L122" s="6"/>
      <c r="M122" s="6"/>
      <c r="N122" s="6"/>
    </row>
    <row r="123" spans="1:14" s="5" customFormat="1" ht="64.5" customHeight="1">
      <c r="A123" s="376" t="s">
        <v>944</v>
      </c>
      <c r="B123" s="378" t="s">
        <v>264</v>
      </c>
      <c r="C123" s="375" t="s">
        <v>984</v>
      </c>
      <c r="D123" s="375" t="s">
        <v>107</v>
      </c>
      <c r="E123" s="226"/>
      <c r="F123" s="226">
        <v>98</v>
      </c>
      <c r="G123" s="70"/>
      <c r="H123" s="380">
        <f>SUM(H124:H127)</f>
        <v>0</v>
      </c>
      <c r="I123" s="9"/>
      <c r="J123" s="9"/>
      <c r="K123" s="16"/>
      <c r="L123" s="6"/>
      <c r="M123" s="6"/>
      <c r="N123" s="6"/>
    </row>
    <row r="124" spans="1:14" s="5" customFormat="1" ht="28.5" customHeight="1">
      <c r="A124" s="497"/>
      <c r="B124" s="224" t="s">
        <v>4</v>
      </c>
      <c r="C124" s="496" t="s">
        <v>136</v>
      </c>
      <c r="D124" s="496" t="s">
        <v>5</v>
      </c>
      <c r="E124" s="496">
        <v>1.65</v>
      </c>
      <c r="F124" s="377">
        <f>F123*E124</f>
        <v>161.7</v>
      </c>
      <c r="G124" s="47"/>
      <c r="H124" s="377">
        <f>F124*G124</f>
        <v>0</v>
      </c>
      <c r="I124" s="9"/>
      <c r="J124" s="9"/>
      <c r="K124" s="16"/>
      <c r="L124" s="6"/>
      <c r="M124" s="6"/>
      <c r="N124" s="6"/>
    </row>
    <row r="125" spans="1:14" s="5" customFormat="1" ht="26.25" customHeight="1">
      <c r="A125" s="497"/>
      <c r="B125" s="224" t="s">
        <v>4</v>
      </c>
      <c r="C125" s="496" t="s">
        <v>129</v>
      </c>
      <c r="D125" s="496" t="s">
        <v>23</v>
      </c>
      <c r="E125" s="212">
        <v>0.022</v>
      </c>
      <c r="F125" s="222">
        <f>F123*E125</f>
        <v>2.1559999999999997</v>
      </c>
      <c r="G125" s="47"/>
      <c r="H125" s="222">
        <f>G125*F125</f>
        <v>0</v>
      </c>
      <c r="I125" s="9"/>
      <c r="J125" s="9"/>
      <c r="K125" s="16"/>
      <c r="L125" s="6"/>
      <c r="M125" s="6"/>
      <c r="N125" s="6"/>
    </row>
    <row r="126" spans="1:14" s="5" customFormat="1" ht="48.75" customHeight="1">
      <c r="A126" s="497"/>
      <c r="B126" s="224" t="s">
        <v>958</v>
      </c>
      <c r="C126" s="496" t="s">
        <v>1090</v>
      </c>
      <c r="D126" s="496" t="s">
        <v>80</v>
      </c>
      <c r="E126" s="222">
        <v>1</v>
      </c>
      <c r="F126" s="222">
        <f>E126*F123</f>
        <v>98</v>
      </c>
      <c r="G126" s="222"/>
      <c r="H126" s="222">
        <f>G126*F126</f>
        <v>0</v>
      </c>
      <c r="I126" s="9"/>
      <c r="J126" s="9"/>
      <c r="K126" s="16"/>
      <c r="L126" s="6"/>
      <c r="M126" s="6"/>
      <c r="N126" s="6"/>
    </row>
    <row r="127" spans="1:14" s="5" customFormat="1" ht="37.5" customHeight="1">
      <c r="A127" s="497"/>
      <c r="B127" s="224" t="s">
        <v>4</v>
      </c>
      <c r="C127" s="496" t="s">
        <v>18</v>
      </c>
      <c r="D127" s="496" t="s">
        <v>16</v>
      </c>
      <c r="E127" s="373">
        <v>0.306</v>
      </c>
      <c r="F127" s="377">
        <f>F123*E127</f>
        <v>29.988</v>
      </c>
      <c r="G127" s="47"/>
      <c r="H127" s="52">
        <f>F127*G127</f>
        <v>0</v>
      </c>
      <c r="I127" s="9"/>
      <c r="J127" s="9"/>
      <c r="K127" s="16"/>
      <c r="L127" s="6"/>
      <c r="M127" s="6"/>
      <c r="N127" s="6"/>
    </row>
    <row r="128" spans="1:14" s="5" customFormat="1" ht="59.25" customHeight="1">
      <c r="A128" s="376" t="s">
        <v>985</v>
      </c>
      <c r="B128" s="378" t="s">
        <v>680</v>
      </c>
      <c r="C128" s="375" t="s">
        <v>453</v>
      </c>
      <c r="D128" s="375" t="s">
        <v>22</v>
      </c>
      <c r="E128" s="375"/>
      <c r="F128" s="379">
        <v>40</v>
      </c>
      <c r="G128" s="70"/>
      <c r="H128" s="380">
        <f>SUM(H129:H134)</f>
        <v>0</v>
      </c>
      <c r="I128" s="9"/>
      <c r="J128" s="9"/>
      <c r="K128" s="16"/>
      <c r="L128" s="6"/>
      <c r="M128" s="6"/>
      <c r="N128" s="6"/>
    </row>
    <row r="129" spans="1:14" s="5" customFormat="1" ht="24.75" customHeight="1">
      <c r="A129" s="497"/>
      <c r="B129" s="497" t="s">
        <v>4</v>
      </c>
      <c r="C129" s="496" t="s">
        <v>136</v>
      </c>
      <c r="D129" s="496" t="s">
        <v>5</v>
      </c>
      <c r="E129" s="225">
        <v>0.329</v>
      </c>
      <c r="F129" s="377">
        <f>F128*E129</f>
        <v>13.16</v>
      </c>
      <c r="G129" s="222"/>
      <c r="H129" s="377">
        <f>F129*G129</f>
        <v>0</v>
      </c>
      <c r="I129" s="9"/>
      <c r="J129" s="9"/>
      <c r="K129" s="16"/>
      <c r="L129" s="6"/>
      <c r="M129" s="6"/>
      <c r="N129" s="6"/>
    </row>
    <row r="130" spans="1:14" s="5" customFormat="1" ht="31.5" customHeight="1">
      <c r="A130" s="497"/>
      <c r="B130" s="224" t="s">
        <v>4</v>
      </c>
      <c r="C130" s="496" t="s">
        <v>129</v>
      </c>
      <c r="D130" s="496" t="s">
        <v>23</v>
      </c>
      <c r="E130" s="212">
        <v>0.011</v>
      </c>
      <c r="F130" s="222">
        <f>F128*E130</f>
        <v>0.43999999999999995</v>
      </c>
      <c r="G130" s="47"/>
      <c r="H130" s="222">
        <f>G130*F130</f>
        <v>0</v>
      </c>
      <c r="I130" s="9"/>
      <c r="J130" s="9"/>
      <c r="K130" s="16"/>
      <c r="L130" s="6"/>
      <c r="M130" s="6"/>
      <c r="N130" s="6"/>
    </row>
    <row r="131" spans="1:14" s="5" customFormat="1" ht="40.5" customHeight="1">
      <c r="A131" s="497"/>
      <c r="B131" s="497" t="s">
        <v>1463</v>
      </c>
      <c r="C131" s="496" t="s">
        <v>1312</v>
      </c>
      <c r="D131" s="496" t="s">
        <v>22</v>
      </c>
      <c r="E131" s="222">
        <v>1.01</v>
      </c>
      <c r="F131" s="377">
        <f>F128*E131</f>
        <v>40.4</v>
      </c>
      <c r="G131" s="377"/>
      <c r="H131" s="377">
        <f>F131*G131</f>
        <v>0</v>
      </c>
      <c r="I131" s="9"/>
      <c r="J131" s="9"/>
      <c r="K131" s="16"/>
      <c r="L131" s="6"/>
      <c r="M131" s="6"/>
      <c r="N131" s="6"/>
    </row>
    <row r="132" spans="1:14" s="5" customFormat="1" ht="29.25" customHeight="1">
      <c r="A132" s="497"/>
      <c r="B132" s="497" t="s">
        <v>1464</v>
      </c>
      <c r="C132" s="496" t="s">
        <v>702</v>
      </c>
      <c r="D132" s="496" t="s">
        <v>15</v>
      </c>
      <c r="E132" s="222">
        <v>1</v>
      </c>
      <c r="F132" s="377">
        <f>F128*E132</f>
        <v>40</v>
      </c>
      <c r="G132" s="377"/>
      <c r="H132" s="377">
        <f>F132*G132</f>
        <v>0</v>
      </c>
      <c r="I132" s="9"/>
      <c r="J132" s="9"/>
      <c r="K132" s="16"/>
      <c r="L132" s="6"/>
      <c r="M132" s="6"/>
      <c r="N132" s="6"/>
    </row>
    <row r="133" spans="1:14" s="5" customFormat="1" ht="26.25" customHeight="1">
      <c r="A133" s="497"/>
      <c r="B133" s="497" t="s">
        <v>1368</v>
      </c>
      <c r="C133" s="496" t="s">
        <v>703</v>
      </c>
      <c r="D133" s="496" t="s">
        <v>15</v>
      </c>
      <c r="E133" s="222">
        <v>2</v>
      </c>
      <c r="F133" s="377">
        <f>E133*F128</f>
        <v>80</v>
      </c>
      <c r="G133" s="377"/>
      <c r="H133" s="377">
        <f>F133*G133</f>
        <v>0</v>
      </c>
      <c r="I133" s="9"/>
      <c r="J133" s="9"/>
      <c r="K133" s="16"/>
      <c r="L133" s="6"/>
      <c r="M133" s="6"/>
      <c r="N133" s="6"/>
    </row>
    <row r="134" spans="1:14" s="5" customFormat="1" ht="29.25" customHeight="1">
      <c r="A134" s="497"/>
      <c r="B134" s="373" t="s">
        <v>4</v>
      </c>
      <c r="C134" s="496" t="s">
        <v>18</v>
      </c>
      <c r="D134" s="496" t="s">
        <v>16</v>
      </c>
      <c r="E134" s="206">
        <v>0.3888</v>
      </c>
      <c r="F134" s="377">
        <f>F128*E134</f>
        <v>15.552</v>
      </c>
      <c r="G134" s="47"/>
      <c r="H134" s="377">
        <f>F134*G134</f>
        <v>0</v>
      </c>
      <c r="I134" s="9"/>
      <c r="J134" s="9"/>
      <c r="K134" s="16"/>
      <c r="L134" s="6"/>
      <c r="M134" s="6"/>
      <c r="N134" s="6"/>
    </row>
    <row r="135" spans="1:14" s="5" customFormat="1" ht="61.5" customHeight="1">
      <c r="A135" s="376" t="s">
        <v>945</v>
      </c>
      <c r="B135" s="378" t="s">
        <v>286</v>
      </c>
      <c r="C135" s="375" t="s">
        <v>645</v>
      </c>
      <c r="D135" s="375" t="s">
        <v>22</v>
      </c>
      <c r="E135" s="375"/>
      <c r="F135" s="379">
        <v>10</v>
      </c>
      <c r="G135" s="70"/>
      <c r="H135" s="380">
        <f>SUM(H136:H139)</f>
        <v>0</v>
      </c>
      <c r="I135" s="9"/>
      <c r="J135" s="9"/>
      <c r="K135" s="16"/>
      <c r="L135" s="6"/>
      <c r="M135" s="6"/>
      <c r="N135" s="6"/>
    </row>
    <row r="136" spans="1:14" s="5" customFormat="1" ht="27" customHeight="1">
      <c r="A136" s="497"/>
      <c r="B136" s="497" t="s">
        <v>4</v>
      </c>
      <c r="C136" s="496" t="s">
        <v>136</v>
      </c>
      <c r="D136" s="496" t="s">
        <v>5</v>
      </c>
      <c r="E136" s="225">
        <v>0.563</v>
      </c>
      <c r="F136" s="377">
        <f>F135*E136</f>
        <v>5.629999999999999</v>
      </c>
      <c r="G136" s="47"/>
      <c r="H136" s="377">
        <f>F136*G136</f>
        <v>0</v>
      </c>
      <c r="I136" s="9"/>
      <c r="J136" s="9"/>
      <c r="K136" s="16"/>
      <c r="L136" s="6"/>
      <c r="M136" s="6"/>
      <c r="N136" s="6"/>
    </row>
    <row r="137" spans="1:14" s="5" customFormat="1" ht="24" customHeight="1">
      <c r="A137" s="497"/>
      <c r="B137" s="497" t="s">
        <v>4</v>
      </c>
      <c r="C137" s="496" t="s">
        <v>137</v>
      </c>
      <c r="D137" s="496" t="s">
        <v>16</v>
      </c>
      <c r="E137" s="225">
        <v>0.0123</v>
      </c>
      <c r="F137" s="377">
        <f>F135*E137</f>
        <v>0.123</v>
      </c>
      <c r="G137" s="47"/>
      <c r="H137" s="377">
        <f>F137*G137</f>
        <v>0</v>
      </c>
      <c r="I137" s="9"/>
      <c r="J137" s="9"/>
      <c r="K137" s="16"/>
      <c r="L137" s="6"/>
      <c r="M137" s="6"/>
      <c r="N137" s="6"/>
    </row>
    <row r="138" spans="1:14" s="5" customFormat="1" ht="33.75" customHeight="1">
      <c r="A138" s="497"/>
      <c r="B138" s="227" t="s">
        <v>1440</v>
      </c>
      <c r="C138" s="496" t="s">
        <v>646</v>
      </c>
      <c r="D138" s="496" t="s">
        <v>22</v>
      </c>
      <c r="E138" s="222">
        <v>1.02</v>
      </c>
      <c r="F138" s="377">
        <f>E138*F135</f>
        <v>10.2</v>
      </c>
      <c r="G138" s="52"/>
      <c r="H138" s="377">
        <f>F138*G138</f>
        <v>0</v>
      </c>
      <c r="I138" s="9"/>
      <c r="J138" s="9"/>
      <c r="K138" s="16"/>
      <c r="L138" s="6"/>
      <c r="M138" s="6"/>
      <c r="N138" s="6"/>
    </row>
    <row r="139" spans="1:14" s="5" customFormat="1" ht="24" customHeight="1">
      <c r="A139" s="497"/>
      <c r="B139" s="373" t="s">
        <v>4</v>
      </c>
      <c r="C139" s="496" t="s">
        <v>18</v>
      </c>
      <c r="D139" s="496" t="s">
        <v>16</v>
      </c>
      <c r="E139" s="373">
        <v>0.0319</v>
      </c>
      <c r="F139" s="377">
        <f>F135*E139</f>
        <v>0.31899999999999995</v>
      </c>
      <c r="G139" s="47"/>
      <c r="H139" s="52">
        <f>F139*G139</f>
        <v>0</v>
      </c>
      <c r="I139" s="9"/>
      <c r="J139" s="9"/>
      <c r="K139" s="16"/>
      <c r="L139" s="6"/>
      <c r="M139" s="6"/>
      <c r="N139" s="6"/>
    </row>
    <row r="140" spans="1:14" s="5" customFormat="1" ht="58.5" customHeight="1">
      <c r="A140" s="376" t="s">
        <v>986</v>
      </c>
      <c r="B140" s="378" t="s">
        <v>77</v>
      </c>
      <c r="C140" s="375" t="s">
        <v>615</v>
      </c>
      <c r="D140" s="375" t="s">
        <v>22</v>
      </c>
      <c r="E140" s="375"/>
      <c r="F140" s="226">
        <v>700</v>
      </c>
      <c r="G140" s="70"/>
      <c r="H140" s="380">
        <f>SUM(H141:H143)</f>
        <v>0</v>
      </c>
      <c r="I140" s="9"/>
      <c r="J140" s="9"/>
      <c r="K140" s="16"/>
      <c r="L140" s="6"/>
      <c r="M140" s="6"/>
      <c r="N140" s="6"/>
    </row>
    <row r="141" spans="1:14" s="5" customFormat="1" ht="24" customHeight="1">
      <c r="A141" s="497"/>
      <c r="B141" s="224" t="s">
        <v>4</v>
      </c>
      <c r="C141" s="496" t="s">
        <v>136</v>
      </c>
      <c r="D141" s="496" t="s">
        <v>5</v>
      </c>
      <c r="E141" s="496">
        <v>0.139</v>
      </c>
      <c r="F141" s="222">
        <f>F140*E141</f>
        <v>97.30000000000001</v>
      </c>
      <c r="G141" s="47"/>
      <c r="H141" s="222">
        <f>G141*F141</f>
        <v>0</v>
      </c>
      <c r="I141" s="9"/>
      <c r="J141" s="9"/>
      <c r="K141" s="16"/>
      <c r="L141" s="6"/>
      <c r="M141" s="6"/>
      <c r="N141" s="6"/>
    </row>
    <row r="142" spans="1:14" s="5" customFormat="1" ht="28.5" customHeight="1">
      <c r="A142" s="497"/>
      <c r="B142" s="224" t="s">
        <v>1467</v>
      </c>
      <c r="C142" s="496" t="s">
        <v>674</v>
      </c>
      <c r="D142" s="496" t="s">
        <v>22</v>
      </c>
      <c r="E142" s="373">
        <v>1.02</v>
      </c>
      <c r="F142" s="105">
        <f>E142*F140</f>
        <v>714</v>
      </c>
      <c r="G142" s="377"/>
      <c r="H142" s="52">
        <f>F142*G142</f>
        <v>0</v>
      </c>
      <c r="I142" s="9"/>
      <c r="J142" s="9"/>
      <c r="K142" s="16"/>
      <c r="L142" s="6"/>
      <c r="M142" s="6"/>
      <c r="N142" s="6"/>
    </row>
    <row r="143" spans="1:14" s="5" customFormat="1" ht="30" customHeight="1">
      <c r="A143" s="497"/>
      <c r="B143" s="224" t="s">
        <v>4</v>
      </c>
      <c r="C143" s="496" t="s">
        <v>18</v>
      </c>
      <c r="D143" s="496" t="s">
        <v>16</v>
      </c>
      <c r="E143" s="225">
        <v>0.0097</v>
      </c>
      <c r="F143" s="222">
        <f>F140*E143</f>
        <v>6.79</v>
      </c>
      <c r="G143" s="47"/>
      <c r="H143" s="47">
        <f>F143*G143</f>
        <v>0</v>
      </c>
      <c r="I143" s="9"/>
      <c r="J143" s="9"/>
      <c r="K143" s="16"/>
      <c r="L143" s="6"/>
      <c r="M143" s="6"/>
      <c r="N143" s="6"/>
    </row>
    <row r="144" spans="1:14" s="5" customFormat="1" ht="45" customHeight="1">
      <c r="A144" s="376" t="s">
        <v>987</v>
      </c>
      <c r="B144" s="378" t="s">
        <v>77</v>
      </c>
      <c r="C144" s="375" t="s">
        <v>550</v>
      </c>
      <c r="D144" s="375" t="s">
        <v>22</v>
      </c>
      <c r="E144" s="375"/>
      <c r="F144" s="226">
        <v>1800</v>
      </c>
      <c r="G144" s="226"/>
      <c r="H144" s="380">
        <f>SUM(H145:H147)</f>
        <v>0</v>
      </c>
      <c r="I144" s="9"/>
      <c r="J144" s="9"/>
      <c r="K144" s="16"/>
      <c r="L144" s="6"/>
      <c r="M144" s="6"/>
      <c r="N144" s="6"/>
    </row>
    <row r="145" spans="1:14" s="5" customFormat="1" ht="23.25" customHeight="1">
      <c r="A145" s="497"/>
      <c r="B145" s="224" t="s">
        <v>4</v>
      </c>
      <c r="C145" s="496" t="s">
        <v>136</v>
      </c>
      <c r="D145" s="496" t="s">
        <v>5</v>
      </c>
      <c r="E145" s="496">
        <v>0.139</v>
      </c>
      <c r="F145" s="222">
        <f>F144*E145</f>
        <v>250.20000000000002</v>
      </c>
      <c r="G145" s="222"/>
      <c r="H145" s="222">
        <f>G145*F145</f>
        <v>0</v>
      </c>
      <c r="I145" s="9"/>
      <c r="J145" s="9"/>
      <c r="K145" s="16"/>
      <c r="L145" s="6"/>
      <c r="M145" s="6"/>
      <c r="N145" s="6"/>
    </row>
    <row r="146" spans="1:14" s="5" customFormat="1" ht="26.25" customHeight="1">
      <c r="A146" s="497"/>
      <c r="B146" s="224" t="s">
        <v>1092</v>
      </c>
      <c r="C146" s="496" t="s">
        <v>551</v>
      </c>
      <c r="D146" s="496" t="s">
        <v>22</v>
      </c>
      <c r="E146" s="373">
        <v>1.02</v>
      </c>
      <c r="F146" s="105">
        <f>E146*F144</f>
        <v>1836</v>
      </c>
      <c r="G146" s="377"/>
      <c r="H146" s="52">
        <f>F146*G146</f>
        <v>0</v>
      </c>
      <c r="I146" s="9"/>
      <c r="J146" s="9"/>
      <c r="K146" s="16"/>
      <c r="L146" s="6"/>
      <c r="M146" s="6"/>
      <c r="N146" s="6"/>
    </row>
    <row r="147" spans="1:14" s="5" customFormat="1" ht="24" customHeight="1">
      <c r="A147" s="497"/>
      <c r="B147" s="224" t="s">
        <v>4</v>
      </c>
      <c r="C147" s="496" t="s">
        <v>18</v>
      </c>
      <c r="D147" s="496" t="s">
        <v>16</v>
      </c>
      <c r="E147" s="225">
        <v>0.0097</v>
      </c>
      <c r="F147" s="222">
        <f>F144*E147</f>
        <v>17.46</v>
      </c>
      <c r="G147" s="47"/>
      <c r="H147" s="47">
        <f>F147*G147</f>
        <v>0</v>
      </c>
      <c r="I147" s="9"/>
      <c r="J147" s="9"/>
      <c r="K147" s="16"/>
      <c r="L147" s="6"/>
      <c r="M147" s="6"/>
      <c r="N147" s="6"/>
    </row>
    <row r="148" spans="1:14" s="5" customFormat="1" ht="61.5" customHeight="1">
      <c r="A148" s="376" t="s">
        <v>988</v>
      </c>
      <c r="B148" s="378" t="s">
        <v>77</v>
      </c>
      <c r="C148" s="375" t="s">
        <v>1579</v>
      </c>
      <c r="D148" s="375" t="s">
        <v>22</v>
      </c>
      <c r="E148" s="375"/>
      <c r="F148" s="226">
        <v>1200</v>
      </c>
      <c r="G148" s="226"/>
      <c r="H148" s="380">
        <f>SUM(H149:H151)</f>
        <v>0</v>
      </c>
      <c r="I148" s="9"/>
      <c r="J148" s="9"/>
      <c r="K148" s="16"/>
      <c r="L148" s="6"/>
      <c r="M148" s="6"/>
      <c r="N148" s="6"/>
    </row>
    <row r="149" spans="1:14" s="5" customFormat="1" ht="24" customHeight="1">
      <c r="A149" s="497"/>
      <c r="B149" s="224" t="s">
        <v>4</v>
      </c>
      <c r="C149" s="496" t="s">
        <v>136</v>
      </c>
      <c r="D149" s="496" t="s">
        <v>5</v>
      </c>
      <c r="E149" s="496">
        <v>0.139</v>
      </c>
      <c r="F149" s="222">
        <f>F148*E149</f>
        <v>166.8</v>
      </c>
      <c r="G149" s="222"/>
      <c r="H149" s="222">
        <f>G149*F149</f>
        <v>0</v>
      </c>
      <c r="I149" s="9"/>
      <c r="J149" s="9"/>
      <c r="K149" s="16"/>
      <c r="L149" s="6"/>
      <c r="M149" s="6"/>
      <c r="N149" s="6"/>
    </row>
    <row r="150" spans="1:14" s="5" customFormat="1" ht="29.25" customHeight="1">
      <c r="A150" s="497"/>
      <c r="B150" s="224" t="s">
        <v>1466</v>
      </c>
      <c r="C150" s="496" t="s">
        <v>1580</v>
      </c>
      <c r="D150" s="496" t="s">
        <v>22</v>
      </c>
      <c r="E150" s="373">
        <v>1.02</v>
      </c>
      <c r="F150" s="105">
        <f>E150*F148</f>
        <v>1224</v>
      </c>
      <c r="G150" s="377"/>
      <c r="H150" s="52">
        <f>F150*G150</f>
        <v>0</v>
      </c>
      <c r="I150" s="9"/>
      <c r="J150" s="9"/>
      <c r="K150" s="16"/>
      <c r="L150" s="6"/>
      <c r="M150" s="6"/>
      <c r="N150" s="6"/>
    </row>
    <row r="151" spans="1:14" s="5" customFormat="1" ht="24" customHeight="1">
      <c r="A151" s="497"/>
      <c r="B151" s="224" t="s">
        <v>4</v>
      </c>
      <c r="C151" s="496" t="s">
        <v>18</v>
      </c>
      <c r="D151" s="496" t="s">
        <v>16</v>
      </c>
      <c r="E151" s="225">
        <v>0.0097</v>
      </c>
      <c r="F151" s="222">
        <f>F148*E151</f>
        <v>11.64</v>
      </c>
      <c r="G151" s="47"/>
      <c r="H151" s="47">
        <f>F151*G151</f>
        <v>0</v>
      </c>
      <c r="I151" s="9"/>
      <c r="J151" s="9"/>
      <c r="K151" s="16"/>
      <c r="L151" s="6"/>
      <c r="M151" s="6"/>
      <c r="N151" s="6"/>
    </row>
    <row r="152" spans="1:14" s="5" customFormat="1" ht="50.25" customHeight="1">
      <c r="A152" s="376" t="s">
        <v>1091</v>
      </c>
      <c r="B152" s="378" t="s">
        <v>77</v>
      </c>
      <c r="C152" s="375" t="s">
        <v>1581</v>
      </c>
      <c r="D152" s="375" t="s">
        <v>22</v>
      </c>
      <c r="E152" s="375"/>
      <c r="F152" s="226">
        <v>100</v>
      </c>
      <c r="G152" s="226"/>
      <c r="H152" s="380">
        <f>SUM(H153:H155)</f>
        <v>0</v>
      </c>
      <c r="I152" s="9"/>
      <c r="J152" s="9"/>
      <c r="K152" s="16"/>
      <c r="L152" s="6"/>
      <c r="M152" s="6"/>
      <c r="N152" s="6"/>
    </row>
    <row r="153" spans="1:14" s="5" customFormat="1" ht="28.5" customHeight="1">
      <c r="A153" s="497"/>
      <c r="B153" s="224" t="s">
        <v>4</v>
      </c>
      <c r="C153" s="496" t="s">
        <v>136</v>
      </c>
      <c r="D153" s="496" t="s">
        <v>5</v>
      </c>
      <c r="E153" s="496">
        <v>0.139</v>
      </c>
      <c r="F153" s="222">
        <f>F152*E153</f>
        <v>13.900000000000002</v>
      </c>
      <c r="G153" s="222"/>
      <c r="H153" s="222">
        <f>G153*F153</f>
        <v>0</v>
      </c>
      <c r="I153" s="9"/>
      <c r="J153" s="9"/>
      <c r="K153" s="16"/>
      <c r="L153" s="6"/>
      <c r="M153" s="6"/>
      <c r="N153" s="6"/>
    </row>
    <row r="154" spans="1:14" s="5" customFormat="1" ht="28.5" customHeight="1">
      <c r="A154" s="497"/>
      <c r="B154" s="224" t="s">
        <v>1468</v>
      </c>
      <c r="C154" s="496" t="s">
        <v>1582</v>
      </c>
      <c r="D154" s="496" t="s">
        <v>22</v>
      </c>
      <c r="E154" s="373">
        <v>1.02</v>
      </c>
      <c r="F154" s="105">
        <f>E154*F152</f>
        <v>102</v>
      </c>
      <c r="G154" s="377"/>
      <c r="H154" s="52">
        <f>F154*G154</f>
        <v>0</v>
      </c>
      <c r="I154" s="9"/>
      <c r="J154" s="9"/>
      <c r="K154" s="16"/>
      <c r="L154" s="6"/>
      <c r="M154" s="6"/>
      <c r="N154" s="6"/>
    </row>
    <row r="155" spans="1:14" s="5" customFormat="1" ht="28.5" customHeight="1">
      <c r="A155" s="497"/>
      <c r="B155" s="224" t="s">
        <v>4</v>
      </c>
      <c r="C155" s="496" t="s">
        <v>18</v>
      </c>
      <c r="D155" s="496" t="s">
        <v>16</v>
      </c>
      <c r="E155" s="225">
        <v>0.0097</v>
      </c>
      <c r="F155" s="222">
        <f>F152*E155</f>
        <v>0.97</v>
      </c>
      <c r="G155" s="47"/>
      <c r="H155" s="47">
        <f>F155*G155</f>
        <v>0</v>
      </c>
      <c r="I155" s="9"/>
      <c r="J155" s="9"/>
      <c r="K155" s="16"/>
      <c r="L155" s="6"/>
      <c r="M155" s="6"/>
      <c r="N155" s="6"/>
    </row>
    <row r="156" spans="1:14" s="5" customFormat="1" ht="61.5" customHeight="1">
      <c r="A156" s="221">
        <v>35</v>
      </c>
      <c r="B156" s="378" t="s">
        <v>677</v>
      </c>
      <c r="C156" s="375" t="s">
        <v>161</v>
      </c>
      <c r="D156" s="375" t="s">
        <v>15</v>
      </c>
      <c r="E156" s="375"/>
      <c r="F156" s="226">
        <v>4</v>
      </c>
      <c r="G156" s="70"/>
      <c r="H156" s="380">
        <f>SUM(H157:H160)</f>
        <v>0</v>
      </c>
      <c r="I156" s="9"/>
      <c r="J156" s="9"/>
      <c r="K156" s="16"/>
      <c r="L156" s="6"/>
      <c r="M156" s="6"/>
      <c r="N156" s="6"/>
    </row>
    <row r="157" spans="1:14" s="5" customFormat="1" ht="28.5" customHeight="1">
      <c r="A157" s="497"/>
      <c r="B157" s="224" t="s">
        <v>4</v>
      </c>
      <c r="C157" s="496" t="s">
        <v>136</v>
      </c>
      <c r="D157" s="496" t="s">
        <v>5</v>
      </c>
      <c r="E157" s="496">
        <v>0.6</v>
      </c>
      <c r="F157" s="222">
        <f>F156*E157</f>
        <v>2.4</v>
      </c>
      <c r="G157" s="222"/>
      <c r="H157" s="222">
        <f>G157*F157</f>
        <v>0</v>
      </c>
      <c r="I157" s="9"/>
      <c r="J157" s="9"/>
      <c r="K157" s="16"/>
      <c r="L157" s="6"/>
      <c r="M157" s="6"/>
      <c r="N157" s="6"/>
    </row>
    <row r="158" spans="1:14" s="5" customFormat="1" ht="28.5" customHeight="1">
      <c r="A158" s="497"/>
      <c r="B158" s="497" t="s">
        <v>4</v>
      </c>
      <c r="C158" s="496" t="s">
        <v>137</v>
      </c>
      <c r="D158" s="496" t="s">
        <v>16</v>
      </c>
      <c r="E158" s="225">
        <v>0.05</v>
      </c>
      <c r="F158" s="377">
        <f>F156*E158</f>
        <v>0.2</v>
      </c>
      <c r="G158" s="47"/>
      <c r="H158" s="377">
        <f>F158*G158</f>
        <v>0</v>
      </c>
      <c r="I158" s="9"/>
      <c r="J158" s="9"/>
      <c r="K158" s="16"/>
      <c r="L158" s="6"/>
      <c r="M158" s="6"/>
      <c r="N158" s="6"/>
    </row>
    <row r="159" spans="1:14" s="5" customFormat="1" ht="29.25" customHeight="1">
      <c r="A159" s="497"/>
      <c r="B159" s="224" t="s">
        <v>454</v>
      </c>
      <c r="C159" s="496" t="s">
        <v>676</v>
      </c>
      <c r="D159" s="496" t="s">
        <v>22</v>
      </c>
      <c r="E159" s="381">
        <v>3</v>
      </c>
      <c r="F159" s="213">
        <f>E159*F156</f>
        <v>12</v>
      </c>
      <c r="G159" s="222"/>
      <c r="H159" s="222">
        <f>G159*F159</f>
        <v>0</v>
      </c>
      <c r="I159" s="9"/>
      <c r="J159" s="9"/>
      <c r="K159" s="16"/>
      <c r="L159" s="6"/>
      <c r="M159" s="6"/>
      <c r="N159" s="6"/>
    </row>
    <row r="160" spans="1:14" s="5" customFormat="1" ht="26.25" customHeight="1">
      <c r="A160" s="497"/>
      <c r="B160" s="223" t="s">
        <v>4</v>
      </c>
      <c r="C160" s="496" t="s">
        <v>18</v>
      </c>
      <c r="D160" s="496" t="s">
        <v>16</v>
      </c>
      <c r="E160" s="496">
        <v>1.08</v>
      </c>
      <c r="F160" s="222">
        <f>F151*E160</f>
        <v>12.571200000000001</v>
      </c>
      <c r="G160" s="47"/>
      <c r="H160" s="222">
        <f>G160*F160</f>
        <v>0</v>
      </c>
      <c r="I160" s="9"/>
      <c r="J160" s="9"/>
      <c r="K160" s="16"/>
      <c r="L160" s="6"/>
      <c r="M160" s="6"/>
      <c r="N160" s="6"/>
    </row>
    <row r="161" spans="1:14" s="5" customFormat="1" ht="49.5" customHeight="1">
      <c r="A161" s="221">
        <v>36</v>
      </c>
      <c r="B161" s="378" t="s">
        <v>678</v>
      </c>
      <c r="C161" s="375" t="s">
        <v>162</v>
      </c>
      <c r="D161" s="375" t="s">
        <v>22</v>
      </c>
      <c r="E161" s="375"/>
      <c r="F161" s="226">
        <v>24</v>
      </c>
      <c r="G161" s="70"/>
      <c r="H161" s="380">
        <f>SUM(H162:H165)</f>
        <v>0</v>
      </c>
      <c r="I161" s="9"/>
      <c r="J161" s="9"/>
      <c r="K161" s="16"/>
      <c r="L161" s="6"/>
      <c r="M161" s="6"/>
      <c r="N161" s="6"/>
    </row>
    <row r="162" spans="1:14" s="5" customFormat="1" ht="29.25" customHeight="1">
      <c r="A162" s="497"/>
      <c r="B162" s="224" t="s">
        <v>4</v>
      </c>
      <c r="C162" s="496" t="s">
        <v>136</v>
      </c>
      <c r="D162" s="496" t="s">
        <v>5</v>
      </c>
      <c r="E162" s="496">
        <v>0.12</v>
      </c>
      <c r="F162" s="222">
        <f>F161*E162</f>
        <v>2.88</v>
      </c>
      <c r="G162" s="222"/>
      <c r="H162" s="222">
        <f>G162*F162</f>
        <v>0</v>
      </c>
      <c r="I162" s="9"/>
      <c r="J162" s="9"/>
      <c r="K162" s="16"/>
      <c r="L162" s="6"/>
      <c r="M162" s="6"/>
      <c r="N162" s="6"/>
    </row>
    <row r="163" spans="1:8" ht="24" customHeight="1">
      <c r="A163" s="497"/>
      <c r="B163" s="497" t="s">
        <v>4</v>
      </c>
      <c r="C163" s="496" t="s">
        <v>137</v>
      </c>
      <c r="D163" s="496" t="s">
        <v>16</v>
      </c>
      <c r="E163" s="225">
        <v>0.009</v>
      </c>
      <c r="F163" s="377">
        <f>F161*E163</f>
        <v>0.21599999999999997</v>
      </c>
      <c r="G163" s="47"/>
      <c r="H163" s="377">
        <f>F163*G163</f>
        <v>0</v>
      </c>
    </row>
    <row r="164" spans="1:8" ht="26.25" customHeight="1">
      <c r="A164" s="497"/>
      <c r="B164" s="224" t="s">
        <v>1465</v>
      </c>
      <c r="C164" s="496" t="s">
        <v>90</v>
      </c>
      <c r="D164" s="496" t="s">
        <v>22</v>
      </c>
      <c r="E164" s="222">
        <v>1</v>
      </c>
      <c r="F164" s="222">
        <f>E164*F161</f>
        <v>24</v>
      </c>
      <c r="G164" s="222"/>
      <c r="H164" s="222">
        <f>G164*F164</f>
        <v>0</v>
      </c>
    </row>
    <row r="165" spans="1:8" ht="35.25" customHeight="1">
      <c r="A165" s="497"/>
      <c r="B165" s="223" t="s">
        <v>4</v>
      </c>
      <c r="C165" s="496" t="s">
        <v>18</v>
      </c>
      <c r="D165" s="496" t="s">
        <v>16</v>
      </c>
      <c r="E165" s="496">
        <v>0.193</v>
      </c>
      <c r="F165" s="222">
        <f>F161*E165</f>
        <v>4.632</v>
      </c>
      <c r="G165" s="47"/>
      <c r="H165" s="222">
        <f>G165*F165</f>
        <v>0</v>
      </c>
    </row>
    <row r="166" spans="1:8" ht="54.75" customHeight="1">
      <c r="A166" s="376" t="s">
        <v>1159</v>
      </c>
      <c r="B166" s="378" t="s">
        <v>77</v>
      </c>
      <c r="C166" s="375" t="s">
        <v>1583</v>
      </c>
      <c r="D166" s="375" t="s">
        <v>22</v>
      </c>
      <c r="E166" s="375"/>
      <c r="F166" s="226">
        <v>20</v>
      </c>
      <c r="G166" s="226"/>
      <c r="H166" s="380">
        <f>SUM(H167:H171)</f>
        <v>0</v>
      </c>
    </row>
    <row r="167" spans="1:8" ht="28.5" customHeight="1">
      <c r="A167" s="497"/>
      <c r="B167" s="224" t="s">
        <v>4</v>
      </c>
      <c r="C167" s="496" t="s">
        <v>136</v>
      </c>
      <c r="D167" s="496" t="s">
        <v>5</v>
      </c>
      <c r="E167" s="496">
        <v>0.139</v>
      </c>
      <c r="F167" s="222">
        <f>F166*E167</f>
        <v>2.7800000000000002</v>
      </c>
      <c r="G167" s="222"/>
      <c r="H167" s="222">
        <f>G167*F167</f>
        <v>0</v>
      </c>
    </row>
    <row r="168" spans="1:15" ht="33.75" customHeight="1">
      <c r="A168" s="497"/>
      <c r="B168" s="224" t="s">
        <v>1469</v>
      </c>
      <c r="C168" s="496" t="s">
        <v>1584</v>
      </c>
      <c r="D168" s="496" t="s">
        <v>22</v>
      </c>
      <c r="E168" s="373">
        <v>1.02</v>
      </c>
      <c r="F168" s="105">
        <f>E168*F166</f>
        <v>20.4</v>
      </c>
      <c r="G168" s="377"/>
      <c r="H168" s="52">
        <f>F168*G168</f>
        <v>0</v>
      </c>
      <c r="O168" s="382"/>
    </row>
    <row r="169" spans="1:8" ht="33" customHeight="1">
      <c r="A169" s="497"/>
      <c r="B169" s="224" t="s">
        <v>1471</v>
      </c>
      <c r="C169" s="496" t="s">
        <v>639</v>
      </c>
      <c r="D169" s="496" t="s">
        <v>15</v>
      </c>
      <c r="E169" s="373" t="s">
        <v>640</v>
      </c>
      <c r="F169" s="105">
        <v>2</v>
      </c>
      <c r="G169" s="377"/>
      <c r="H169" s="52">
        <f>F169*G169</f>
        <v>0</v>
      </c>
    </row>
    <row r="170" spans="1:8" ht="31.5" customHeight="1">
      <c r="A170" s="497"/>
      <c r="B170" s="224" t="s">
        <v>2</v>
      </c>
      <c r="C170" s="496" t="s">
        <v>641</v>
      </c>
      <c r="D170" s="496" t="s">
        <v>15</v>
      </c>
      <c r="E170" s="373" t="s">
        <v>640</v>
      </c>
      <c r="F170" s="105">
        <v>4</v>
      </c>
      <c r="G170" s="377"/>
      <c r="H170" s="52">
        <f>F170*G170</f>
        <v>0</v>
      </c>
    </row>
    <row r="171" spans="1:8" ht="28.5" customHeight="1">
      <c r="A171" s="497"/>
      <c r="B171" s="224" t="s">
        <v>4</v>
      </c>
      <c r="C171" s="496" t="s">
        <v>18</v>
      </c>
      <c r="D171" s="496" t="s">
        <v>16</v>
      </c>
      <c r="E171" s="225">
        <v>0.0097</v>
      </c>
      <c r="F171" s="222">
        <f>F166*E171</f>
        <v>0.194</v>
      </c>
      <c r="G171" s="47"/>
      <c r="H171" s="47">
        <f>F171*G171</f>
        <v>0</v>
      </c>
    </row>
    <row r="172" spans="1:8" ht="30" customHeight="1">
      <c r="A172" s="213"/>
      <c r="B172" s="224"/>
      <c r="C172" s="374" t="s">
        <v>87</v>
      </c>
      <c r="D172" s="496" t="s">
        <v>16</v>
      </c>
      <c r="E172" s="496"/>
      <c r="F172" s="222"/>
      <c r="G172" s="46"/>
      <c r="H172" s="228">
        <f>H8+H70+H74+H79+H84+H89+H128+H135+H140+H144+H148+H156+H161+H166+H13+H21+H25+H33+H93+H103+H108+H113+H98+H118+H123+H17+H29+H37+H40+H44+H47+H54+H58+H66+H51+H152+H62</f>
        <v>0</v>
      </c>
    </row>
    <row r="173" spans="1:8" ht="24.75" customHeight="1">
      <c r="A173" s="213"/>
      <c r="B173" s="224"/>
      <c r="C173" s="496" t="s">
        <v>1093</v>
      </c>
      <c r="D173" s="496" t="s">
        <v>16</v>
      </c>
      <c r="E173" s="496"/>
      <c r="F173" s="222"/>
      <c r="G173" s="46"/>
      <c r="H173" s="377">
        <f>H9+H71+H75+H80+H85+H90+H129+H136+H141+H145+H149+H157+H162+H167+H22+H14+H26+H34+H124+H119+H99+H114+H109+H104+H94+H18+H30+H38+H41+H45+H48+H55+H59+H67+H153+H52+H63</f>
        <v>0</v>
      </c>
    </row>
    <row r="174" spans="1:8" ht="31.5" customHeight="1">
      <c r="A174" s="213"/>
      <c r="B174" s="224"/>
      <c r="C174" s="496" t="s">
        <v>79</v>
      </c>
      <c r="D174" s="496" t="s">
        <v>16</v>
      </c>
      <c r="E174" s="496"/>
      <c r="F174" s="142">
        <v>0.75</v>
      </c>
      <c r="G174" s="46"/>
      <c r="H174" s="52">
        <f>H173*F174</f>
        <v>0</v>
      </c>
    </row>
    <row r="175" spans="1:8" ht="25.5" customHeight="1">
      <c r="A175" s="221"/>
      <c r="B175" s="378"/>
      <c r="C175" s="375" t="s">
        <v>17</v>
      </c>
      <c r="D175" s="375" t="s">
        <v>16</v>
      </c>
      <c r="E175" s="375"/>
      <c r="F175" s="375"/>
      <c r="G175" s="55"/>
      <c r="H175" s="160">
        <f>H172+H174</f>
        <v>0</v>
      </c>
    </row>
    <row r="176" spans="1:8" ht="26.25" customHeight="1">
      <c r="A176" s="213"/>
      <c r="B176" s="224"/>
      <c r="C176" s="496" t="s">
        <v>39</v>
      </c>
      <c r="D176" s="496" t="s">
        <v>16</v>
      </c>
      <c r="E176" s="496"/>
      <c r="F176" s="142">
        <v>0.08</v>
      </c>
      <c r="G176" s="46"/>
      <c r="H176" s="52">
        <f>H175*F176</f>
        <v>0</v>
      </c>
    </row>
    <row r="177" spans="1:8" ht="42.75" customHeight="1">
      <c r="A177" s="213"/>
      <c r="B177" s="224"/>
      <c r="C177" s="363" t="s">
        <v>1605</v>
      </c>
      <c r="D177" s="375" t="s">
        <v>16</v>
      </c>
      <c r="E177" s="496"/>
      <c r="F177" s="142"/>
      <c r="G177" s="46"/>
      <c r="H177" s="160">
        <f>SUM(H175:H176)</f>
        <v>0</v>
      </c>
    </row>
    <row r="178" spans="1:8" ht="15.75">
      <c r="A178" s="326"/>
      <c r="B178" s="143"/>
      <c r="C178" s="327"/>
      <c r="D178" s="210"/>
      <c r="E178" s="199"/>
      <c r="F178" s="199"/>
      <c r="G178" s="60"/>
      <c r="H178" s="61"/>
    </row>
    <row r="179" spans="1:8" ht="51.75" customHeight="1">
      <c r="A179" s="682" t="s">
        <v>1657</v>
      </c>
      <c r="B179" s="682"/>
      <c r="C179" s="682"/>
      <c r="D179" s="682"/>
      <c r="E179" s="682"/>
      <c r="F179" s="682"/>
      <c r="G179" s="682"/>
      <c r="H179" s="682"/>
    </row>
    <row r="180" spans="1:8" ht="15.75">
      <c r="A180" s="331"/>
      <c r="C180" s="493"/>
      <c r="D180" s="675"/>
      <c r="E180" s="675"/>
      <c r="F180" s="675"/>
      <c r="G180" s="34"/>
      <c r="H180" s="7"/>
    </row>
    <row r="181" spans="3:8" ht="15.75">
      <c r="C181" s="202"/>
      <c r="D181" s="202"/>
      <c r="E181" s="202"/>
      <c r="F181" s="202"/>
      <c r="G181" s="2"/>
      <c r="H181" s="7"/>
    </row>
  </sheetData>
  <sheetProtection/>
  <autoFilter ref="A7:O177"/>
  <mergeCells count="12">
    <mergeCell ref="D180:F180"/>
    <mergeCell ref="A5:A6"/>
    <mergeCell ref="B5:B6"/>
    <mergeCell ref="C5:C6"/>
    <mergeCell ref="A179:H179"/>
    <mergeCell ref="A1:H1"/>
    <mergeCell ref="A2:H2"/>
    <mergeCell ref="A3:H3"/>
    <mergeCell ref="D5:D6"/>
    <mergeCell ref="A4:H4"/>
    <mergeCell ref="E5:F5"/>
    <mergeCell ref="G5:H5"/>
  </mergeCells>
  <printOptions/>
  <pageMargins left="0.5511811023622047" right="0" top="0.2362204724409449" bottom="0.27" header="0.2362204724409449" footer="0"/>
  <pageSetup horizontalDpi="600" verticalDpi="600" orientation="portrait" paperSize="9" r:id="rId1"/>
  <headerFooter alignWithMargins="0">
    <oddFooter>&amp;L&amp;8&amp;A&amp;R&amp;8 = &amp;P =</oddFooter>
  </headerFooter>
</worksheet>
</file>

<file path=xl/worksheets/sheet8.xml><?xml version="1.0" encoding="utf-8"?>
<worksheet xmlns="http://schemas.openxmlformats.org/spreadsheetml/2006/main" xmlns:r="http://schemas.openxmlformats.org/officeDocument/2006/relationships">
  <sheetPr>
    <tabColor rgb="FFFFFF00"/>
  </sheetPr>
  <dimension ref="A1:U70"/>
  <sheetViews>
    <sheetView zoomScalePageLayoutView="0" workbookViewId="0" topLeftCell="A1">
      <selection activeCell="C5" sqref="C5:C6"/>
    </sheetView>
  </sheetViews>
  <sheetFormatPr defaultColWidth="9.140625" defaultRowHeight="12.75"/>
  <cols>
    <col min="1" max="1" width="5.00390625" style="90" customWidth="1"/>
    <col min="2" max="2" width="8.140625" style="85" customWidth="1"/>
    <col min="3" max="3" width="42.140625" style="86" customWidth="1"/>
    <col min="4" max="4" width="7.00390625" style="87" customWidth="1"/>
    <col min="5" max="5" width="6.8515625" style="25" customWidth="1"/>
    <col min="6" max="6" width="11.00390625" style="88" customWidth="1"/>
    <col min="7" max="7" width="7.00390625" style="31" customWidth="1"/>
    <col min="8" max="8" width="10.421875" style="89" customWidth="1"/>
    <col min="9" max="9" width="11.8515625" style="24" customWidth="1"/>
    <col min="10" max="16384" width="9.140625" style="24" customWidth="1"/>
  </cols>
  <sheetData>
    <row r="1" spans="1:8" s="1" customFormat="1" ht="32.25" customHeight="1">
      <c r="A1" s="642" t="str">
        <f>'ლ.რ № 1-2'!A1:H1</f>
        <v>qobuleTis municipalitetis sofel xucubanSi sajaro skolis Zveli korpusebis demontaJi da axali skolis Senobis mSenebloba</v>
      </c>
      <c r="B1" s="642"/>
      <c r="C1" s="642"/>
      <c r="D1" s="642"/>
      <c r="E1" s="642"/>
      <c r="F1" s="642"/>
      <c r="G1" s="642"/>
      <c r="H1" s="642"/>
    </row>
    <row r="2" spans="1:8" s="1" customFormat="1" ht="22.5" customHeight="1">
      <c r="A2" s="661" t="s">
        <v>310</v>
      </c>
      <c r="B2" s="661"/>
      <c r="C2" s="661"/>
      <c r="D2" s="661"/>
      <c r="E2" s="661"/>
      <c r="F2" s="661"/>
      <c r="G2" s="661"/>
      <c r="H2" s="661"/>
    </row>
    <row r="3" spans="1:8" s="1" customFormat="1" ht="2.25" customHeight="1">
      <c r="A3" s="642"/>
      <c r="B3" s="642"/>
      <c r="C3" s="642"/>
      <c r="D3" s="642"/>
      <c r="E3" s="642"/>
      <c r="F3" s="642"/>
      <c r="G3" s="642"/>
      <c r="H3" s="642"/>
    </row>
    <row r="4" spans="1:8" s="1" customFormat="1" ht="16.5" customHeight="1">
      <c r="A4" s="662" t="s">
        <v>192</v>
      </c>
      <c r="B4" s="662"/>
      <c r="C4" s="662"/>
      <c r="D4" s="662"/>
      <c r="E4" s="662"/>
      <c r="F4" s="662"/>
      <c r="G4" s="662"/>
      <c r="H4" s="662"/>
    </row>
    <row r="5" spans="1:8" s="1" customFormat="1" ht="28.5" customHeight="1">
      <c r="A5" s="684" t="s">
        <v>7</v>
      </c>
      <c r="B5" s="685" t="s">
        <v>8</v>
      </c>
      <c r="C5" s="666" t="s">
        <v>9</v>
      </c>
      <c r="D5" s="667" t="s">
        <v>6</v>
      </c>
      <c r="E5" s="654" t="s">
        <v>10</v>
      </c>
      <c r="F5" s="654"/>
      <c r="G5" s="654" t="s">
        <v>1</v>
      </c>
      <c r="H5" s="654"/>
    </row>
    <row r="6" spans="1:8" s="1" customFormat="1" ht="66" customHeight="1">
      <c r="A6" s="684"/>
      <c r="B6" s="685"/>
      <c r="C6" s="666"/>
      <c r="D6" s="667"/>
      <c r="E6" s="44" t="s">
        <v>11</v>
      </c>
      <c r="F6" s="44" t="s">
        <v>12</v>
      </c>
      <c r="G6" s="44" t="s">
        <v>11</v>
      </c>
      <c r="H6" s="155" t="s">
        <v>12</v>
      </c>
    </row>
    <row r="7" spans="1:8" s="5" customFormat="1" ht="28.5" customHeight="1">
      <c r="A7" s="616">
        <v>1</v>
      </c>
      <c r="B7" s="616">
        <v>2</v>
      </c>
      <c r="C7" s="616">
        <v>3</v>
      </c>
      <c r="D7" s="616">
        <v>4</v>
      </c>
      <c r="E7" s="616">
        <v>5</v>
      </c>
      <c r="F7" s="616">
        <v>6</v>
      </c>
      <c r="G7" s="616">
        <v>7</v>
      </c>
      <c r="H7" s="616">
        <v>8</v>
      </c>
    </row>
    <row r="8" spans="1:11" s="6" customFormat="1" ht="60.75" customHeight="1">
      <c r="A8" s="71">
        <v>1</v>
      </c>
      <c r="B8" s="54" t="s">
        <v>183</v>
      </c>
      <c r="C8" s="55" t="s">
        <v>1659</v>
      </c>
      <c r="D8" s="55" t="s">
        <v>54</v>
      </c>
      <c r="E8" s="55"/>
      <c r="F8" s="70">
        <v>1</v>
      </c>
      <c r="G8" s="55"/>
      <c r="H8" s="380">
        <f>H9+H11+H10</f>
        <v>0</v>
      </c>
      <c r="I8" s="9"/>
      <c r="J8" s="9"/>
      <c r="K8" s="16"/>
    </row>
    <row r="9" spans="1:11" s="2" customFormat="1" ht="31.5" customHeight="1">
      <c r="A9" s="82"/>
      <c r="B9" s="48" t="s">
        <v>4</v>
      </c>
      <c r="C9" s="46" t="s">
        <v>136</v>
      </c>
      <c r="D9" s="46" t="s">
        <v>5</v>
      </c>
      <c r="E9" s="47">
        <v>31</v>
      </c>
      <c r="F9" s="47">
        <f>F8*E9</f>
        <v>31</v>
      </c>
      <c r="G9" s="47"/>
      <c r="H9" s="222">
        <f>G9*F9</f>
        <v>0</v>
      </c>
      <c r="I9" s="8"/>
      <c r="J9" s="9"/>
      <c r="K9" s="8"/>
    </row>
    <row r="10" spans="1:11" s="2" customFormat="1" ht="30.75" customHeight="1">
      <c r="A10" s="230"/>
      <c r="B10" s="227" t="s">
        <v>1448</v>
      </c>
      <c r="C10" s="496" t="s">
        <v>245</v>
      </c>
      <c r="D10" s="496" t="s">
        <v>15</v>
      </c>
      <c r="E10" s="222">
        <v>1</v>
      </c>
      <c r="F10" s="222">
        <f>E10</f>
        <v>1</v>
      </c>
      <c r="G10" s="222"/>
      <c r="H10" s="222">
        <f>F10*G10</f>
        <v>0</v>
      </c>
      <c r="I10" s="8"/>
      <c r="J10" s="9"/>
      <c r="K10" s="8"/>
    </row>
    <row r="11" spans="1:11" s="2" customFormat="1" ht="27" customHeight="1">
      <c r="A11" s="82"/>
      <c r="B11" s="48" t="s">
        <v>4</v>
      </c>
      <c r="C11" s="46" t="s">
        <v>184</v>
      </c>
      <c r="D11" s="46" t="s">
        <v>16</v>
      </c>
      <c r="E11" s="47">
        <v>2.88</v>
      </c>
      <c r="F11" s="47">
        <f>F8*E11</f>
        <v>2.88</v>
      </c>
      <c r="G11" s="47"/>
      <c r="H11" s="222">
        <f>F11*G11</f>
        <v>0</v>
      </c>
      <c r="I11" s="8"/>
      <c r="J11" s="9"/>
      <c r="K11" s="17"/>
    </row>
    <row r="12" spans="1:11" s="2" customFormat="1" ht="53.25" customHeight="1">
      <c r="A12" s="71">
        <v>2</v>
      </c>
      <c r="B12" s="54" t="s">
        <v>634</v>
      </c>
      <c r="C12" s="55" t="s">
        <v>989</v>
      </c>
      <c r="D12" s="55" t="s">
        <v>15</v>
      </c>
      <c r="E12" s="70"/>
      <c r="F12" s="70">
        <v>1</v>
      </c>
      <c r="G12" s="55"/>
      <c r="H12" s="544">
        <f>H13+H14+H15</f>
        <v>0</v>
      </c>
      <c r="I12" s="8"/>
      <c r="J12" s="9"/>
      <c r="K12" s="17"/>
    </row>
    <row r="13" spans="1:11" s="2" customFormat="1" ht="34.5" customHeight="1">
      <c r="A13" s="82"/>
      <c r="B13" s="48" t="s">
        <v>4</v>
      </c>
      <c r="C13" s="46" t="s">
        <v>136</v>
      </c>
      <c r="D13" s="46" t="s">
        <v>5</v>
      </c>
      <c r="E13" s="47">
        <v>1</v>
      </c>
      <c r="F13" s="47">
        <f>F12*E13</f>
        <v>1</v>
      </c>
      <c r="G13" s="47"/>
      <c r="H13" s="222">
        <f>G13*F13</f>
        <v>0</v>
      </c>
      <c r="I13" s="8"/>
      <c r="J13" s="9"/>
      <c r="K13" s="17"/>
    </row>
    <row r="14" spans="1:11" s="2" customFormat="1" ht="27" customHeight="1">
      <c r="A14" s="82"/>
      <c r="B14" s="496" t="s">
        <v>635</v>
      </c>
      <c r="C14" s="500" t="s">
        <v>246</v>
      </c>
      <c r="D14" s="46" t="s">
        <v>15</v>
      </c>
      <c r="E14" s="47">
        <v>1</v>
      </c>
      <c r="F14" s="47">
        <f>E14*F12</f>
        <v>1</v>
      </c>
      <c r="G14" s="222"/>
      <c r="H14" s="377">
        <f>F14*G14</f>
        <v>0</v>
      </c>
      <c r="I14" s="8"/>
      <c r="J14" s="9"/>
      <c r="K14" s="17"/>
    </row>
    <row r="15" spans="1:11" s="2" customFormat="1" ht="27" customHeight="1">
      <c r="A15" s="82"/>
      <c r="B15" s="48" t="s">
        <v>4</v>
      </c>
      <c r="C15" s="46" t="s">
        <v>184</v>
      </c>
      <c r="D15" s="46" t="s">
        <v>16</v>
      </c>
      <c r="E15" s="47">
        <v>0.23</v>
      </c>
      <c r="F15" s="47">
        <f>F12*E15</f>
        <v>0.23</v>
      </c>
      <c r="G15" s="47"/>
      <c r="H15" s="222">
        <f>F15*G15</f>
        <v>0</v>
      </c>
      <c r="I15" s="8"/>
      <c r="J15" s="9"/>
      <c r="K15" s="17"/>
    </row>
    <row r="16" spans="1:21" s="5" customFormat="1" ht="57" customHeight="1">
      <c r="A16" s="71">
        <v>3</v>
      </c>
      <c r="B16" s="54" t="s">
        <v>185</v>
      </c>
      <c r="C16" s="55" t="s">
        <v>247</v>
      </c>
      <c r="D16" s="55" t="s">
        <v>54</v>
      </c>
      <c r="E16" s="70"/>
      <c r="F16" s="70">
        <v>99</v>
      </c>
      <c r="G16" s="70"/>
      <c r="H16" s="380">
        <f>H17+H18+H19</f>
        <v>0</v>
      </c>
      <c r="I16" s="9"/>
      <c r="J16" s="9"/>
      <c r="K16" s="38"/>
      <c r="U16" s="5" t="s">
        <v>190</v>
      </c>
    </row>
    <row r="17" spans="1:11" s="4" customFormat="1" ht="25.5" customHeight="1">
      <c r="A17" s="82"/>
      <c r="B17" s="48" t="s">
        <v>4</v>
      </c>
      <c r="C17" s="46" t="s">
        <v>136</v>
      </c>
      <c r="D17" s="46" t="s">
        <v>5</v>
      </c>
      <c r="E17" s="47">
        <v>1</v>
      </c>
      <c r="F17" s="47">
        <f>F16*E17</f>
        <v>99</v>
      </c>
      <c r="G17" s="47"/>
      <c r="H17" s="222">
        <f>G17*F17</f>
        <v>0</v>
      </c>
      <c r="I17" s="8"/>
      <c r="J17" s="9"/>
      <c r="K17" s="39"/>
    </row>
    <row r="18" spans="1:19" s="202" customFormat="1" ht="30.75" customHeight="1">
      <c r="A18" s="497"/>
      <c r="B18" s="227" t="s">
        <v>1449</v>
      </c>
      <c r="C18" s="496" t="s">
        <v>1450</v>
      </c>
      <c r="D18" s="496" t="s">
        <v>15</v>
      </c>
      <c r="E18" s="377">
        <v>1</v>
      </c>
      <c r="F18" s="377">
        <f>E18*F16</f>
        <v>99</v>
      </c>
      <c r="G18" s="377"/>
      <c r="H18" s="377">
        <f>F18*G18</f>
        <v>0</v>
      </c>
      <c r="I18" s="76"/>
      <c r="J18" s="75"/>
      <c r="K18" s="76"/>
      <c r="S18" s="202" t="s">
        <v>191</v>
      </c>
    </row>
    <row r="19" spans="1:11" s="5" customFormat="1" ht="29.25" customHeight="1">
      <c r="A19" s="82"/>
      <c r="B19" s="48" t="s">
        <v>4</v>
      </c>
      <c r="C19" s="46" t="s">
        <v>184</v>
      </c>
      <c r="D19" s="46" t="s">
        <v>16</v>
      </c>
      <c r="E19" s="47">
        <v>0.09</v>
      </c>
      <c r="F19" s="47">
        <f>F16*E19</f>
        <v>8.91</v>
      </c>
      <c r="G19" s="47"/>
      <c r="H19" s="222">
        <f>F19*G19</f>
        <v>0</v>
      </c>
      <c r="I19" s="9"/>
      <c r="J19" s="9"/>
      <c r="K19" s="38"/>
    </row>
    <row r="20" spans="1:11" s="4" customFormat="1" ht="61.5" customHeight="1">
      <c r="A20" s="71">
        <v>4</v>
      </c>
      <c r="B20" s="54" t="s">
        <v>186</v>
      </c>
      <c r="C20" s="55" t="s">
        <v>1660</v>
      </c>
      <c r="D20" s="55" t="s">
        <v>15</v>
      </c>
      <c r="E20" s="70"/>
      <c r="F20" s="70">
        <v>7</v>
      </c>
      <c r="G20" s="70"/>
      <c r="H20" s="380">
        <f>H21+H23+H22</f>
        <v>0</v>
      </c>
      <c r="I20" s="8"/>
      <c r="J20" s="9"/>
      <c r="K20" s="39"/>
    </row>
    <row r="21" spans="1:11" s="4" customFormat="1" ht="24" customHeight="1">
      <c r="A21" s="82"/>
      <c r="B21" s="48" t="s">
        <v>4</v>
      </c>
      <c r="C21" s="46" t="s">
        <v>136</v>
      </c>
      <c r="D21" s="46" t="s">
        <v>5</v>
      </c>
      <c r="E21" s="47">
        <v>2</v>
      </c>
      <c r="F21" s="47">
        <f>F20*E21</f>
        <v>14</v>
      </c>
      <c r="G21" s="47"/>
      <c r="H21" s="222">
        <f>G21*F21</f>
        <v>0</v>
      </c>
      <c r="I21" s="8"/>
      <c r="J21" s="9"/>
      <c r="K21" s="39"/>
    </row>
    <row r="22" spans="1:11" s="202" customFormat="1" ht="24" customHeight="1">
      <c r="A22" s="497"/>
      <c r="B22" s="227" t="s">
        <v>546</v>
      </c>
      <c r="C22" s="496" t="s">
        <v>193</v>
      </c>
      <c r="D22" s="496" t="s">
        <v>15</v>
      </c>
      <c r="E22" s="377">
        <v>1</v>
      </c>
      <c r="F22" s="377">
        <f>F20*E22</f>
        <v>7</v>
      </c>
      <c r="G22" s="377"/>
      <c r="H22" s="377">
        <f>F22*G22</f>
        <v>0</v>
      </c>
      <c r="I22" s="76"/>
      <c r="J22" s="75"/>
      <c r="K22" s="205"/>
    </row>
    <row r="23" spans="1:11" s="5" customFormat="1" ht="28.5" customHeight="1">
      <c r="A23" s="82"/>
      <c r="B23" s="48" t="s">
        <v>4</v>
      </c>
      <c r="C23" s="46" t="s">
        <v>184</v>
      </c>
      <c r="D23" s="46" t="s">
        <v>16</v>
      </c>
      <c r="E23" s="47">
        <v>0.14</v>
      </c>
      <c r="F23" s="47">
        <f>F20*E23</f>
        <v>0.9800000000000001</v>
      </c>
      <c r="G23" s="47"/>
      <c r="H23" s="222">
        <f>F23*G23</f>
        <v>0</v>
      </c>
      <c r="I23" s="9"/>
      <c r="J23" s="9"/>
      <c r="K23" s="38"/>
    </row>
    <row r="24" spans="1:11" s="4" customFormat="1" ht="54.75" customHeight="1">
      <c r="A24" s="71">
        <v>5</v>
      </c>
      <c r="B24" s="54" t="s">
        <v>187</v>
      </c>
      <c r="C24" s="55" t="s">
        <v>248</v>
      </c>
      <c r="D24" s="55" t="s">
        <v>15</v>
      </c>
      <c r="E24" s="70"/>
      <c r="F24" s="70">
        <v>21</v>
      </c>
      <c r="G24" s="70"/>
      <c r="H24" s="380">
        <f>H25+H27+H26</f>
        <v>0</v>
      </c>
      <c r="I24" s="8"/>
      <c r="J24" s="9"/>
      <c r="K24" s="39"/>
    </row>
    <row r="25" spans="1:12" s="4" customFormat="1" ht="27.75" customHeight="1">
      <c r="A25" s="82"/>
      <c r="B25" s="48" t="s">
        <v>4</v>
      </c>
      <c r="C25" s="46" t="s">
        <v>136</v>
      </c>
      <c r="D25" s="46" t="s">
        <v>5</v>
      </c>
      <c r="E25" s="47">
        <v>3</v>
      </c>
      <c r="F25" s="47">
        <f>F24*E25</f>
        <v>63</v>
      </c>
      <c r="G25" s="47"/>
      <c r="H25" s="222">
        <f>G25*F25</f>
        <v>0</v>
      </c>
      <c r="I25" s="8"/>
      <c r="J25" s="9"/>
      <c r="K25" s="20"/>
      <c r="L25" s="42"/>
    </row>
    <row r="26" spans="1:11" s="5" customFormat="1" ht="30.75" customHeight="1">
      <c r="A26" s="82"/>
      <c r="B26" s="227" t="s">
        <v>1451</v>
      </c>
      <c r="C26" s="46" t="s">
        <v>249</v>
      </c>
      <c r="D26" s="46" t="s">
        <v>15</v>
      </c>
      <c r="E26" s="52">
        <v>1</v>
      </c>
      <c r="F26" s="52">
        <f>E26*F24</f>
        <v>21</v>
      </c>
      <c r="G26" s="377"/>
      <c r="H26" s="377">
        <f>F26*G26</f>
        <v>0</v>
      </c>
      <c r="I26" s="30"/>
      <c r="J26" s="31"/>
      <c r="K26" s="30"/>
    </row>
    <row r="27" spans="1:8" s="4" customFormat="1" ht="30" customHeight="1">
      <c r="A27" s="82"/>
      <c r="B27" s="48" t="s">
        <v>4</v>
      </c>
      <c r="C27" s="46" t="s">
        <v>184</v>
      </c>
      <c r="D27" s="46" t="s">
        <v>16</v>
      </c>
      <c r="E27" s="47">
        <v>0.14</v>
      </c>
      <c r="F27" s="47">
        <f>F24*E27</f>
        <v>2.9400000000000004</v>
      </c>
      <c r="G27" s="47"/>
      <c r="H27" s="222">
        <f>F27*G27</f>
        <v>0</v>
      </c>
    </row>
    <row r="28" spans="1:11" s="4" customFormat="1" ht="72" customHeight="1">
      <c r="A28" s="81" t="s">
        <v>44</v>
      </c>
      <c r="B28" s="378" t="s">
        <v>671</v>
      </c>
      <c r="C28" s="375" t="s">
        <v>990</v>
      </c>
      <c r="D28" s="55" t="s">
        <v>107</v>
      </c>
      <c r="E28" s="70"/>
      <c r="F28" s="70">
        <v>24</v>
      </c>
      <c r="G28" s="226"/>
      <c r="H28" s="380">
        <f>SUM(H29:H32)</f>
        <v>0</v>
      </c>
      <c r="I28" s="26"/>
      <c r="J28" s="26"/>
      <c r="K28" s="26"/>
    </row>
    <row r="29" spans="1:11" s="4" customFormat="1" ht="25.5" customHeight="1">
      <c r="A29" s="82"/>
      <c r="B29" s="48" t="s">
        <v>4</v>
      </c>
      <c r="C29" s="496" t="s">
        <v>136</v>
      </c>
      <c r="D29" s="46" t="s">
        <v>5</v>
      </c>
      <c r="E29" s="47">
        <v>0.97</v>
      </c>
      <c r="F29" s="52">
        <f>F28*E29</f>
        <v>23.28</v>
      </c>
      <c r="G29" s="222"/>
      <c r="H29" s="377">
        <f>F29*G29</f>
        <v>0</v>
      </c>
      <c r="I29" s="26"/>
      <c r="J29" s="26"/>
      <c r="K29" s="26"/>
    </row>
    <row r="30" spans="1:11" s="4" customFormat="1" ht="25.5" customHeight="1">
      <c r="A30" s="82"/>
      <c r="B30" s="48" t="s">
        <v>4</v>
      </c>
      <c r="C30" s="496" t="s">
        <v>129</v>
      </c>
      <c r="D30" s="46" t="s">
        <v>23</v>
      </c>
      <c r="E30" s="47">
        <v>0.349</v>
      </c>
      <c r="F30" s="47">
        <f>F28*E30</f>
        <v>8.376</v>
      </c>
      <c r="G30" s="222"/>
      <c r="H30" s="222">
        <f>G30*F30</f>
        <v>0</v>
      </c>
      <c r="I30" s="26"/>
      <c r="J30" s="26"/>
      <c r="K30" s="26"/>
    </row>
    <row r="31" spans="1:11" s="4" customFormat="1" ht="48" customHeight="1">
      <c r="A31" s="82"/>
      <c r="B31" s="48" t="s">
        <v>958</v>
      </c>
      <c r="C31" s="496" t="s">
        <v>959</v>
      </c>
      <c r="D31" s="46" t="s">
        <v>80</v>
      </c>
      <c r="E31" s="52">
        <v>1</v>
      </c>
      <c r="F31" s="52">
        <f>E31*F28</f>
        <v>24</v>
      </c>
      <c r="G31" s="377"/>
      <c r="H31" s="377">
        <f>F31*G31</f>
        <v>0</v>
      </c>
      <c r="I31" s="26"/>
      <c r="J31" s="26"/>
      <c r="K31" s="26"/>
    </row>
    <row r="32" spans="1:11" s="4" customFormat="1" ht="30" customHeight="1">
      <c r="A32" s="82"/>
      <c r="B32" s="48" t="s">
        <v>4</v>
      </c>
      <c r="C32" s="496" t="s">
        <v>18</v>
      </c>
      <c r="D32" s="46" t="s">
        <v>16</v>
      </c>
      <c r="E32" s="52">
        <v>0.382</v>
      </c>
      <c r="F32" s="52">
        <f>F28*E32</f>
        <v>9.168</v>
      </c>
      <c r="G32" s="377"/>
      <c r="H32" s="377">
        <f>F32*G32</f>
        <v>0</v>
      </c>
      <c r="I32" s="1"/>
      <c r="J32" s="1"/>
      <c r="K32" s="26"/>
    </row>
    <row r="33" spans="1:11" s="5" customFormat="1" ht="64.5" customHeight="1">
      <c r="A33" s="71">
        <v>7</v>
      </c>
      <c r="B33" s="54" t="s">
        <v>188</v>
      </c>
      <c r="C33" s="375" t="s">
        <v>1575</v>
      </c>
      <c r="D33" s="293" t="s">
        <v>189</v>
      </c>
      <c r="E33" s="70"/>
      <c r="F33" s="70">
        <v>1300</v>
      </c>
      <c r="G33" s="70"/>
      <c r="H33" s="380">
        <f>H34+H36+H35</f>
        <v>0</v>
      </c>
      <c r="I33" s="1"/>
      <c r="J33" s="3"/>
      <c r="K33" s="26"/>
    </row>
    <row r="34" spans="1:11" s="3" customFormat="1" ht="27" customHeight="1">
      <c r="A34" s="82"/>
      <c r="B34" s="48" t="s">
        <v>4</v>
      </c>
      <c r="C34" s="46" t="s">
        <v>136</v>
      </c>
      <c r="D34" s="46" t="s">
        <v>5</v>
      </c>
      <c r="E34" s="47">
        <v>0.13</v>
      </c>
      <c r="F34" s="47">
        <f>F33*E34</f>
        <v>169</v>
      </c>
      <c r="G34" s="47"/>
      <c r="H34" s="222">
        <f>G34*F34</f>
        <v>0</v>
      </c>
      <c r="I34" s="24"/>
      <c r="J34" s="24"/>
      <c r="K34" s="2"/>
    </row>
    <row r="35" spans="1:11" s="201" customFormat="1" ht="34.5" customHeight="1">
      <c r="A35" s="497"/>
      <c r="B35" s="227" t="s">
        <v>1452</v>
      </c>
      <c r="C35" s="496" t="s">
        <v>1576</v>
      </c>
      <c r="D35" s="496" t="s">
        <v>47</v>
      </c>
      <c r="E35" s="222">
        <v>1.02</v>
      </c>
      <c r="F35" s="222">
        <f>F33*E35</f>
        <v>1326</v>
      </c>
      <c r="G35" s="222"/>
      <c r="H35" s="377">
        <f>F35*G35</f>
        <v>0</v>
      </c>
      <c r="I35" s="209"/>
      <c r="J35" s="209"/>
      <c r="K35" s="109"/>
    </row>
    <row r="36" spans="1:11" s="26" customFormat="1" ht="26.25" customHeight="1">
      <c r="A36" s="82"/>
      <c r="B36" s="48" t="s">
        <v>4</v>
      </c>
      <c r="C36" s="46" t="s">
        <v>184</v>
      </c>
      <c r="D36" s="46" t="s">
        <v>16</v>
      </c>
      <c r="E36" s="47">
        <v>0.0041</v>
      </c>
      <c r="F36" s="47">
        <f>F33*E36</f>
        <v>5.33</v>
      </c>
      <c r="G36" s="47"/>
      <c r="H36" s="222">
        <f>F36*G36</f>
        <v>0</v>
      </c>
      <c r="I36" s="24"/>
      <c r="J36" s="24"/>
      <c r="K36" s="1"/>
    </row>
    <row r="37" spans="1:11" s="26" customFormat="1" ht="63" customHeight="1">
      <c r="A37" s="81" t="s">
        <v>71</v>
      </c>
      <c r="B37" s="54" t="s">
        <v>77</v>
      </c>
      <c r="C37" s="55" t="s">
        <v>1577</v>
      </c>
      <c r="D37" s="55" t="s">
        <v>22</v>
      </c>
      <c r="E37" s="70"/>
      <c r="F37" s="70">
        <v>300</v>
      </c>
      <c r="G37" s="70"/>
      <c r="H37" s="380">
        <f>SUM(H38:H40)</f>
        <v>0</v>
      </c>
      <c r="I37" s="24"/>
      <c r="J37" s="24"/>
      <c r="K37" s="25"/>
    </row>
    <row r="38" spans="1:11" s="30" customFormat="1" ht="32.25" customHeight="1">
      <c r="A38" s="82"/>
      <c r="B38" s="48" t="s">
        <v>4</v>
      </c>
      <c r="C38" s="46" t="s">
        <v>136</v>
      </c>
      <c r="D38" s="46" t="s">
        <v>5</v>
      </c>
      <c r="E38" s="47">
        <v>0.139</v>
      </c>
      <c r="F38" s="47">
        <f>F37*E38</f>
        <v>41.7</v>
      </c>
      <c r="G38" s="47"/>
      <c r="H38" s="222">
        <f>G38*F38</f>
        <v>0</v>
      </c>
      <c r="I38" s="24"/>
      <c r="J38" s="24"/>
      <c r="K38" s="25"/>
    </row>
    <row r="39" spans="1:11" s="178" customFormat="1" ht="31.5" customHeight="1">
      <c r="A39" s="82"/>
      <c r="B39" s="227" t="s">
        <v>464</v>
      </c>
      <c r="C39" s="496" t="s">
        <v>1578</v>
      </c>
      <c r="D39" s="496" t="s">
        <v>22</v>
      </c>
      <c r="E39" s="377">
        <v>1.02</v>
      </c>
      <c r="F39" s="377">
        <f>E39*F37</f>
        <v>306</v>
      </c>
      <c r="G39" s="377"/>
      <c r="H39" s="377">
        <f>F39*G39</f>
        <v>0</v>
      </c>
      <c r="I39" s="24"/>
      <c r="J39" s="24"/>
      <c r="K39" s="25"/>
    </row>
    <row r="40" spans="1:11" s="1" customFormat="1" ht="26.25" customHeight="1">
      <c r="A40" s="82"/>
      <c r="B40" s="48" t="s">
        <v>4</v>
      </c>
      <c r="C40" s="46" t="s">
        <v>18</v>
      </c>
      <c r="D40" s="46" t="s">
        <v>16</v>
      </c>
      <c r="E40" s="157">
        <v>0.0097</v>
      </c>
      <c r="F40" s="47">
        <f>F37*E40</f>
        <v>2.91</v>
      </c>
      <c r="G40" s="222"/>
      <c r="H40" s="47">
        <f>F40*G40</f>
        <v>0</v>
      </c>
      <c r="I40" s="24"/>
      <c r="J40" s="24"/>
      <c r="K40" s="25"/>
    </row>
    <row r="41" spans="1:11" s="1" customFormat="1" ht="42" customHeight="1">
      <c r="A41" s="71">
        <v>9</v>
      </c>
      <c r="B41" s="54" t="s">
        <v>2</v>
      </c>
      <c r="C41" s="55" t="s">
        <v>465</v>
      </c>
      <c r="D41" s="158" t="s">
        <v>15</v>
      </c>
      <c r="E41" s="158"/>
      <c r="F41" s="160">
        <v>9</v>
      </c>
      <c r="G41" s="160"/>
      <c r="H41" s="228">
        <f>H42+H43</f>
        <v>0</v>
      </c>
      <c r="I41" s="24"/>
      <c r="J41" s="24"/>
      <c r="K41" s="25"/>
    </row>
    <row r="42" spans="1:11" s="1" customFormat="1" ht="30" customHeight="1">
      <c r="A42" s="82"/>
      <c r="B42" s="48" t="s">
        <v>2</v>
      </c>
      <c r="C42" s="46" t="s">
        <v>136</v>
      </c>
      <c r="D42" s="46" t="s">
        <v>15</v>
      </c>
      <c r="E42" s="47">
        <v>1</v>
      </c>
      <c r="F42" s="47">
        <f>E42*F41</f>
        <v>9</v>
      </c>
      <c r="G42" s="47"/>
      <c r="H42" s="222">
        <f>G42*F42</f>
        <v>0</v>
      </c>
      <c r="I42" s="24"/>
      <c r="J42" s="24"/>
      <c r="K42" s="25"/>
    </row>
    <row r="43" spans="1:11" s="1" customFormat="1" ht="27" customHeight="1">
      <c r="A43" s="82"/>
      <c r="B43" s="48" t="s">
        <v>549</v>
      </c>
      <c r="C43" s="46" t="s">
        <v>1447</v>
      </c>
      <c r="D43" s="46" t="s">
        <v>15</v>
      </c>
      <c r="E43" s="47">
        <v>1</v>
      </c>
      <c r="F43" s="47">
        <f>F41*E43</f>
        <v>9</v>
      </c>
      <c r="G43" s="47"/>
      <c r="H43" s="222">
        <f>G43*F43</f>
        <v>0</v>
      </c>
      <c r="I43" s="24"/>
      <c r="J43" s="24"/>
      <c r="K43" s="25"/>
    </row>
    <row r="44" spans="1:11" s="1" customFormat="1" ht="33.75" customHeight="1">
      <c r="A44" s="497"/>
      <c r="B44" s="48"/>
      <c r="C44" s="55" t="s">
        <v>145</v>
      </c>
      <c r="D44" s="55" t="s">
        <v>16</v>
      </c>
      <c r="E44" s="46"/>
      <c r="F44" s="47"/>
      <c r="G44" s="46"/>
      <c r="H44" s="226">
        <f>H8+H16+H20+H24+H28+H33+H37+H41+H12</f>
        <v>0</v>
      </c>
      <c r="I44" s="24"/>
      <c r="J44" s="24"/>
      <c r="K44" s="25"/>
    </row>
    <row r="45" spans="1:11" s="1" customFormat="1" ht="25.5" customHeight="1">
      <c r="A45" s="497"/>
      <c r="B45" s="48"/>
      <c r="C45" s="46" t="s">
        <v>122</v>
      </c>
      <c r="D45" s="46" t="s">
        <v>16</v>
      </c>
      <c r="E45" s="46"/>
      <c r="F45" s="47"/>
      <c r="G45" s="46"/>
      <c r="H45" s="377">
        <f>H38+H34+H29+H25+H21+H17+H9+H42+H13</f>
        <v>0</v>
      </c>
      <c r="I45" s="24"/>
      <c r="J45" s="24"/>
      <c r="K45" s="25"/>
    </row>
    <row r="46" spans="1:11" s="1" customFormat="1" ht="27.75" customHeight="1">
      <c r="A46" s="497"/>
      <c r="B46" s="48"/>
      <c r="C46" s="46" t="s">
        <v>118</v>
      </c>
      <c r="D46" s="46" t="s">
        <v>16</v>
      </c>
      <c r="E46" s="46"/>
      <c r="F46" s="53">
        <v>0.65</v>
      </c>
      <c r="G46" s="46"/>
      <c r="H46" s="222">
        <f>H45*F46</f>
        <v>0</v>
      </c>
      <c r="I46" s="24"/>
      <c r="J46" s="24"/>
      <c r="K46" s="25"/>
    </row>
    <row r="47" spans="1:11" s="1" customFormat="1" ht="27.75" customHeight="1">
      <c r="A47" s="376"/>
      <c r="B47" s="54"/>
      <c r="C47" s="55" t="s">
        <v>17</v>
      </c>
      <c r="D47" s="55" t="s">
        <v>16</v>
      </c>
      <c r="E47" s="55"/>
      <c r="F47" s="55"/>
      <c r="G47" s="55"/>
      <c r="H47" s="70">
        <f>H44+H46</f>
        <v>0</v>
      </c>
      <c r="I47" s="24"/>
      <c r="J47" s="24"/>
      <c r="K47" s="25"/>
    </row>
    <row r="48" spans="1:11" s="1" customFormat="1" ht="29.25" customHeight="1">
      <c r="A48" s="497"/>
      <c r="B48" s="48"/>
      <c r="C48" s="46" t="s">
        <v>119</v>
      </c>
      <c r="D48" s="46" t="s">
        <v>16</v>
      </c>
      <c r="E48" s="46"/>
      <c r="F48" s="53">
        <v>0.08</v>
      </c>
      <c r="G48" s="46"/>
      <c r="H48" s="47">
        <f>H47*F48</f>
        <v>0</v>
      </c>
      <c r="I48" s="24"/>
      <c r="J48" s="24"/>
      <c r="K48" s="25"/>
    </row>
    <row r="49" spans="1:11" s="1" customFormat="1" ht="34.5" customHeight="1">
      <c r="A49" s="497"/>
      <c r="B49" s="48"/>
      <c r="C49" s="55" t="s">
        <v>120</v>
      </c>
      <c r="D49" s="55" t="s">
        <v>16</v>
      </c>
      <c r="E49" s="46"/>
      <c r="F49" s="47"/>
      <c r="G49" s="46"/>
      <c r="H49" s="70">
        <f>SUM(H47:H48)</f>
        <v>0</v>
      </c>
      <c r="I49" s="24"/>
      <c r="J49" s="24"/>
      <c r="K49" s="25"/>
    </row>
    <row r="50" spans="1:8" ht="7.5" customHeight="1">
      <c r="A50" s="62"/>
      <c r="B50" s="92"/>
      <c r="C50" s="77"/>
      <c r="D50" s="77"/>
      <c r="E50" s="77"/>
      <c r="F50" s="77"/>
      <c r="G50" s="77"/>
      <c r="H50" s="103"/>
    </row>
    <row r="51" spans="1:8" ht="12" customHeight="1">
      <c r="A51" s="62"/>
      <c r="B51" s="92"/>
      <c r="C51" s="77"/>
      <c r="D51" s="77"/>
      <c r="E51" s="77"/>
      <c r="F51" s="77"/>
      <c r="G51" s="77"/>
      <c r="H51" s="103"/>
    </row>
    <row r="52" spans="1:8" ht="23.25" customHeight="1">
      <c r="A52" s="62"/>
      <c r="B52" s="57"/>
      <c r="C52" s="63"/>
      <c r="D52" s="683"/>
      <c r="E52" s="683"/>
      <c r="F52" s="683"/>
      <c r="G52" s="683"/>
      <c r="H52" s="64"/>
    </row>
    <row r="53" spans="1:8" ht="13.5">
      <c r="A53" s="93"/>
      <c r="B53" s="94"/>
      <c r="C53" s="95"/>
      <c r="D53" s="96"/>
      <c r="E53" s="96"/>
      <c r="F53" s="97"/>
      <c r="G53" s="98"/>
      <c r="H53" s="99"/>
    </row>
    <row r="54" spans="1:8" ht="5.25" customHeight="1">
      <c r="A54" s="93"/>
      <c r="B54" s="94"/>
      <c r="C54" s="95"/>
      <c r="D54" s="96"/>
      <c r="E54" s="96"/>
      <c r="F54" s="97"/>
      <c r="G54" s="98"/>
      <c r="H54" s="99"/>
    </row>
    <row r="55" spans="1:8" ht="13.5">
      <c r="A55" s="93"/>
      <c r="B55" s="94"/>
      <c r="C55" s="95"/>
      <c r="D55" s="96"/>
      <c r="E55" s="96"/>
      <c r="F55" s="97"/>
      <c r="G55" s="98"/>
      <c r="H55" s="99"/>
    </row>
    <row r="56" spans="1:8" ht="13.5">
      <c r="A56" s="93"/>
      <c r="B56" s="94"/>
      <c r="C56" s="95"/>
      <c r="D56" s="96"/>
      <c r="E56" s="96"/>
      <c r="F56" s="97"/>
      <c r="G56" s="98"/>
      <c r="H56" s="99"/>
    </row>
    <row r="57" spans="1:8" ht="13.5">
      <c r="A57" s="93"/>
      <c r="B57" s="94"/>
      <c r="C57" s="95"/>
      <c r="D57" s="96"/>
      <c r="E57" s="96"/>
      <c r="F57" s="97"/>
      <c r="G57" s="98"/>
      <c r="H57" s="99"/>
    </row>
    <row r="58" spans="1:8" ht="13.5">
      <c r="A58" s="93"/>
      <c r="B58" s="94"/>
      <c r="C58" s="95"/>
      <c r="D58" s="96"/>
      <c r="E58" s="96"/>
      <c r="F58" s="97"/>
      <c r="G58" s="98"/>
      <c r="H58" s="99"/>
    </row>
    <row r="59" spans="1:8" ht="13.5">
      <c r="A59" s="93"/>
      <c r="B59" s="94"/>
      <c r="C59" s="95"/>
      <c r="D59" s="96"/>
      <c r="E59" s="96"/>
      <c r="F59" s="97"/>
      <c r="G59" s="98"/>
      <c r="H59" s="99"/>
    </row>
    <row r="60" spans="1:8" ht="13.5">
      <c r="A60" s="93"/>
      <c r="B60" s="94"/>
      <c r="C60" s="95"/>
      <c r="D60" s="96"/>
      <c r="E60" s="96"/>
      <c r="F60" s="97"/>
      <c r="G60" s="98"/>
      <c r="H60" s="99"/>
    </row>
    <row r="61" spans="1:8" ht="13.5">
      <c r="A61" s="93"/>
      <c r="B61" s="94"/>
      <c r="C61" s="95"/>
      <c r="D61" s="96"/>
      <c r="E61" s="96"/>
      <c r="F61" s="97"/>
      <c r="G61" s="98"/>
      <c r="H61" s="99"/>
    </row>
    <row r="62" spans="1:8" ht="13.5">
      <c r="A62" s="93"/>
      <c r="B62" s="94"/>
      <c r="C62" s="95"/>
      <c r="D62" s="96"/>
      <c r="E62" s="96"/>
      <c r="F62" s="97"/>
      <c r="G62" s="98"/>
      <c r="H62" s="99"/>
    </row>
    <row r="63" ht="13.5">
      <c r="A63" s="84"/>
    </row>
    <row r="64" ht="13.5">
      <c r="A64" s="84"/>
    </row>
    <row r="65" ht="13.5">
      <c r="A65" s="84"/>
    </row>
    <row r="66" ht="13.5">
      <c r="A66" s="84"/>
    </row>
    <row r="67" ht="13.5">
      <c r="A67" s="84"/>
    </row>
    <row r="68" ht="13.5">
      <c r="A68" s="84"/>
    </row>
    <row r="69" ht="13.5">
      <c r="A69" s="84"/>
    </row>
    <row r="70" ht="13.5">
      <c r="A70" s="84"/>
    </row>
  </sheetData>
  <sheetProtection/>
  <autoFilter ref="A7:U7"/>
  <mergeCells count="11">
    <mergeCell ref="G5:H5"/>
    <mergeCell ref="A1:H1"/>
    <mergeCell ref="A2:H2"/>
    <mergeCell ref="A3:H3"/>
    <mergeCell ref="A4:H4"/>
    <mergeCell ref="D52:G52"/>
    <mergeCell ref="A5:A6"/>
    <mergeCell ref="B5:B6"/>
    <mergeCell ref="C5:C6"/>
    <mergeCell ref="D5:D6"/>
    <mergeCell ref="E5:F5"/>
  </mergeCells>
  <printOptions/>
  <pageMargins left="0.55" right="0.16" top="0.23" bottom="0.49"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K78"/>
  <sheetViews>
    <sheetView zoomScalePageLayoutView="0" workbookViewId="0" topLeftCell="A1">
      <selection activeCell="C5" sqref="C5:C6"/>
    </sheetView>
  </sheetViews>
  <sheetFormatPr defaultColWidth="9.140625" defaultRowHeight="12.75"/>
  <cols>
    <col min="1" max="1" width="5.00390625" style="90" customWidth="1"/>
    <col min="2" max="2" width="8.140625" style="85" customWidth="1"/>
    <col min="3" max="3" width="33.140625" style="86" customWidth="1"/>
    <col min="4" max="4" width="7.00390625" style="87" customWidth="1"/>
    <col min="5" max="5" width="6.8515625" style="25" customWidth="1"/>
    <col min="6" max="6" width="10.00390625" style="88" customWidth="1"/>
    <col min="7" max="7" width="7.00390625" style="31" customWidth="1"/>
    <col min="8" max="8" width="10.140625" style="89" customWidth="1"/>
    <col min="9" max="16384" width="9.140625" style="24" customWidth="1"/>
  </cols>
  <sheetData>
    <row r="1" spans="1:8" s="1" customFormat="1" ht="34.5" customHeight="1">
      <c r="A1" s="642" t="str">
        <f>'ლ.რ №1-5'!A1:H1</f>
        <v>qobuleTis municipalitetis sofel xucubanSi sajaro skolis Zveli korpusebis demontaJi da axali skolis Senobis mSenebloba</v>
      </c>
      <c r="B1" s="642"/>
      <c r="C1" s="642"/>
      <c r="D1" s="642"/>
      <c r="E1" s="642"/>
      <c r="F1" s="642"/>
      <c r="G1" s="642"/>
      <c r="H1" s="642"/>
    </row>
    <row r="2" spans="1:8" s="1" customFormat="1" ht="22.5" customHeight="1">
      <c r="A2" s="661" t="s">
        <v>311</v>
      </c>
      <c r="B2" s="661"/>
      <c r="C2" s="661"/>
      <c r="D2" s="661"/>
      <c r="E2" s="661"/>
      <c r="F2" s="661"/>
      <c r="G2" s="661"/>
      <c r="H2" s="661"/>
    </row>
    <row r="3" spans="1:8" s="1" customFormat="1" ht="2.25" customHeight="1">
      <c r="A3" s="642"/>
      <c r="B3" s="642"/>
      <c r="C3" s="642"/>
      <c r="D3" s="642"/>
      <c r="E3" s="642"/>
      <c r="F3" s="642"/>
      <c r="G3" s="642"/>
      <c r="H3" s="642"/>
    </row>
    <row r="4" spans="1:8" s="1" customFormat="1" ht="17.25" customHeight="1">
      <c r="A4" s="662" t="s">
        <v>259</v>
      </c>
      <c r="B4" s="662"/>
      <c r="C4" s="662"/>
      <c r="D4" s="662"/>
      <c r="E4" s="662"/>
      <c r="F4" s="662"/>
      <c r="G4" s="662"/>
      <c r="H4" s="662"/>
    </row>
    <row r="5" spans="1:8" s="1" customFormat="1" ht="28.5" customHeight="1">
      <c r="A5" s="684" t="s">
        <v>7</v>
      </c>
      <c r="B5" s="685" t="s">
        <v>8</v>
      </c>
      <c r="C5" s="666" t="s">
        <v>9</v>
      </c>
      <c r="D5" s="667" t="s">
        <v>6</v>
      </c>
      <c r="E5" s="654" t="s">
        <v>10</v>
      </c>
      <c r="F5" s="654"/>
      <c r="G5" s="654" t="s">
        <v>1</v>
      </c>
      <c r="H5" s="654"/>
    </row>
    <row r="6" spans="1:8" s="1" customFormat="1" ht="66" customHeight="1">
      <c r="A6" s="684"/>
      <c r="B6" s="685"/>
      <c r="C6" s="666"/>
      <c r="D6" s="667"/>
      <c r="E6" s="44" t="s">
        <v>11</v>
      </c>
      <c r="F6" s="44" t="s">
        <v>12</v>
      </c>
      <c r="G6" s="44" t="s">
        <v>11</v>
      </c>
      <c r="H6" s="155" t="s">
        <v>12</v>
      </c>
    </row>
    <row r="7" spans="1:8" s="21" customFormat="1" ht="27" customHeight="1">
      <c r="A7" s="616">
        <v>1</v>
      </c>
      <c r="B7" s="616">
        <v>2</v>
      </c>
      <c r="C7" s="616">
        <v>3</v>
      </c>
      <c r="D7" s="616">
        <v>4</v>
      </c>
      <c r="E7" s="616">
        <v>5</v>
      </c>
      <c r="F7" s="616">
        <v>6</v>
      </c>
      <c r="G7" s="616">
        <v>7</v>
      </c>
      <c r="H7" s="616">
        <v>8</v>
      </c>
    </row>
    <row r="8" spans="1:8" s="5" customFormat="1" ht="64.5" customHeight="1">
      <c r="A8" s="536">
        <v>1</v>
      </c>
      <c r="B8" s="54" t="s">
        <v>250</v>
      </c>
      <c r="C8" s="101" t="s">
        <v>458</v>
      </c>
      <c r="D8" s="536" t="s">
        <v>251</v>
      </c>
      <c r="E8" s="536"/>
      <c r="F8" s="537">
        <v>29</v>
      </c>
      <c r="G8" s="537"/>
      <c r="H8" s="228">
        <f>H9+H10+H11</f>
        <v>0</v>
      </c>
    </row>
    <row r="9" spans="1:8" s="5" customFormat="1" ht="25.5" customHeight="1">
      <c r="A9" s="536"/>
      <c r="B9" s="48" t="s">
        <v>4</v>
      </c>
      <c r="C9" s="46" t="s">
        <v>136</v>
      </c>
      <c r="D9" s="46" t="s">
        <v>5</v>
      </c>
      <c r="E9" s="51">
        <v>0.253</v>
      </c>
      <c r="F9" s="47">
        <f>F8*E9</f>
        <v>7.337</v>
      </c>
      <c r="G9" s="47"/>
      <c r="H9" s="222">
        <f>G9*F9</f>
        <v>0</v>
      </c>
    </row>
    <row r="10" spans="1:8" s="141" customFormat="1" ht="28.5" customHeight="1">
      <c r="A10" s="374"/>
      <c r="B10" s="227" t="s">
        <v>459</v>
      </c>
      <c r="C10" s="496" t="s">
        <v>460</v>
      </c>
      <c r="D10" s="496" t="s">
        <v>15</v>
      </c>
      <c r="E10" s="372">
        <v>1</v>
      </c>
      <c r="F10" s="222">
        <f>E10*F8</f>
        <v>29</v>
      </c>
      <c r="G10" s="222"/>
      <c r="H10" s="222">
        <f>G10*F10</f>
        <v>0</v>
      </c>
    </row>
    <row r="11" spans="1:8" s="5" customFormat="1" ht="30" customHeight="1">
      <c r="A11" s="538"/>
      <c r="B11" s="269" t="s">
        <v>4</v>
      </c>
      <c r="C11" s="539" t="s">
        <v>184</v>
      </c>
      <c r="D11" s="539" t="s">
        <v>15</v>
      </c>
      <c r="E11" s="540">
        <v>0.0828</v>
      </c>
      <c r="F11" s="270">
        <f>E11*F8</f>
        <v>2.4012</v>
      </c>
      <c r="G11" s="270"/>
      <c r="H11" s="291">
        <f>G11*F11</f>
        <v>0</v>
      </c>
    </row>
    <row r="12" spans="1:8" s="5" customFormat="1" ht="37.5" customHeight="1">
      <c r="A12" s="71">
        <v>2</v>
      </c>
      <c r="B12" s="54" t="s">
        <v>2</v>
      </c>
      <c r="C12" s="55" t="s">
        <v>461</v>
      </c>
      <c r="D12" s="158" t="s">
        <v>15</v>
      </c>
      <c r="E12" s="158"/>
      <c r="F12" s="160">
        <v>1</v>
      </c>
      <c r="G12" s="160"/>
      <c r="H12" s="228">
        <f>H13+H14</f>
        <v>0</v>
      </c>
    </row>
    <row r="13" spans="1:8" s="5" customFormat="1" ht="29.25" customHeight="1">
      <c r="A13" s="82"/>
      <c r="B13" s="48" t="s">
        <v>2</v>
      </c>
      <c r="C13" s="46" t="s">
        <v>136</v>
      </c>
      <c r="D13" s="46" t="s">
        <v>15</v>
      </c>
      <c r="E13" s="46">
        <v>1</v>
      </c>
      <c r="F13" s="47">
        <f>E13*F12</f>
        <v>1</v>
      </c>
      <c r="G13" s="47"/>
      <c r="H13" s="222">
        <f>G13*F13</f>
        <v>0</v>
      </c>
    </row>
    <row r="14" spans="1:8" s="5" customFormat="1" ht="31.5" customHeight="1">
      <c r="A14" s="82"/>
      <c r="B14" s="224" t="s">
        <v>2</v>
      </c>
      <c r="C14" s="496" t="s">
        <v>256</v>
      </c>
      <c r="D14" s="496" t="s">
        <v>15</v>
      </c>
      <c r="E14" s="213">
        <v>1</v>
      </c>
      <c r="F14" s="222">
        <f>F12*E14</f>
        <v>1</v>
      </c>
      <c r="G14" s="222"/>
      <c r="H14" s="222">
        <f>G14*F14</f>
        <v>0</v>
      </c>
    </row>
    <row r="15" spans="1:8" s="5" customFormat="1" ht="42.75" customHeight="1">
      <c r="A15" s="71">
        <v>3</v>
      </c>
      <c r="B15" s="54" t="s">
        <v>2</v>
      </c>
      <c r="C15" s="55" t="s">
        <v>1573</v>
      </c>
      <c r="D15" s="158" t="s">
        <v>15</v>
      </c>
      <c r="E15" s="158"/>
      <c r="F15" s="160">
        <v>1</v>
      </c>
      <c r="G15" s="160"/>
      <c r="H15" s="228">
        <f>H16+H17</f>
        <v>0</v>
      </c>
    </row>
    <row r="16" spans="1:8" s="5" customFormat="1" ht="29.25" customHeight="1">
      <c r="A16" s="82"/>
      <c r="B16" s="48" t="s">
        <v>2</v>
      </c>
      <c r="C16" s="46" t="s">
        <v>136</v>
      </c>
      <c r="D16" s="46" t="s">
        <v>15</v>
      </c>
      <c r="E16" s="46">
        <v>1</v>
      </c>
      <c r="F16" s="47">
        <f>E16*F15</f>
        <v>1</v>
      </c>
      <c r="G16" s="222"/>
      <c r="H16" s="222">
        <f>G16*F16</f>
        <v>0</v>
      </c>
    </row>
    <row r="17" spans="1:8" s="5" customFormat="1" ht="33.75" customHeight="1">
      <c r="A17" s="82"/>
      <c r="B17" s="224" t="s">
        <v>2</v>
      </c>
      <c r="C17" s="46" t="s">
        <v>256</v>
      </c>
      <c r="D17" s="46" t="s">
        <v>15</v>
      </c>
      <c r="E17" s="72">
        <v>1</v>
      </c>
      <c r="F17" s="47">
        <f>F15*E17</f>
        <v>1</v>
      </c>
      <c r="G17" s="222"/>
      <c r="H17" s="222">
        <f>G17*F17</f>
        <v>0</v>
      </c>
    </row>
    <row r="18" spans="1:8" s="5" customFormat="1" ht="44.25" customHeight="1">
      <c r="A18" s="71">
        <v>4</v>
      </c>
      <c r="B18" s="54" t="s">
        <v>2</v>
      </c>
      <c r="C18" s="55" t="s">
        <v>1574</v>
      </c>
      <c r="D18" s="158" t="s">
        <v>15</v>
      </c>
      <c r="E18" s="158"/>
      <c r="F18" s="160">
        <v>1</v>
      </c>
      <c r="G18" s="160"/>
      <c r="H18" s="228">
        <f>H19+H20</f>
        <v>0</v>
      </c>
    </row>
    <row r="19" spans="1:8" s="5" customFormat="1" ht="31.5" customHeight="1">
      <c r="A19" s="82"/>
      <c r="B19" s="48" t="s">
        <v>2</v>
      </c>
      <c r="C19" s="46" t="s">
        <v>136</v>
      </c>
      <c r="D19" s="46" t="s">
        <v>15</v>
      </c>
      <c r="E19" s="46">
        <v>1</v>
      </c>
      <c r="F19" s="47">
        <f>E19*F18</f>
        <v>1</v>
      </c>
      <c r="G19" s="222"/>
      <c r="H19" s="222">
        <f>G19*F19</f>
        <v>0</v>
      </c>
    </row>
    <row r="20" spans="1:8" s="5" customFormat="1" ht="31.5" customHeight="1">
      <c r="A20" s="82"/>
      <c r="B20" s="224" t="s">
        <v>2</v>
      </c>
      <c r="C20" s="46" t="s">
        <v>256</v>
      </c>
      <c r="D20" s="46" t="s">
        <v>15</v>
      </c>
      <c r="E20" s="72">
        <v>1</v>
      </c>
      <c r="F20" s="47">
        <f>F18*E20</f>
        <v>1</v>
      </c>
      <c r="G20" s="222"/>
      <c r="H20" s="222">
        <f>G20*F20</f>
        <v>0</v>
      </c>
    </row>
    <row r="21" spans="1:8" s="5" customFormat="1" ht="57" customHeight="1">
      <c r="A21" s="81" t="s">
        <v>41</v>
      </c>
      <c r="B21" s="378" t="s">
        <v>954</v>
      </c>
      <c r="C21" s="55" t="s">
        <v>504</v>
      </c>
      <c r="D21" s="55" t="s">
        <v>107</v>
      </c>
      <c r="E21" s="55"/>
      <c r="F21" s="70">
        <v>11</v>
      </c>
      <c r="G21" s="70"/>
      <c r="H21" s="380">
        <f>SUM(H22:H25)</f>
        <v>0</v>
      </c>
    </row>
    <row r="22" spans="1:8" s="5" customFormat="1" ht="29.25" customHeight="1">
      <c r="A22" s="82"/>
      <c r="B22" s="48" t="s">
        <v>4</v>
      </c>
      <c r="C22" s="46" t="s">
        <v>136</v>
      </c>
      <c r="D22" s="46" t="s">
        <v>5</v>
      </c>
      <c r="E22" s="46">
        <v>19</v>
      </c>
      <c r="F22" s="52">
        <f>F21*E22</f>
        <v>209</v>
      </c>
      <c r="G22" s="47"/>
      <c r="H22" s="377">
        <f>F22*G22</f>
        <v>0</v>
      </c>
    </row>
    <row r="23" spans="1:8" s="5" customFormat="1" ht="29.25" customHeight="1">
      <c r="A23" s="82"/>
      <c r="B23" s="82" t="s">
        <v>4</v>
      </c>
      <c r="C23" s="46" t="s">
        <v>137</v>
      </c>
      <c r="D23" s="46" t="s">
        <v>16</v>
      </c>
      <c r="E23" s="157">
        <v>0.16</v>
      </c>
      <c r="F23" s="52">
        <f>E23*F21</f>
        <v>1.76</v>
      </c>
      <c r="G23" s="47"/>
      <c r="H23" s="377">
        <f>F23*G23</f>
        <v>0</v>
      </c>
    </row>
    <row r="24" spans="1:8" s="5" customFormat="1" ht="24" customHeight="1">
      <c r="A24" s="82"/>
      <c r="B24" s="50" t="s">
        <v>547</v>
      </c>
      <c r="C24" s="46" t="s">
        <v>255</v>
      </c>
      <c r="D24" s="46" t="s">
        <v>80</v>
      </c>
      <c r="E24" s="49">
        <v>1</v>
      </c>
      <c r="F24" s="52">
        <f>E24*F21</f>
        <v>11</v>
      </c>
      <c r="G24" s="377"/>
      <c r="H24" s="52">
        <f>F24*G24</f>
        <v>0</v>
      </c>
    </row>
    <row r="25" spans="1:8" s="5" customFormat="1" ht="29.25" customHeight="1">
      <c r="A25" s="82"/>
      <c r="B25" s="48" t="s">
        <v>4</v>
      </c>
      <c r="C25" s="46" t="s">
        <v>18</v>
      </c>
      <c r="D25" s="46" t="s">
        <v>16</v>
      </c>
      <c r="E25" s="49">
        <v>2.64</v>
      </c>
      <c r="F25" s="52">
        <f>F21*E25</f>
        <v>29.040000000000003</v>
      </c>
      <c r="G25" s="52"/>
      <c r="H25" s="52">
        <f>F25*G25</f>
        <v>0</v>
      </c>
    </row>
    <row r="26" spans="1:8" s="5" customFormat="1" ht="57.75" customHeight="1">
      <c r="A26" s="81" t="s">
        <v>44</v>
      </c>
      <c r="B26" s="54" t="s">
        <v>78</v>
      </c>
      <c r="C26" s="55" t="s">
        <v>463</v>
      </c>
      <c r="D26" s="55" t="s">
        <v>107</v>
      </c>
      <c r="E26" s="55"/>
      <c r="F26" s="70">
        <v>11</v>
      </c>
      <c r="G26" s="70"/>
      <c r="H26" s="380">
        <f>SUM(H27:H30)</f>
        <v>0</v>
      </c>
    </row>
    <row r="27" spans="1:8" s="5" customFormat="1" ht="32.25" customHeight="1">
      <c r="A27" s="82"/>
      <c r="B27" s="48" t="s">
        <v>4</v>
      </c>
      <c r="C27" s="46" t="s">
        <v>136</v>
      </c>
      <c r="D27" s="46" t="s">
        <v>5</v>
      </c>
      <c r="E27" s="46">
        <v>19</v>
      </c>
      <c r="F27" s="52">
        <f>F26*E27</f>
        <v>209</v>
      </c>
      <c r="G27" s="47"/>
      <c r="H27" s="377">
        <f>F27*G27</f>
        <v>0</v>
      </c>
    </row>
    <row r="28" spans="1:8" s="5" customFormat="1" ht="27.75" customHeight="1">
      <c r="A28" s="82"/>
      <c r="B28" s="82" t="s">
        <v>4</v>
      </c>
      <c r="C28" s="46" t="s">
        <v>137</v>
      </c>
      <c r="D28" s="46" t="s">
        <v>16</v>
      </c>
      <c r="E28" s="157">
        <v>0.16</v>
      </c>
      <c r="F28" s="52">
        <f>E28*F26</f>
        <v>1.76</v>
      </c>
      <c r="G28" s="47"/>
      <c r="H28" s="377">
        <f>F28*G28</f>
        <v>0</v>
      </c>
    </row>
    <row r="29" spans="1:8" s="5" customFormat="1" ht="30" customHeight="1">
      <c r="A29" s="82"/>
      <c r="B29" s="50" t="s">
        <v>548</v>
      </c>
      <c r="C29" s="46" t="s">
        <v>955</v>
      </c>
      <c r="D29" s="46" t="s">
        <v>80</v>
      </c>
      <c r="E29" s="49">
        <v>1</v>
      </c>
      <c r="F29" s="52">
        <f>E29*F26</f>
        <v>11</v>
      </c>
      <c r="G29" s="377"/>
      <c r="H29" s="52">
        <f>F29*G29</f>
        <v>0</v>
      </c>
    </row>
    <row r="30" spans="1:8" s="5" customFormat="1" ht="27.75" customHeight="1">
      <c r="A30" s="82"/>
      <c r="B30" s="48" t="s">
        <v>4</v>
      </c>
      <c r="C30" s="46" t="s">
        <v>18</v>
      </c>
      <c r="D30" s="46" t="s">
        <v>16</v>
      </c>
      <c r="E30" s="49">
        <v>0.524</v>
      </c>
      <c r="F30" s="52">
        <f>F26*E30</f>
        <v>5.764</v>
      </c>
      <c r="G30" s="52"/>
      <c r="H30" s="52">
        <f>F30*G30</f>
        <v>0</v>
      </c>
    </row>
    <row r="31" spans="1:8" s="5" customFormat="1" ht="40.5" customHeight="1">
      <c r="A31" s="71">
        <v>7</v>
      </c>
      <c r="B31" s="378" t="s">
        <v>647</v>
      </c>
      <c r="C31" s="55" t="s">
        <v>257</v>
      </c>
      <c r="D31" s="158" t="s">
        <v>15</v>
      </c>
      <c r="E31" s="158"/>
      <c r="F31" s="160">
        <v>3</v>
      </c>
      <c r="G31" s="160"/>
      <c r="H31" s="228">
        <f>H32+H33+H34</f>
        <v>0</v>
      </c>
    </row>
    <row r="32" spans="1:8" s="5" customFormat="1" ht="29.25" customHeight="1">
      <c r="A32" s="82"/>
      <c r="B32" s="316" t="s">
        <v>4</v>
      </c>
      <c r="C32" s="46" t="s">
        <v>136</v>
      </c>
      <c r="D32" s="46" t="s">
        <v>15</v>
      </c>
      <c r="E32" s="47">
        <v>9</v>
      </c>
      <c r="F32" s="47">
        <f>E32*F31</f>
        <v>27</v>
      </c>
      <c r="G32" s="47"/>
      <c r="H32" s="222">
        <f>G32*F32</f>
        <v>0</v>
      </c>
    </row>
    <row r="33" spans="1:8" s="5" customFormat="1" ht="29.25" customHeight="1">
      <c r="A33" s="82"/>
      <c r="B33" s="541" t="s">
        <v>952</v>
      </c>
      <c r="C33" s="46" t="s">
        <v>953</v>
      </c>
      <c r="D33" s="46" t="s">
        <v>15</v>
      </c>
      <c r="E33" s="47">
        <v>1</v>
      </c>
      <c r="F33" s="47">
        <f>E33*F31</f>
        <v>3</v>
      </c>
      <c r="G33" s="47"/>
      <c r="H33" s="222">
        <f>F33*G33</f>
        <v>0</v>
      </c>
    </row>
    <row r="34" spans="1:8" s="5" customFormat="1" ht="29.25" customHeight="1">
      <c r="A34" s="82"/>
      <c r="B34" s="316" t="s">
        <v>4</v>
      </c>
      <c r="C34" s="46" t="s">
        <v>18</v>
      </c>
      <c r="D34" s="46" t="s">
        <v>15</v>
      </c>
      <c r="E34" s="47">
        <v>0.73</v>
      </c>
      <c r="F34" s="47">
        <f>F31*E34</f>
        <v>2.19</v>
      </c>
      <c r="G34" s="47"/>
      <c r="H34" s="222">
        <f>G34*F34</f>
        <v>0</v>
      </c>
    </row>
    <row r="35" spans="1:8" s="5" customFormat="1" ht="38.25" customHeight="1">
      <c r="A35" s="71">
        <v>8</v>
      </c>
      <c r="B35" s="54" t="s">
        <v>2</v>
      </c>
      <c r="C35" s="55" t="s">
        <v>258</v>
      </c>
      <c r="D35" s="158" t="s">
        <v>15</v>
      </c>
      <c r="E35" s="158"/>
      <c r="F35" s="160">
        <v>1</v>
      </c>
      <c r="G35" s="160"/>
      <c r="H35" s="228">
        <f>H36+H37</f>
        <v>0</v>
      </c>
    </row>
    <row r="36" spans="1:8" s="5" customFormat="1" ht="33.75" customHeight="1">
      <c r="A36" s="82"/>
      <c r="B36" s="48" t="s">
        <v>2</v>
      </c>
      <c r="C36" s="46" t="s">
        <v>136</v>
      </c>
      <c r="D36" s="46" t="s">
        <v>15</v>
      </c>
      <c r="E36" s="46">
        <v>1</v>
      </c>
      <c r="F36" s="47">
        <f>E36*F35</f>
        <v>1</v>
      </c>
      <c r="G36" s="47"/>
      <c r="H36" s="222">
        <f>G36*F36</f>
        <v>0</v>
      </c>
    </row>
    <row r="37" spans="1:8" s="5" customFormat="1" ht="27.75" customHeight="1">
      <c r="A37" s="82"/>
      <c r="B37" s="48" t="s">
        <v>2</v>
      </c>
      <c r="C37" s="46" t="s">
        <v>256</v>
      </c>
      <c r="D37" s="46" t="s">
        <v>15</v>
      </c>
      <c r="E37" s="72">
        <v>1</v>
      </c>
      <c r="F37" s="47">
        <f>F35*E37</f>
        <v>1</v>
      </c>
      <c r="G37" s="47"/>
      <c r="H37" s="222">
        <f>G37*F37</f>
        <v>0</v>
      </c>
    </row>
    <row r="38" spans="1:8" s="5" customFormat="1" ht="44.25" customHeight="1">
      <c r="A38" s="71">
        <v>9</v>
      </c>
      <c r="B38" s="54" t="s">
        <v>2</v>
      </c>
      <c r="C38" s="55" t="s">
        <v>287</v>
      </c>
      <c r="D38" s="158" t="s">
        <v>15</v>
      </c>
      <c r="E38" s="158"/>
      <c r="F38" s="160">
        <v>1</v>
      </c>
      <c r="G38" s="160"/>
      <c r="H38" s="228">
        <f>H39+H40</f>
        <v>0</v>
      </c>
    </row>
    <row r="39" spans="1:8" s="5" customFormat="1" ht="30.75" customHeight="1">
      <c r="A39" s="82"/>
      <c r="B39" s="48" t="s">
        <v>2</v>
      </c>
      <c r="C39" s="46" t="s">
        <v>136</v>
      </c>
      <c r="D39" s="46" t="s">
        <v>15</v>
      </c>
      <c r="E39" s="46">
        <v>1</v>
      </c>
      <c r="F39" s="47">
        <f>E39*F38</f>
        <v>1</v>
      </c>
      <c r="G39" s="47"/>
      <c r="H39" s="222">
        <f>G39*F39</f>
        <v>0</v>
      </c>
    </row>
    <row r="40" spans="1:8" s="5" customFormat="1" ht="29.25" customHeight="1">
      <c r="A40" s="82"/>
      <c r="B40" s="48" t="s">
        <v>2</v>
      </c>
      <c r="C40" s="46" t="s">
        <v>256</v>
      </c>
      <c r="D40" s="46" t="s">
        <v>15</v>
      </c>
      <c r="E40" s="72">
        <v>1</v>
      </c>
      <c r="F40" s="47">
        <f>F38*E40</f>
        <v>1</v>
      </c>
      <c r="G40" s="47"/>
      <c r="H40" s="222">
        <f>G40*F40</f>
        <v>0</v>
      </c>
    </row>
    <row r="41" spans="1:8" s="5" customFormat="1" ht="63" customHeight="1">
      <c r="A41" s="81" t="s">
        <v>67</v>
      </c>
      <c r="B41" s="378" t="s">
        <v>956</v>
      </c>
      <c r="C41" s="375" t="s">
        <v>957</v>
      </c>
      <c r="D41" s="55" t="s">
        <v>22</v>
      </c>
      <c r="E41" s="55"/>
      <c r="F41" s="379">
        <v>40</v>
      </c>
      <c r="G41" s="226"/>
      <c r="H41" s="380">
        <f>SUM(H42:H47)</f>
        <v>0</v>
      </c>
    </row>
    <row r="42" spans="1:8" s="5" customFormat="1" ht="28.5" customHeight="1">
      <c r="A42" s="82"/>
      <c r="B42" s="82" t="s">
        <v>4</v>
      </c>
      <c r="C42" s="496" t="s">
        <v>136</v>
      </c>
      <c r="D42" s="46" t="s">
        <v>5</v>
      </c>
      <c r="E42" s="157">
        <v>0.329</v>
      </c>
      <c r="F42" s="52">
        <f>F41*E42</f>
        <v>13.16</v>
      </c>
      <c r="G42" s="222"/>
      <c r="H42" s="377">
        <f aca="true" t="shared" si="0" ref="H42:H47">F42*G42</f>
        <v>0</v>
      </c>
    </row>
    <row r="43" spans="1:8" s="5" customFormat="1" ht="30" customHeight="1">
      <c r="A43" s="82"/>
      <c r="B43" s="48" t="s">
        <v>4</v>
      </c>
      <c r="C43" s="496" t="s">
        <v>129</v>
      </c>
      <c r="D43" s="46" t="s">
        <v>23</v>
      </c>
      <c r="E43" s="542">
        <v>0.011</v>
      </c>
      <c r="F43" s="47">
        <f>F41*E43</f>
        <v>0.43999999999999995</v>
      </c>
      <c r="G43" s="222"/>
      <c r="H43" s="222">
        <f>G43*F43</f>
        <v>0</v>
      </c>
    </row>
    <row r="44" spans="1:8" s="5" customFormat="1" ht="39" customHeight="1">
      <c r="A44" s="82"/>
      <c r="B44" s="497" t="s">
        <v>1444</v>
      </c>
      <c r="C44" s="496" t="s">
        <v>679</v>
      </c>
      <c r="D44" s="496" t="s">
        <v>22</v>
      </c>
      <c r="E44" s="222">
        <v>1.01</v>
      </c>
      <c r="F44" s="377">
        <f>F41*E44</f>
        <v>40.4</v>
      </c>
      <c r="G44" s="377"/>
      <c r="H44" s="377">
        <f t="shared" si="0"/>
        <v>0</v>
      </c>
    </row>
    <row r="45" spans="1:8" s="5" customFormat="1" ht="36" customHeight="1">
      <c r="A45" s="82"/>
      <c r="B45" s="497" t="s">
        <v>1445</v>
      </c>
      <c r="C45" s="496" t="s">
        <v>702</v>
      </c>
      <c r="D45" s="496" t="s">
        <v>15</v>
      </c>
      <c r="E45" s="222" t="s">
        <v>640</v>
      </c>
      <c r="F45" s="377">
        <v>40</v>
      </c>
      <c r="G45" s="377"/>
      <c r="H45" s="377">
        <f t="shared" si="0"/>
        <v>0</v>
      </c>
    </row>
    <row r="46" spans="1:8" s="5" customFormat="1" ht="29.25" customHeight="1">
      <c r="A46" s="82"/>
      <c r="B46" s="497" t="s">
        <v>1368</v>
      </c>
      <c r="C46" s="496" t="s">
        <v>703</v>
      </c>
      <c r="D46" s="496" t="s">
        <v>15</v>
      </c>
      <c r="E46" s="222" t="s">
        <v>640</v>
      </c>
      <c r="F46" s="377">
        <v>80</v>
      </c>
      <c r="G46" s="377"/>
      <c r="H46" s="377">
        <f t="shared" si="0"/>
        <v>0</v>
      </c>
    </row>
    <row r="47" spans="1:8" s="5" customFormat="1" ht="33.75" customHeight="1">
      <c r="A47" s="82"/>
      <c r="B47" s="49" t="s">
        <v>4</v>
      </c>
      <c r="C47" s="496" t="s">
        <v>18</v>
      </c>
      <c r="D47" s="46" t="s">
        <v>16</v>
      </c>
      <c r="E47" s="167">
        <v>0.3888</v>
      </c>
      <c r="F47" s="52">
        <f>F41*E47</f>
        <v>15.552</v>
      </c>
      <c r="G47" s="377"/>
      <c r="H47" s="377">
        <f t="shared" si="0"/>
        <v>0</v>
      </c>
    </row>
    <row r="48" spans="1:8" s="5" customFormat="1" ht="52.5" customHeight="1">
      <c r="A48" s="536">
        <v>11</v>
      </c>
      <c r="B48" s="54" t="s">
        <v>188</v>
      </c>
      <c r="C48" s="101" t="s">
        <v>462</v>
      </c>
      <c r="D48" s="55" t="s">
        <v>178</v>
      </c>
      <c r="E48" s="536"/>
      <c r="F48" s="537">
        <v>900</v>
      </c>
      <c r="G48" s="537"/>
      <c r="H48" s="228">
        <f>H49+H50+H51</f>
        <v>0</v>
      </c>
    </row>
    <row r="49" spans="1:8" s="5" customFormat="1" ht="29.25" customHeight="1">
      <c r="A49" s="536"/>
      <c r="B49" s="48" t="s">
        <v>4</v>
      </c>
      <c r="C49" s="46" t="s">
        <v>136</v>
      </c>
      <c r="D49" s="46">
        <v>0.13</v>
      </c>
      <c r="E49" s="51">
        <v>0.15</v>
      </c>
      <c r="F49" s="47">
        <f>F48*E49</f>
        <v>135</v>
      </c>
      <c r="G49" s="47"/>
      <c r="H49" s="222">
        <f>G49*F49</f>
        <v>0</v>
      </c>
    </row>
    <row r="50" spans="1:8" s="5" customFormat="1" ht="27" customHeight="1">
      <c r="A50" s="543"/>
      <c r="B50" s="227" t="s">
        <v>1446</v>
      </c>
      <c r="C50" s="91" t="s">
        <v>252</v>
      </c>
      <c r="D50" s="46" t="s">
        <v>22</v>
      </c>
      <c r="E50" s="51">
        <v>1</v>
      </c>
      <c r="F50" s="47">
        <f>E50*F48</f>
        <v>900</v>
      </c>
      <c r="G50" s="222"/>
      <c r="H50" s="52">
        <f>F50*G50</f>
        <v>0</v>
      </c>
    </row>
    <row r="51" spans="1:8" s="5" customFormat="1" ht="25.5" customHeight="1">
      <c r="A51" s="543"/>
      <c r="B51" s="48" t="s">
        <v>4</v>
      </c>
      <c r="C51" s="46" t="s">
        <v>184</v>
      </c>
      <c r="D51" s="46" t="s">
        <v>16</v>
      </c>
      <c r="E51" s="157">
        <v>0.0041</v>
      </c>
      <c r="F51" s="47">
        <f>F48*E51</f>
        <v>3.6900000000000004</v>
      </c>
      <c r="G51" s="47"/>
      <c r="H51" s="47">
        <f>F51*G51</f>
        <v>0</v>
      </c>
    </row>
    <row r="52" spans="1:11" s="1" customFormat="1" ht="30" customHeight="1">
      <c r="A52" s="72"/>
      <c r="B52" s="48"/>
      <c r="C52" s="55" t="s">
        <v>253</v>
      </c>
      <c r="D52" s="55" t="s">
        <v>16</v>
      </c>
      <c r="E52" s="46"/>
      <c r="F52" s="47"/>
      <c r="G52" s="47"/>
      <c r="H52" s="137">
        <f>H8+H12+H15+H21+H26+H31+H35+H38+H48+H41+H18</f>
        <v>0</v>
      </c>
      <c r="I52" s="24"/>
      <c r="J52" s="24"/>
      <c r="K52" s="25"/>
    </row>
    <row r="53" spans="1:11" s="1" customFormat="1" ht="35.25" customHeight="1">
      <c r="A53" s="72"/>
      <c r="B53" s="48"/>
      <c r="C53" s="46" t="s">
        <v>1019</v>
      </c>
      <c r="D53" s="46" t="s">
        <v>16</v>
      </c>
      <c r="E53" s="46"/>
      <c r="F53" s="47"/>
      <c r="G53" s="47"/>
      <c r="H53" s="377">
        <f>H49+H39+H36+H32+H27+H22+H16+H13+H9+H19+H42</f>
        <v>0</v>
      </c>
      <c r="I53" s="24"/>
      <c r="J53" s="24"/>
      <c r="K53" s="25"/>
    </row>
    <row r="54" spans="1:11" s="1" customFormat="1" ht="30" customHeight="1">
      <c r="A54" s="497"/>
      <c r="B54" s="48"/>
      <c r="C54" s="46" t="s">
        <v>118</v>
      </c>
      <c r="D54" s="46" t="s">
        <v>16</v>
      </c>
      <c r="E54" s="46"/>
      <c r="F54" s="53">
        <v>0.65</v>
      </c>
      <c r="G54" s="47"/>
      <c r="H54" s="47">
        <f>H53*F54</f>
        <v>0</v>
      </c>
      <c r="I54" s="24"/>
      <c r="J54" s="24"/>
      <c r="K54" s="25"/>
    </row>
    <row r="55" spans="1:11" s="1" customFormat="1" ht="36" customHeight="1">
      <c r="A55" s="376"/>
      <c r="B55" s="54"/>
      <c r="C55" s="55" t="s">
        <v>17</v>
      </c>
      <c r="D55" s="55" t="s">
        <v>16</v>
      </c>
      <c r="E55" s="55"/>
      <c r="F55" s="55"/>
      <c r="G55" s="70"/>
      <c r="H55" s="70">
        <f>H52+H54</f>
        <v>0</v>
      </c>
      <c r="I55" s="24"/>
      <c r="J55" s="24"/>
      <c r="K55" s="25"/>
    </row>
    <row r="56" spans="1:11" s="1" customFormat="1" ht="30" customHeight="1">
      <c r="A56" s="497"/>
      <c r="B56" s="48"/>
      <c r="C56" s="46" t="s">
        <v>119</v>
      </c>
      <c r="D56" s="46" t="s">
        <v>16</v>
      </c>
      <c r="E56" s="46"/>
      <c r="F56" s="53">
        <v>0.08</v>
      </c>
      <c r="G56" s="47"/>
      <c r="H56" s="47">
        <f>H55*F56</f>
        <v>0</v>
      </c>
      <c r="I56" s="24"/>
      <c r="J56" s="24"/>
      <c r="K56" s="25"/>
    </row>
    <row r="57" spans="1:10" s="1" customFormat="1" ht="39.75" customHeight="1">
      <c r="A57" s="497"/>
      <c r="B57" s="48"/>
      <c r="C57" s="55" t="s">
        <v>120</v>
      </c>
      <c r="D57" s="55" t="s">
        <v>16</v>
      </c>
      <c r="E57" s="46"/>
      <c r="F57" s="47"/>
      <c r="G57" s="46"/>
      <c r="H57" s="70">
        <f>SUM(H55:H56)</f>
        <v>0</v>
      </c>
      <c r="I57" s="24"/>
      <c r="J57" s="24"/>
    </row>
    <row r="58" spans="1:8" ht="13.5">
      <c r="A58" s="62"/>
      <c r="B58" s="92"/>
      <c r="C58" s="77"/>
      <c r="D58" s="77"/>
      <c r="E58" s="77"/>
      <c r="F58" s="77"/>
      <c r="G58" s="77"/>
      <c r="H58" s="103"/>
    </row>
    <row r="59" spans="1:8" ht="13.5">
      <c r="A59" s="62"/>
      <c r="B59" s="92"/>
      <c r="C59" s="77"/>
      <c r="D59" s="77"/>
      <c r="E59" s="77"/>
      <c r="F59" s="77"/>
      <c r="G59" s="77"/>
      <c r="H59" s="103"/>
    </row>
    <row r="60" spans="1:8" ht="13.5">
      <c r="A60" s="62"/>
      <c r="B60" s="57"/>
      <c r="C60" s="63"/>
      <c r="D60" s="683"/>
      <c r="E60" s="683"/>
      <c r="F60" s="683"/>
      <c r="G60" s="683"/>
      <c r="H60" s="64"/>
    </row>
    <row r="61" spans="1:8" ht="13.5">
      <c r="A61" s="93"/>
      <c r="B61" s="94"/>
      <c r="C61" s="95"/>
      <c r="D61" s="96"/>
      <c r="E61" s="96"/>
      <c r="F61" s="97"/>
      <c r="G61" s="98"/>
      <c r="H61" s="99"/>
    </row>
    <row r="62" spans="1:8" ht="13.5">
      <c r="A62" s="93"/>
      <c r="B62" s="94"/>
      <c r="C62" s="95"/>
      <c r="D62" s="96"/>
      <c r="E62" s="96"/>
      <c r="F62" s="97"/>
      <c r="G62" s="98"/>
      <c r="H62" s="99"/>
    </row>
    <row r="63" spans="1:8" ht="13.5">
      <c r="A63" s="93"/>
      <c r="B63" s="94"/>
      <c r="C63" s="95"/>
      <c r="D63" s="96"/>
      <c r="E63" s="96"/>
      <c r="F63" s="97"/>
      <c r="G63" s="98"/>
      <c r="H63" s="99"/>
    </row>
    <row r="64" spans="1:8" ht="13.5">
      <c r="A64" s="93"/>
      <c r="B64" s="94"/>
      <c r="C64" s="95"/>
      <c r="D64" s="96"/>
      <c r="E64" s="96"/>
      <c r="F64" s="97"/>
      <c r="G64" s="98"/>
      <c r="H64" s="99"/>
    </row>
    <row r="65" spans="1:8" ht="13.5">
      <c r="A65" s="93"/>
      <c r="B65" s="94"/>
      <c r="C65" s="95"/>
      <c r="D65" s="96"/>
      <c r="E65" s="96"/>
      <c r="F65" s="97"/>
      <c r="G65" s="98"/>
      <c r="H65" s="99"/>
    </row>
    <row r="66" spans="1:8" ht="13.5">
      <c r="A66" s="93"/>
      <c r="B66" s="94"/>
      <c r="C66" s="95"/>
      <c r="D66" s="96"/>
      <c r="E66" s="96"/>
      <c r="F66" s="97"/>
      <c r="G66" s="98"/>
      <c r="H66" s="99"/>
    </row>
    <row r="67" spans="1:8" ht="13.5">
      <c r="A67" s="93"/>
      <c r="B67" s="94"/>
      <c r="C67" s="95"/>
      <c r="D67" s="96"/>
      <c r="E67" s="96"/>
      <c r="F67" s="97"/>
      <c r="G67" s="98"/>
      <c r="H67" s="99"/>
    </row>
    <row r="68" spans="1:8" ht="13.5">
      <c r="A68" s="93"/>
      <c r="B68" s="94"/>
      <c r="C68" s="95"/>
      <c r="D68" s="96"/>
      <c r="E68" s="96"/>
      <c r="F68" s="97"/>
      <c r="G68" s="98"/>
      <c r="H68" s="99"/>
    </row>
    <row r="69" spans="1:8" ht="13.5">
      <c r="A69" s="93"/>
      <c r="B69" s="94"/>
      <c r="C69" s="95"/>
      <c r="D69" s="96"/>
      <c r="E69" s="96"/>
      <c r="F69" s="97"/>
      <c r="G69" s="98"/>
      <c r="H69" s="99"/>
    </row>
    <row r="70" spans="1:8" ht="13.5">
      <c r="A70" s="93"/>
      <c r="B70" s="94"/>
      <c r="C70" s="95"/>
      <c r="D70" s="96"/>
      <c r="E70" s="96"/>
      <c r="F70" s="97"/>
      <c r="G70" s="98"/>
      <c r="H70" s="99"/>
    </row>
    <row r="71" ht="13.5">
      <c r="A71" s="84"/>
    </row>
    <row r="72" ht="13.5">
      <c r="A72" s="84"/>
    </row>
    <row r="73" ht="13.5">
      <c r="A73" s="84"/>
    </row>
    <row r="74" ht="13.5">
      <c r="A74" s="84"/>
    </row>
    <row r="75" ht="13.5">
      <c r="A75" s="84"/>
    </row>
    <row r="76" ht="13.5">
      <c r="A76" s="84"/>
    </row>
    <row r="77" ht="13.5">
      <c r="A77" s="84"/>
    </row>
    <row r="78" ht="13.5">
      <c r="A78" s="84"/>
    </row>
  </sheetData>
  <sheetProtection/>
  <autoFilter ref="A7:K7"/>
  <mergeCells count="11">
    <mergeCell ref="G5:H5"/>
    <mergeCell ref="A1:H1"/>
    <mergeCell ref="A2:H2"/>
    <mergeCell ref="A3:H3"/>
    <mergeCell ref="A4:H4"/>
    <mergeCell ref="D60:G60"/>
    <mergeCell ref="A5:A6"/>
    <mergeCell ref="B5:B6"/>
    <mergeCell ref="C5:C6"/>
    <mergeCell ref="D5:D6"/>
    <mergeCell ref="E5: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NODARI</dc:creator>
  <cp:keywords/>
  <dc:description/>
  <cp:lastModifiedBy>Admin</cp:lastModifiedBy>
  <cp:lastPrinted>2020-09-10T11:17:42Z</cp:lastPrinted>
  <dcterms:created xsi:type="dcterms:W3CDTF">1996-10-14T23:33:28Z</dcterms:created>
  <dcterms:modified xsi:type="dcterms:W3CDTF">2020-09-11T13:47:29Z</dcterms:modified>
  <cp:category/>
  <cp:version/>
  <cp:contentType/>
  <cp:contentStatus/>
</cp:coreProperties>
</file>