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აპა\ტენდერები\მტირალა-რემონტი\"/>
    </mc:Choice>
  </mc:AlternateContent>
  <bookViews>
    <workbookView xWindow="0" yWindow="0" windowWidth="24000" windowHeight="9600" activeTab="4"/>
  </bookViews>
  <sheets>
    <sheet name="კრებსითი" sheetId="1" r:id="rId1"/>
    <sheet name="ადმინისტ. " sheetId="2" r:id="rId2"/>
    <sheet name="დიდი საპიკნიკე" sheetId="3" r:id="rId3"/>
    <sheet name="პატარა საპიკნიკე" sheetId="4" r:id="rId4"/>
    <sheet name="მოაჯირები" sheetId="5" r:id="rId5"/>
  </sheets>
  <definedNames>
    <definedName name="_xlnm.Print_Area" localSheetId="0">კრებსითი!$A$1:$H$18</definedName>
  </definedNames>
  <calcPr calcId="162913" concurrentCalc="0"/>
</workbook>
</file>

<file path=xl/calcChain.xml><?xml version="1.0" encoding="utf-8"?>
<calcChain xmlns="http://schemas.openxmlformats.org/spreadsheetml/2006/main">
  <c r="E42" i="4" l="1"/>
  <c r="F68" i="4"/>
  <c r="F67" i="4"/>
  <c r="F66" i="4"/>
  <c r="E65" i="4"/>
  <c r="F65" i="4"/>
  <c r="E64" i="4"/>
  <c r="F64" i="4"/>
  <c r="E70" i="4"/>
  <c r="F70" i="4"/>
  <c r="E57" i="3"/>
  <c r="F56" i="3"/>
  <c r="F57" i="3"/>
  <c r="E336" i="2"/>
  <c r="E71" i="4"/>
  <c r="F71" i="4"/>
  <c r="F72" i="4"/>
  <c r="E73" i="4"/>
  <c r="F73" i="4"/>
  <c r="F74" i="4"/>
  <c r="F74" i="3"/>
  <c r="E73" i="3"/>
  <c r="F73" i="3"/>
  <c r="E71" i="3"/>
  <c r="F71" i="3"/>
  <c r="E70" i="3"/>
  <c r="F70" i="3"/>
  <c r="E64" i="3"/>
  <c r="F64" i="3"/>
  <c r="E11" i="5"/>
  <c r="F11" i="5"/>
  <c r="F12" i="5"/>
  <c r="E13" i="5"/>
  <c r="F13" i="5"/>
  <c r="E15" i="5"/>
  <c r="F15" i="5"/>
  <c r="E16" i="5"/>
  <c r="F16" i="5"/>
  <c r="F17" i="5"/>
  <c r="F18" i="5"/>
  <c r="E20" i="5"/>
  <c r="F20" i="5"/>
  <c r="E21" i="5"/>
  <c r="F21" i="5"/>
  <c r="F22" i="5"/>
  <c r="F23" i="5"/>
  <c r="F24" i="5"/>
  <c r="F25" i="5"/>
  <c r="E27" i="5"/>
  <c r="F27" i="5"/>
  <c r="E28" i="5"/>
  <c r="F26" i="5"/>
  <c r="F28" i="5"/>
  <c r="F32" i="5"/>
  <c r="E34" i="5"/>
  <c r="F34" i="5"/>
  <c r="E35" i="5"/>
  <c r="F35" i="5"/>
  <c r="F36" i="5"/>
  <c r="F37" i="5"/>
  <c r="F20" i="4"/>
  <c r="F21" i="4"/>
  <c r="F25" i="4"/>
  <c r="F26" i="4"/>
  <c r="F27" i="4"/>
  <c r="F28" i="4"/>
  <c r="F29" i="4"/>
  <c r="F33" i="4"/>
  <c r="F34" i="4"/>
  <c r="F35" i="4"/>
  <c r="F44" i="4"/>
  <c r="F45" i="4"/>
  <c r="F48" i="4"/>
  <c r="E47" i="4"/>
  <c r="F47" i="4"/>
  <c r="F49" i="4"/>
  <c r="F53" i="4"/>
  <c r="F54" i="4"/>
  <c r="F55" i="4"/>
  <c r="F56" i="4"/>
  <c r="F60" i="4"/>
  <c r="F61" i="4"/>
  <c r="F62" i="4"/>
  <c r="F78" i="4"/>
  <c r="F79" i="4"/>
  <c r="F81" i="4"/>
  <c r="F82" i="4"/>
  <c r="F87" i="4"/>
  <c r="E88" i="4"/>
  <c r="F88" i="4"/>
  <c r="F93" i="4"/>
  <c r="F94" i="4"/>
  <c r="F95" i="4"/>
  <c r="F99" i="4"/>
  <c r="F100" i="4"/>
  <c r="F101" i="4"/>
  <c r="F102" i="4"/>
  <c r="F106" i="4"/>
  <c r="F107" i="4"/>
  <c r="F108" i="4"/>
  <c r="F112" i="4"/>
  <c r="E113" i="4"/>
  <c r="F113" i="4"/>
  <c r="F114" i="4"/>
  <c r="F118" i="4"/>
  <c r="F119" i="4"/>
  <c r="E12" i="4"/>
  <c r="F12" i="4"/>
  <c r="E14" i="4"/>
  <c r="F14" i="4"/>
  <c r="E16" i="4"/>
  <c r="F16" i="4"/>
  <c r="E18" i="4"/>
  <c r="F18" i="4"/>
  <c r="E19" i="4"/>
  <c r="F19" i="4"/>
  <c r="E23" i="4"/>
  <c r="F23" i="4"/>
  <c r="E24" i="4"/>
  <c r="F24" i="4"/>
  <c r="E30" i="4"/>
  <c r="F30" i="4"/>
  <c r="E31" i="4"/>
  <c r="F31" i="4"/>
  <c r="E32" i="4"/>
  <c r="F32" i="4"/>
  <c r="E38" i="4"/>
  <c r="F38" i="4"/>
  <c r="E40" i="4"/>
  <c r="F40" i="4"/>
  <c r="F42" i="4"/>
  <c r="E43" i="4"/>
  <c r="F43" i="4"/>
  <c r="F51" i="4"/>
  <c r="E52" i="4"/>
  <c r="F52" i="4"/>
  <c r="E57" i="4"/>
  <c r="F57" i="4"/>
  <c r="E58" i="4"/>
  <c r="F58" i="4"/>
  <c r="E59" i="4"/>
  <c r="F59" i="4"/>
  <c r="F76" i="4"/>
  <c r="E77" i="4"/>
  <c r="F77" i="4"/>
  <c r="E85" i="4"/>
  <c r="F85" i="4"/>
  <c r="E86" i="4"/>
  <c r="F86" i="4"/>
  <c r="E91" i="4"/>
  <c r="F91" i="4"/>
  <c r="E92" i="4"/>
  <c r="F92" i="4"/>
  <c r="E97" i="4"/>
  <c r="F97" i="4"/>
  <c r="E98" i="4"/>
  <c r="F98" i="4"/>
  <c r="E104" i="4"/>
  <c r="F104" i="4"/>
  <c r="E105" i="4"/>
  <c r="F105" i="4"/>
  <c r="E110" i="4"/>
  <c r="F110" i="4"/>
  <c r="E111" i="4"/>
  <c r="F111" i="4"/>
  <c r="E116" i="4"/>
  <c r="F116" i="4"/>
  <c r="E117" i="4"/>
  <c r="F117" i="4"/>
  <c r="F20" i="3"/>
  <c r="F21" i="3"/>
  <c r="F25" i="3"/>
  <c r="F26" i="3"/>
  <c r="F27" i="3"/>
  <c r="F28" i="3"/>
  <c r="F29" i="3"/>
  <c r="F33" i="3"/>
  <c r="F34" i="3"/>
  <c r="F35" i="3"/>
  <c r="F44" i="3"/>
  <c r="F45" i="3"/>
  <c r="F48" i="3"/>
  <c r="E47" i="3"/>
  <c r="F47" i="3"/>
  <c r="F49" i="3"/>
  <c r="F53" i="3"/>
  <c r="F54" i="3"/>
  <c r="F55" i="3"/>
  <c r="F60" i="3"/>
  <c r="F61" i="3"/>
  <c r="F62" i="3"/>
  <c r="F66" i="3"/>
  <c r="F67" i="3"/>
  <c r="F68" i="3"/>
  <c r="F72" i="3"/>
  <c r="F78" i="3"/>
  <c r="F79" i="3"/>
  <c r="F81" i="3"/>
  <c r="F82" i="3"/>
  <c r="F87" i="3"/>
  <c r="E88" i="3"/>
  <c r="F88" i="3"/>
  <c r="F90" i="3"/>
  <c r="F93" i="3"/>
  <c r="F94" i="3"/>
  <c r="F95" i="3"/>
  <c r="F99" i="3"/>
  <c r="F100" i="3"/>
  <c r="F101" i="3"/>
  <c r="F102" i="3"/>
  <c r="F106" i="3"/>
  <c r="F107" i="3"/>
  <c r="F108" i="3"/>
  <c r="F112" i="3"/>
  <c r="E113" i="3"/>
  <c r="F113" i="3"/>
  <c r="F114" i="3"/>
  <c r="F118" i="3"/>
  <c r="F119" i="3"/>
  <c r="E12" i="3"/>
  <c r="F12" i="3"/>
  <c r="E14" i="3"/>
  <c r="F14" i="3"/>
  <c r="E16" i="3"/>
  <c r="F16" i="3"/>
  <c r="E18" i="3"/>
  <c r="F18" i="3"/>
  <c r="E19" i="3"/>
  <c r="F19" i="3"/>
  <c r="E23" i="3"/>
  <c r="F23" i="3"/>
  <c r="E24" i="3"/>
  <c r="F24" i="3"/>
  <c r="E30" i="3"/>
  <c r="F30" i="3"/>
  <c r="E31" i="3"/>
  <c r="F31" i="3"/>
  <c r="E32" i="3"/>
  <c r="F32" i="3"/>
  <c r="E38" i="3"/>
  <c r="F38" i="3"/>
  <c r="E40" i="3"/>
  <c r="F40" i="3"/>
  <c r="E42" i="3"/>
  <c r="F42" i="3"/>
  <c r="E43" i="3"/>
  <c r="F43" i="3"/>
  <c r="F51" i="3"/>
  <c r="E52" i="3"/>
  <c r="F52" i="3"/>
  <c r="E58" i="3"/>
  <c r="F58" i="3"/>
  <c r="E59" i="3"/>
  <c r="F59" i="3"/>
  <c r="E65" i="3"/>
  <c r="F65" i="3"/>
  <c r="F76" i="3"/>
  <c r="E77" i="3"/>
  <c r="F77" i="3"/>
  <c r="E85" i="3"/>
  <c r="F85" i="3"/>
  <c r="E86" i="3"/>
  <c r="F86" i="3"/>
  <c r="E91" i="3"/>
  <c r="F91" i="3"/>
  <c r="E92" i="3"/>
  <c r="F92" i="3"/>
  <c r="E97" i="3"/>
  <c r="F97" i="3"/>
  <c r="E98" i="3"/>
  <c r="F98" i="3"/>
  <c r="E104" i="3"/>
  <c r="F104" i="3"/>
  <c r="E105" i="3"/>
  <c r="F105" i="3"/>
  <c r="E110" i="3"/>
  <c r="F110" i="3"/>
  <c r="E111" i="3"/>
  <c r="F111" i="3"/>
  <c r="E116" i="3"/>
  <c r="F116" i="3"/>
  <c r="E117" i="3"/>
  <c r="F117" i="3"/>
  <c r="E18" i="2"/>
  <c r="F18" i="2"/>
  <c r="F19" i="2"/>
  <c r="F20" i="2"/>
  <c r="F24" i="2"/>
  <c r="F25" i="2"/>
  <c r="F29" i="2"/>
  <c r="F30" i="2"/>
  <c r="F31" i="2"/>
  <c r="F38" i="2"/>
  <c r="F39" i="2"/>
  <c r="F47" i="2"/>
  <c r="F48" i="2"/>
  <c r="F49" i="2"/>
  <c r="F53" i="2"/>
  <c r="E54" i="2"/>
  <c r="F54" i="2"/>
  <c r="F55" i="2"/>
  <c r="E59" i="2"/>
  <c r="F59" i="2"/>
  <c r="F63" i="2"/>
  <c r="F64" i="2"/>
  <c r="F72" i="2"/>
  <c r="F73" i="2"/>
  <c r="F81" i="2"/>
  <c r="F82" i="2"/>
  <c r="F83" i="2"/>
  <c r="F87" i="2"/>
  <c r="F88" i="2"/>
  <c r="F89" i="2"/>
  <c r="F93" i="2"/>
  <c r="E94" i="2"/>
  <c r="F94" i="2"/>
  <c r="F95" i="2"/>
  <c r="F99" i="2"/>
  <c r="F103" i="2"/>
  <c r="F104" i="2"/>
  <c r="F113" i="2"/>
  <c r="F114" i="2"/>
  <c r="F115" i="2"/>
  <c r="F119" i="2"/>
  <c r="F120" i="2"/>
  <c r="F121" i="2"/>
  <c r="F125" i="2"/>
  <c r="E126" i="2"/>
  <c r="F126" i="2"/>
  <c r="F127" i="2"/>
  <c r="F135" i="2"/>
  <c r="F136" i="2"/>
  <c r="E140" i="2"/>
  <c r="F140" i="2"/>
  <c r="F144" i="2"/>
  <c r="E145" i="2"/>
  <c r="F145" i="2"/>
  <c r="E146" i="2"/>
  <c r="F146" i="2"/>
  <c r="E147" i="2"/>
  <c r="F147" i="2"/>
  <c r="F151" i="2"/>
  <c r="F152" i="2"/>
  <c r="F160" i="2"/>
  <c r="F161" i="2"/>
  <c r="F162" i="2"/>
  <c r="F166" i="2"/>
  <c r="F170" i="2"/>
  <c r="F171" i="2"/>
  <c r="F172" i="2"/>
  <c r="F176" i="2"/>
  <c r="E177" i="2"/>
  <c r="F177" i="2"/>
  <c r="F178" i="2"/>
  <c r="E182" i="2"/>
  <c r="F182" i="2"/>
  <c r="F186" i="2"/>
  <c r="F187" i="2"/>
  <c r="E192" i="2"/>
  <c r="F192" i="2"/>
  <c r="F196" i="2"/>
  <c r="E197" i="2"/>
  <c r="F197" i="2"/>
  <c r="E198" i="2"/>
  <c r="F198" i="2"/>
  <c r="E199" i="2"/>
  <c r="F199" i="2"/>
  <c r="F203" i="2"/>
  <c r="F204" i="2"/>
  <c r="F212" i="2"/>
  <c r="F213" i="2"/>
  <c r="F214" i="2"/>
  <c r="F218" i="2"/>
  <c r="E219" i="2"/>
  <c r="F219" i="2"/>
  <c r="F220" i="2"/>
  <c r="F224" i="2"/>
  <c r="F225" i="2"/>
  <c r="F226" i="2"/>
  <c r="E230" i="2"/>
  <c r="F230" i="2"/>
  <c r="F234" i="2"/>
  <c r="F235" i="2"/>
  <c r="E240" i="2"/>
  <c r="F240" i="2"/>
  <c r="F244" i="2"/>
  <c r="E245" i="2"/>
  <c r="F245" i="2"/>
  <c r="E246" i="2"/>
  <c r="F246" i="2"/>
  <c r="E247" i="2"/>
  <c r="F247" i="2"/>
  <c r="F251" i="2"/>
  <c r="F252" i="2"/>
  <c r="F260" i="2"/>
  <c r="F261" i="2"/>
  <c r="F262" i="2"/>
  <c r="F266" i="2"/>
  <c r="F267" i="2"/>
  <c r="F268" i="2"/>
  <c r="F272" i="2"/>
  <c r="E273" i="2"/>
  <c r="F273" i="2"/>
  <c r="F274" i="2"/>
  <c r="E278" i="2"/>
  <c r="F278" i="2"/>
  <c r="F282" i="2"/>
  <c r="F283" i="2"/>
  <c r="E293" i="2"/>
  <c r="F293" i="2"/>
  <c r="F294" i="2"/>
  <c r="F295" i="2"/>
  <c r="F299" i="2"/>
  <c r="F300" i="2"/>
  <c r="F301" i="2"/>
  <c r="F302" i="2"/>
  <c r="F306" i="2"/>
  <c r="F307" i="2"/>
  <c r="F308" i="2"/>
  <c r="F316" i="2"/>
  <c r="F317" i="2"/>
  <c r="F318" i="2"/>
  <c r="F322" i="2"/>
  <c r="E323" i="2"/>
  <c r="F323" i="2"/>
  <c r="F324" i="2"/>
  <c r="F332" i="2"/>
  <c r="F333" i="2"/>
  <c r="F334" i="2"/>
  <c r="F338" i="2"/>
  <c r="F339" i="2"/>
  <c r="F340" i="2"/>
  <c r="F345" i="2"/>
  <c r="F346" i="2"/>
  <c r="F347" i="2"/>
  <c r="F351" i="2"/>
  <c r="E352" i="2"/>
  <c r="F352" i="2"/>
  <c r="F353" i="2"/>
  <c r="F357" i="2"/>
  <c r="F358" i="2"/>
  <c r="E364" i="2"/>
  <c r="F364" i="2"/>
  <c r="F368" i="2"/>
  <c r="F369" i="2"/>
  <c r="F373" i="2"/>
  <c r="F374" i="2"/>
  <c r="F375" i="2"/>
  <c r="F383" i="2"/>
  <c r="F386" i="2"/>
  <c r="F389" i="2"/>
  <c r="F390" i="2"/>
  <c r="E394" i="2"/>
  <c r="F394" i="2"/>
  <c r="F398" i="2"/>
  <c r="F399" i="2"/>
  <c r="F403" i="2"/>
  <c r="F404" i="2"/>
  <c r="F408" i="2"/>
  <c r="F409" i="2"/>
  <c r="E413" i="2"/>
  <c r="F413" i="2"/>
  <c r="F417" i="2"/>
  <c r="F418" i="2"/>
  <c r="E423" i="2"/>
  <c r="F423" i="2"/>
  <c r="F427" i="2"/>
  <c r="F428" i="2"/>
  <c r="E432" i="2"/>
  <c r="F432" i="2"/>
  <c r="F436" i="2"/>
  <c r="E437" i="2"/>
  <c r="F437" i="2"/>
  <c r="E438" i="2"/>
  <c r="F438" i="2"/>
  <c r="E439" i="2"/>
  <c r="F439" i="2"/>
  <c r="F443" i="2"/>
  <c r="F444" i="2"/>
  <c r="F452" i="2"/>
  <c r="F453" i="2"/>
  <c r="F454" i="2"/>
  <c r="F458" i="2"/>
  <c r="F462" i="2"/>
  <c r="E463" i="2"/>
  <c r="F463" i="2"/>
  <c r="F464" i="2"/>
  <c r="F471" i="2"/>
  <c r="F472" i="2"/>
  <c r="F473" i="2"/>
  <c r="F477" i="2"/>
  <c r="F478" i="2"/>
  <c r="F479" i="2"/>
  <c r="E483" i="2"/>
  <c r="F483" i="2"/>
  <c r="F487" i="2"/>
  <c r="F488" i="2"/>
  <c r="F492" i="2"/>
  <c r="F496" i="2"/>
  <c r="F497" i="2"/>
  <c r="F498" i="2"/>
  <c r="F499" i="2"/>
  <c r="F500" i="2"/>
  <c r="F508" i="2"/>
  <c r="F509" i="2"/>
  <c r="F510" i="2"/>
  <c r="F514" i="2"/>
  <c r="E515" i="2"/>
  <c r="F515" i="2"/>
  <c r="F516" i="2"/>
  <c r="F520" i="2"/>
  <c r="F521" i="2"/>
  <c r="F524" i="2"/>
  <c r="F527" i="2"/>
  <c r="F530" i="2"/>
  <c r="F533" i="2"/>
  <c r="F536" i="2"/>
  <c r="F539" i="2"/>
  <c r="F550" i="2"/>
  <c r="F551" i="2"/>
  <c r="F554" i="2"/>
  <c r="F555" i="2"/>
  <c r="F556" i="2"/>
  <c r="F559" i="2"/>
  <c r="F560" i="2"/>
  <c r="F563" i="2"/>
  <c r="F564" i="2"/>
  <c r="F567" i="2"/>
  <c r="F571" i="2"/>
  <c r="F576" i="2"/>
  <c r="F577" i="2"/>
  <c r="E582" i="2"/>
  <c r="F582" i="2"/>
  <c r="F586" i="2"/>
  <c r="E587" i="2"/>
  <c r="F587" i="2"/>
  <c r="F594" i="2"/>
  <c r="F11" i="2"/>
  <c r="F12" i="2"/>
  <c r="E14" i="2"/>
  <c r="F14" i="2"/>
  <c r="F15" i="2"/>
  <c r="F17" i="2"/>
  <c r="E22" i="2"/>
  <c r="F22" i="2"/>
  <c r="E23" i="2"/>
  <c r="F23" i="2"/>
  <c r="F27" i="2"/>
  <c r="E28" i="2"/>
  <c r="F28" i="2"/>
  <c r="E33" i="2"/>
  <c r="F33" i="2"/>
  <c r="E34" i="2"/>
  <c r="F34" i="2"/>
  <c r="E36" i="2"/>
  <c r="F36" i="2"/>
  <c r="E37" i="2"/>
  <c r="F37" i="2"/>
  <c r="E41" i="2"/>
  <c r="F41" i="2"/>
  <c r="E42" i="2"/>
  <c r="F42" i="2"/>
  <c r="E44" i="2"/>
  <c r="F44" i="2"/>
  <c r="E45" i="2"/>
  <c r="F45" i="2"/>
  <c r="E46" i="2"/>
  <c r="F46" i="2"/>
  <c r="E51" i="2"/>
  <c r="F51" i="2"/>
  <c r="E52" i="2"/>
  <c r="F52" i="2"/>
  <c r="E57" i="2"/>
  <c r="F57" i="2"/>
  <c r="E58" i="2"/>
  <c r="F58" i="2"/>
  <c r="E61" i="2"/>
  <c r="F61" i="2"/>
  <c r="E62" i="2"/>
  <c r="F62" i="2"/>
  <c r="E67" i="2"/>
  <c r="F67" i="2"/>
  <c r="E68" i="2"/>
  <c r="F68" i="2"/>
  <c r="E70" i="2"/>
  <c r="F70" i="2"/>
  <c r="E71" i="2"/>
  <c r="F71" i="2"/>
  <c r="E75" i="2"/>
  <c r="F75" i="2"/>
  <c r="E76" i="2"/>
  <c r="F76" i="2"/>
  <c r="E78" i="2"/>
  <c r="F78" i="2"/>
  <c r="E79" i="2"/>
  <c r="F79" i="2"/>
  <c r="E80" i="2"/>
  <c r="F80" i="2"/>
  <c r="F85" i="2"/>
  <c r="E86" i="2"/>
  <c r="F86" i="2"/>
  <c r="E91" i="2"/>
  <c r="F91" i="2"/>
  <c r="E92" i="2"/>
  <c r="F92" i="2"/>
  <c r="F97" i="2"/>
  <c r="F98" i="2"/>
  <c r="E101" i="2"/>
  <c r="F101" i="2"/>
  <c r="E102" i="2"/>
  <c r="F102" i="2"/>
  <c r="E107" i="2"/>
  <c r="F107" i="2"/>
  <c r="E108" i="2"/>
  <c r="F108" i="2"/>
  <c r="E110" i="2"/>
  <c r="F110" i="2"/>
  <c r="E111" i="2"/>
  <c r="F111" i="2"/>
  <c r="E112" i="2"/>
  <c r="F112" i="2"/>
  <c r="F117" i="2"/>
  <c r="E118" i="2"/>
  <c r="F118" i="2"/>
  <c r="E123" i="2"/>
  <c r="F123" i="2"/>
  <c r="E124" i="2"/>
  <c r="F124" i="2"/>
  <c r="E130" i="2"/>
  <c r="F130" i="2"/>
  <c r="E131" i="2"/>
  <c r="F131" i="2"/>
  <c r="E133" i="2"/>
  <c r="F133" i="2"/>
  <c r="E134" i="2"/>
  <c r="F134" i="2"/>
  <c r="E138" i="2"/>
  <c r="F138" i="2"/>
  <c r="E139" i="2"/>
  <c r="F139" i="2"/>
  <c r="E142" i="2"/>
  <c r="F142" i="2"/>
  <c r="E143" i="2"/>
  <c r="F143" i="2"/>
  <c r="E150" i="2"/>
  <c r="F150" i="2"/>
  <c r="E154" i="2"/>
  <c r="F154" i="2"/>
  <c r="E155" i="2"/>
  <c r="F155" i="2"/>
  <c r="E157" i="2"/>
  <c r="F157" i="2"/>
  <c r="E158" i="2"/>
  <c r="F158" i="2"/>
  <c r="E159" i="2"/>
  <c r="F159" i="2"/>
  <c r="F164" i="2"/>
  <c r="F165" i="2"/>
  <c r="F168" i="2"/>
  <c r="E169" i="2"/>
  <c r="F169" i="2"/>
  <c r="E174" i="2"/>
  <c r="F174" i="2"/>
  <c r="E175" i="2"/>
  <c r="F175" i="2"/>
  <c r="E180" i="2"/>
  <c r="F180" i="2"/>
  <c r="E181" i="2"/>
  <c r="F181" i="2"/>
  <c r="E184" i="2"/>
  <c r="F184" i="2"/>
  <c r="E185" i="2"/>
  <c r="F185" i="2"/>
  <c r="E190" i="2"/>
  <c r="F190" i="2"/>
  <c r="E191" i="2"/>
  <c r="F191" i="2"/>
  <c r="E194" i="2"/>
  <c r="F194" i="2"/>
  <c r="E195" i="2"/>
  <c r="F195" i="2"/>
  <c r="E202" i="2"/>
  <c r="F202" i="2"/>
  <c r="E206" i="2"/>
  <c r="F206" i="2"/>
  <c r="E207" i="2"/>
  <c r="F207" i="2"/>
  <c r="E209" i="2"/>
  <c r="F209" i="2"/>
  <c r="E210" i="2"/>
  <c r="F210" i="2"/>
  <c r="E211" i="2"/>
  <c r="F211" i="2"/>
  <c r="E216" i="2"/>
  <c r="F216" i="2"/>
  <c r="E217" i="2"/>
  <c r="F217" i="2"/>
  <c r="F222" i="2"/>
  <c r="E223" i="2"/>
  <c r="F223" i="2"/>
  <c r="E228" i="2"/>
  <c r="F228" i="2"/>
  <c r="E229" i="2"/>
  <c r="F229" i="2"/>
  <c r="E232" i="2"/>
  <c r="F232" i="2"/>
  <c r="E233" i="2"/>
  <c r="F233" i="2"/>
  <c r="E238" i="2"/>
  <c r="F238" i="2"/>
  <c r="E239" i="2"/>
  <c r="F239" i="2"/>
  <c r="E242" i="2"/>
  <c r="F242" i="2"/>
  <c r="E243" i="2"/>
  <c r="F243" i="2"/>
  <c r="E250" i="2"/>
  <c r="F250" i="2"/>
  <c r="E254" i="2"/>
  <c r="F254" i="2"/>
  <c r="E255" i="2"/>
  <c r="F255" i="2"/>
  <c r="E257" i="2"/>
  <c r="F257" i="2"/>
  <c r="E258" i="2"/>
  <c r="F258" i="2"/>
  <c r="E259" i="2"/>
  <c r="F259" i="2"/>
  <c r="F264" i="2"/>
  <c r="E265" i="2"/>
  <c r="F265" i="2"/>
  <c r="E270" i="2"/>
  <c r="F270" i="2"/>
  <c r="E271" i="2"/>
  <c r="F271" i="2"/>
  <c r="E276" i="2"/>
  <c r="F276" i="2"/>
  <c r="E277" i="2"/>
  <c r="F277" i="2"/>
  <c r="E280" i="2"/>
  <c r="F280" i="2"/>
  <c r="E281" i="2"/>
  <c r="F281" i="2"/>
  <c r="F286" i="2"/>
  <c r="F287" i="2"/>
  <c r="E289" i="2"/>
  <c r="F289" i="2"/>
  <c r="F290" i="2"/>
  <c r="F292" i="2"/>
  <c r="E297" i="2"/>
  <c r="F297" i="2"/>
  <c r="E298" i="2"/>
  <c r="F298" i="2"/>
  <c r="F304" i="2"/>
  <c r="E305" i="2"/>
  <c r="F305" i="2"/>
  <c r="E310" i="2"/>
  <c r="F310" i="2"/>
  <c r="E311" i="2"/>
  <c r="F311" i="2"/>
  <c r="E313" i="2"/>
  <c r="F313" i="2"/>
  <c r="E314" i="2"/>
  <c r="F314" i="2"/>
  <c r="E315" i="2"/>
  <c r="F315" i="2"/>
  <c r="E320" i="2"/>
  <c r="F320" i="2"/>
  <c r="E321" i="2"/>
  <c r="F321" i="2"/>
  <c r="E327" i="2"/>
  <c r="F327" i="2"/>
  <c r="E328" i="2"/>
  <c r="F328" i="2"/>
  <c r="E330" i="2"/>
  <c r="F330" i="2"/>
  <c r="E331" i="2"/>
  <c r="F331" i="2"/>
  <c r="F336" i="2"/>
  <c r="E337" i="2"/>
  <c r="F337" i="2"/>
  <c r="E342" i="2"/>
  <c r="F342" i="2"/>
  <c r="E343" i="2"/>
  <c r="F343" i="2"/>
  <c r="E344" i="2"/>
  <c r="F344" i="2"/>
  <c r="E349" i="2"/>
  <c r="F349" i="2"/>
  <c r="E350" i="2"/>
  <c r="F350" i="2"/>
  <c r="E355" i="2"/>
  <c r="F355" i="2"/>
  <c r="E356" i="2"/>
  <c r="F356" i="2"/>
  <c r="E362" i="2"/>
  <c r="F362" i="2"/>
  <c r="E363" i="2"/>
  <c r="F363" i="2"/>
  <c r="F366" i="2"/>
  <c r="F367" i="2"/>
  <c r="E371" i="2"/>
  <c r="F371" i="2"/>
  <c r="E372" i="2"/>
  <c r="F372" i="2"/>
  <c r="F377" i="2"/>
  <c r="F378" i="2"/>
  <c r="F380" i="2"/>
  <c r="E381" i="2"/>
  <c r="F381" i="2"/>
  <c r="E385" i="2"/>
  <c r="F385" i="2"/>
  <c r="F388" i="2"/>
  <c r="E392" i="2"/>
  <c r="F392" i="2"/>
  <c r="E393" i="2"/>
  <c r="F393" i="2"/>
  <c r="E396" i="2"/>
  <c r="F396" i="2"/>
  <c r="E397" i="2"/>
  <c r="F397" i="2"/>
  <c r="F402" i="2"/>
  <c r="E406" i="2"/>
  <c r="F406" i="2"/>
  <c r="F407" i="2"/>
  <c r="E411" i="2"/>
  <c r="F411" i="2"/>
  <c r="E412" i="2"/>
  <c r="F412" i="2"/>
  <c r="E415" i="2"/>
  <c r="F415" i="2"/>
  <c r="E416" i="2"/>
  <c r="F416" i="2"/>
  <c r="E421" i="2"/>
  <c r="F421" i="2"/>
  <c r="E422" i="2"/>
  <c r="F422" i="2"/>
  <c r="E425" i="2"/>
  <c r="F425" i="2"/>
  <c r="E426" i="2"/>
  <c r="F426" i="2"/>
  <c r="E430" i="2"/>
  <c r="F430" i="2"/>
  <c r="E431" i="2"/>
  <c r="F431" i="2"/>
  <c r="E434" i="2"/>
  <c r="F434" i="2"/>
  <c r="E435" i="2"/>
  <c r="F435" i="2"/>
  <c r="E442" i="2"/>
  <c r="F442" i="2"/>
  <c r="E446" i="2"/>
  <c r="F446" i="2"/>
  <c r="E447" i="2"/>
  <c r="F447" i="2"/>
  <c r="E449" i="2"/>
  <c r="F449" i="2"/>
  <c r="E450" i="2"/>
  <c r="F450" i="2"/>
  <c r="E451" i="2"/>
  <c r="F451" i="2"/>
  <c r="F456" i="2"/>
  <c r="F457" i="2"/>
  <c r="E460" i="2"/>
  <c r="F460" i="2"/>
  <c r="E461" i="2"/>
  <c r="F461" i="2"/>
  <c r="F466" i="2"/>
  <c r="F467" i="2"/>
  <c r="F469" i="2"/>
  <c r="F470" i="2"/>
  <c r="E475" i="2"/>
  <c r="F475" i="2"/>
  <c r="E476" i="2"/>
  <c r="F476" i="2"/>
  <c r="E481" i="2"/>
  <c r="F481" i="2"/>
  <c r="E482" i="2"/>
  <c r="F482" i="2"/>
  <c r="E485" i="2"/>
  <c r="F485" i="2"/>
  <c r="E486" i="2"/>
  <c r="F486" i="2"/>
  <c r="F490" i="2"/>
  <c r="F491" i="2"/>
  <c r="E494" i="2"/>
  <c r="F494" i="2"/>
  <c r="E495" i="2"/>
  <c r="F495" i="2"/>
  <c r="E502" i="2"/>
  <c r="F502" i="2"/>
  <c r="E503" i="2"/>
  <c r="F503" i="2"/>
  <c r="E505" i="2"/>
  <c r="F505" i="2"/>
  <c r="E506" i="2"/>
  <c r="F506" i="2"/>
  <c r="E507" i="2"/>
  <c r="F507" i="2"/>
  <c r="E512" i="2"/>
  <c r="F512" i="2"/>
  <c r="E513" i="2"/>
  <c r="F513" i="2"/>
  <c r="F518" i="2"/>
  <c r="E519" i="2"/>
  <c r="F519" i="2"/>
  <c r="F523" i="2"/>
  <c r="F526" i="2"/>
  <c r="F529" i="2"/>
  <c r="F532" i="2"/>
  <c r="F535" i="2"/>
  <c r="F538" i="2"/>
  <c r="E542" i="2"/>
  <c r="F542" i="2"/>
  <c r="F543" i="2"/>
  <c r="E545" i="2"/>
  <c r="F545" i="2"/>
  <c r="F546" i="2"/>
  <c r="E548" i="2"/>
  <c r="F548" i="2"/>
  <c r="E549" i="2"/>
  <c r="F549" i="2"/>
  <c r="E553" i="2"/>
  <c r="F553" i="2"/>
  <c r="E558" i="2"/>
  <c r="F558" i="2"/>
  <c r="E562" i="2"/>
  <c r="F562" i="2"/>
  <c r="F566" i="2"/>
  <c r="F569" i="2"/>
  <c r="F570" i="2"/>
  <c r="E574" i="2"/>
  <c r="F574" i="2"/>
  <c r="E575" i="2"/>
  <c r="F575" i="2"/>
  <c r="E579" i="2"/>
  <c r="F579" i="2"/>
  <c r="E580" i="2"/>
  <c r="F580" i="2"/>
  <c r="E581" i="2"/>
  <c r="F581" i="2"/>
  <c r="E584" i="2"/>
  <c r="F584" i="2"/>
  <c r="E585" i="2"/>
  <c r="F585" i="2"/>
  <c r="E589" i="2"/>
  <c r="F589" i="2"/>
  <c r="E590" i="2"/>
  <c r="F590" i="2"/>
  <c r="E441" i="2"/>
  <c r="E249" i="2"/>
  <c r="E201" i="2"/>
  <c r="E149" i="2"/>
</calcChain>
</file>

<file path=xl/sharedStrings.xml><?xml version="1.0" encoding="utf-8"?>
<sst xmlns="http://schemas.openxmlformats.org/spreadsheetml/2006/main" count="1996" uniqueCount="428">
  <si>
    <t>ობიექტის დასახელება:     მტირალას ეროვნული პარკი</t>
  </si>
  <si>
    <t>mSeneblobis Rirebulebis krebsiTi saxarjTaRricxvo gaangariSeba</t>
  </si>
  <si>
    <t>rigiTi #</t>
  </si>
  <si>
    <t>xarjT. #</t>
  </si>
  <si>
    <t>Tavebis, obieqtebis, samuSaoebisa da danaxarjebis dasaxeleba</t>
  </si>
  <si>
    <t xml:space="preserve">saxarjTaRricxvo Rirebuleba lari </t>
  </si>
  <si>
    <t>samSeneblo samuSaoebi</t>
  </si>
  <si>
    <t>samontaJo samuSaoeb.</t>
  </si>
  <si>
    <t xml:space="preserve">mowyobiloba </t>
  </si>
  <si>
    <t xml:space="preserve">sxvadasxva samuSaoeb. </t>
  </si>
  <si>
    <t>1</t>
  </si>
  <si>
    <t>2</t>
  </si>
  <si>
    <t>3</t>
  </si>
  <si>
    <t>4</t>
  </si>
  <si>
    <t>5</t>
  </si>
  <si>
    <t>6</t>
  </si>
  <si>
    <t>7</t>
  </si>
  <si>
    <t>8</t>
  </si>
  <si>
    <t>ხარჯთაღრიცხვა #1</t>
  </si>
  <si>
    <t>ადმინისტრაციული შენობის სარეაბილიტაციო  სამუშაოები</t>
  </si>
  <si>
    <t>ხარჯთაღრიცხვა #2</t>
  </si>
  <si>
    <t>ხარჯთაღრიცხვა #3</t>
  </si>
  <si>
    <t>ხარჯთაღრიცხვა #4</t>
  </si>
  <si>
    <t>ჯამი</t>
  </si>
  <si>
    <t>ლოკალური ხარჯთაღრიცხვა N1</t>
  </si>
  <si>
    <t>სარეაბილიტაციო  სამუშაოების  მოცულობები</t>
  </si>
  <si>
    <t>N</t>
  </si>
  <si>
    <t>საფუძველი</t>
  </si>
  <si>
    <t>სამუშაოს  დასახელება</t>
  </si>
  <si>
    <t>განზომ. ერთეული</t>
  </si>
  <si>
    <t>ნორმატიული ხარჯი</t>
  </si>
  <si>
    <t>ხელფასი</t>
  </si>
  <si>
    <t>მასალა</t>
  </si>
  <si>
    <t>მანქანა მექანიზმები</t>
  </si>
  <si>
    <t>სულ</t>
  </si>
  <si>
    <t>ერთ.</t>
  </si>
  <si>
    <t xml:space="preserve">1.საკონფერენციო დარბაზი </t>
  </si>
  <si>
    <t>46-30-2</t>
  </si>
  <si>
    <t>არსებული ლამინატის იატაკის დემონტაჟი</t>
  </si>
  <si>
    <t>m2</t>
  </si>
  <si>
    <t xml:space="preserve">Sromis danaxarji </t>
  </si>
  <si>
    <t>kac/saT</t>
  </si>
  <si>
    <t xml:space="preserve">meqanizmebi  </t>
  </si>
  <si>
    <t>lari</t>
  </si>
  <si>
    <t>46-31-12</t>
  </si>
  <si>
    <t>ქვიშა-ცემენტის მოჭიმვის დემონტაჟი</t>
  </si>
  <si>
    <t>მ2</t>
  </si>
  <si>
    <t xml:space="preserve">შრომის დანახარჯი  </t>
  </si>
  <si>
    <t>კაც.სთ</t>
  </si>
  <si>
    <t>მექანიზმები</t>
  </si>
  <si>
    <t>ლარი</t>
  </si>
  <si>
    <t>e11-8-1</t>
  </si>
  <si>
    <t xml:space="preserve">armirebuli badeze ქვიშა-ცემენტის moWimvis mowyoba sisqiT 40mm </t>
  </si>
  <si>
    <t>faqtiuri</t>
  </si>
  <si>
    <t>Sromis danaxarji</t>
  </si>
  <si>
    <t xml:space="preserve">cementis sxnari </t>
  </si>
  <si>
    <t>m3</t>
  </si>
  <si>
    <t>armirebis bade</t>
  </si>
  <si>
    <t xml:space="preserve">sxvadasxva masalebi  </t>
  </si>
  <si>
    <t>11-27-5</t>
  </si>
  <si>
    <t>ახალი ლამინატის იატაკის მოწყობა ქვესადები ღრუბელით და პლინტუსით</t>
  </si>
  <si>
    <t xml:space="preserve">შრომის დანახარჯი </t>
  </si>
  <si>
    <t xml:space="preserve">სხვადასხვა მანქანა </t>
  </si>
  <si>
    <t>ლამინატის ღირებულება ქვესადები ღრუბელიტა და პლინტუსით</t>
  </si>
  <si>
    <t>სხვადასხვა მასალა</t>
  </si>
  <si>
    <t>18-5-1</t>
  </si>
  <si>
    <t>რადიატორების დემონტაჟი და ახლიდან მონტაჟი</t>
  </si>
  <si>
    <t>ცალი</t>
  </si>
  <si>
    <t>შრომის დანახარჯი</t>
  </si>
  <si>
    <t xml:space="preserve">სხვადასხვა მანქანები </t>
  </si>
  <si>
    <t>რადიატორები (არსებული)</t>
  </si>
  <si>
    <t>კროსტეინები</t>
  </si>
  <si>
    <t>სხვადასხვა მასალები</t>
  </si>
  <si>
    <t>e46-32-2</t>
  </si>
  <si>
    <t>მეტალოპლასამასის ფანჯრების (ზომით 2,22*0,93-2 ცალი) ჩარჩოს გარეშე დემონტაჟი</t>
  </si>
  <si>
    <t xml:space="preserve">meqanizmebi </t>
  </si>
  <si>
    <t>e10-13-9</t>
  </si>
  <si>
    <t>მეტალოპლასამასის ფანჯრების (ზომით 2,22*0,93-2ც.) ჩარჩოს გარეშე მონტაჟი</t>
  </si>
  <si>
    <t xml:space="preserve">sxvadasxva manqana </t>
  </si>
  <si>
    <t xml:space="preserve">მეტალოპლასმასის ფანჯარა </t>
  </si>
  <si>
    <t>sxvadasxva masala</t>
  </si>
  <si>
    <t>46-15-1</t>
  </si>
  <si>
    <t>კედლებიდან დაზიანებული ნალესის ჩამოყრა</t>
  </si>
  <si>
    <t xml:space="preserve">სხვა მასალები </t>
  </si>
  <si>
    <t>15-55-9</t>
  </si>
  <si>
    <t xml:space="preserve">კედლების მაღალხარისხოვანი ლესვა ქვიშა-ცემენტის ხსნარით </t>
  </si>
  <si>
    <t xml:space="preserve">xsnartumbo 3 m3/sT </t>
  </si>
  <si>
    <t>meqanizmebi</t>
  </si>
  <si>
    <t>cementis xsnari</t>
  </si>
  <si>
    <t>საბათქაშე ბადე</t>
  </si>
  <si>
    <t>15-160-6</t>
  </si>
  <si>
    <t>ჭერის და კედლების დამუშავება და შეღებვა წყალემულსიური საღებავით ორ ფენად (ფერი დამკვეთთან შეთანხმებით)</t>
  </si>
  <si>
    <t xml:space="preserve">sagrunte masala </t>
  </si>
  <si>
    <t>kg</t>
  </si>
  <si>
    <r>
      <t xml:space="preserve">saRebavi </t>
    </r>
    <r>
      <rPr>
        <sz val="11"/>
        <color indexed="10"/>
        <rFont val="AcadNusx"/>
      </rPr>
      <t/>
    </r>
  </si>
  <si>
    <t>21-28-1</t>
  </si>
  <si>
    <t>ამსტრონგონის  ჭერის სანათების დემონტაჟი</t>
  </si>
  <si>
    <t>კ=0,4</t>
  </si>
  <si>
    <t>სხვადასხვა მანქანები</t>
  </si>
  <si>
    <t>ც8-601-1</t>
  </si>
  <si>
    <t>ოთხკუთხა დიოდური სანათის (ზომით 600*600მმ) მონტაჟი</t>
  </si>
  <si>
    <t>c</t>
  </si>
  <si>
    <t xml:space="preserve">Sromis danaxarjebi </t>
  </si>
  <si>
    <t>kac/sT</t>
  </si>
  <si>
    <t xml:space="preserve">sxva manqana  </t>
  </si>
  <si>
    <t>ოთხკუთხა დიოდური სანათის (ზომით 600*600მმ)</t>
  </si>
  <si>
    <t>sxva masala</t>
  </si>
  <si>
    <t>2.დირექტორის ოთახი</t>
  </si>
  <si>
    <t>კედლების დამუშავება და შეღებვა წყალემულსიური საღებავით ორ ფენად (ფერი დამკვეთთან შეთანხმებით)</t>
  </si>
  <si>
    <t>46-27-6</t>
  </si>
  <si>
    <t xml:space="preserve">ჭერზე არსებული ამსტროგონის ფილების დემონტაჟი </t>
  </si>
  <si>
    <t>34-61-13</t>
  </si>
  <si>
    <t>ჭერზე ახალი ამსტროგონის ფილების შესაბამისი კონსტრუქციით მოწყობა</t>
  </si>
  <si>
    <t>sxvasxva manqanebi</t>
  </si>
  <si>
    <t xml:space="preserve">ამსტროგონის ფილების შესაბამისი კონსტრუქციით </t>
  </si>
  <si>
    <t xml:space="preserve">sxvadasxva masala  </t>
  </si>
  <si>
    <t>3.მდივანის ოთახი</t>
  </si>
  <si>
    <r>
      <t>4.ბუღალტერია</t>
    </r>
    <r>
      <rPr>
        <b/>
        <sz val="11"/>
        <color rgb="FFFF0000"/>
        <rFont val="Calibri"/>
        <family val="2"/>
        <scheme val="minor"/>
      </rPr>
      <t xml:space="preserve"> </t>
    </r>
  </si>
  <si>
    <t>მეტალოპლასამასის ფანჯრების (ზომით 1,93*0,71-1 ც) ჩარჩოს გარეშე დემონტაჟი</t>
  </si>
  <si>
    <t>მეტალოპლასამასის ფანჯრების (ზომით 1,93*0,71-1 ც) ჩარჩოს გარეშე მონტაჟი</t>
  </si>
  <si>
    <t>e10-19-2</t>
  </si>
  <si>
    <t>ხის რაფის დემონტაჟი (ზომით 0,25*1,55მ)</t>
  </si>
  <si>
    <t>გ.მ</t>
  </si>
  <si>
    <t>კ=0,6</t>
  </si>
  <si>
    <t>კ=0,5</t>
  </si>
  <si>
    <t>sxvadasxva manqana</t>
  </si>
  <si>
    <t>ხის რაფის მონტაჟი (ზომით 0,25*1,55მ)</t>
  </si>
  <si>
    <t xml:space="preserve">fanjris ხის rafa </t>
  </si>
  <si>
    <t>g.m</t>
  </si>
  <si>
    <t>alebastri (გიპსი)</t>
  </si>
  <si>
    <t>15-159-3</t>
  </si>
  <si>
    <t>ხის რაფის დამუშავება და შეღებვა ლაქით ორი ფენა</t>
  </si>
  <si>
    <t xml:space="preserve">SromiTi danaxarji </t>
  </si>
  <si>
    <t>kac.sT.</t>
  </si>
  <si>
    <t xml:space="preserve">manqanebi </t>
  </si>
  <si>
    <t>laqi</t>
  </si>
  <si>
    <t>sxvadasxva masalebi</t>
  </si>
  <si>
    <t>15-52-3</t>
  </si>
  <si>
    <t xml:space="preserve">ფერდილების  მაღალხარისხოვანი ლესვა ქვიშა-ცემენტის ხსნარით </t>
  </si>
  <si>
    <t>5.სამუშაო  ოთახი-1</t>
  </si>
  <si>
    <t xml:space="preserve">ოთხკუთხა დიოდური სანათის (ზომით 600*600მმ) </t>
  </si>
  <si>
    <t>6.სამუშაო  ოთახი-2</t>
  </si>
  <si>
    <t>7.სამზარეულო</t>
  </si>
  <si>
    <t>11-23-1</t>
  </si>
  <si>
    <t>კერამოგრანიტის ფილების დაგება (პლინტუსით)</t>
  </si>
  <si>
    <t>man/saT</t>
  </si>
  <si>
    <t>mosapirkeTebeli fila</t>
  </si>
  <si>
    <t>პლინტუსი</t>
  </si>
  <si>
    <t>გ,მ</t>
  </si>
  <si>
    <t>webo-cementi</t>
  </si>
  <si>
    <t>8. ვიზიტორთა სამსახურის ოთახის რემონტი და საიარაღოს მოწყობა</t>
  </si>
  <si>
    <t>8-15-1</t>
  </si>
  <si>
    <r>
      <t xml:space="preserve">ახალი კედლის (სისქით 20სმ)  სამშენებლო ბლოკით20*20*40(სმ) მოწყობა სიმაღლე 4,0მ  </t>
    </r>
    <r>
      <rPr>
        <b/>
        <sz val="10"/>
        <rFont val="Arial"/>
        <family val="2"/>
        <charset val="204"/>
      </rPr>
      <t>L</t>
    </r>
    <r>
      <rPr>
        <b/>
        <sz val="10"/>
        <rFont val="AcadNusx"/>
      </rPr>
      <t>=3მ</t>
    </r>
  </si>
  <si>
    <t>pemzo bloki</t>
  </si>
  <si>
    <t>9-5-1</t>
  </si>
  <si>
    <t>მეტალის კარის მოწყობა ზომით 0.8*2.10(m)-1c (კარებს უნდა გააჩნდეს ცხაურა)</t>
  </si>
  <si>
    <t>მეტალის კარის ზომით 0.8*2.10(m)-1c გარე მხრიდან ცხაურით</t>
  </si>
  <si>
    <t>kv.m</t>
  </si>
  <si>
    <t>eleqtrodi</t>
  </si>
  <si>
    <t>e15-164-8</t>
  </si>
  <si>
    <t>მეტალის კარის შეღებვა ანტიკოროზიული საღებავი</t>
  </si>
  <si>
    <t>ანტიკოროზიული საღებავი</t>
  </si>
  <si>
    <t>9.სველი წერტილი</t>
  </si>
  <si>
    <t>მამაკაცების ტუალეტი</t>
  </si>
  <si>
    <t>17-4-1</t>
  </si>
  <si>
    <t>არსებული უნიტაზის დემონტაჟი</t>
  </si>
  <si>
    <t xml:space="preserve">sxva manqana </t>
  </si>
  <si>
    <t>17-1-2</t>
  </si>
  <si>
    <t>საშხაპე პადონის მოწყობა (შემრევის კომპლექტით)</t>
  </si>
  <si>
    <t>კომპ.</t>
  </si>
  <si>
    <t>man.</t>
  </si>
  <si>
    <t>საშხაპე პადონის მოწყობა (შემრევის კომპლექტით )</t>
  </si>
  <si>
    <t>16-7-3</t>
  </si>
  <si>
    <r>
      <t xml:space="preserve">ცხელი წყლის milebi, 10mm-იანი sisqის TboizolaciiT,  gadamyvanebiTa, fitingebiT da samagrebiT, </t>
    </r>
    <r>
      <rPr>
        <b/>
        <sz val="10"/>
        <rFont val="Arial"/>
        <family val="2"/>
        <charset val="204"/>
      </rPr>
      <t>Ø20x2.8</t>
    </r>
  </si>
  <si>
    <t>grZ.m</t>
  </si>
  <si>
    <r>
      <t>cxeli წყლის mili</t>
    </r>
    <r>
      <rPr>
        <sz val="10"/>
        <rFont val="AcadNusx"/>
      </rPr>
      <t xml:space="preserve">, fitingebiT, gadamyvanebiT da samagrebiT </t>
    </r>
    <r>
      <rPr>
        <sz val="10"/>
        <rFont val="Arial"/>
        <family val="2"/>
        <charset val="204"/>
      </rPr>
      <t>Ø20x2.8</t>
    </r>
  </si>
  <si>
    <t>Tboizolacia 10mm sisqiT</t>
  </si>
  <si>
    <t>46-18-2</t>
  </si>
  <si>
    <t>40 სმ სისქის კედლის გახვრეტა</t>
  </si>
  <si>
    <t>ც</t>
  </si>
  <si>
    <t xml:space="preserve">Sromis danaxarji  </t>
  </si>
  <si>
    <t>16-20-1</t>
  </si>
  <si>
    <t>საშხაპე პადონის არსებულ კანალიზაციასთან მიერთება</t>
  </si>
  <si>
    <t>k/sT</t>
  </si>
  <si>
    <t>miltuCi (მუხლი)</t>
  </si>
  <si>
    <t>17-1-4</t>
  </si>
  <si>
    <t>არსებული ხელსაბამის (ფეხით) დემონტაჟი</t>
  </si>
  <si>
    <t>kompl.</t>
  </si>
  <si>
    <t xml:space="preserve">ახალი ხელსაბამის (ფეხით) მონტაჟი (შემრევი ონკანით, დრეკადი მილებით და სხვა საჭირო სამონტაჟო მასალებით) </t>
  </si>
  <si>
    <t xml:space="preserve">ხელსაბამის (ფეხით შემრევი ონკანით, დრეკადი მილებით და სხვა საჭირო სამონტაჟო მასალებით) </t>
  </si>
  <si>
    <t xml:space="preserve"> ჭერის სანათების დემონტაჟი</t>
  </si>
  <si>
    <t>ოთხკუთხა დიოდური სანათის (ზომით 200*200მმ) მონტაჟი</t>
  </si>
  <si>
    <t xml:space="preserve">ოთხკუთხა დიოდური სანათის (ზომით 200*200მმ) </t>
  </si>
  <si>
    <t>ქალების ტუალეტი</t>
  </si>
  <si>
    <t>vzer 16-50</t>
  </si>
  <si>
    <t>ჩამრეცხი ავზის  ჩამრეცხი მოწყობილობების (დრეკადი შლანგით) შეცვლა</t>
  </si>
  <si>
    <t>ჩამრეცხი ავზის დრეკადი შლანგით</t>
  </si>
  <si>
    <t>17-3-3</t>
  </si>
  <si>
    <t>არსებულ ხელსაბამზე  სიფონის და დრეკადი მილების შეცვლა</t>
  </si>
  <si>
    <t xml:space="preserve">სიფონის და დრეკადი მილების </t>
  </si>
  <si>
    <t>lariman.</t>
  </si>
  <si>
    <t xml:space="preserve">10. ჰოლი და დერეფნები </t>
  </si>
  <si>
    <t xml:space="preserve"> არსებული  ჭერის სანათების დემონტაჟი</t>
  </si>
  <si>
    <t>მრგვალი (თაბაშირმუყაოს) ჭერში ჩასასმელი  დიოდური სანათის (ზომით დ=120მმ ) მონტაჟი</t>
  </si>
  <si>
    <t>მრგვალი (თაბაშირმუყაოს) ჭერში ჩასასმელი  დიოდური სანათის (ზომით დ=120მმ)</t>
  </si>
  <si>
    <t>ხის რაფის დემონტაჟი (ზომით 0,25*1,55მ)- 4ცალი</t>
  </si>
  <si>
    <t>ხის რაფის მონტაჟი (ზომით 0,25*2,06მ)</t>
  </si>
  <si>
    <t>კედლების და ჭერის დამუშავება და  შეღებვა წყალემულსიური საღებავით ორ ფენად (ფერი დამკვეთთან შეთანხმებით)</t>
  </si>
  <si>
    <t>e 46-32-3</t>
  </si>
  <si>
    <t>მთავარი შესასვლელი ორფრთიანი მეტალოპლასმასის კარების მოძრავი კარის (ზომებით 1,24*2,28) დემონტაჟი</t>
  </si>
  <si>
    <t>man/saaT</t>
  </si>
  <si>
    <t>vzer 7-28</t>
  </si>
  <si>
    <t>მთავარი შესასვლელი ორფრთიანი მეტალოპლასმასის კარების მოძრავი კარის (ზომებით 1,24*2,28) არსებულ ჩარჩოზე მონტაჟი (კარის ამძრავი მექანიზმით, ანჯამებით, საკეტი მოწყობილობით და სხვა საჭირო მასალებით)</t>
  </si>
  <si>
    <t>კარის ამძრავი მექანიზმით, ანჯამებით, საკეტი მოწყობილობით და სხვა საჭირო მასალებით)</t>
  </si>
  <si>
    <t>15-201-8</t>
  </si>
  <si>
    <t>გაბზარული ვიტრინის შუშის (ზომებით 1,85*2,28მ-1ც. და  0,85*1,9მ -1ცალი) დემონტაჟი და ახალი ვიტრინის შუშის მონტაჟი</t>
  </si>
  <si>
    <t xml:space="preserve">sxvasxva manqanebi </t>
  </si>
  <si>
    <t>mina</t>
  </si>
  <si>
    <t>რეზინის სადები</t>
  </si>
  <si>
    <t>კგ</t>
  </si>
  <si>
    <t>არსებული ( გუმბათი)  ჭერის სანათების დემონტაჟი</t>
  </si>
  <si>
    <t>მრგვალი დიოდური სანათის (ზომით დ=700მმ) მონტაჟი</t>
  </si>
  <si>
    <t>მრგვალი დიოდური სანათის (ზომით დ=700მმ)</t>
  </si>
  <si>
    <t xml:space="preserve">ჭერზე არსებული თაბაშირ-მუყაოს ფილების დემონტაჟი </t>
  </si>
  <si>
    <t>34-61-15</t>
  </si>
  <si>
    <t>ჭერზე თაბაშირმუყაოს ფილის (შესაბამისი კონსტრუქციებით) მონტაჟი</t>
  </si>
  <si>
    <t>sxvasxva manqanebi (0,035+0,0104)=</t>
  </si>
  <si>
    <r>
      <t>knaufi-</t>
    </r>
    <r>
      <rPr>
        <sz val="10"/>
        <rFont val="AcadNusx"/>
      </rPr>
      <t>s katalogi</t>
    </r>
  </si>
  <si>
    <r>
      <t>CD</t>
    </r>
    <r>
      <rPr>
        <sz val="10"/>
        <rFont val="AcadNusx"/>
      </rPr>
      <t xml:space="preserve">- profili </t>
    </r>
  </si>
  <si>
    <r>
      <t>UD</t>
    </r>
    <r>
      <rPr>
        <sz val="10"/>
        <rFont val="AcadNusx"/>
      </rPr>
      <t xml:space="preserve">- profili </t>
    </r>
  </si>
  <si>
    <t>Gg.m</t>
  </si>
  <si>
    <t>T/muyaos fila</t>
  </si>
  <si>
    <t>saWreli diubeli, Surufi, samagri</t>
  </si>
  <si>
    <t xml:space="preserve">sxvadasxva masala </t>
  </si>
  <si>
    <t>გუმბათის  ჭერზე დაზიანებული ნალესის ჩამოყრა</t>
  </si>
  <si>
    <t>კ=1,1</t>
  </si>
  <si>
    <t>15-55-10</t>
  </si>
  <si>
    <t>ჭერის გალესვა ქვიშა-ცემენტის ხსნარით</t>
  </si>
  <si>
    <t>ჭერის  დამუშავება და შეღებვა წყალემულსიური საღებავით ორ ფენად (ფერი დამკვეთთან შეთანხმებით)</t>
  </si>
  <si>
    <t>ც8-609-1</t>
  </si>
  <si>
    <r>
      <t>პროჟექტორი შენობის გარე პერიმეტრის  განათებისთვის (</t>
    </r>
    <r>
      <rPr>
        <b/>
        <sz val="10"/>
        <rFont val="Arial"/>
        <family val="2"/>
        <charset val="204"/>
      </rPr>
      <t>30W/4500K/3000LM/L180/154/h40/IP65, LLH-10WSMDFL-LVS, LLH-559624)</t>
    </r>
  </si>
  <si>
    <r>
      <t xml:space="preserve">პროჟექტორების </t>
    </r>
    <r>
      <rPr>
        <sz val="10"/>
        <rFont val="Arial"/>
        <family val="2"/>
        <charset val="204"/>
      </rPr>
      <t>(30W/4500K/3000LM/L180/154/h40/IP65, LLH-10WSMDFL-LVS, LLH-559624) ღირებულება</t>
    </r>
  </si>
  <si>
    <t xml:space="preserve">ფარდა ჟალუზი (ზომით 3.80* 2,0მ )-2ცალი  </t>
  </si>
  <si>
    <t xml:space="preserve">ფარდა ჟალუზი (ზომით 3.80* 2,0მ </t>
  </si>
  <si>
    <t xml:space="preserve">ფარდა ჟალუზი (ზომით 3.80* 2,5მ )-2ცალი  </t>
  </si>
  <si>
    <t xml:space="preserve">ფარდა ჟალუზი (ზომით 1.90* 2,4მ )-7ცალი  </t>
  </si>
  <si>
    <t xml:space="preserve">ფარდა ჟალუზი (ზომით 1.90* 2,4მ )-4ცალი  </t>
  </si>
  <si>
    <t xml:space="preserve">ფარდა ჟალუზი (ზომით 3.3* 4,0მ )-2ცალი  </t>
  </si>
  <si>
    <t xml:space="preserve">ფარდა ჟალუზი (ზომით 3.3* 1,2მ )-4ცალი  </t>
  </si>
  <si>
    <t>სახურავი</t>
  </si>
  <si>
    <t>vzer 25-8-6</t>
  </si>
  <si>
    <t>არსებული საწვიმარი ღარის დემონტაჟი</t>
  </si>
  <si>
    <t>გრძ.მ</t>
  </si>
  <si>
    <t>სხვადასხვა მექანიზმები</t>
  </si>
  <si>
    <t>12–8–3</t>
  </si>
  <si>
    <t>სახურავზე წყალშემკრები ღარის მოწყობა (ზომებით 300*200(მ)</t>
  </si>
  <si>
    <t xml:space="preserve">მანქანები </t>
  </si>
  <si>
    <t>წყალშემკრები ღარი (ზომებით 300*200(მ)</t>
  </si>
  <si>
    <t xml:space="preserve">სხვადასხვა მასალები </t>
  </si>
  <si>
    <t>vzer 8-238</t>
  </si>
  <si>
    <t xml:space="preserve">მილი ზომით 120*120მმ  </t>
  </si>
  <si>
    <t>სამაგრები</t>
  </si>
  <si>
    <t>ლურსმანი</t>
  </si>
  <si>
    <t>vzer 8-253</t>
  </si>
  <si>
    <t>ახალი წყალსაწრეტი მილის ძაბრის  ჩამოკიდება</t>
  </si>
  <si>
    <t>წყალსადინარი თუნუქის ძაბრი</t>
  </si>
  <si>
    <t>vzer 8-249</t>
  </si>
  <si>
    <t>ახალი წყალსაწრეტი მუხლის ჩამოკიდება</t>
  </si>
  <si>
    <t>წყალსადინარი თუნუქის მუხლი</t>
  </si>
  <si>
    <t>არსებულ მეტალოკრამიტის სახურავის ჭანჭიკის მოხსნა  იგივე ნახვრეტში ახალი ჭანჭიკების მოწყობა</t>
  </si>
  <si>
    <t>სახურავის ჭანჭიკის ღირებულება</t>
  </si>
  <si>
    <t>12-27-9</t>
  </si>
  <si>
    <t>ჰიდროიზოლაცია (თვითწებვადი, თუნუქის ინდაოზე დასაკრავად)</t>
  </si>
  <si>
    <t>man/sT</t>
  </si>
  <si>
    <t xml:space="preserve"> ლითონის ღობე </t>
  </si>
  <si>
    <t>არსებული ღობის (290 გრძ.მ ) ლითონის კონსტრუქციების დამუშავება და შეღებვა  ანტიკოროზიული საღებავით ორფენად</t>
  </si>
  <si>
    <t>კაც/სთ</t>
  </si>
  <si>
    <t xml:space="preserve">მექანიზმები </t>
  </si>
  <si>
    <t xml:space="preserve">ანტიკოროზიული საღებავით </t>
  </si>
  <si>
    <t>7-21-11</t>
  </si>
  <si>
    <t>არსებული შესასვლელი ლითონის კარის და ერთი სექცია ლითონის  ღობის დემონტაჟი</t>
  </si>
  <si>
    <t>amwe avtosvlaze</t>
  </si>
  <si>
    <t>7-58-4</t>
  </si>
  <si>
    <t>ერთი სექცია ლითონის ღობის მოწყობა არსებულ დგარებზე (კვადრატული მილით ზომა 40*40*3მმ--7გ.მ)</t>
  </si>
  <si>
    <t>კვადრატული მილების მოწყობა ზომით 40*40*3(მმ)</t>
  </si>
  <si>
    <t>7-22-8</t>
  </si>
  <si>
    <t xml:space="preserve">შესასვლელი ლითონის კარის მოწყობა არსებულ დგარებზე ანჯამებით და ურდულით (კვადრატული მილით ზომა 40*40*3მმ-(3გ.მ), კვადრატული მილი ზომა 20*20*3მმ-(3 გ.მ) </t>
  </si>
  <si>
    <t>კვადრატული მილების მოწყობა ზომით 20*20*3(მმ)</t>
  </si>
  <si>
    <t>ანჯამები და ურდული</t>
  </si>
  <si>
    <t>ელექრტოდი</t>
  </si>
  <si>
    <t>ტ</t>
  </si>
  <si>
    <t xml:space="preserve">jami </t>
  </si>
  <si>
    <t>satransporto xarji (masalebis Rirebulebidan)</t>
  </si>
  <si>
    <t>jami</t>
  </si>
  <si>
    <t>zednadebi xarji samSeneblo samuSaoebze</t>
  </si>
  <si>
    <r>
      <t>gegmiuri mogeba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</si>
  <si>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sul</t>
  </si>
  <si>
    <t>არსებული წყალსაწრეტი მილის დემონტაჟი</t>
  </si>
  <si>
    <t>ახალი წყალსაწრეტი მილის მოწყობა ზომით 120(მმ)</t>
  </si>
  <si>
    <t>ლოკალური ხარჯთაღრიცხვა N2</t>
  </si>
  <si>
    <t>სამშენებლო სამუშაოები</t>
  </si>
  <si>
    <t xml:space="preserve">საპიკნიკე  ზომით 9X3მ </t>
  </si>
  <si>
    <t>1-116-2</t>
  </si>
  <si>
    <t>ტერიტორიის მოშანდაკება (მოსწორება)</t>
  </si>
  <si>
    <t>1-80-7,</t>
  </si>
  <si>
    <t>1-81-2</t>
  </si>
  <si>
    <t>მოჭრილი გრუნტის უკუჩაყრა და ზედმეტი გრუნტის   მოსწორება ადგილზე</t>
  </si>
  <si>
    <t>მ3</t>
  </si>
  <si>
    <t xml:space="preserve">შრომის დანახარჯები </t>
  </si>
  <si>
    <t>8-3-2</t>
  </si>
  <si>
    <t>ღორღის საფუძვლის მოწყობა წერტილოვანი საძირკველის ქვეშ სისქით 10სმ</t>
  </si>
  <si>
    <r>
      <t>m</t>
    </r>
    <r>
      <rPr>
        <b/>
        <vertAlign val="superscript"/>
        <sz val="10"/>
        <rFont val="AcadNusx"/>
      </rPr>
      <t>3</t>
    </r>
  </si>
  <si>
    <t>kac-sT</t>
  </si>
  <si>
    <t>sxva manqanebi</t>
  </si>
  <si>
    <t>RorRis Rirebuleba</t>
  </si>
  <si>
    <r>
      <t>m</t>
    </r>
    <r>
      <rPr>
        <vertAlign val="superscript"/>
        <sz val="10"/>
        <rFont val="AcadNusx"/>
      </rPr>
      <t>3</t>
    </r>
  </si>
  <si>
    <t>sxva masalebi</t>
  </si>
  <si>
    <t>6-1-5</t>
  </si>
  <si>
    <t>wertilovani saZirkvlis mowyoba monoliTuri /betoniT betonze m-250</t>
  </si>
  <si>
    <t xml:space="preserve">manqanebi    </t>
  </si>
  <si>
    <t>man</t>
  </si>
  <si>
    <t>betoni m-250</t>
  </si>
  <si>
    <t>fari ficris yalibis sisq. 25 mm</t>
  </si>
  <si>
    <t>ficari Camoganuli III ხარისხის sisq. 40 mm</t>
  </si>
  <si>
    <t>t</t>
  </si>
  <si>
    <t>9-32-12</t>
  </si>
  <si>
    <r>
      <t xml:space="preserve">დგარების მოწყობა ბეტონში  მეტალის კვადრატული მილით ზომა 100*100*3 მმ     --8 ცალი </t>
    </r>
    <r>
      <rPr>
        <b/>
        <sz val="10"/>
        <rFont val="Arial"/>
        <family val="2"/>
        <charset val="204"/>
      </rPr>
      <t xml:space="preserve"> L</t>
    </r>
    <r>
      <rPr>
        <b/>
        <sz val="10"/>
        <rFont val="AcadNusx"/>
      </rPr>
      <t xml:space="preserve">=26g.m, </t>
    </r>
    <r>
      <rPr>
        <b/>
        <sz val="10"/>
        <rFont val="Arial"/>
        <family val="2"/>
        <charset val="204"/>
      </rPr>
      <t>Q</t>
    </r>
    <r>
      <rPr>
        <b/>
        <sz val="10"/>
        <rFont val="AcadNusx"/>
      </rPr>
      <t>=1,064t</t>
    </r>
  </si>
  <si>
    <t>amwe saavtomobilo svlaze 16t</t>
  </si>
  <si>
    <t>milkvadrati</t>
  </si>
  <si>
    <t>e11-1-11</t>
  </si>
  <si>
    <t>იატაკზე ბეტონის მოჭიმვის  მოწყობა სისქით 10 სმ</t>
  </si>
  <si>
    <t>masalebi: betoni m-300</t>
  </si>
  <si>
    <t>l</t>
  </si>
  <si>
    <t>e 11-16-3</t>
  </si>
  <si>
    <t>qviSa-cementis xsnari</t>
  </si>
  <si>
    <t xml:space="preserve">yoreqva </t>
  </si>
  <si>
    <t>milkvagrati 40X60X3(mm)</t>
  </si>
  <si>
    <t xml:space="preserve">e12-6-3 </t>
  </si>
  <si>
    <r>
      <t>მაღალი ხარისხის ფერადი (ფერი შეთანხმდეს დამკვეთთან) პროფირებული თუნუქის ფურცლების  (სისქით 0,47მმ ) სახურავის და</t>
    </r>
    <r>
      <rPr>
        <b/>
        <sz val="10"/>
        <rFont val="AcadNusx"/>
      </rPr>
      <t xml:space="preserve"> </t>
    </r>
    <r>
      <rPr>
        <b/>
        <sz val="10"/>
        <rFont val="Sylfaen"/>
        <family val="1"/>
      </rPr>
      <t xml:space="preserve">  კეხის მოწყობით ფერადი თუნუქის ფურცლებით </t>
    </r>
  </si>
  <si>
    <t>ფერადი  პროპფენილის ღირებულება</t>
  </si>
  <si>
    <t xml:space="preserve">ლითონის ფურცლოვანა შეუღლების ადგილებისათვის </t>
  </si>
  <si>
    <t>კეხი ფერადი პროფირებული თუნუქის ფურცლებით</t>
  </si>
  <si>
    <t xml:space="preserve">პროფენილის სამაგრები (თვითხრახნი) </t>
  </si>
  <si>
    <t>მოაჯირი</t>
  </si>
  <si>
    <t>ლითონის კვადრატული მილებით მოაჯირის მოწყობა ზომა 40*60*2(მმ)</t>
  </si>
  <si>
    <t>m</t>
  </si>
  <si>
    <t>კვადრატული მილი ზომა 40*60*2(მმ)</t>
  </si>
  <si>
    <t>დამხმარე მასალა</t>
  </si>
  <si>
    <t>ლარო</t>
  </si>
  <si>
    <t>მაგიდა და სკამები</t>
  </si>
  <si>
    <t>9-17-6</t>
  </si>
  <si>
    <t>milkvagrati 60X40X2(mm)</t>
  </si>
  <si>
    <t>ბეტონი (მაგიდა და სკამების ფეხების ჩასაბეტონებლად) betoni m-250</t>
  </si>
  <si>
    <t>11-27-2</t>
  </si>
  <si>
    <t>მაგიდის და სკამების კონსტრუქციებზე  იატაკის  მშრალი უშიპო ფიცარის   (სისქით 36 მმ) დამაგრება</t>
  </si>
  <si>
    <t xml:space="preserve">SromiTi resursebi </t>
  </si>
  <si>
    <t xml:space="preserve">ficari iatakis მშრალი SipებიT, sisqiT 36მმ </t>
  </si>
  <si>
    <t>lursmani</t>
  </si>
  <si>
    <t xml:space="preserve">ხის საპირეები, პლინტუსები </t>
  </si>
  <si>
    <t>g.m.</t>
  </si>
  <si>
    <t>15-160-3</t>
  </si>
  <si>
    <t>ხის ფიცრების შეღებვა ანტისეპტიკური ზეთოვანი საღებავით ორ ფენად</t>
  </si>
  <si>
    <t>შრომის დანახარჯი 0,74X1,2=</t>
  </si>
  <si>
    <t>მექანიზმები 0,001X1,2=</t>
  </si>
  <si>
    <t>საგრუნტე მასალა</t>
  </si>
  <si>
    <t>საღებავი</t>
  </si>
  <si>
    <t>ლითონის კონსტრუქციების  შეღებვა  ანტიკოროზიული საღებავით ორფენად</t>
  </si>
  <si>
    <t>jami,</t>
  </si>
  <si>
    <t>zednadebi xarji</t>
  </si>
  <si>
    <t>1-81-2, t.n 3.105</t>
  </si>
  <si>
    <t>ბეტონის  წერტილოვანი საძირკველის მოწყობა   betonze m-250</t>
  </si>
  <si>
    <t xml:space="preserve">ობიექტის დასახელება:     მტირალას  ეროვნული პარკი </t>
  </si>
  <si>
    <t>ლოკალური ხარჯთაღრიცხვა N3</t>
  </si>
  <si>
    <t>სამშენებლო   სამუშაოები</t>
  </si>
  <si>
    <t>7-58-1</t>
  </si>
  <si>
    <t>ლოკალური ხარჯთაღრიცხვა N4</t>
  </si>
  <si>
    <t>Sromis danaxarji 2,2*6</t>
  </si>
  <si>
    <t>ფოლადის მილი დ=50მმ სისქით 2,5მმ</t>
  </si>
  <si>
    <t>მილკვადრატი 20*20*2 (მმ)=6*2=12მ</t>
  </si>
  <si>
    <t>მ</t>
  </si>
  <si>
    <t xml:space="preserve">ლითონის  მილებით მოაჯირის მოწყობა  </t>
  </si>
  <si>
    <t xml:space="preserve">ერთი სექციის (6მ) jami </t>
  </si>
  <si>
    <t>სექცია</t>
  </si>
  <si>
    <t xml:space="preserve">ფიცარი იატაკის მშრალი Uუშიპო, sisqiT 36მმ </t>
  </si>
  <si>
    <r>
      <t xml:space="preserve">ლითონის კვადრატული მილებით  ზომით 40*60*2 მმ მაგიდის და სკამის კონსტრუქციების (ჩარჩოს )  მოწყობა ( მაგიდა ზომით 5*1 მ და სკამი 0.45*5 მ -2ცალი   </t>
    </r>
    <r>
      <rPr>
        <b/>
        <sz val="10"/>
        <rFont val="Arial"/>
        <family val="2"/>
        <charset val="204"/>
      </rPr>
      <t>Q</t>
    </r>
    <r>
      <rPr>
        <b/>
        <sz val="10"/>
        <rFont val="AcadNusx"/>
      </rPr>
      <t>=0,170t</t>
    </r>
  </si>
  <si>
    <t>გრუნტში ორმოს ამოღება საძირკველის მოსაწყობად (ზომით 30სმ*30სმ*50სმ ) -5 ორმო-ერთი სექცია</t>
  </si>
  <si>
    <t>მილკვადრატი 40*40*2 (მმ)=1,5*5</t>
  </si>
  <si>
    <t>გრუნტში ორმოს ამოღება წერტილოვანი საძირკველის მოსაწყობად ზომით 30*30*90 სმ -8 ცალი</t>
  </si>
  <si>
    <t>იატაკის მოწყობა ადგილობრივი ყორექვებით  (ქვიშა ცემენტის ხსნარზე)</t>
  </si>
  <si>
    <t xml:space="preserve">  იატაკის   მოწყობა  </t>
  </si>
  <si>
    <t>ღორღის საფუძვლის მოწყობა იატაკის ქვეშ სისქით 10სმ</t>
  </si>
  <si>
    <t>დიდი საპიკნიკე  სამშენებლო სამუშაოები</t>
  </si>
  <si>
    <t>ჯამი 1</t>
  </si>
  <si>
    <t>ჯამი 2</t>
  </si>
  <si>
    <t>ჯამი 1+2</t>
  </si>
  <si>
    <t>პატარა საპიკნიკე  სამშენებლო სამუშაოები</t>
  </si>
  <si>
    <r>
      <t>პატარა საპიკნიკე    ზომით  6,0X3,0(</t>
    </r>
    <r>
      <rPr>
        <b/>
        <sz val="9"/>
        <color theme="1"/>
        <rFont val="Calibri"/>
        <family val="2"/>
        <charset val="204"/>
        <scheme val="minor"/>
      </rPr>
      <t xml:space="preserve">მ) </t>
    </r>
  </si>
  <si>
    <r>
      <t xml:space="preserve">დგარების მოწყობა ბეტონში  მეტალის კვადრატული მილით ზომა 100*100*3 მმ     --6 ცალი </t>
    </r>
    <r>
      <rPr>
        <b/>
        <sz val="10"/>
        <rFont val="Arial"/>
        <family val="2"/>
        <charset val="204"/>
      </rPr>
      <t xml:space="preserve"> L</t>
    </r>
    <r>
      <rPr>
        <b/>
        <sz val="10"/>
        <rFont val="AcadNusx"/>
      </rPr>
      <t xml:space="preserve">=20g.m, </t>
    </r>
    <r>
      <rPr>
        <b/>
        <sz val="10"/>
        <rFont val="Arial"/>
        <family val="2"/>
        <charset val="204"/>
      </rPr>
      <t/>
    </r>
  </si>
  <si>
    <t xml:space="preserve">გრუნტის მოჭრა იატაკის მოსაწყობად სირღმით 30 სმ </t>
  </si>
  <si>
    <t>მოჭრილი გრუნტის   მოსწორება ადგილზე</t>
  </si>
  <si>
    <t xml:space="preserve"> მოჭრილი გრუნტის   მოსწორება ადგილზე</t>
  </si>
  <si>
    <t>55 - სექციის (330 მ) ჯამი</t>
  </si>
  <si>
    <t>მეტალოპლასმასის კარების Rirebuleba</t>
  </si>
  <si>
    <t>სამშენებლო ნაჩენების დატვირთვა ა/მანქანაზე და გატანა 15კმ</t>
  </si>
  <si>
    <t xml:space="preserve">ოთხკუთხა დიოდური სანათის (ზომით 600*600 მმ) </t>
  </si>
  <si>
    <r>
      <t xml:space="preserve">სახურავის კონსტრუქციის მოწყობა კვადრატული მილით ზომა 40*60*3(მმ), </t>
    </r>
    <r>
      <rPr>
        <b/>
        <sz val="10"/>
        <rFont val="Arial"/>
        <family val="2"/>
        <charset val="204"/>
      </rPr>
      <t>L</t>
    </r>
    <r>
      <rPr>
        <b/>
        <sz val="10"/>
        <rFont val="AcadNusx"/>
      </rPr>
      <t xml:space="preserve">=71g,m </t>
    </r>
    <r>
      <rPr>
        <b/>
        <sz val="10"/>
        <rFont val="Arial"/>
        <family val="2"/>
        <charset val="204"/>
      </rPr>
      <t>Q</t>
    </r>
    <r>
      <rPr>
        <b/>
        <sz val="10"/>
        <rFont val="AcadNusx"/>
      </rPr>
      <t>=0,296t</t>
    </r>
  </si>
  <si>
    <t>e10-9-4</t>
  </si>
  <si>
    <t>ლამფის ღირებულება</t>
  </si>
  <si>
    <t>სამაგრები (თვითხრახნი, ლურსმანი)</t>
  </si>
  <si>
    <t>სახურავის შეფიცვრა ფიცრით სისქით 30მმ -36მ2 (V=1,083)</t>
  </si>
  <si>
    <t>სახურავის შეფიცვრა ფიცრით სისქით 30მმ -25მ2 (V=0,75)</t>
  </si>
  <si>
    <t>ხის შეფიცრების შეღებვა ანტისეპტიკური ზეთოვანი საღებავით ორ ფენად</t>
  </si>
  <si>
    <t>saerTo saxarjTaRicxvo Rirebuleba (lari)</t>
  </si>
  <si>
    <r>
      <t xml:space="preserve">ობიექტის დასახელება:    </t>
    </r>
    <r>
      <rPr>
        <b/>
        <sz val="11"/>
        <color theme="1"/>
        <rFont val="Calibri"/>
        <family val="2"/>
        <charset val="204"/>
        <scheme val="minor"/>
      </rPr>
      <t xml:space="preserve"> მტირალას ეროვნული პარკი</t>
    </r>
  </si>
  <si>
    <r>
      <t xml:space="preserve">სახურავის კონსტრუქციის მოწყობა კვადრატული მილით ზომა 40*60*3(მმ), </t>
    </r>
    <r>
      <rPr>
        <b/>
        <sz val="10"/>
        <rFont val="Arial"/>
        <family val="2"/>
        <charset val="204"/>
      </rPr>
      <t>L</t>
    </r>
    <r>
      <rPr>
        <b/>
        <sz val="10"/>
        <rFont val="AcadNusx"/>
      </rPr>
      <t xml:space="preserve">=114g,m </t>
    </r>
    <r>
      <rPr>
        <b/>
        <sz val="10"/>
        <rFont val="Arial"/>
        <family val="2"/>
        <charset val="204"/>
      </rPr>
      <t>Q</t>
    </r>
    <r>
      <rPr>
        <b/>
        <sz val="10"/>
        <rFont val="AcadNusx"/>
      </rPr>
      <t>=0,537</t>
    </r>
  </si>
  <si>
    <t>15-159-2</t>
  </si>
  <si>
    <r>
      <t xml:space="preserve">ლითონის კვადრატული მილებით  ზომით 40*60*2(მმ)-84გ.მ მაგიდის და სკამის კონსტრუქციების მოწყობა: მაგიდა ზომით 7*1(მ) და სკამი 0.45*7(მ)-2ცალი </t>
    </r>
    <r>
      <rPr>
        <b/>
        <sz val="10"/>
        <rFont val="Arial"/>
        <family val="2"/>
        <charset val="204"/>
      </rPr>
      <t>Q</t>
    </r>
    <r>
      <rPr>
        <b/>
        <sz val="10"/>
        <rFont val="AcadNusx"/>
      </rPr>
      <t>=0,264t</t>
    </r>
  </si>
  <si>
    <t>გაუთვალიწინებელი სამუშაოები- 3%</t>
  </si>
  <si>
    <t>დღგ-   18%</t>
  </si>
  <si>
    <t>გრუნტში ორმოს ამოღება წერტილოვანი საძირკველის მოსაწყობად ზომით 30*30*90 სმ -6ცალი</t>
  </si>
  <si>
    <t>საფეხმავლო ბილიკის მოაჯირები</t>
  </si>
  <si>
    <t>პატარა საპიკნიკე (განთავსდება სოფელ ჩაქვისთავისკენ მიმავალ ასფალტირებულ გზის მიმდებარედ, კოორდინატები - X 0735857; Y 4618604)</t>
  </si>
  <si>
    <t>დაბა ჩაქვში, მტირალას ეროვნული პარკის ადმინისტრაციული შენობა</t>
  </si>
  <si>
    <t>დიდი  საპიკნიკე (დიდი საპიკნიკე უნდა მოეწყოს სოფელ ჩაქვისთავში, ერთდღიან წაბლნარის ბილიკზე, ტბასთან. კოორდინატები - X 0739373; Y 4617707)</t>
  </si>
  <si>
    <t>საფეხმავლო ბილიკის მოაჯირის მოწყობა</t>
  </si>
  <si>
    <t xml:space="preserve"> მოაჯირი-ერთი სექციის სიგრძე 6  მეტრი</t>
  </si>
  <si>
    <t>სულ ჯამი</t>
  </si>
  <si>
    <t>__%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</si>
</sst>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0.0000"/>
    <numFmt numFmtId="167" formatCode="###0;###0"/>
    <numFmt numFmtId="168" formatCode="#,##0.000"/>
    <numFmt numFmtId="169" formatCode="#,##0.0"/>
  </numFmts>
  <fonts count="70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b/>
      <sz val="10"/>
      <name val="AcadNusx"/>
    </font>
    <font>
      <sz val="10"/>
      <name val="AcadNusx"/>
    </font>
    <font>
      <sz val="10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AcadNusx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b/>
      <sz val="10"/>
      <name val="Sylfaen"/>
      <family val="1"/>
      <charset val="204"/>
    </font>
    <font>
      <i/>
      <sz val="10"/>
      <name val="Sylfaen"/>
      <family val="1"/>
    </font>
    <font>
      <sz val="10"/>
      <name val="Helv"/>
    </font>
    <font>
      <b/>
      <sz val="10"/>
      <color theme="1"/>
      <name val="AcadNusx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8"/>
      <name val="AcadNusx"/>
    </font>
    <font>
      <sz val="10"/>
      <color indexed="10"/>
      <name val="AcadNusx"/>
    </font>
    <font>
      <sz val="11"/>
      <color indexed="10"/>
      <name val="AcadNusx"/>
    </font>
    <font>
      <b/>
      <sz val="11"/>
      <name val="Calibri"/>
      <family val="2"/>
      <scheme val="minor"/>
    </font>
    <font>
      <b/>
      <u/>
      <sz val="10"/>
      <name val="AcadNusx"/>
    </font>
    <font>
      <sz val="11"/>
      <color theme="1"/>
      <name val="Sylfaen"/>
      <family val="1"/>
      <charset val="204"/>
    </font>
    <font>
      <b/>
      <sz val="11"/>
      <color rgb="FFFF0000"/>
      <name val="Calibri"/>
      <family val="2"/>
      <scheme val="minor"/>
    </font>
    <font>
      <sz val="11"/>
      <name val="AcadNusx"/>
    </font>
    <font>
      <sz val="9"/>
      <color theme="1"/>
      <name val="Arial"/>
      <family val="2"/>
      <charset val="204"/>
    </font>
    <font>
      <sz val="10"/>
      <color theme="1"/>
      <name val="AcadNusx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cadNusx"/>
    </font>
    <font>
      <sz val="9"/>
      <name val="Arial"/>
      <family val="2"/>
    </font>
    <font>
      <sz val="7"/>
      <color theme="1"/>
      <name val="AcadNusx"/>
    </font>
    <font>
      <sz val="7"/>
      <color theme="1"/>
      <name val="Arial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cadNusx"/>
    </font>
    <font>
      <sz val="10"/>
      <color rgb="FF000000"/>
      <name val="AcadNusx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Sylfaen"/>
      <family val="1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Sylfaen"/>
      <family val="1"/>
    </font>
    <font>
      <b/>
      <sz val="9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AcadNusx"/>
    </font>
    <font>
      <b/>
      <vertAlign val="superscript"/>
      <sz val="10"/>
      <name val="AcadNusx"/>
    </font>
    <font>
      <sz val="10"/>
      <name val="Calibri"/>
      <family val="2"/>
    </font>
    <font>
      <vertAlign val="superscript"/>
      <sz val="10"/>
      <name val="AcadNusx"/>
    </font>
    <font>
      <b/>
      <sz val="9"/>
      <name val="AcadNusx"/>
    </font>
    <font>
      <b/>
      <sz val="9"/>
      <color theme="1"/>
      <name val="Calibri"/>
      <family val="2"/>
      <charset val="204"/>
      <scheme val="minor"/>
    </font>
    <font>
      <sz val="12"/>
      <color theme="1"/>
      <name val="AcadNusx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1"/>
      <scheme val="minor"/>
    </font>
    <font>
      <b/>
      <sz val="11"/>
      <name val="AcadNusx"/>
    </font>
    <font>
      <sz val="11"/>
      <color theme="1"/>
      <name val="Sylfaen"/>
      <family val="1"/>
    </font>
    <font>
      <sz val="1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7" fillId="0" borderId="0"/>
    <xf numFmtId="0" fontId="22" fillId="0" borderId="0"/>
    <xf numFmtId="0" fontId="2" fillId="0" borderId="0"/>
    <xf numFmtId="0" fontId="12" fillId="0" borderId="0"/>
    <xf numFmtId="0" fontId="48" fillId="0" borderId="0"/>
    <xf numFmtId="0" fontId="2" fillId="0" borderId="0"/>
  </cellStyleXfs>
  <cellXfs count="77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quotePrefix="1" applyFont="1" applyFill="1" applyBorder="1" applyAlignment="1">
      <alignment horizontal="center" vertical="center" wrapText="1"/>
    </xf>
    <xf numFmtId="0" fontId="5" fillId="0" borderId="2" xfId="1" quotePrefix="1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center" vertical="center" wrapText="1"/>
    </xf>
    <xf numFmtId="1" fontId="4" fillId="0" borderId="8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1" fontId="4" fillId="0" borderId="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ill="1"/>
    <xf numFmtId="0" fontId="9" fillId="2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1" fontId="11" fillId="2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3" fillId="3" borderId="8" xfId="0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wrapText="1"/>
    </xf>
    <xf numFmtId="2" fontId="16" fillId="0" borderId="6" xfId="0" applyNumberFormat="1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center" vertical="top" wrapText="1"/>
    </xf>
    <xf numFmtId="2" fontId="16" fillId="0" borderId="8" xfId="0" applyNumberFormat="1" applyFont="1" applyFill="1" applyBorder="1" applyAlignment="1">
      <alignment horizontal="center" vertical="top" wrapText="1"/>
    </xf>
    <xf numFmtId="0" fontId="16" fillId="0" borderId="8" xfId="0" applyNumberFormat="1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center" vertical="top" wrapText="1"/>
    </xf>
    <xf numFmtId="2" fontId="16" fillId="0" borderId="7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2" fontId="4" fillId="2" borderId="8" xfId="0" applyNumberFormat="1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6" xfId="0" applyNumberFormat="1" applyFont="1" applyFill="1" applyBorder="1" applyAlignment="1">
      <alignment horizontal="center" vertical="top" wrapText="1"/>
    </xf>
    <xf numFmtId="165" fontId="16" fillId="0" borderId="8" xfId="0" applyNumberFormat="1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7" xfId="0" applyNumberFormat="1" applyFont="1" applyFill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65" fontId="16" fillId="0" borderId="8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wrapText="1"/>
    </xf>
    <xf numFmtId="2" fontId="4" fillId="2" borderId="6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2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top" wrapText="1"/>
    </xf>
    <xf numFmtId="165" fontId="4" fillId="0" borderId="8" xfId="0" applyNumberFormat="1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44" fillId="0" borderId="2" xfId="0" applyFont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7" fontId="47" fillId="2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51" fillId="0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17" fillId="3" borderId="6" xfId="0" applyFont="1" applyFill="1" applyBorder="1" applyAlignment="1">
      <alignment horizontal="left" vertical="top" wrapText="1"/>
    </xf>
    <xf numFmtId="2" fontId="17" fillId="0" borderId="6" xfId="0" applyNumberFormat="1" applyFont="1" applyFill="1" applyBorder="1" applyAlignment="1">
      <alignment horizontal="center" vertical="top" wrapText="1"/>
    </xf>
    <xf numFmtId="164" fontId="17" fillId="0" borderId="6" xfId="0" applyNumberFormat="1" applyFont="1" applyFill="1" applyBorder="1" applyAlignment="1">
      <alignment horizontal="center" vertical="top" wrapText="1"/>
    </xf>
    <xf numFmtId="165" fontId="16" fillId="0" borderId="7" xfId="0" applyNumberFormat="1" applyFont="1" applyFill="1" applyBorder="1" applyAlignment="1">
      <alignment horizontal="center" vertical="top" wrapText="1"/>
    </xf>
    <xf numFmtId="164" fontId="16" fillId="0" borderId="6" xfId="0" applyNumberFormat="1" applyFont="1" applyFill="1" applyBorder="1" applyAlignment="1">
      <alignment horizontal="center" vertical="top" wrapText="1"/>
    </xf>
    <xf numFmtId="0" fontId="16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wrapText="1"/>
    </xf>
    <xf numFmtId="164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top" wrapText="1"/>
    </xf>
    <xf numFmtId="0" fontId="4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horizontal="center" wrapText="1"/>
    </xf>
    <xf numFmtId="0" fontId="35" fillId="0" borderId="8" xfId="0" applyFont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35" fillId="0" borderId="7" xfId="0" applyFont="1" applyBorder="1" applyAlignment="1">
      <alignment horizontal="center" wrapText="1"/>
    </xf>
    <xf numFmtId="167" fontId="47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left" vertical="center" wrapText="1"/>
    </xf>
    <xf numFmtId="9" fontId="38" fillId="0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/>
    </xf>
    <xf numFmtId="164" fontId="37" fillId="0" borderId="2" xfId="0" applyNumberFormat="1" applyFont="1" applyFill="1" applyBorder="1" applyAlignment="1">
      <alignment horizontal="center"/>
    </xf>
    <xf numFmtId="2" fontId="53" fillId="0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horizontal="center"/>
    </xf>
    <xf numFmtId="2" fontId="38" fillId="0" borderId="2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  <xf numFmtId="165" fontId="32" fillId="0" borderId="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7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2" fontId="16" fillId="2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 wrapText="1"/>
    </xf>
    <xf numFmtId="0" fontId="16" fillId="0" borderId="7" xfId="7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/>
    </xf>
    <xf numFmtId="2" fontId="16" fillId="0" borderId="7" xfId="0" applyNumberFormat="1" applyFont="1" applyFill="1" applyBorder="1" applyAlignment="1">
      <alignment horizontal="center" vertical="center"/>
    </xf>
    <xf numFmtId="2" fontId="16" fillId="2" borderId="7" xfId="0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0" fontId="3" fillId="2" borderId="6" xfId="7" applyFont="1" applyFill="1" applyBorder="1" applyAlignment="1">
      <alignment horizontal="center" vertical="center" wrapText="1"/>
    </xf>
    <xf numFmtId="49" fontId="4" fillId="2" borderId="6" xfId="7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4" fontId="3" fillId="2" borderId="6" xfId="7" applyNumberFormat="1" applyFont="1" applyFill="1" applyBorder="1" applyAlignment="1">
      <alignment horizontal="center" vertical="center"/>
    </xf>
    <xf numFmtId="4" fontId="3" fillId="2" borderId="6" xfId="7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2" fontId="3" fillId="2" borderId="6" xfId="7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3" fillId="2" borderId="8" xfId="7" applyFont="1" applyFill="1" applyBorder="1" applyAlignment="1">
      <alignment horizontal="center" vertical="center" wrapText="1"/>
    </xf>
    <xf numFmtId="0" fontId="4" fillId="2" borderId="8" xfId="7" applyFont="1" applyFill="1" applyBorder="1" applyAlignment="1">
      <alignment horizontal="center" vertical="center" wrapText="1"/>
    </xf>
    <xf numFmtId="0" fontId="4" fillId="2" borderId="8" xfId="7" applyFont="1" applyFill="1" applyBorder="1" applyAlignment="1">
      <alignment horizontal="left" vertical="center" wrapText="1"/>
    </xf>
    <xf numFmtId="4" fontId="4" fillId="2" borderId="8" xfId="7" applyNumberFormat="1" applyFont="1" applyFill="1" applyBorder="1" applyAlignment="1">
      <alignment horizontal="center" vertical="center"/>
    </xf>
    <xf numFmtId="164" fontId="4" fillId="2" borderId="8" xfId="7" applyNumberFormat="1" applyFont="1" applyFill="1" applyBorder="1" applyAlignment="1">
      <alignment horizontal="center" vertical="center"/>
    </xf>
    <xf numFmtId="164" fontId="60" fillId="2" borderId="8" xfId="0" applyNumberFormat="1" applyFont="1" applyFill="1" applyBorder="1" applyAlignment="1">
      <alignment horizontal="center" vertical="center"/>
    </xf>
    <xf numFmtId="165" fontId="4" fillId="2" borderId="8" xfId="7" applyNumberFormat="1" applyFont="1" applyFill="1" applyBorder="1" applyAlignment="1">
      <alignment horizontal="center" vertical="center" wrapText="1"/>
    </xf>
    <xf numFmtId="2" fontId="4" fillId="2" borderId="8" xfId="7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168" fontId="4" fillId="2" borderId="8" xfId="7" applyNumberFormat="1" applyFont="1" applyFill="1" applyBorder="1" applyAlignment="1">
      <alignment horizontal="center" vertical="center"/>
    </xf>
    <xf numFmtId="4" fontId="4" fillId="2" borderId="8" xfId="7" applyNumberFormat="1" applyFont="1" applyFill="1" applyBorder="1" applyAlignment="1">
      <alignment horizontal="center" vertical="center" wrapText="1"/>
    </xf>
    <xf numFmtId="169" fontId="4" fillId="2" borderId="8" xfId="7" applyNumberFormat="1" applyFont="1" applyFill="1" applyBorder="1" applyAlignment="1">
      <alignment horizontal="center" vertical="center"/>
    </xf>
    <xf numFmtId="0" fontId="4" fillId="2" borderId="7" xfId="7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4" fontId="4" fillId="2" borderId="7" xfId="7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4" fontId="4" fillId="2" borderId="7" xfId="7" applyNumberFormat="1" applyFont="1" applyFill="1" applyBorder="1" applyAlignment="1">
      <alignment horizontal="center" vertical="center" wrapText="1"/>
    </xf>
    <xf numFmtId="169" fontId="4" fillId="2" borderId="7" xfId="7" applyNumberFormat="1" applyFont="1" applyFill="1" applyBorder="1" applyAlignment="1">
      <alignment horizontal="center" vertical="center"/>
    </xf>
    <xf numFmtId="2" fontId="4" fillId="2" borderId="7" xfId="7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62" fillId="2" borderId="6" xfId="0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165" fontId="62" fillId="2" borderId="6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2" fontId="10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167" fontId="47" fillId="2" borderId="2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center"/>
    </xf>
    <xf numFmtId="0" fontId="3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166" fontId="16" fillId="0" borderId="8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/>
    </xf>
    <xf numFmtId="0" fontId="3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49" fontId="4" fillId="2" borderId="6" xfId="5" applyNumberFormat="1" applyFont="1" applyFill="1" applyBorder="1" applyAlignment="1">
      <alignment horizontal="center" vertical="center" wrapText="1"/>
    </xf>
    <xf numFmtId="0" fontId="3" fillId="2" borderId="6" xfId="5" applyFont="1" applyFill="1" applyBorder="1" applyAlignment="1">
      <alignment horizontal="center" vertical="center" wrapText="1"/>
    </xf>
    <xf numFmtId="165" fontId="3" fillId="2" borderId="6" xfId="5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4" fillId="2" borderId="8" xfId="5" applyFont="1" applyFill="1" applyBorder="1" applyAlignment="1">
      <alignment horizontal="center" vertical="center" wrapText="1"/>
    </xf>
    <xf numFmtId="0" fontId="4" fillId="2" borderId="8" xfId="5" applyFont="1" applyFill="1" applyBorder="1" applyAlignment="1">
      <alignment horizontal="left" vertical="center" wrapText="1"/>
    </xf>
    <xf numFmtId="164" fontId="4" fillId="2" borderId="8" xfId="5" applyNumberFormat="1" applyFont="1" applyFill="1" applyBorder="1" applyAlignment="1">
      <alignment horizontal="center" vertical="center" wrapText="1"/>
    </xf>
    <xf numFmtId="2" fontId="4" fillId="2" borderId="8" xfId="5" applyNumberFormat="1" applyFont="1" applyFill="1" applyBorder="1" applyAlignment="1">
      <alignment horizontal="center" vertical="center" wrapText="1"/>
    </xf>
    <xf numFmtId="165" fontId="4" fillId="2" borderId="8" xfId="5" applyNumberFormat="1" applyFont="1" applyFill="1" applyBorder="1" applyAlignment="1">
      <alignment horizontal="center" vertical="center" wrapText="1"/>
    </xf>
    <xf numFmtId="0" fontId="11" fillId="2" borderId="8" xfId="5" applyFont="1" applyFill="1" applyBorder="1" applyAlignment="1">
      <alignment horizontal="center" vertical="center" wrapText="1"/>
    </xf>
    <xf numFmtId="2" fontId="12" fillId="2" borderId="8" xfId="5" applyNumberFormat="1" applyFont="1" applyFill="1" applyBorder="1" applyAlignment="1">
      <alignment horizontal="center" vertical="center" wrapText="1"/>
    </xf>
    <xf numFmtId="0" fontId="11" fillId="2" borderId="7" xfId="5" applyFont="1" applyFill="1" applyBorder="1" applyAlignment="1">
      <alignment horizontal="center" vertical="center" wrapText="1"/>
    </xf>
    <xf numFmtId="2" fontId="4" fillId="2" borderId="7" xfId="5" applyNumberFormat="1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165" fontId="16" fillId="0" borderId="7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horizontal="center" vertical="center"/>
    </xf>
    <xf numFmtId="167" fontId="47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/>
    <xf numFmtId="0" fontId="8" fillId="2" borderId="2" xfId="2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top" wrapText="1"/>
    </xf>
    <xf numFmtId="2" fontId="16" fillId="0" borderId="6" xfId="0" applyNumberFormat="1" applyFont="1" applyFill="1" applyBorder="1" applyAlignment="1">
      <alignment horizontal="center"/>
    </xf>
    <xf numFmtId="2" fontId="16" fillId="2" borderId="6" xfId="0" applyNumberFormat="1" applyFont="1" applyFill="1" applyBorder="1" applyAlignment="1">
      <alignment horizontal="center"/>
    </xf>
    <xf numFmtId="0" fontId="16" fillId="0" borderId="7" xfId="0" applyFont="1" applyFill="1" applyBorder="1" applyAlignment="1"/>
    <xf numFmtId="0" fontId="16" fillId="0" borderId="7" xfId="0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2" fontId="16" fillId="2" borderId="7" xfId="0" applyNumberFormat="1" applyFont="1" applyFill="1" applyBorder="1" applyAlignment="1">
      <alignment horizontal="center"/>
    </xf>
    <xf numFmtId="164" fontId="16" fillId="0" borderId="7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64" fontId="52" fillId="0" borderId="6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4" fillId="2" borderId="8" xfId="0" applyFont="1" applyFill="1" applyBorder="1" applyAlignment="1"/>
    <xf numFmtId="2" fontId="10" fillId="2" borderId="8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2" fontId="10" fillId="2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/>
    </xf>
    <xf numFmtId="164" fontId="4" fillId="0" borderId="8" xfId="0" applyNumberFormat="1" applyFont="1" applyFill="1" applyBorder="1"/>
    <xf numFmtId="0" fontId="4" fillId="0" borderId="8" xfId="0" applyFont="1" applyFill="1" applyBorder="1"/>
    <xf numFmtId="0" fontId="17" fillId="0" borderId="6" xfId="0" applyFont="1" applyBorder="1" applyAlignment="1">
      <alignment wrapText="1"/>
    </xf>
    <xf numFmtId="0" fontId="18" fillId="0" borderId="6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166" fontId="16" fillId="0" borderId="8" xfId="0" applyNumberFormat="1" applyFont="1" applyBorder="1" applyAlignment="1">
      <alignment horizontal="center" wrapText="1"/>
    </xf>
    <xf numFmtId="0" fontId="16" fillId="2" borderId="8" xfId="0" applyFont="1" applyFill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0" borderId="7" xfId="0" applyFont="1" applyBorder="1" applyAlignment="1">
      <alignment horizontal="center" wrapText="1"/>
    </xf>
    <xf numFmtId="164" fontId="16" fillId="0" borderId="7" xfId="0" applyNumberFormat="1" applyFont="1" applyFill="1" applyBorder="1" applyAlignment="1">
      <alignment horizontal="center" vertical="top" wrapText="1"/>
    </xf>
    <xf numFmtId="0" fontId="51" fillId="0" borderId="2" xfId="0" applyFont="1" applyBorder="1" applyAlignment="1">
      <alignment horizontal="center" vertical="center" wrapText="1"/>
    </xf>
    <xf numFmtId="0" fontId="7" fillId="0" borderId="2" xfId="0" applyFont="1" applyFill="1" applyBorder="1"/>
    <xf numFmtId="0" fontId="4" fillId="3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2" borderId="6" xfId="7" applyFont="1" applyFill="1" applyBorder="1" applyAlignment="1">
      <alignment horizontal="center" vertical="center" wrapText="1"/>
    </xf>
    <xf numFmtId="0" fontId="50" fillId="3" borderId="6" xfId="0" applyFont="1" applyFill="1" applyBorder="1" applyAlignment="1">
      <alignment horizontal="left" vertical="top" wrapText="1"/>
    </xf>
    <xf numFmtId="1" fontId="17" fillId="0" borderId="6" xfId="0" applyNumberFormat="1" applyFont="1" applyFill="1" applyBorder="1" applyAlignment="1">
      <alignment horizontal="center" vertical="top" wrapText="1"/>
    </xf>
    <xf numFmtId="0" fontId="0" fillId="0" borderId="1" xfId="0" applyBorder="1"/>
    <xf numFmtId="2" fontId="17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4" fillId="0" borderId="8" xfId="7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64" fontId="4" fillId="0" borderId="8" xfId="5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8" fillId="0" borderId="2" xfId="2" applyFont="1" applyFill="1" applyBorder="1" applyAlignment="1">
      <alignment horizontal="center" vertical="center" wrapText="1"/>
    </xf>
    <xf numFmtId="164" fontId="62" fillId="0" borderId="6" xfId="0" applyNumberFormat="1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/>
    <xf numFmtId="2" fontId="4" fillId="0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wrapText="1"/>
    </xf>
    <xf numFmtId="2" fontId="16" fillId="0" borderId="2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center"/>
    </xf>
    <xf numFmtId="2" fontId="16" fillId="0" borderId="2" xfId="0" applyNumberFormat="1" applyFont="1" applyFill="1" applyBorder="1"/>
    <xf numFmtId="2" fontId="16" fillId="0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Border="1" applyAlignment="1">
      <alignment vertical="top" wrapText="1"/>
    </xf>
    <xf numFmtId="0" fontId="17" fillId="3" borderId="2" xfId="0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horizontal="center" vertical="center" wrapText="1"/>
    </xf>
    <xf numFmtId="1" fontId="18" fillId="0" borderId="2" xfId="0" quotePrefix="1" applyNumberFormat="1" applyFont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center" vertical="top" wrapText="1"/>
    </xf>
    <xf numFmtId="165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14" fontId="4" fillId="0" borderId="2" xfId="0" quotePrefix="1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top" wrapText="1"/>
    </xf>
    <xf numFmtId="164" fontId="17" fillId="0" borderId="2" xfId="0" applyNumberFormat="1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0" fontId="3" fillId="0" borderId="2" xfId="0" quotePrefix="1" applyFont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0" fontId="12" fillId="2" borderId="2" xfId="3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top"/>
    </xf>
    <xf numFmtId="0" fontId="15" fillId="2" borderId="2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49" fontId="25" fillId="2" borderId="2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wrapText="1"/>
    </xf>
    <xf numFmtId="2" fontId="24" fillId="2" borderId="2" xfId="0" applyNumberFormat="1" applyFont="1" applyFill="1" applyBorder="1" applyAlignment="1">
      <alignment horizontal="center" vertical="top" wrapText="1"/>
    </xf>
    <xf numFmtId="0" fontId="24" fillId="2" borderId="2" xfId="0" applyFont="1" applyFill="1" applyBorder="1" applyAlignment="1">
      <alignment horizontal="center"/>
    </xf>
    <xf numFmtId="164" fontId="24" fillId="2" borderId="2" xfId="0" applyNumberFormat="1" applyFont="1" applyFill="1" applyBorder="1" applyAlignment="1">
      <alignment horizontal="center"/>
    </xf>
    <xf numFmtId="2" fontId="24" fillId="2" borderId="2" xfId="0" applyNumberFormat="1" applyFont="1" applyFill="1" applyBorder="1"/>
    <xf numFmtId="2" fontId="24" fillId="2" borderId="2" xfId="0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 horizontal="left"/>
    </xf>
    <xf numFmtId="165" fontId="24" fillId="2" borderId="2" xfId="0" applyNumberFormat="1" applyFont="1" applyFill="1" applyBorder="1" applyAlignment="1">
      <alignment horizontal="center" wrapText="1"/>
    </xf>
    <xf numFmtId="2" fontId="25" fillId="2" borderId="2" xfId="0" applyNumberFormat="1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vertical="top" wrapText="1"/>
    </xf>
    <xf numFmtId="2" fontId="25" fillId="2" borderId="2" xfId="0" applyNumberFormat="1" applyFont="1" applyFill="1" applyBorder="1" applyAlignment="1">
      <alignment horizontal="center" vertical="top" wrapText="1"/>
    </xf>
    <xf numFmtId="0" fontId="25" fillId="2" borderId="2" xfId="0" applyNumberFormat="1" applyFont="1" applyFill="1" applyBorder="1" applyAlignment="1">
      <alignment horizontal="center" vertical="top" wrapText="1"/>
    </xf>
    <xf numFmtId="166" fontId="24" fillId="2" borderId="2" xfId="0" applyNumberFormat="1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29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top" wrapText="1"/>
    </xf>
    <xf numFmtId="0" fontId="28" fillId="2" borderId="2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/>
    </xf>
    <xf numFmtId="2" fontId="16" fillId="2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wrapText="1"/>
    </xf>
    <xf numFmtId="49" fontId="4" fillId="0" borderId="2" xfId="0" applyNumberFormat="1" applyFont="1" applyBorder="1" applyAlignment="1">
      <alignment horizontal="center" vertical="top" wrapText="1"/>
    </xf>
    <xf numFmtId="2" fontId="16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3" applyFont="1" applyFill="1" applyBorder="1" applyAlignment="1">
      <alignment horizontal="center" vertical="top" wrapText="1"/>
    </xf>
    <xf numFmtId="2" fontId="4" fillId="0" borderId="2" xfId="3" applyNumberFormat="1" applyFont="1" applyFill="1" applyBorder="1" applyAlignment="1">
      <alignment horizontal="center" vertical="top" wrapText="1"/>
    </xf>
    <xf numFmtId="0" fontId="4" fillId="0" borderId="2" xfId="3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2" fontId="4" fillId="0" borderId="2" xfId="3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2" fontId="3" fillId="2" borderId="2" xfId="3" applyNumberFormat="1" applyFont="1" applyFill="1" applyBorder="1" applyAlignment="1">
      <alignment horizontal="center" vertical="top" wrapText="1"/>
    </xf>
    <xf numFmtId="164" fontId="32" fillId="2" borderId="2" xfId="3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/>
    <xf numFmtId="165" fontId="4" fillId="2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24" fillId="0" borderId="2" xfId="0" applyFont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0" fontId="15" fillId="0" borderId="2" xfId="0" applyFont="1" applyBorder="1"/>
    <xf numFmtId="0" fontId="36" fillId="0" borderId="2" xfId="5" applyFont="1" applyFill="1" applyBorder="1" applyAlignment="1">
      <alignment horizontal="center" vertical="center" wrapText="1"/>
    </xf>
    <xf numFmtId="2" fontId="37" fillId="0" borderId="2" xfId="5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2" xfId="5" applyFont="1" applyFill="1" applyBorder="1" applyAlignment="1">
      <alignment horizontal="center" vertical="center" wrapText="1"/>
    </xf>
    <xf numFmtId="2" fontId="38" fillId="0" borderId="2" xfId="5" applyNumberFormat="1" applyFont="1" applyFill="1" applyBorder="1" applyAlignment="1">
      <alignment horizontal="center" vertical="center" wrapText="1"/>
    </xf>
    <xf numFmtId="164" fontId="39" fillId="2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40" fillId="0" borderId="2" xfId="5" applyNumberFormat="1" applyFont="1" applyFill="1" applyBorder="1" applyAlignment="1">
      <alignment horizontal="center" vertical="center" wrapText="1"/>
    </xf>
    <xf numFmtId="0" fontId="37" fillId="0" borderId="2" xfId="5" applyFont="1" applyFill="1" applyBorder="1" applyAlignment="1">
      <alignment horizontal="center" vertical="center" wrapText="1"/>
    </xf>
    <xf numFmtId="2" fontId="36" fillId="0" borderId="2" xfId="5" applyNumberFormat="1" applyFont="1" applyFill="1" applyBorder="1" applyAlignment="1">
      <alignment horizontal="center" vertical="center" wrapText="1"/>
    </xf>
    <xf numFmtId="2" fontId="41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left" vertical="center" wrapText="1"/>
    </xf>
    <xf numFmtId="0" fontId="4" fillId="0" borderId="2" xfId="5" applyFont="1" applyFill="1" applyBorder="1" applyAlignment="1">
      <alignment horizontal="center" vertical="center" wrapText="1"/>
    </xf>
    <xf numFmtId="165" fontId="11" fillId="0" borderId="2" xfId="5" applyNumberFormat="1" applyFont="1" applyFill="1" applyBorder="1" applyAlignment="1">
      <alignment horizontal="center" vertical="center" wrapText="1"/>
    </xf>
    <xf numFmtId="2" fontId="41" fillId="2" borderId="2" xfId="5" applyNumberFormat="1" applyFont="1" applyFill="1" applyBorder="1" applyAlignment="1">
      <alignment horizontal="center" vertical="center" wrapText="1"/>
    </xf>
    <xf numFmtId="2" fontId="42" fillId="0" borderId="2" xfId="5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2" fontId="43" fillId="0" borderId="2" xfId="5" applyNumberFormat="1" applyFont="1" applyFill="1" applyBorder="1" applyAlignment="1">
      <alignment horizontal="center" vertical="center" wrapText="1"/>
    </xf>
    <xf numFmtId="165" fontId="36" fillId="0" borderId="2" xfId="5" applyNumberFormat="1" applyFont="1" applyFill="1" applyBorder="1" applyAlignment="1">
      <alignment horizontal="center" vertical="center" wrapText="1"/>
    </xf>
    <xf numFmtId="165" fontId="41" fillId="2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center" vertical="top" wrapText="1"/>
    </xf>
    <xf numFmtId="164" fontId="46" fillId="0" borderId="2" xfId="0" applyNumberFormat="1" applyFont="1" applyFill="1" applyBorder="1" applyAlignment="1">
      <alignment horizontal="center" wrapText="1"/>
    </xf>
    <xf numFmtId="2" fontId="46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6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top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4" fillId="0" borderId="2" xfId="6" applyNumberFormat="1" applyFont="1" applyFill="1" applyBorder="1" applyAlignment="1">
      <alignment horizontal="center" vertical="top" wrapText="1"/>
    </xf>
    <xf numFmtId="2" fontId="4" fillId="0" borderId="2" xfId="6" applyNumberFormat="1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/>
    <xf numFmtId="0" fontId="35" fillId="0" borderId="2" xfId="0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166" fontId="4" fillId="2" borderId="2" xfId="0" applyNumberFormat="1" applyFont="1" applyFill="1" applyBorder="1" applyAlignment="1">
      <alignment horizontal="center" vertical="top" wrapText="1"/>
    </xf>
    <xf numFmtId="164" fontId="24" fillId="2" borderId="2" xfId="0" applyNumberFormat="1" applyFont="1" applyFill="1" applyBorder="1" applyAlignment="1">
      <alignment horizontal="center" wrapText="1"/>
    </xf>
    <xf numFmtId="164" fontId="25" fillId="2" borderId="2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164" fontId="17" fillId="2" borderId="2" xfId="0" applyNumberFormat="1" applyFont="1" applyFill="1" applyBorder="1" applyAlignment="1">
      <alignment horizontal="center" vertical="top" wrapText="1"/>
    </xf>
    <xf numFmtId="2" fontId="17" fillId="0" borderId="2" xfId="0" applyNumberFormat="1" applyFont="1" applyFill="1" applyBorder="1" applyAlignment="1">
      <alignment horizontal="center" vertical="top" wrapText="1"/>
    </xf>
    <xf numFmtId="164" fontId="16" fillId="2" borderId="2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wrapText="1"/>
    </xf>
    <xf numFmtId="165" fontId="16" fillId="0" borderId="2" xfId="0" applyNumberFormat="1" applyFont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/>
    <xf numFmtId="0" fontId="17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center" vertical="center" wrapText="1"/>
    </xf>
    <xf numFmtId="2" fontId="16" fillId="0" borderId="2" xfId="6" applyNumberFormat="1" applyFont="1" applyFill="1" applyBorder="1" applyAlignment="1">
      <alignment horizontal="center" vertical="top" wrapText="1"/>
    </xf>
    <xf numFmtId="0" fontId="16" fillId="0" borderId="2" xfId="6" applyNumberFormat="1" applyFont="1" applyFill="1" applyBorder="1" applyAlignment="1">
      <alignment horizontal="center" vertical="top" wrapText="1"/>
    </xf>
    <xf numFmtId="164" fontId="32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46" fillId="0" borderId="2" xfId="0" applyFont="1" applyFill="1" applyBorder="1"/>
    <xf numFmtId="0" fontId="35" fillId="0" borderId="2" xfId="0" applyFont="1" applyFill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49" fillId="0" borderId="2" xfId="0" applyFont="1" applyBorder="1"/>
    <xf numFmtId="164" fontId="54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/>
    <xf numFmtId="0" fontId="35" fillId="0" borderId="2" xfId="0" applyFont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54" fillId="0" borderId="2" xfId="0" applyFont="1" applyFill="1" applyBorder="1" applyAlignment="1">
      <alignment horizontal="left" vertical="center" wrapText="1"/>
    </xf>
    <xf numFmtId="9" fontId="66" fillId="0" borderId="0" xfId="0" applyNumberFormat="1" applyFont="1"/>
    <xf numFmtId="0" fontId="66" fillId="0" borderId="0" xfId="0" applyFont="1"/>
    <xf numFmtId="0" fontId="4" fillId="0" borderId="2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2" fontId="4" fillId="2" borderId="2" xfId="6" applyNumberFormat="1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3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/>
    <xf numFmtId="0" fontId="1" fillId="2" borderId="2" xfId="0" applyFont="1" applyFill="1" applyBorder="1" applyAlignment="1">
      <alignment horizontal="center" vertical="center"/>
    </xf>
    <xf numFmtId="165" fontId="16" fillId="2" borderId="2" xfId="0" applyNumberFormat="1" applyFont="1" applyFill="1" applyBorder="1" applyAlignment="1">
      <alignment horizontal="center" vertical="top" wrapText="1"/>
    </xf>
    <xf numFmtId="165" fontId="16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166" fontId="4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0" fontId="16" fillId="2" borderId="2" xfId="0" applyNumberFormat="1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3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164" fontId="4" fillId="2" borderId="2" xfId="6" applyNumberFormat="1" applyFont="1" applyFill="1" applyBorder="1" applyAlignment="1">
      <alignment horizontal="center" vertical="top" wrapText="1"/>
    </xf>
    <xf numFmtId="0" fontId="4" fillId="2" borderId="2" xfId="6" applyFont="1" applyFill="1" applyBorder="1" applyAlignment="1">
      <alignment horizontal="center" vertical="top" wrapText="1"/>
    </xf>
    <xf numFmtId="2" fontId="17" fillId="2" borderId="2" xfId="0" applyNumberFormat="1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/>
    </xf>
    <xf numFmtId="0" fontId="52" fillId="2" borderId="2" xfId="0" applyNumberFormat="1" applyFont="1" applyFill="1" applyBorder="1" applyAlignment="1">
      <alignment horizontal="center" vertical="top" wrapText="1"/>
    </xf>
    <xf numFmtId="164" fontId="16" fillId="2" borderId="2" xfId="6" applyNumberFormat="1" applyFont="1" applyFill="1" applyBorder="1" applyAlignment="1">
      <alignment horizontal="center" vertical="top" wrapText="1"/>
    </xf>
    <xf numFmtId="0" fontId="46" fillId="2" borderId="2" xfId="0" applyFont="1" applyFill="1" applyBorder="1"/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7" fontId="47" fillId="2" borderId="2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8" xfId="0" applyNumberFormat="1" applyFont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wrapText="1"/>
    </xf>
    <xf numFmtId="0" fontId="16" fillId="0" borderId="7" xfId="0" applyFont="1" applyBorder="1" applyAlignment="1">
      <alignment vertical="center"/>
    </xf>
    <xf numFmtId="0" fontId="16" fillId="0" borderId="7" xfId="0" applyNumberFormat="1" applyFont="1" applyBorder="1" applyAlignment="1">
      <alignment horizontal="center" vertical="top" wrapText="1"/>
    </xf>
    <xf numFmtId="0" fontId="68" fillId="0" borderId="0" xfId="0" applyFont="1" applyBorder="1"/>
    <xf numFmtId="0" fontId="68" fillId="0" borderId="0" xfId="0" applyFont="1"/>
    <xf numFmtId="0" fontId="17" fillId="2" borderId="6" xfId="0" applyFont="1" applyFill="1" applyBorder="1" applyAlignment="1">
      <alignment horizontal="left" vertical="center" wrapText="1"/>
    </xf>
    <xf numFmtId="164" fontId="17" fillId="2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165" fontId="3" fillId="2" borderId="8" xfId="0" applyNumberFormat="1" applyFont="1" applyFill="1" applyBorder="1" applyAlignment="1">
      <alignment horizontal="center" vertical="top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2" xfId="1" applyNumberFormat="1" applyFont="1" applyFill="1" applyBorder="1" applyAlignment="1">
      <alignment horizontal="left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164" fontId="69" fillId="0" borderId="0" xfId="0" applyNumberFormat="1" applyFont="1"/>
    <xf numFmtId="0" fontId="69" fillId="0" borderId="0" xfId="0" applyFont="1"/>
    <xf numFmtId="9" fontId="3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7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wrapText="1"/>
    </xf>
    <xf numFmtId="0" fontId="4" fillId="0" borderId="2" xfId="1" quotePrefix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7" fontId="47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2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2" fontId="9" fillId="2" borderId="3" xfId="2" applyNumberFormat="1" applyFont="1" applyFill="1" applyBorder="1" applyAlignment="1">
      <alignment horizontal="center"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2" fontId="9" fillId="2" borderId="6" xfId="2" applyNumberFormat="1" applyFont="1" applyFill="1" applyBorder="1" applyAlignment="1">
      <alignment horizontal="center" vertical="center" wrapText="1"/>
    </xf>
    <xf numFmtId="2" fontId="9" fillId="2" borderId="7" xfId="2" applyNumberFormat="1" applyFont="1" applyFill="1" applyBorder="1" applyAlignment="1">
      <alignment horizontal="center" vertical="center" wrapText="1"/>
    </xf>
    <xf numFmtId="167" fontId="47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6" fillId="0" borderId="6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9" fillId="2" borderId="8" xfId="2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2" fontId="9" fillId="2" borderId="8" xfId="2" applyNumberFormat="1" applyFont="1" applyFill="1" applyBorder="1" applyAlignment="1">
      <alignment horizontal="center" vertical="center" wrapText="1"/>
    </xf>
    <xf numFmtId="2" fontId="9" fillId="2" borderId="10" xfId="2" applyNumberFormat="1" applyFont="1" applyFill="1" applyBorder="1" applyAlignment="1">
      <alignment horizontal="center" vertical="center" wrapText="1"/>
    </xf>
    <xf numFmtId="2" fontId="9" fillId="2" borderId="14" xfId="2" applyNumberFormat="1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horizontal="center" vertical="center" wrapText="1"/>
    </xf>
    <xf numFmtId="0" fontId="69" fillId="0" borderId="0" xfId="0" applyNumberFormat="1" applyFont="1" applyFill="1"/>
    <xf numFmtId="164" fontId="69" fillId="0" borderId="0" xfId="0" applyNumberFormat="1" applyFont="1" applyFill="1"/>
    <xf numFmtId="0" fontId="69" fillId="0" borderId="0" xfId="0" applyFont="1" applyFill="1"/>
    <xf numFmtId="164" fontId="0" fillId="0" borderId="0" xfId="0" applyNumberFormat="1" applyFill="1"/>
  </cellXfs>
  <cellStyles count="8">
    <cellStyle name="Normal" xfId="0" builtinId="0"/>
    <cellStyle name="Normal 13 5" xfId="2"/>
    <cellStyle name="Normal 3" xfId="1"/>
    <cellStyle name="Style 1" xfId="3"/>
    <cellStyle name="Обычный 5 2 2" xfId="5"/>
    <cellStyle name="Обычный_barat.xarj" xfId="6"/>
    <cellStyle name="Обычный_დემონტაჟი" xfId="4"/>
    <cellStyle name="Обычный_დემონტაჟი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zoomScale="80" zoomScaleNormal="100" zoomScaleSheetLayoutView="80" workbookViewId="0">
      <selection activeCell="O15" sqref="O15"/>
    </sheetView>
  </sheetViews>
  <sheetFormatPr defaultRowHeight="15" x14ac:dyDescent="0.25"/>
  <cols>
    <col min="1" max="1" width="4.7109375" customWidth="1"/>
    <col min="2" max="2" width="21.42578125" customWidth="1"/>
    <col min="3" max="3" width="44.42578125" customWidth="1"/>
    <col min="4" max="7" width="10.28515625" customWidth="1"/>
    <col min="8" max="8" width="16.28515625" customWidth="1"/>
  </cols>
  <sheetData>
    <row r="1" spans="1:14" ht="21.75" customHeight="1" x14ac:dyDescent="0.25">
      <c r="A1" s="721" t="s">
        <v>413</v>
      </c>
      <c r="B1" s="721"/>
      <c r="C1" s="721"/>
      <c r="D1" s="2"/>
    </row>
    <row r="3" spans="1:14" ht="18" customHeight="1" x14ac:dyDescent="0.25">
      <c r="A3" s="722" t="s">
        <v>1</v>
      </c>
      <c r="B3" s="722"/>
      <c r="C3" s="722"/>
      <c r="D3" s="722"/>
      <c r="E3" s="722"/>
      <c r="F3" s="722"/>
      <c r="G3" s="722"/>
      <c r="H3" s="722"/>
    </row>
    <row r="4" spans="1:14" ht="20.25" customHeight="1" x14ac:dyDescent="0.25">
      <c r="A4" s="723"/>
      <c r="B4" s="723"/>
      <c r="C4" s="723"/>
      <c r="D4" s="723"/>
      <c r="E4" s="723"/>
      <c r="F4" s="723"/>
      <c r="G4" s="723"/>
      <c r="H4" s="723"/>
    </row>
    <row r="5" spans="1:14" ht="22.5" customHeight="1" x14ac:dyDescent="0.25">
      <c r="A5" s="724" t="s">
        <v>2</v>
      </c>
      <c r="B5" s="726" t="s">
        <v>3</v>
      </c>
      <c r="C5" s="724" t="s">
        <v>4</v>
      </c>
      <c r="D5" s="727" t="s">
        <v>5</v>
      </c>
      <c r="E5" s="728"/>
      <c r="F5" s="728"/>
      <c r="G5" s="729"/>
      <c r="H5" s="730" t="s">
        <v>412</v>
      </c>
    </row>
    <row r="6" spans="1:14" ht="54" x14ac:dyDescent="0.25">
      <c r="A6" s="725"/>
      <c r="B6" s="725"/>
      <c r="C6" s="725"/>
      <c r="D6" s="3" t="s">
        <v>6</v>
      </c>
      <c r="E6" s="3" t="s">
        <v>7</v>
      </c>
      <c r="F6" s="4" t="s">
        <v>8</v>
      </c>
      <c r="G6" s="3" t="s">
        <v>9</v>
      </c>
      <c r="H6" s="731"/>
      <c r="I6" s="654"/>
      <c r="J6" s="655"/>
      <c r="K6" s="654"/>
      <c r="L6" s="655"/>
    </row>
    <row r="7" spans="1:14" x14ac:dyDescent="0.25">
      <c r="A7" s="5" t="s">
        <v>10</v>
      </c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5" t="s">
        <v>16</v>
      </c>
      <c r="H7" s="5" t="s">
        <v>17</v>
      </c>
      <c r="I7" s="655"/>
      <c r="J7" s="655"/>
      <c r="K7" s="655"/>
      <c r="L7" s="655"/>
    </row>
    <row r="8" spans="1:14" ht="34.5" customHeight="1" x14ac:dyDescent="0.25">
      <c r="A8" s="6">
        <v>1</v>
      </c>
      <c r="B8" s="6" t="s">
        <v>18</v>
      </c>
      <c r="C8" s="709" t="s">
        <v>19</v>
      </c>
      <c r="D8" s="9"/>
      <c r="E8" s="8"/>
      <c r="F8" s="8"/>
      <c r="G8" s="6"/>
      <c r="H8" s="9"/>
      <c r="I8" s="774"/>
      <c r="J8" s="775"/>
      <c r="K8" s="774"/>
      <c r="L8" s="717"/>
      <c r="M8" s="718"/>
      <c r="N8" s="718"/>
    </row>
    <row r="9" spans="1:14" ht="34.5" customHeight="1" x14ac:dyDescent="0.25">
      <c r="A9" s="6">
        <v>2</v>
      </c>
      <c r="B9" s="6" t="s">
        <v>20</v>
      </c>
      <c r="C9" s="709" t="s">
        <v>391</v>
      </c>
      <c r="D9" s="9"/>
      <c r="E9" s="7"/>
      <c r="F9" s="9"/>
      <c r="G9" s="9"/>
      <c r="H9" s="9"/>
      <c r="I9" s="776"/>
      <c r="J9" s="775"/>
      <c r="K9" s="776"/>
      <c r="L9" s="717"/>
      <c r="M9" s="718"/>
      <c r="N9" s="718"/>
    </row>
    <row r="10" spans="1:14" ht="31.5" customHeight="1" x14ac:dyDescent="0.25">
      <c r="A10" s="10">
        <v>3</v>
      </c>
      <c r="B10" s="6" t="s">
        <v>21</v>
      </c>
      <c r="C10" s="709" t="s">
        <v>395</v>
      </c>
      <c r="D10" s="381"/>
      <c r="E10" s="12"/>
      <c r="F10" s="12"/>
      <c r="G10" s="11"/>
      <c r="H10" s="381"/>
      <c r="I10" s="776"/>
      <c r="J10" s="775"/>
      <c r="K10" s="776"/>
      <c r="L10" s="717"/>
      <c r="M10" s="718"/>
      <c r="N10" s="718"/>
    </row>
    <row r="11" spans="1:14" ht="19.5" customHeight="1" x14ac:dyDescent="0.25">
      <c r="A11" s="10">
        <v>4</v>
      </c>
      <c r="B11" s="15"/>
      <c r="C11" s="15" t="s">
        <v>392</v>
      </c>
      <c r="D11" s="13"/>
      <c r="E11" s="13"/>
      <c r="F11" s="13"/>
      <c r="G11" s="13"/>
      <c r="H11" s="16"/>
      <c r="I11" s="776"/>
      <c r="J11" s="776"/>
      <c r="K11" s="776"/>
      <c r="L11" s="717"/>
      <c r="M11" s="718"/>
      <c r="N11" s="718"/>
    </row>
    <row r="12" spans="1:14" ht="24.75" customHeight="1" x14ac:dyDescent="0.25">
      <c r="A12" s="10">
        <v>5</v>
      </c>
      <c r="B12" s="6" t="s">
        <v>22</v>
      </c>
      <c r="C12" s="710" t="s">
        <v>420</v>
      </c>
      <c r="D12" s="381"/>
      <c r="E12" s="12"/>
      <c r="F12" s="12"/>
      <c r="G12" s="11"/>
      <c r="H12" s="9"/>
      <c r="I12" s="21"/>
      <c r="J12" s="21"/>
      <c r="K12" s="21"/>
    </row>
    <row r="13" spans="1:14" ht="16.5" customHeight="1" x14ac:dyDescent="0.25">
      <c r="A13" s="3">
        <v>6</v>
      </c>
      <c r="B13" s="3"/>
      <c r="C13" s="15" t="s">
        <v>393</v>
      </c>
      <c r="D13" s="13"/>
      <c r="E13" s="13"/>
      <c r="F13" s="13"/>
      <c r="G13" s="13"/>
      <c r="H13" s="16"/>
      <c r="I13" s="21"/>
      <c r="J13" s="21"/>
      <c r="K13" s="21"/>
    </row>
    <row r="14" spans="1:14" ht="18.75" customHeight="1" x14ac:dyDescent="0.25">
      <c r="A14" s="10">
        <v>7</v>
      </c>
      <c r="B14" s="15"/>
      <c r="C14" s="15" t="s">
        <v>394</v>
      </c>
      <c r="D14" s="13"/>
      <c r="E14" s="13"/>
      <c r="F14" s="13"/>
      <c r="G14" s="13"/>
      <c r="H14" s="16"/>
      <c r="I14" s="21"/>
      <c r="J14" s="21"/>
      <c r="K14" s="21"/>
    </row>
    <row r="15" spans="1:14" ht="22.5" customHeight="1" x14ac:dyDescent="0.25">
      <c r="A15" s="10">
        <v>8</v>
      </c>
      <c r="B15" s="690"/>
      <c r="C15" s="715" t="s">
        <v>417</v>
      </c>
      <c r="D15" s="13"/>
      <c r="E15" s="13"/>
      <c r="F15" s="13"/>
      <c r="G15" s="13"/>
      <c r="H15" s="716"/>
      <c r="I15" s="21"/>
      <c r="J15" s="21"/>
      <c r="K15" s="21"/>
    </row>
    <row r="16" spans="1:14" ht="17.25" customHeight="1" x14ac:dyDescent="0.25">
      <c r="A16" s="10">
        <v>9</v>
      </c>
      <c r="B16" s="15"/>
      <c r="C16" s="15" t="s">
        <v>23</v>
      </c>
      <c r="D16" s="13"/>
      <c r="E16" s="13"/>
      <c r="F16" s="13"/>
      <c r="G16" s="13"/>
      <c r="H16" s="16"/>
      <c r="I16" s="21"/>
      <c r="J16" s="21"/>
      <c r="K16" s="21"/>
    </row>
    <row r="17" spans="1:11" ht="17.25" customHeight="1" x14ac:dyDescent="0.25">
      <c r="A17" s="10">
        <v>10</v>
      </c>
      <c r="B17" s="3"/>
      <c r="C17" s="719" t="s">
        <v>418</v>
      </c>
      <c r="D17" s="14"/>
      <c r="E17" s="720"/>
      <c r="F17" s="720"/>
      <c r="G17" s="13"/>
      <c r="H17" s="382"/>
      <c r="I17" s="21"/>
      <c r="J17" s="21"/>
      <c r="K17" s="21"/>
    </row>
    <row r="18" spans="1:11" ht="17.25" customHeight="1" x14ac:dyDescent="0.25">
      <c r="A18" s="3">
        <v>11</v>
      </c>
      <c r="B18" s="15"/>
      <c r="C18" s="15" t="s">
        <v>426</v>
      </c>
      <c r="D18" s="13"/>
      <c r="E18" s="13"/>
      <c r="F18" s="13"/>
      <c r="G18" s="13"/>
      <c r="H18" s="16"/>
      <c r="I18" s="21"/>
      <c r="J18" s="777"/>
      <c r="K18" s="21"/>
    </row>
    <row r="19" spans="1:11" x14ac:dyDescent="0.25">
      <c r="D19" s="21"/>
      <c r="E19" s="21"/>
      <c r="F19" s="21"/>
      <c r="G19" s="21"/>
      <c r="H19" s="21"/>
      <c r="I19" s="21"/>
      <c r="J19" s="21"/>
      <c r="K19" s="21"/>
    </row>
    <row r="20" spans="1:11" x14ac:dyDescent="0.25">
      <c r="D20" s="21"/>
      <c r="E20" s="21"/>
      <c r="F20" s="21"/>
      <c r="G20" s="21"/>
      <c r="H20" s="21"/>
      <c r="I20" s="21"/>
      <c r="J20" s="21"/>
      <c r="K20" s="21"/>
    </row>
    <row r="21" spans="1:11" x14ac:dyDescent="0.25">
      <c r="D21" s="21"/>
      <c r="E21" s="21"/>
      <c r="F21" s="21"/>
      <c r="G21" s="21"/>
      <c r="H21" s="21"/>
      <c r="I21" s="21"/>
      <c r="J21" s="21"/>
      <c r="K21" s="21"/>
    </row>
    <row r="22" spans="1:11" x14ac:dyDescent="0.25">
      <c r="D22" s="21"/>
      <c r="E22" s="21"/>
      <c r="F22" s="21"/>
      <c r="G22" s="21"/>
      <c r="H22" s="21"/>
      <c r="I22" s="21"/>
      <c r="J22" s="21"/>
      <c r="K22" s="21"/>
    </row>
    <row r="23" spans="1:11" x14ac:dyDescent="0.25">
      <c r="D23" s="21"/>
      <c r="E23" s="21"/>
      <c r="F23" s="21"/>
      <c r="G23" s="21"/>
      <c r="H23" s="21"/>
      <c r="I23" s="21"/>
      <c r="J23" s="21"/>
      <c r="K23" s="21"/>
    </row>
    <row r="24" spans="1:11" x14ac:dyDescent="0.25">
      <c r="D24" s="21"/>
      <c r="E24" s="21"/>
      <c r="F24" s="21"/>
      <c r="G24" s="21"/>
      <c r="H24" s="21"/>
      <c r="I24" s="21"/>
      <c r="J24" s="21"/>
      <c r="K24" s="21"/>
    </row>
  </sheetData>
  <mergeCells count="8">
    <mergeCell ref="A1:C1"/>
    <mergeCell ref="A3:H3"/>
    <mergeCell ref="A4:H4"/>
    <mergeCell ref="A5:A6"/>
    <mergeCell ref="B5:B6"/>
    <mergeCell ref="C5:C6"/>
    <mergeCell ref="D5:G5"/>
    <mergeCell ref="H5:H6"/>
  </mergeCells>
  <pageMargins left="0.25" right="0.25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2"/>
  <sheetViews>
    <sheetView view="pageBreakPreview" topLeftCell="A577" zoomScale="82" zoomScaleNormal="100" zoomScaleSheetLayoutView="82" workbookViewId="0">
      <selection activeCell="C593" sqref="C593"/>
    </sheetView>
  </sheetViews>
  <sheetFormatPr defaultRowHeight="15" x14ac:dyDescent="0.25"/>
  <cols>
    <col min="1" max="1" width="3.85546875" customWidth="1"/>
    <col min="2" max="2" width="10.5703125" customWidth="1"/>
    <col min="3" max="3" width="43.5703125" customWidth="1"/>
    <col min="4" max="4" width="8.7109375" customWidth="1"/>
    <col min="6" max="6" width="9.140625" style="665"/>
    <col min="7" max="7" width="8" customWidth="1"/>
    <col min="8" max="8" width="8.28515625" customWidth="1"/>
    <col min="9" max="9" width="7.7109375" style="665" customWidth="1"/>
    <col min="10" max="10" width="8.5703125" customWidth="1"/>
    <col min="11" max="11" width="7.140625" customWidth="1"/>
    <col min="12" max="12" width="8.85546875" customWidth="1"/>
    <col min="13" max="13" width="10.7109375" customWidth="1"/>
  </cols>
  <sheetData>
    <row r="1" spans="1:13" x14ac:dyDescent="0.25">
      <c r="A1" s="721" t="s">
        <v>0</v>
      </c>
      <c r="B1" s="721"/>
      <c r="C1" s="721"/>
      <c r="D1" s="721"/>
      <c r="E1" s="1"/>
      <c r="F1" s="663"/>
      <c r="G1" s="1"/>
      <c r="H1" s="1"/>
      <c r="I1" s="663"/>
      <c r="J1" s="1"/>
      <c r="K1" s="1"/>
      <c r="L1" s="1"/>
    </row>
    <row r="2" spans="1:13" x14ac:dyDescent="0.25">
      <c r="A2" s="732" t="s">
        <v>422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</row>
    <row r="3" spans="1:13" x14ac:dyDescent="0.25">
      <c r="A3" s="732" t="s">
        <v>24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</row>
    <row r="4" spans="1:13" x14ac:dyDescent="0.25">
      <c r="A4" s="732" t="s">
        <v>25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</row>
    <row r="5" spans="1:13" x14ac:dyDescent="0.25">
      <c r="A5" s="1"/>
      <c r="B5" s="1"/>
      <c r="C5" s="19"/>
      <c r="D5" s="19"/>
      <c r="E5" s="19"/>
      <c r="F5" s="664"/>
      <c r="G5" s="19"/>
      <c r="H5" s="19"/>
      <c r="I5" s="664"/>
      <c r="J5" s="19"/>
      <c r="K5" s="19"/>
      <c r="L5" s="19"/>
      <c r="M5" s="1"/>
    </row>
    <row r="6" spans="1:13" ht="30.75" customHeight="1" x14ac:dyDescent="0.25">
      <c r="A6" s="742" t="s">
        <v>26</v>
      </c>
      <c r="B6" s="741" t="s">
        <v>27</v>
      </c>
      <c r="C6" s="741" t="s">
        <v>28</v>
      </c>
      <c r="D6" s="741" t="s">
        <v>29</v>
      </c>
      <c r="E6" s="741" t="s">
        <v>30</v>
      </c>
      <c r="F6" s="741"/>
      <c r="G6" s="740" t="s">
        <v>31</v>
      </c>
      <c r="H6" s="740"/>
      <c r="I6" s="740" t="s">
        <v>32</v>
      </c>
      <c r="J6" s="740"/>
      <c r="K6" s="740" t="s">
        <v>33</v>
      </c>
      <c r="L6" s="740"/>
      <c r="M6" s="740" t="s">
        <v>34</v>
      </c>
    </row>
    <row r="7" spans="1:13" x14ac:dyDescent="0.25">
      <c r="A7" s="743"/>
      <c r="B7" s="741"/>
      <c r="C7" s="741"/>
      <c r="D7" s="741"/>
      <c r="E7" s="22" t="s">
        <v>35</v>
      </c>
      <c r="F7" s="394" t="s">
        <v>34</v>
      </c>
      <c r="G7" s="22" t="s">
        <v>35</v>
      </c>
      <c r="H7" s="22" t="s">
        <v>34</v>
      </c>
      <c r="I7" s="394" t="s">
        <v>35</v>
      </c>
      <c r="J7" s="22" t="s">
        <v>34</v>
      </c>
      <c r="K7" s="22" t="s">
        <v>35</v>
      </c>
      <c r="L7" s="22" t="s">
        <v>34</v>
      </c>
      <c r="M7" s="740"/>
    </row>
    <row r="8" spans="1:13" x14ac:dyDescent="0.25">
      <c r="A8" s="24">
        <v>1</v>
      </c>
      <c r="B8" s="25">
        <v>2</v>
      </c>
      <c r="C8" s="25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7">
        <v>9</v>
      </c>
      <c r="J8" s="24">
        <v>10</v>
      </c>
      <c r="K8" s="24">
        <v>11</v>
      </c>
      <c r="L8" s="24">
        <v>12</v>
      </c>
      <c r="M8" s="27">
        <v>13</v>
      </c>
    </row>
    <row r="9" spans="1:13" ht="23.25" customHeight="1" x14ac:dyDescent="0.25">
      <c r="A9" s="28"/>
      <c r="B9" s="29"/>
      <c r="C9" s="30" t="s">
        <v>36</v>
      </c>
      <c r="D9" s="31"/>
      <c r="E9" s="32"/>
      <c r="F9" s="666"/>
      <c r="G9" s="34"/>
      <c r="H9" s="33"/>
      <c r="I9" s="666"/>
      <c r="J9" s="35"/>
      <c r="K9" s="36"/>
      <c r="L9" s="36"/>
      <c r="M9" s="36"/>
    </row>
    <row r="10" spans="1:13" ht="36" customHeight="1" x14ac:dyDescent="0.25">
      <c r="A10" s="395">
        <v>1</v>
      </c>
      <c r="B10" s="396" t="s">
        <v>37</v>
      </c>
      <c r="C10" s="397" t="s">
        <v>38</v>
      </c>
      <c r="D10" s="398" t="s">
        <v>39</v>
      </c>
      <c r="E10" s="398"/>
      <c r="F10" s="425">
        <v>48</v>
      </c>
      <c r="G10" s="400"/>
      <c r="H10" s="401"/>
      <c r="I10" s="524"/>
      <c r="J10" s="403"/>
      <c r="K10" s="404"/>
      <c r="L10" s="404"/>
      <c r="M10" s="405"/>
    </row>
    <row r="11" spans="1:13" ht="13.5" customHeight="1" x14ac:dyDescent="0.25">
      <c r="A11" s="395"/>
      <c r="B11" s="396"/>
      <c r="C11" s="406" t="s">
        <v>40</v>
      </c>
      <c r="D11" s="407" t="s">
        <v>41</v>
      </c>
      <c r="E11" s="407">
        <v>0.28899999999999998</v>
      </c>
      <c r="F11" s="430">
        <f>E11*F10</f>
        <v>13.872</v>
      </c>
      <c r="G11" s="407"/>
      <c r="H11" s="401"/>
      <c r="I11" s="432"/>
      <c r="J11" s="401"/>
      <c r="K11" s="408"/>
      <c r="L11" s="401"/>
      <c r="M11" s="401"/>
    </row>
    <row r="12" spans="1:13" x14ac:dyDescent="0.25">
      <c r="A12" s="395"/>
      <c r="B12" s="396"/>
      <c r="C12" s="406" t="s">
        <v>42</v>
      </c>
      <c r="D12" s="407" t="s">
        <v>43</v>
      </c>
      <c r="E12" s="407">
        <v>6.2799999999999995E-2</v>
      </c>
      <c r="F12" s="430">
        <f>E12*F10</f>
        <v>3.0143999999999997</v>
      </c>
      <c r="G12" s="400"/>
      <c r="H12" s="401"/>
      <c r="I12" s="432"/>
      <c r="J12" s="401"/>
      <c r="K12" s="408"/>
      <c r="L12" s="401"/>
      <c r="M12" s="401"/>
    </row>
    <row r="13" spans="1:13" ht="22.5" customHeight="1" x14ac:dyDescent="0.3">
      <c r="A13" s="409">
        <v>2</v>
      </c>
      <c r="B13" s="410" t="s">
        <v>44</v>
      </c>
      <c r="C13" s="411" t="s">
        <v>45</v>
      </c>
      <c r="D13" s="412" t="s">
        <v>46</v>
      </c>
      <c r="E13" s="412"/>
      <c r="F13" s="498">
        <v>48</v>
      </c>
      <c r="G13" s="413"/>
      <c r="H13" s="414"/>
      <c r="I13" s="673"/>
      <c r="J13" s="415"/>
      <c r="K13" s="416"/>
      <c r="L13" s="416"/>
      <c r="M13" s="417"/>
    </row>
    <row r="14" spans="1:13" ht="17.25" customHeight="1" x14ac:dyDescent="0.25">
      <c r="A14" s="409"/>
      <c r="B14" s="396"/>
      <c r="C14" s="418" t="s">
        <v>47</v>
      </c>
      <c r="D14" s="419" t="s">
        <v>48</v>
      </c>
      <c r="E14" s="414">
        <f>0.238+0.0284*4</f>
        <v>0.35160000000000002</v>
      </c>
      <c r="F14" s="506">
        <f>E14*F13</f>
        <v>16.876800000000003</v>
      </c>
      <c r="G14" s="419"/>
      <c r="H14" s="414"/>
      <c r="I14" s="674"/>
      <c r="J14" s="414"/>
      <c r="K14" s="420"/>
      <c r="L14" s="414"/>
      <c r="M14" s="414"/>
    </row>
    <row r="15" spans="1:13" ht="19.5" customHeight="1" x14ac:dyDescent="0.3">
      <c r="A15" s="409"/>
      <c r="B15" s="396"/>
      <c r="C15" s="418" t="s">
        <v>49</v>
      </c>
      <c r="D15" s="419" t="s">
        <v>50</v>
      </c>
      <c r="E15" s="419">
        <v>7.8E-2</v>
      </c>
      <c r="F15" s="506">
        <f>E15*F13</f>
        <v>3.7439999999999998</v>
      </c>
      <c r="G15" s="413"/>
      <c r="H15" s="414"/>
      <c r="I15" s="674"/>
      <c r="J15" s="414"/>
      <c r="K15" s="420"/>
      <c r="L15" s="414"/>
      <c r="M15" s="414"/>
    </row>
    <row r="16" spans="1:13" ht="34.5" customHeight="1" x14ac:dyDescent="0.25">
      <c r="A16" s="421">
        <v>3</v>
      </c>
      <c r="B16" s="422" t="s">
        <v>51</v>
      </c>
      <c r="C16" s="423" t="s">
        <v>52</v>
      </c>
      <c r="D16" s="424" t="s">
        <v>39</v>
      </c>
      <c r="E16" s="424"/>
      <c r="F16" s="425">
        <v>48</v>
      </c>
      <c r="G16" s="426"/>
      <c r="H16" s="425"/>
      <c r="I16" s="426"/>
      <c r="J16" s="425"/>
      <c r="K16" s="426"/>
      <c r="L16" s="425"/>
      <c r="M16" s="425"/>
    </row>
    <row r="17" spans="1:13" ht="21.75" customHeight="1" x14ac:dyDescent="0.25">
      <c r="A17" s="421"/>
      <c r="B17" s="427" t="s">
        <v>53</v>
      </c>
      <c r="C17" s="428" t="s">
        <v>54</v>
      </c>
      <c r="D17" s="429" t="s">
        <v>39</v>
      </c>
      <c r="E17" s="430">
        <v>1</v>
      </c>
      <c r="F17" s="431">
        <f>E17*F16</f>
        <v>48</v>
      </c>
      <c r="G17" s="429"/>
      <c r="H17" s="430"/>
      <c r="I17" s="432"/>
      <c r="J17" s="430"/>
      <c r="K17" s="432"/>
      <c r="L17" s="430"/>
      <c r="M17" s="430"/>
    </row>
    <row r="18" spans="1:13" ht="15.75" customHeight="1" x14ac:dyDescent="0.25">
      <c r="A18" s="421"/>
      <c r="B18" s="427"/>
      <c r="C18" s="428" t="s">
        <v>55</v>
      </c>
      <c r="D18" s="429" t="s">
        <v>56</v>
      </c>
      <c r="E18" s="433">
        <f>0.0408*1.2</f>
        <v>4.8960000000000004E-2</v>
      </c>
      <c r="F18" s="431">
        <f>E18*F16</f>
        <v>2.3500800000000002</v>
      </c>
      <c r="G18" s="429"/>
      <c r="H18" s="430"/>
      <c r="I18" s="432"/>
      <c r="J18" s="430"/>
      <c r="K18" s="432"/>
      <c r="L18" s="430"/>
      <c r="M18" s="430"/>
    </row>
    <row r="19" spans="1:13" x14ac:dyDescent="0.25">
      <c r="A19" s="421"/>
      <c r="B19" s="427"/>
      <c r="C19" s="428" t="s">
        <v>57</v>
      </c>
      <c r="D19" s="429" t="s">
        <v>39</v>
      </c>
      <c r="E19" s="429">
        <v>1</v>
      </c>
      <c r="F19" s="431">
        <f>E19*F16</f>
        <v>48</v>
      </c>
      <c r="G19" s="429"/>
      <c r="H19" s="430"/>
      <c r="I19" s="432"/>
      <c r="J19" s="430"/>
      <c r="K19" s="432"/>
      <c r="L19" s="430"/>
      <c r="M19" s="430"/>
    </row>
    <row r="20" spans="1:13" ht="17.25" customHeight="1" x14ac:dyDescent="0.25">
      <c r="A20" s="421"/>
      <c r="B20" s="429"/>
      <c r="C20" s="428" t="s">
        <v>58</v>
      </c>
      <c r="D20" s="429" t="s">
        <v>43</v>
      </c>
      <c r="E20" s="429">
        <v>2.6499999999999999E-2</v>
      </c>
      <c r="F20" s="431">
        <f>E20*F16</f>
        <v>1.272</v>
      </c>
      <c r="G20" s="429"/>
      <c r="H20" s="430"/>
      <c r="I20" s="432"/>
      <c r="J20" s="430"/>
      <c r="K20" s="432"/>
      <c r="L20" s="430"/>
      <c r="M20" s="430"/>
    </row>
    <row r="21" spans="1:13" ht="36.75" customHeight="1" x14ac:dyDescent="0.25">
      <c r="A21" s="409">
        <v>4</v>
      </c>
      <c r="B21" s="434" t="s">
        <v>59</v>
      </c>
      <c r="C21" s="435" t="s">
        <v>60</v>
      </c>
      <c r="D21" s="412" t="s">
        <v>46</v>
      </c>
      <c r="E21" s="436"/>
      <c r="F21" s="498">
        <v>48</v>
      </c>
      <c r="G21" s="419"/>
      <c r="H21" s="414"/>
      <c r="I21" s="674"/>
      <c r="J21" s="414"/>
      <c r="K21" s="420"/>
      <c r="L21" s="414"/>
      <c r="M21" s="437"/>
    </row>
    <row r="22" spans="1:13" ht="18.75" customHeight="1" x14ac:dyDescent="0.25">
      <c r="A22" s="409"/>
      <c r="B22" s="434"/>
      <c r="C22" s="418" t="s">
        <v>61</v>
      </c>
      <c r="D22" s="419" t="s">
        <v>48</v>
      </c>
      <c r="E22" s="414">
        <f>0.71*1.2</f>
        <v>0.85199999999999998</v>
      </c>
      <c r="F22" s="506">
        <f>E22*F21</f>
        <v>40.896000000000001</v>
      </c>
      <c r="G22" s="419"/>
      <c r="H22" s="414"/>
      <c r="I22" s="674"/>
      <c r="J22" s="414"/>
      <c r="K22" s="420"/>
      <c r="L22" s="414"/>
      <c r="M22" s="438"/>
    </row>
    <row r="23" spans="1:13" ht="18.75" customHeight="1" x14ac:dyDescent="0.25">
      <c r="A23" s="409"/>
      <c r="B23" s="434"/>
      <c r="C23" s="418" t="s">
        <v>62</v>
      </c>
      <c r="D23" s="419" t="s">
        <v>50</v>
      </c>
      <c r="E23" s="439">
        <f>0.0301*1.2</f>
        <v>3.6119999999999999E-2</v>
      </c>
      <c r="F23" s="506">
        <f>E23*F21</f>
        <v>1.73376</v>
      </c>
      <c r="G23" s="419"/>
      <c r="H23" s="414"/>
      <c r="I23" s="674"/>
      <c r="J23" s="414"/>
      <c r="K23" s="420"/>
      <c r="L23" s="414"/>
      <c r="M23" s="414"/>
    </row>
    <row r="24" spans="1:13" ht="31.5" customHeight="1" x14ac:dyDescent="0.25">
      <c r="A24" s="409"/>
      <c r="B24" s="434"/>
      <c r="C24" s="418" t="s">
        <v>63</v>
      </c>
      <c r="D24" s="419" t="s">
        <v>46</v>
      </c>
      <c r="E24" s="419">
        <v>1.0149999999999999</v>
      </c>
      <c r="F24" s="667">
        <f>E24*F21</f>
        <v>48.72</v>
      </c>
      <c r="G24" s="419"/>
      <c r="H24" s="414"/>
      <c r="I24" s="674"/>
      <c r="J24" s="414"/>
      <c r="K24" s="420"/>
      <c r="L24" s="414"/>
      <c r="M24" s="414"/>
    </row>
    <row r="25" spans="1:13" ht="18" customHeight="1" x14ac:dyDescent="0.25">
      <c r="A25" s="409"/>
      <c r="B25" s="434"/>
      <c r="C25" s="418" t="s">
        <v>64</v>
      </c>
      <c r="D25" s="419" t="s">
        <v>50</v>
      </c>
      <c r="E25" s="419">
        <v>0.107</v>
      </c>
      <c r="F25" s="506">
        <f>E25*F21</f>
        <v>5.1360000000000001</v>
      </c>
      <c r="G25" s="419"/>
      <c r="H25" s="414"/>
      <c r="I25" s="674"/>
      <c r="J25" s="414"/>
      <c r="K25" s="420"/>
      <c r="L25" s="414"/>
      <c r="M25" s="414"/>
    </row>
    <row r="26" spans="1:13" ht="30.75" customHeight="1" x14ac:dyDescent="0.25">
      <c r="A26" s="440">
        <v>5</v>
      </c>
      <c r="B26" s="441" t="s">
        <v>65</v>
      </c>
      <c r="C26" s="442" t="s">
        <v>66</v>
      </c>
      <c r="D26" s="443" t="s">
        <v>67</v>
      </c>
      <c r="E26" s="440"/>
      <c r="F26" s="626">
        <v>2</v>
      </c>
      <c r="G26" s="419"/>
      <c r="H26" s="414"/>
      <c r="I26" s="674"/>
      <c r="J26" s="414"/>
      <c r="K26" s="420"/>
      <c r="L26" s="414"/>
      <c r="M26" s="414"/>
    </row>
    <row r="27" spans="1:13" ht="15.75" customHeight="1" x14ac:dyDescent="0.25">
      <c r="A27" s="445"/>
      <c r="B27" s="446"/>
      <c r="C27" s="447" t="s">
        <v>68</v>
      </c>
      <c r="D27" s="409" t="s">
        <v>67</v>
      </c>
      <c r="E27" s="448">
        <v>1</v>
      </c>
      <c r="F27" s="638">
        <f>E27*F26</f>
        <v>2</v>
      </c>
      <c r="G27" s="420"/>
      <c r="H27" s="414"/>
      <c r="I27" s="637"/>
      <c r="J27" s="449"/>
      <c r="K27" s="420"/>
      <c r="L27" s="414"/>
      <c r="M27" s="414"/>
    </row>
    <row r="28" spans="1:13" ht="15.75" customHeight="1" x14ac:dyDescent="0.25">
      <c r="A28" s="445"/>
      <c r="B28" s="450"/>
      <c r="C28" s="447" t="s">
        <v>69</v>
      </c>
      <c r="D28" s="451" t="s">
        <v>50</v>
      </c>
      <c r="E28" s="452">
        <f>0.0633*1.2*1.5</f>
        <v>0.11393999999999999</v>
      </c>
      <c r="F28" s="668">
        <f>E28*F26</f>
        <v>0.22787999999999997</v>
      </c>
      <c r="G28" s="419"/>
      <c r="H28" s="414"/>
      <c r="I28" s="674"/>
      <c r="J28" s="414"/>
      <c r="K28" s="420"/>
      <c r="L28" s="414"/>
      <c r="M28" s="414"/>
    </row>
    <row r="29" spans="1:13" ht="15.75" customHeight="1" x14ac:dyDescent="0.25">
      <c r="A29" s="445"/>
      <c r="B29" s="446"/>
      <c r="C29" s="418" t="s">
        <v>70</v>
      </c>
      <c r="D29" s="419" t="s">
        <v>67</v>
      </c>
      <c r="E29" s="419">
        <v>1</v>
      </c>
      <c r="F29" s="667">
        <f>E29*F26</f>
        <v>2</v>
      </c>
      <c r="G29" s="419"/>
      <c r="H29" s="414"/>
      <c r="I29" s="674"/>
      <c r="J29" s="414"/>
      <c r="K29" s="420"/>
      <c r="L29" s="414"/>
      <c r="M29" s="438"/>
    </row>
    <row r="30" spans="1:13" x14ac:dyDescent="0.25">
      <c r="A30" s="421"/>
      <c r="B30" s="427"/>
      <c r="C30" s="428" t="s">
        <v>71</v>
      </c>
      <c r="D30" s="429" t="s">
        <v>67</v>
      </c>
      <c r="E30" s="429">
        <v>2</v>
      </c>
      <c r="F30" s="431">
        <f>E30*F26</f>
        <v>4</v>
      </c>
      <c r="G30" s="429"/>
      <c r="H30" s="430"/>
      <c r="I30" s="432"/>
      <c r="J30" s="430"/>
      <c r="K30" s="432"/>
      <c r="L30" s="430"/>
      <c r="M30" s="430"/>
    </row>
    <row r="31" spans="1:13" ht="20.25" customHeight="1" x14ac:dyDescent="0.25">
      <c r="A31" s="445"/>
      <c r="B31" s="450"/>
      <c r="C31" s="447" t="s">
        <v>72</v>
      </c>
      <c r="D31" s="451" t="s">
        <v>50</v>
      </c>
      <c r="E31" s="440">
        <v>0.28000000000000003</v>
      </c>
      <c r="F31" s="638">
        <f>E31*F26</f>
        <v>0.56000000000000005</v>
      </c>
      <c r="G31" s="420"/>
      <c r="H31" s="414"/>
      <c r="I31" s="675"/>
      <c r="J31" s="414"/>
      <c r="K31" s="420"/>
      <c r="L31" s="414"/>
      <c r="M31" s="414"/>
    </row>
    <row r="32" spans="1:13" ht="46.5" customHeight="1" x14ac:dyDescent="0.25">
      <c r="A32" s="395">
        <v>6</v>
      </c>
      <c r="B32" s="739" t="s">
        <v>73</v>
      </c>
      <c r="C32" s="454" t="s">
        <v>74</v>
      </c>
      <c r="D32" s="407" t="s">
        <v>39</v>
      </c>
      <c r="E32" s="398"/>
      <c r="F32" s="426">
        <v>4.13</v>
      </c>
      <c r="G32" s="456"/>
      <c r="H32" s="401"/>
      <c r="I32" s="524"/>
      <c r="J32" s="403"/>
      <c r="K32" s="404"/>
      <c r="L32" s="404"/>
      <c r="M32" s="405"/>
    </row>
    <row r="33" spans="1:13" ht="17.25" customHeight="1" x14ac:dyDescent="0.25">
      <c r="A33" s="395"/>
      <c r="B33" s="739"/>
      <c r="C33" s="457" t="s">
        <v>40</v>
      </c>
      <c r="D33" s="407" t="s">
        <v>41</v>
      </c>
      <c r="E33" s="407">
        <f>1.56*0.6</f>
        <v>0.93599999999999994</v>
      </c>
      <c r="F33" s="430">
        <f>E33*F32</f>
        <v>3.8656799999999998</v>
      </c>
      <c r="G33" s="407"/>
      <c r="H33" s="401"/>
      <c r="I33" s="432"/>
      <c r="J33" s="401"/>
      <c r="K33" s="408"/>
      <c r="L33" s="401"/>
      <c r="M33" s="401"/>
    </row>
    <row r="34" spans="1:13" ht="14.25" customHeight="1" x14ac:dyDescent="0.25">
      <c r="A34" s="395"/>
      <c r="B34" s="396"/>
      <c r="C34" s="457" t="s">
        <v>75</v>
      </c>
      <c r="D34" s="407" t="s">
        <v>43</v>
      </c>
      <c r="E34" s="458">
        <f>0.098*0.6</f>
        <v>5.8799999999999998E-2</v>
      </c>
      <c r="F34" s="430">
        <f>E34*F32</f>
        <v>0.24284399999999998</v>
      </c>
      <c r="G34" s="400"/>
      <c r="H34" s="401"/>
      <c r="I34" s="432"/>
      <c r="J34" s="401"/>
      <c r="K34" s="408"/>
      <c r="L34" s="401"/>
      <c r="M34" s="401"/>
    </row>
    <row r="35" spans="1:13" ht="54.75" customHeight="1" x14ac:dyDescent="0.25">
      <c r="A35" s="459">
        <v>7</v>
      </c>
      <c r="B35" s="460" t="s">
        <v>76</v>
      </c>
      <c r="C35" s="461" t="s">
        <v>77</v>
      </c>
      <c r="D35" s="462" t="s">
        <v>39</v>
      </c>
      <c r="E35" s="463"/>
      <c r="F35" s="542">
        <v>4.13</v>
      </c>
      <c r="G35" s="429"/>
      <c r="H35" s="430"/>
      <c r="I35" s="465"/>
      <c r="J35" s="430"/>
      <c r="K35" s="466"/>
      <c r="L35" s="466"/>
      <c r="M35" s="466"/>
    </row>
    <row r="36" spans="1:13" ht="18" customHeight="1" x14ac:dyDescent="0.25">
      <c r="A36" s="467"/>
      <c r="B36" s="460"/>
      <c r="C36" s="468" t="s">
        <v>40</v>
      </c>
      <c r="D36" s="429" t="s">
        <v>39</v>
      </c>
      <c r="E36" s="430">
        <f>1.21*1.2</f>
        <v>1.452</v>
      </c>
      <c r="F36" s="431">
        <f>E36*F35</f>
        <v>5.9967600000000001</v>
      </c>
      <c r="G36" s="429"/>
      <c r="H36" s="430"/>
      <c r="I36" s="432"/>
      <c r="J36" s="430"/>
      <c r="K36" s="432"/>
      <c r="L36" s="430"/>
      <c r="M36" s="430"/>
    </row>
    <row r="37" spans="1:13" ht="18" customHeight="1" x14ac:dyDescent="0.25">
      <c r="A37" s="467"/>
      <c r="B37" s="460"/>
      <c r="C37" s="428" t="s">
        <v>78</v>
      </c>
      <c r="D37" s="429" t="s">
        <v>43</v>
      </c>
      <c r="E37" s="429">
        <f>0.245*1.2</f>
        <v>0.29399999999999998</v>
      </c>
      <c r="F37" s="431">
        <f>E37*F35</f>
        <v>1.2142199999999999</v>
      </c>
      <c r="G37" s="429"/>
      <c r="H37" s="430"/>
      <c r="I37" s="432"/>
      <c r="J37" s="430"/>
      <c r="K37" s="432"/>
      <c r="L37" s="430"/>
      <c r="M37" s="430"/>
    </row>
    <row r="38" spans="1:13" ht="18" customHeight="1" x14ac:dyDescent="0.25">
      <c r="A38" s="467"/>
      <c r="B38" s="460"/>
      <c r="C38" s="428" t="s">
        <v>79</v>
      </c>
      <c r="D38" s="429" t="s">
        <v>39</v>
      </c>
      <c r="E38" s="429">
        <v>1</v>
      </c>
      <c r="F38" s="431">
        <f>E38*F35</f>
        <v>4.13</v>
      </c>
      <c r="G38" s="429"/>
      <c r="H38" s="430"/>
      <c r="I38" s="432"/>
      <c r="J38" s="430"/>
      <c r="K38" s="432"/>
      <c r="L38" s="430"/>
      <c r="M38" s="430"/>
    </row>
    <row r="39" spans="1:13" ht="18" customHeight="1" x14ac:dyDescent="0.25">
      <c r="A39" s="467"/>
      <c r="B39" s="460"/>
      <c r="C39" s="428" t="s">
        <v>80</v>
      </c>
      <c r="D39" s="429" t="s">
        <v>43</v>
      </c>
      <c r="E39" s="429">
        <v>9.0999999999999998E-2</v>
      </c>
      <c r="F39" s="431">
        <f>E39*F35</f>
        <v>0.37583</v>
      </c>
      <c r="G39" s="429"/>
      <c r="H39" s="430"/>
      <c r="I39" s="432"/>
      <c r="J39" s="430"/>
      <c r="K39" s="432"/>
      <c r="L39" s="430"/>
      <c r="M39" s="431"/>
    </row>
    <row r="40" spans="1:13" ht="29.25" customHeight="1" x14ac:dyDescent="0.25">
      <c r="A40" s="469">
        <v>8</v>
      </c>
      <c r="B40" s="470" t="s">
        <v>81</v>
      </c>
      <c r="C40" s="471" t="s">
        <v>82</v>
      </c>
      <c r="D40" s="472" t="s">
        <v>46</v>
      </c>
      <c r="E40" s="473"/>
      <c r="F40" s="474">
        <v>5</v>
      </c>
      <c r="G40" s="475"/>
      <c r="H40" s="476"/>
      <c r="I40" s="477"/>
      <c r="J40" s="478"/>
      <c r="K40" s="479"/>
      <c r="L40" s="479"/>
      <c r="M40" s="480"/>
    </row>
    <row r="41" spans="1:13" x14ac:dyDescent="0.25">
      <c r="A41" s="469"/>
      <c r="B41" s="477"/>
      <c r="C41" s="481" t="s">
        <v>61</v>
      </c>
      <c r="D41" s="475" t="s">
        <v>48</v>
      </c>
      <c r="E41" s="482">
        <f>0.243</f>
        <v>0.24299999999999999</v>
      </c>
      <c r="F41" s="483">
        <f>E41*F40</f>
        <v>1.2149999999999999</v>
      </c>
      <c r="G41" s="484"/>
      <c r="H41" s="485"/>
      <c r="I41" s="486"/>
      <c r="J41" s="485"/>
      <c r="K41" s="486"/>
      <c r="L41" s="485"/>
      <c r="M41" s="485"/>
    </row>
    <row r="42" spans="1:13" x14ac:dyDescent="0.25">
      <c r="A42" s="469"/>
      <c r="B42" s="477"/>
      <c r="C42" s="481" t="s">
        <v>83</v>
      </c>
      <c r="D42" s="475" t="s">
        <v>50</v>
      </c>
      <c r="E42" s="487">
        <f>0.0016</f>
        <v>1.6000000000000001E-3</v>
      </c>
      <c r="F42" s="488">
        <f>E42*F40</f>
        <v>8.0000000000000002E-3</v>
      </c>
      <c r="G42" s="488"/>
      <c r="H42" s="485"/>
      <c r="I42" s="486"/>
      <c r="J42" s="485"/>
      <c r="K42" s="486"/>
      <c r="L42" s="485"/>
      <c r="M42" s="485"/>
    </row>
    <row r="43" spans="1:13" ht="29.25" customHeight="1" x14ac:dyDescent="0.25">
      <c r="A43" s="489">
        <v>9</v>
      </c>
      <c r="B43" s="490" t="s">
        <v>84</v>
      </c>
      <c r="C43" s="423" t="s">
        <v>85</v>
      </c>
      <c r="D43" s="424" t="s">
        <v>39</v>
      </c>
      <c r="E43" s="424"/>
      <c r="F43" s="425">
        <v>5</v>
      </c>
      <c r="G43" s="429"/>
      <c r="H43" s="430"/>
      <c r="I43" s="432"/>
      <c r="J43" s="430"/>
      <c r="K43" s="432"/>
      <c r="L43" s="430"/>
      <c r="M43" s="491"/>
    </row>
    <row r="44" spans="1:13" ht="14.25" customHeight="1" x14ac:dyDescent="0.25">
      <c r="A44" s="489"/>
      <c r="B44" s="492"/>
      <c r="C44" s="428" t="s">
        <v>40</v>
      </c>
      <c r="D44" s="429" t="s">
        <v>41</v>
      </c>
      <c r="E44" s="430">
        <f>1.01*1.2</f>
        <v>1.212</v>
      </c>
      <c r="F44" s="430">
        <f>E44*F43</f>
        <v>6.06</v>
      </c>
      <c r="G44" s="429"/>
      <c r="H44" s="430"/>
      <c r="I44" s="432"/>
      <c r="J44" s="430"/>
      <c r="K44" s="432"/>
      <c r="L44" s="430"/>
      <c r="M44" s="430"/>
    </row>
    <row r="45" spans="1:13" ht="21" customHeight="1" x14ac:dyDescent="0.25">
      <c r="A45" s="489"/>
      <c r="B45" s="492"/>
      <c r="C45" s="428" t="s">
        <v>86</v>
      </c>
      <c r="D45" s="429" t="s">
        <v>43</v>
      </c>
      <c r="E45" s="433">
        <f>0.041*1.2</f>
        <v>4.9200000000000001E-2</v>
      </c>
      <c r="F45" s="430">
        <f>E45*F43</f>
        <v>0.246</v>
      </c>
      <c r="G45" s="429"/>
      <c r="H45" s="431"/>
      <c r="I45" s="432"/>
      <c r="J45" s="430"/>
      <c r="K45" s="432"/>
      <c r="L45" s="431"/>
      <c r="M45" s="430"/>
    </row>
    <row r="46" spans="1:13" ht="18" customHeight="1" x14ac:dyDescent="0.25">
      <c r="A46" s="489"/>
      <c r="B46" s="492"/>
      <c r="C46" s="428" t="s">
        <v>87</v>
      </c>
      <c r="D46" s="429" t="s">
        <v>43</v>
      </c>
      <c r="E46" s="433">
        <f>0.027*1.2</f>
        <v>3.2399999999999998E-2</v>
      </c>
      <c r="F46" s="430">
        <f>E46*F43</f>
        <v>0.16199999999999998</v>
      </c>
      <c r="G46" s="429"/>
      <c r="H46" s="430"/>
      <c r="I46" s="432"/>
      <c r="J46" s="430"/>
      <c r="K46" s="432"/>
      <c r="L46" s="430"/>
      <c r="M46" s="430"/>
    </row>
    <row r="47" spans="1:13" ht="17.25" customHeight="1" x14ac:dyDescent="0.25">
      <c r="A47" s="489"/>
      <c r="B47" s="492"/>
      <c r="C47" s="428" t="s">
        <v>88</v>
      </c>
      <c r="D47" s="429" t="s">
        <v>56</v>
      </c>
      <c r="E47" s="433">
        <v>2.3800000000000002E-2</v>
      </c>
      <c r="F47" s="430">
        <f>E47*F43</f>
        <v>0.11900000000000001</v>
      </c>
      <c r="G47" s="429"/>
      <c r="H47" s="430"/>
      <c r="I47" s="432"/>
      <c r="J47" s="431"/>
      <c r="K47" s="431"/>
      <c r="L47" s="431"/>
      <c r="M47" s="430"/>
    </row>
    <row r="48" spans="1:13" ht="14.25" customHeight="1" x14ac:dyDescent="0.25">
      <c r="A48" s="489"/>
      <c r="B48" s="492"/>
      <c r="C48" s="428" t="s">
        <v>89</v>
      </c>
      <c r="D48" s="429" t="s">
        <v>46</v>
      </c>
      <c r="E48" s="433">
        <v>5.28E-2</v>
      </c>
      <c r="F48" s="430">
        <f>E48*F43</f>
        <v>0.26400000000000001</v>
      </c>
      <c r="G48" s="429"/>
      <c r="H48" s="430"/>
      <c r="I48" s="432"/>
      <c r="J48" s="431"/>
      <c r="K48" s="431"/>
      <c r="L48" s="431"/>
      <c r="M48" s="430"/>
    </row>
    <row r="49" spans="1:13" ht="13.5" customHeight="1" x14ac:dyDescent="0.25">
      <c r="A49" s="489"/>
      <c r="B49" s="492"/>
      <c r="C49" s="428" t="s">
        <v>83</v>
      </c>
      <c r="D49" s="429" t="s">
        <v>50</v>
      </c>
      <c r="E49" s="433">
        <v>3.0000000000000001E-3</v>
      </c>
      <c r="F49" s="430">
        <f>E49*F43</f>
        <v>1.4999999999999999E-2</v>
      </c>
      <c r="G49" s="429"/>
      <c r="H49" s="430"/>
      <c r="I49" s="432"/>
      <c r="J49" s="431"/>
      <c r="K49" s="431"/>
      <c r="L49" s="431"/>
      <c r="M49" s="430"/>
    </row>
    <row r="50" spans="1:13" ht="43.5" customHeight="1" x14ac:dyDescent="0.25">
      <c r="A50" s="489">
        <v>10</v>
      </c>
      <c r="B50" s="735" t="s">
        <v>90</v>
      </c>
      <c r="C50" s="423" t="s">
        <v>91</v>
      </c>
      <c r="D50" s="462" t="s">
        <v>39</v>
      </c>
      <c r="E50" s="462"/>
      <c r="F50" s="494">
        <v>160</v>
      </c>
      <c r="G50" s="429"/>
      <c r="H50" s="430"/>
      <c r="I50" s="432"/>
      <c r="J50" s="430"/>
      <c r="K50" s="432"/>
      <c r="L50" s="430"/>
      <c r="M50" s="491"/>
    </row>
    <row r="51" spans="1:13" ht="18" customHeight="1" x14ac:dyDescent="0.25">
      <c r="A51" s="489"/>
      <c r="B51" s="735"/>
      <c r="C51" s="428" t="s">
        <v>40</v>
      </c>
      <c r="D51" s="429" t="s">
        <v>41</v>
      </c>
      <c r="E51" s="430">
        <f>0.77*1.2</f>
        <v>0.92399999999999993</v>
      </c>
      <c r="F51" s="430">
        <f>E51*F50</f>
        <v>147.83999999999997</v>
      </c>
      <c r="G51" s="429"/>
      <c r="H51" s="430"/>
      <c r="I51" s="432"/>
      <c r="J51" s="430"/>
      <c r="K51" s="432"/>
      <c r="L51" s="430"/>
      <c r="M51" s="431"/>
    </row>
    <row r="52" spans="1:13" ht="17.25" customHeight="1" x14ac:dyDescent="0.25">
      <c r="A52" s="489"/>
      <c r="B52" s="735"/>
      <c r="C52" s="428" t="s">
        <v>75</v>
      </c>
      <c r="D52" s="429" t="s">
        <v>43</v>
      </c>
      <c r="E52" s="429">
        <f>0.0095*1.2</f>
        <v>1.1399999999999999E-2</v>
      </c>
      <c r="F52" s="430">
        <f>E52*F50</f>
        <v>1.8239999999999998</v>
      </c>
      <c r="G52" s="429"/>
      <c r="H52" s="430"/>
      <c r="I52" s="432"/>
      <c r="J52" s="430"/>
      <c r="K52" s="432"/>
      <c r="L52" s="430"/>
      <c r="M52" s="431"/>
    </row>
    <row r="53" spans="1:13" ht="20.25" customHeight="1" x14ac:dyDescent="0.25">
      <c r="A53" s="489"/>
      <c r="B53" s="429"/>
      <c r="C53" s="495" t="s">
        <v>92</v>
      </c>
      <c r="D53" s="429" t="s">
        <v>93</v>
      </c>
      <c r="E53" s="429">
        <v>0.24</v>
      </c>
      <c r="F53" s="430">
        <f>E53*F50</f>
        <v>38.4</v>
      </c>
      <c r="G53" s="429"/>
      <c r="H53" s="430"/>
      <c r="I53" s="496"/>
      <c r="J53" s="431"/>
      <c r="K53" s="432"/>
      <c r="L53" s="430"/>
      <c r="M53" s="431"/>
    </row>
    <row r="54" spans="1:13" x14ac:dyDescent="0.25">
      <c r="A54" s="489"/>
      <c r="B54" s="429"/>
      <c r="C54" s="495" t="s">
        <v>94</v>
      </c>
      <c r="D54" s="490" t="s">
        <v>93</v>
      </c>
      <c r="E54" s="490">
        <f>0.183+0.12+0.001</f>
        <v>0.30399999999999999</v>
      </c>
      <c r="F54" s="430">
        <f>E54*F50</f>
        <v>48.64</v>
      </c>
      <c r="G54" s="429"/>
      <c r="H54" s="430"/>
      <c r="I54" s="432"/>
      <c r="J54" s="431"/>
      <c r="K54" s="432"/>
      <c r="L54" s="430"/>
      <c r="M54" s="431"/>
    </row>
    <row r="55" spans="1:13" ht="20.25" customHeight="1" x14ac:dyDescent="0.25">
      <c r="A55" s="489"/>
      <c r="B55" s="429"/>
      <c r="C55" s="428" t="s">
        <v>58</v>
      </c>
      <c r="D55" s="429" t="s">
        <v>43</v>
      </c>
      <c r="E55" s="429">
        <v>1.6E-2</v>
      </c>
      <c r="F55" s="433">
        <f>E55*F50</f>
        <v>2.56</v>
      </c>
      <c r="G55" s="429"/>
      <c r="H55" s="430"/>
      <c r="I55" s="432"/>
      <c r="J55" s="430"/>
      <c r="K55" s="432"/>
      <c r="L55" s="430"/>
      <c r="M55" s="431"/>
    </row>
    <row r="56" spans="1:13" ht="33" customHeight="1" x14ac:dyDescent="0.25">
      <c r="A56" s="440">
        <v>11</v>
      </c>
      <c r="B56" s="263" t="s">
        <v>95</v>
      </c>
      <c r="C56" s="497" t="s">
        <v>96</v>
      </c>
      <c r="D56" s="412" t="s">
        <v>67</v>
      </c>
      <c r="E56" s="448"/>
      <c r="F56" s="498">
        <v>4</v>
      </c>
      <c r="G56" s="414"/>
      <c r="H56" s="499"/>
      <c r="I56" s="674"/>
      <c r="J56" s="499"/>
      <c r="K56" s="420"/>
      <c r="L56" s="499"/>
      <c r="M56" s="414"/>
    </row>
    <row r="57" spans="1:13" ht="15.75" x14ac:dyDescent="0.3">
      <c r="A57" s="440"/>
      <c r="B57" s="402" t="s">
        <v>97</v>
      </c>
      <c r="C57" s="500" t="s">
        <v>68</v>
      </c>
      <c r="D57" s="451" t="s">
        <v>48</v>
      </c>
      <c r="E57" s="448">
        <f>0.58*0.4</f>
        <v>0.23199999999999998</v>
      </c>
      <c r="F57" s="501">
        <f>E57*F56</f>
        <v>0.92799999999999994</v>
      </c>
      <c r="G57" s="419"/>
      <c r="H57" s="502"/>
      <c r="I57" s="676"/>
      <c r="J57" s="502"/>
      <c r="K57" s="503"/>
      <c r="L57" s="502"/>
      <c r="M57" s="502"/>
    </row>
    <row r="58" spans="1:13" ht="23.25" customHeight="1" x14ac:dyDescent="0.3">
      <c r="A58" s="440"/>
      <c r="B58" s="402"/>
      <c r="C58" s="504" t="s">
        <v>98</v>
      </c>
      <c r="D58" s="451" t="s">
        <v>50</v>
      </c>
      <c r="E58" s="448">
        <f>0.0305*0.4</f>
        <v>1.2200000000000001E-2</v>
      </c>
      <c r="F58" s="501">
        <f>E58*F56</f>
        <v>4.8800000000000003E-2</v>
      </c>
      <c r="G58" s="448"/>
      <c r="H58" s="502"/>
      <c r="I58" s="676"/>
      <c r="J58" s="502"/>
      <c r="K58" s="503"/>
      <c r="L58" s="502"/>
      <c r="M58" s="502"/>
    </row>
    <row r="59" spans="1:13" ht="15.75" customHeight="1" x14ac:dyDescent="0.25">
      <c r="A59" s="440"/>
      <c r="B59" s="505"/>
      <c r="C59" s="418" t="s">
        <v>64</v>
      </c>
      <c r="D59" s="419" t="s">
        <v>50</v>
      </c>
      <c r="E59" s="419">
        <f>0.0985*0.4</f>
        <v>3.9400000000000004E-2</v>
      </c>
      <c r="F59" s="506">
        <f>E59*F56</f>
        <v>0.15760000000000002</v>
      </c>
      <c r="G59" s="419"/>
      <c r="H59" s="414"/>
      <c r="I59" s="674"/>
      <c r="J59" s="414"/>
      <c r="K59" s="420"/>
      <c r="L59" s="414"/>
      <c r="M59" s="414"/>
    </row>
    <row r="60" spans="1:13" ht="34.5" customHeight="1" x14ac:dyDescent="0.25">
      <c r="A60" s="507">
        <v>12</v>
      </c>
      <c r="B60" s="263" t="s">
        <v>99</v>
      </c>
      <c r="C60" s="508" t="s">
        <v>100</v>
      </c>
      <c r="D60" s="507" t="s">
        <v>101</v>
      </c>
      <c r="E60" s="507"/>
      <c r="F60" s="601">
        <v>4</v>
      </c>
      <c r="G60" s="507"/>
      <c r="H60" s="464"/>
      <c r="I60" s="677"/>
      <c r="J60" s="464"/>
      <c r="K60" s="509"/>
      <c r="L60" s="464"/>
      <c r="M60" s="464"/>
    </row>
    <row r="61" spans="1:13" ht="17.25" customHeight="1" x14ac:dyDescent="0.25">
      <c r="A61" s="407"/>
      <c r="B61" s="510"/>
      <c r="C61" s="511" t="s">
        <v>102</v>
      </c>
      <c r="D61" s="407" t="s">
        <v>103</v>
      </c>
      <c r="E61" s="407">
        <f>0.74*1.2</f>
        <v>0.88800000000000001</v>
      </c>
      <c r="F61" s="493">
        <f>F60*E61</f>
        <v>3.552</v>
      </c>
      <c r="G61" s="512"/>
      <c r="H61" s="513"/>
      <c r="I61" s="678"/>
      <c r="J61" s="513"/>
      <c r="K61" s="514"/>
      <c r="L61" s="513"/>
      <c r="M61" s="513"/>
    </row>
    <row r="62" spans="1:13" ht="17.25" customHeight="1" x14ac:dyDescent="0.25">
      <c r="A62" s="407"/>
      <c r="B62" s="407"/>
      <c r="C62" s="511" t="s">
        <v>104</v>
      </c>
      <c r="D62" s="407" t="s">
        <v>43</v>
      </c>
      <c r="E62" s="407">
        <f>0.02*1.2</f>
        <v>2.4E-2</v>
      </c>
      <c r="F62" s="493">
        <f>F60*E62</f>
        <v>9.6000000000000002E-2</v>
      </c>
      <c r="G62" s="512"/>
      <c r="H62" s="513"/>
      <c r="I62" s="678"/>
      <c r="J62" s="513"/>
      <c r="K62" s="514"/>
      <c r="L62" s="513"/>
      <c r="M62" s="513"/>
    </row>
    <row r="63" spans="1:13" ht="17.25" customHeight="1" x14ac:dyDescent="0.25">
      <c r="A63" s="407"/>
      <c r="B63" s="510"/>
      <c r="C63" s="468" t="s">
        <v>105</v>
      </c>
      <c r="D63" s="263" t="s">
        <v>101</v>
      </c>
      <c r="E63" s="263">
        <v>1</v>
      </c>
      <c r="F63" s="422">
        <f>F60*E63</f>
        <v>4</v>
      </c>
      <c r="G63" s="515"/>
      <c r="H63" s="515"/>
      <c r="I63" s="536"/>
      <c r="J63" s="516"/>
      <c r="K63" s="515"/>
      <c r="L63" s="515"/>
      <c r="M63" s="517"/>
    </row>
    <row r="64" spans="1:13" ht="17.25" customHeight="1" x14ac:dyDescent="0.25">
      <c r="A64" s="407"/>
      <c r="B64" s="407"/>
      <c r="C64" s="511" t="s">
        <v>106</v>
      </c>
      <c r="D64" s="407" t="s">
        <v>43</v>
      </c>
      <c r="E64" s="407">
        <v>0.01</v>
      </c>
      <c r="F64" s="493">
        <f>F60*E64</f>
        <v>0.04</v>
      </c>
      <c r="G64" s="401"/>
      <c r="H64" s="401"/>
      <c r="I64" s="535"/>
      <c r="J64" s="401"/>
      <c r="K64" s="401"/>
      <c r="L64" s="401"/>
      <c r="M64" s="513"/>
    </row>
    <row r="65" spans="1:13" ht="19.5" customHeight="1" x14ac:dyDescent="0.25">
      <c r="A65" s="28"/>
      <c r="B65" s="32"/>
      <c r="C65" s="100" t="s">
        <v>107</v>
      </c>
      <c r="D65" s="31"/>
      <c r="E65" s="32"/>
      <c r="F65" s="666"/>
      <c r="G65" s="36"/>
      <c r="H65" s="36"/>
      <c r="I65" s="670"/>
      <c r="J65" s="36"/>
      <c r="K65" s="36"/>
      <c r="L65" s="36"/>
      <c r="M65" s="36"/>
    </row>
    <row r="66" spans="1:13" ht="46.5" customHeight="1" x14ac:dyDescent="0.25">
      <c r="A66" s="395">
        <v>1</v>
      </c>
      <c r="B66" s="739" t="s">
        <v>73</v>
      </c>
      <c r="C66" s="454" t="s">
        <v>74</v>
      </c>
      <c r="D66" s="407" t="s">
        <v>39</v>
      </c>
      <c r="E66" s="398"/>
      <c r="F66" s="426">
        <v>4.13</v>
      </c>
      <c r="G66" s="456"/>
      <c r="H66" s="401"/>
      <c r="I66" s="524"/>
      <c r="J66" s="403"/>
      <c r="K66" s="404"/>
      <c r="L66" s="404"/>
      <c r="M66" s="405"/>
    </row>
    <row r="67" spans="1:13" ht="15.75" customHeight="1" x14ac:dyDescent="0.25">
      <c r="A67" s="395"/>
      <c r="B67" s="739"/>
      <c r="C67" s="457" t="s">
        <v>40</v>
      </c>
      <c r="D67" s="407" t="s">
        <v>41</v>
      </c>
      <c r="E67" s="407">
        <f>1.56*0.6</f>
        <v>0.93599999999999994</v>
      </c>
      <c r="F67" s="430">
        <f>E67*F66</f>
        <v>3.8656799999999998</v>
      </c>
      <c r="G67" s="407"/>
      <c r="H67" s="401"/>
      <c r="I67" s="432"/>
      <c r="J67" s="401"/>
      <c r="K67" s="408"/>
      <c r="L67" s="401"/>
      <c r="M67" s="401"/>
    </row>
    <row r="68" spans="1:13" x14ac:dyDescent="0.25">
      <c r="A68" s="395"/>
      <c r="B68" s="396"/>
      <c r="C68" s="457" t="s">
        <v>75</v>
      </c>
      <c r="D68" s="407" t="s">
        <v>43</v>
      </c>
      <c r="E68" s="458">
        <f>0.098*0.6</f>
        <v>5.8799999999999998E-2</v>
      </c>
      <c r="F68" s="430">
        <f>E68*F66</f>
        <v>0.24284399999999998</v>
      </c>
      <c r="G68" s="400"/>
      <c r="H68" s="401"/>
      <c r="I68" s="432"/>
      <c r="J68" s="401"/>
      <c r="K68" s="408"/>
      <c r="L68" s="401"/>
      <c r="M68" s="401"/>
    </row>
    <row r="69" spans="1:13" ht="34.5" customHeight="1" x14ac:dyDescent="0.25">
      <c r="A69" s="459">
        <v>2</v>
      </c>
      <c r="B69" s="460" t="s">
        <v>76</v>
      </c>
      <c r="C69" s="461" t="s">
        <v>77</v>
      </c>
      <c r="D69" s="462" t="s">
        <v>39</v>
      </c>
      <c r="E69" s="463"/>
      <c r="F69" s="426">
        <v>4.13</v>
      </c>
      <c r="G69" s="429"/>
      <c r="H69" s="430"/>
      <c r="I69" s="465"/>
      <c r="J69" s="430"/>
      <c r="K69" s="466"/>
      <c r="L69" s="466"/>
      <c r="M69" s="466"/>
    </row>
    <row r="70" spans="1:13" ht="18" customHeight="1" x14ac:dyDescent="0.25">
      <c r="A70" s="467"/>
      <c r="B70" s="460"/>
      <c r="C70" s="468" t="s">
        <v>40</v>
      </c>
      <c r="D70" s="429" t="s">
        <v>39</v>
      </c>
      <c r="E70" s="430">
        <f>1.21*1.2</f>
        <v>1.452</v>
      </c>
      <c r="F70" s="431">
        <f>E70*F69</f>
        <v>5.9967600000000001</v>
      </c>
      <c r="G70" s="429"/>
      <c r="H70" s="430"/>
      <c r="I70" s="432"/>
      <c r="J70" s="430"/>
      <c r="K70" s="432"/>
      <c r="L70" s="430"/>
      <c r="M70" s="430"/>
    </row>
    <row r="71" spans="1:13" ht="18" customHeight="1" x14ac:dyDescent="0.25">
      <c r="A71" s="467"/>
      <c r="B71" s="460"/>
      <c r="C71" s="428" t="s">
        <v>78</v>
      </c>
      <c r="D71" s="429" t="s">
        <v>43</v>
      </c>
      <c r="E71" s="429">
        <f>0.245*1.2</f>
        <v>0.29399999999999998</v>
      </c>
      <c r="F71" s="431">
        <f>E71*F69</f>
        <v>1.2142199999999999</v>
      </c>
      <c r="G71" s="429"/>
      <c r="H71" s="430"/>
      <c r="I71" s="432"/>
      <c r="J71" s="430"/>
      <c r="K71" s="432"/>
      <c r="L71" s="430"/>
      <c r="M71" s="430"/>
    </row>
    <row r="72" spans="1:13" ht="18" customHeight="1" x14ac:dyDescent="0.25">
      <c r="A72" s="467"/>
      <c r="B72" s="460"/>
      <c r="C72" s="428" t="s">
        <v>79</v>
      </c>
      <c r="D72" s="429" t="s">
        <v>39</v>
      </c>
      <c r="E72" s="429">
        <v>1</v>
      </c>
      <c r="F72" s="431">
        <f>E72*F69</f>
        <v>4.13</v>
      </c>
      <c r="G72" s="429"/>
      <c r="H72" s="430"/>
      <c r="I72" s="432"/>
      <c r="J72" s="430"/>
      <c r="K72" s="432"/>
      <c r="L72" s="430"/>
      <c r="M72" s="430"/>
    </row>
    <row r="73" spans="1:13" ht="18" customHeight="1" x14ac:dyDescent="0.25">
      <c r="A73" s="467"/>
      <c r="B73" s="460"/>
      <c r="C73" s="428" t="s">
        <v>80</v>
      </c>
      <c r="D73" s="429" t="s">
        <v>43</v>
      </c>
      <c r="E73" s="429">
        <v>9.0999999999999998E-2</v>
      </c>
      <c r="F73" s="431">
        <f>E73*F69</f>
        <v>0.37583</v>
      </c>
      <c r="G73" s="429"/>
      <c r="H73" s="430"/>
      <c r="I73" s="432"/>
      <c r="J73" s="430"/>
      <c r="K73" s="432"/>
      <c r="L73" s="430"/>
      <c r="M73" s="431"/>
    </row>
    <row r="74" spans="1:13" ht="28.5" customHeight="1" x14ac:dyDescent="0.25">
      <c r="A74" s="518">
        <v>3</v>
      </c>
      <c r="B74" s="470" t="s">
        <v>81</v>
      </c>
      <c r="C74" s="471" t="s">
        <v>82</v>
      </c>
      <c r="D74" s="472" t="s">
        <v>46</v>
      </c>
      <c r="E74" s="473"/>
      <c r="F74" s="474">
        <v>10</v>
      </c>
      <c r="G74" s="475"/>
      <c r="H74" s="476"/>
      <c r="I74" s="477"/>
      <c r="J74" s="478"/>
      <c r="K74" s="479"/>
      <c r="L74" s="479"/>
      <c r="M74" s="480"/>
    </row>
    <row r="75" spans="1:13" x14ac:dyDescent="0.25">
      <c r="A75" s="469"/>
      <c r="B75" s="477"/>
      <c r="C75" s="481" t="s">
        <v>61</v>
      </c>
      <c r="D75" s="475" t="s">
        <v>48</v>
      </c>
      <c r="E75" s="482">
        <f>0.243</f>
        <v>0.24299999999999999</v>
      </c>
      <c r="F75" s="483">
        <f>E75*F74</f>
        <v>2.4299999999999997</v>
      </c>
      <c r="G75" s="484"/>
      <c r="H75" s="485"/>
      <c r="I75" s="486"/>
      <c r="J75" s="485"/>
      <c r="K75" s="486"/>
      <c r="L75" s="485"/>
      <c r="M75" s="485"/>
    </row>
    <row r="76" spans="1:13" x14ac:dyDescent="0.25">
      <c r="A76" s="469"/>
      <c r="B76" s="477"/>
      <c r="C76" s="481" t="s">
        <v>83</v>
      </c>
      <c r="D76" s="475" t="s">
        <v>50</v>
      </c>
      <c r="E76" s="487">
        <f>0.0016</f>
        <v>1.6000000000000001E-3</v>
      </c>
      <c r="F76" s="488">
        <f>E76*F74</f>
        <v>1.6E-2</v>
      </c>
      <c r="G76" s="488"/>
      <c r="H76" s="485"/>
      <c r="I76" s="486"/>
      <c r="J76" s="485"/>
      <c r="K76" s="486"/>
      <c r="L76" s="485"/>
      <c r="M76" s="485"/>
    </row>
    <row r="77" spans="1:13" ht="31.5" customHeight="1" x14ac:dyDescent="0.25">
      <c r="A77" s="489">
        <v>4</v>
      </c>
      <c r="B77" s="490" t="s">
        <v>84</v>
      </c>
      <c r="C77" s="423" t="s">
        <v>85</v>
      </c>
      <c r="D77" s="424" t="s">
        <v>39</v>
      </c>
      <c r="E77" s="424"/>
      <c r="F77" s="425">
        <v>10</v>
      </c>
      <c r="G77" s="429"/>
      <c r="H77" s="430"/>
      <c r="I77" s="432"/>
      <c r="J77" s="430"/>
      <c r="K77" s="432"/>
      <c r="L77" s="430"/>
      <c r="M77" s="491"/>
    </row>
    <row r="78" spans="1:13" ht="16.5" customHeight="1" x14ac:dyDescent="0.25">
      <c r="A78" s="489"/>
      <c r="B78" s="492"/>
      <c r="C78" s="428" t="s">
        <v>40</v>
      </c>
      <c r="D78" s="429" t="s">
        <v>41</v>
      </c>
      <c r="E78" s="430">
        <f>1.01*1.2</f>
        <v>1.212</v>
      </c>
      <c r="F78" s="430">
        <f>E78*F77</f>
        <v>12.12</v>
      </c>
      <c r="G78" s="429"/>
      <c r="H78" s="430"/>
      <c r="I78" s="432"/>
      <c r="J78" s="430"/>
      <c r="K78" s="432"/>
      <c r="L78" s="430"/>
      <c r="M78" s="430"/>
    </row>
    <row r="79" spans="1:13" ht="16.5" customHeight="1" x14ac:dyDescent="0.25">
      <c r="A79" s="489"/>
      <c r="B79" s="492"/>
      <c r="C79" s="428" t="s">
        <v>86</v>
      </c>
      <c r="D79" s="429" t="s">
        <v>43</v>
      </c>
      <c r="E79" s="433">
        <f>0.041*1.2</f>
        <v>4.9200000000000001E-2</v>
      </c>
      <c r="F79" s="430">
        <f>E79*F77</f>
        <v>0.49199999999999999</v>
      </c>
      <c r="G79" s="429"/>
      <c r="H79" s="431"/>
      <c r="I79" s="432"/>
      <c r="J79" s="430"/>
      <c r="K79" s="432"/>
      <c r="L79" s="431"/>
      <c r="M79" s="430"/>
    </row>
    <row r="80" spans="1:13" ht="16.5" customHeight="1" x14ac:dyDescent="0.25">
      <c r="A80" s="489"/>
      <c r="B80" s="492"/>
      <c r="C80" s="428" t="s">
        <v>87</v>
      </c>
      <c r="D80" s="429" t="s">
        <v>43</v>
      </c>
      <c r="E80" s="433">
        <f>0.027*1.2</f>
        <v>3.2399999999999998E-2</v>
      </c>
      <c r="F80" s="430">
        <f>E80*F77</f>
        <v>0.32399999999999995</v>
      </c>
      <c r="G80" s="429"/>
      <c r="H80" s="430"/>
      <c r="I80" s="432"/>
      <c r="J80" s="430"/>
      <c r="K80" s="432"/>
      <c r="L80" s="430"/>
      <c r="M80" s="430"/>
    </row>
    <row r="81" spans="1:13" ht="16.5" customHeight="1" x14ac:dyDescent="0.25">
      <c r="A81" s="489"/>
      <c r="B81" s="492"/>
      <c r="C81" s="428" t="s">
        <v>88</v>
      </c>
      <c r="D81" s="429" t="s">
        <v>56</v>
      </c>
      <c r="E81" s="433">
        <v>2.3800000000000002E-2</v>
      </c>
      <c r="F81" s="430">
        <f>E81*F77</f>
        <v>0.23800000000000002</v>
      </c>
      <c r="G81" s="429"/>
      <c r="H81" s="430"/>
      <c r="I81" s="432"/>
      <c r="J81" s="431"/>
      <c r="K81" s="431"/>
      <c r="L81" s="431"/>
      <c r="M81" s="430"/>
    </row>
    <row r="82" spans="1:13" ht="16.5" customHeight="1" x14ac:dyDescent="0.25">
      <c r="A82" s="489"/>
      <c r="B82" s="492"/>
      <c r="C82" s="428" t="s">
        <v>89</v>
      </c>
      <c r="D82" s="429" t="s">
        <v>46</v>
      </c>
      <c r="E82" s="433">
        <v>5.28E-2</v>
      </c>
      <c r="F82" s="430">
        <f>E82*F77</f>
        <v>0.52800000000000002</v>
      </c>
      <c r="G82" s="429"/>
      <c r="H82" s="430"/>
      <c r="I82" s="432"/>
      <c r="J82" s="431"/>
      <c r="K82" s="431"/>
      <c r="L82" s="431"/>
      <c r="M82" s="430"/>
    </row>
    <row r="83" spans="1:13" ht="16.5" customHeight="1" x14ac:dyDescent="0.25">
      <c r="A83" s="489"/>
      <c r="B83" s="492"/>
      <c r="C83" s="428" t="s">
        <v>83</v>
      </c>
      <c r="D83" s="429" t="s">
        <v>50</v>
      </c>
      <c r="E83" s="433">
        <v>3.0000000000000001E-3</v>
      </c>
      <c r="F83" s="430">
        <f>E83*F77</f>
        <v>0.03</v>
      </c>
      <c r="G83" s="429"/>
      <c r="H83" s="430"/>
      <c r="I83" s="432"/>
      <c r="J83" s="431"/>
      <c r="K83" s="431"/>
      <c r="L83" s="431"/>
      <c r="M83" s="430"/>
    </row>
    <row r="84" spans="1:13" ht="33" customHeight="1" x14ac:dyDescent="0.25">
      <c r="A84" s="440">
        <v>6</v>
      </c>
      <c r="B84" s="441" t="s">
        <v>65</v>
      </c>
      <c r="C84" s="442" t="s">
        <v>66</v>
      </c>
      <c r="D84" s="443" t="s">
        <v>67</v>
      </c>
      <c r="E84" s="440"/>
      <c r="F84" s="626">
        <v>2</v>
      </c>
      <c r="G84" s="419"/>
      <c r="H84" s="414"/>
      <c r="I84" s="674"/>
      <c r="J84" s="414"/>
      <c r="K84" s="420"/>
      <c r="L84" s="414"/>
      <c r="M84" s="414"/>
    </row>
    <row r="85" spans="1:13" ht="17.25" customHeight="1" x14ac:dyDescent="0.25">
      <c r="A85" s="445"/>
      <c r="B85" s="446"/>
      <c r="C85" s="447" t="s">
        <v>68</v>
      </c>
      <c r="D85" s="409" t="s">
        <v>67</v>
      </c>
      <c r="E85" s="448">
        <v>1</v>
      </c>
      <c r="F85" s="638">
        <f>E85*F84</f>
        <v>2</v>
      </c>
      <c r="G85" s="420"/>
      <c r="H85" s="414"/>
      <c r="I85" s="637"/>
      <c r="J85" s="449"/>
      <c r="K85" s="420"/>
      <c r="L85" s="414"/>
      <c r="M85" s="414"/>
    </row>
    <row r="86" spans="1:13" ht="17.25" customHeight="1" x14ac:dyDescent="0.25">
      <c r="A86" s="445"/>
      <c r="B86" s="450"/>
      <c r="C86" s="447" t="s">
        <v>69</v>
      </c>
      <c r="D86" s="451" t="s">
        <v>50</v>
      </c>
      <c r="E86" s="452">
        <f>0.0633*1.2*1.5</f>
        <v>0.11393999999999999</v>
      </c>
      <c r="F86" s="668">
        <f>E86*F84</f>
        <v>0.22787999999999997</v>
      </c>
      <c r="G86" s="419"/>
      <c r="H86" s="414"/>
      <c r="I86" s="674"/>
      <c r="J86" s="414"/>
      <c r="K86" s="420"/>
      <c r="L86" s="414"/>
      <c r="M86" s="414"/>
    </row>
    <row r="87" spans="1:13" ht="17.25" customHeight="1" x14ac:dyDescent="0.25">
      <c r="A87" s="445"/>
      <c r="B87" s="446"/>
      <c r="C87" s="418" t="s">
        <v>70</v>
      </c>
      <c r="D87" s="419" t="s">
        <v>67</v>
      </c>
      <c r="E87" s="419">
        <v>1</v>
      </c>
      <c r="F87" s="667">
        <f>E87*F84</f>
        <v>2</v>
      </c>
      <c r="G87" s="419"/>
      <c r="H87" s="414"/>
      <c r="I87" s="674"/>
      <c r="J87" s="414"/>
      <c r="K87" s="420"/>
      <c r="L87" s="414"/>
      <c r="M87" s="438"/>
    </row>
    <row r="88" spans="1:13" ht="17.25" customHeight="1" x14ac:dyDescent="0.25">
      <c r="A88" s="421"/>
      <c r="B88" s="427"/>
      <c r="C88" s="428" t="s">
        <v>71</v>
      </c>
      <c r="D88" s="429" t="s">
        <v>67</v>
      </c>
      <c r="E88" s="429">
        <v>2</v>
      </c>
      <c r="F88" s="431">
        <f>E88*F84</f>
        <v>4</v>
      </c>
      <c r="G88" s="429"/>
      <c r="H88" s="430"/>
      <c r="I88" s="432"/>
      <c r="J88" s="430"/>
      <c r="K88" s="432"/>
      <c r="L88" s="430"/>
      <c r="M88" s="430"/>
    </row>
    <row r="89" spans="1:13" ht="17.25" customHeight="1" x14ac:dyDescent="0.25">
      <c r="A89" s="445"/>
      <c r="B89" s="450"/>
      <c r="C89" s="447" t="s">
        <v>72</v>
      </c>
      <c r="D89" s="451" t="s">
        <v>50</v>
      </c>
      <c r="E89" s="440">
        <v>0.28000000000000003</v>
      </c>
      <c r="F89" s="638">
        <f>E89*F84</f>
        <v>0.56000000000000005</v>
      </c>
      <c r="G89" s="420"/>
      <c r="H89" s="414"/>
      <c r="I89" s="675"/>
      <c r="J89" s="414"/>
      <c r="K89" s="420"/>
      <c r="L89" s="414"/>
      <c r="M89" s="414"/>
    </row>
    <row r="90" spans="1:13" ht="45" customHeight="1" x14ac:dyDescent="0.25">
      <c r="A90" s="489">
        <v>7</v>
      </c>
      <c r="B90" s="735" t="s">
        <v>90</v>
      </c>
      <c r="C90" s="423" t="s">
        <v>108</v>
      </c>
      <c r="D90" s="462" t="s">
        <v>39</v>
      </c>
      <c r="E90" s="462"/>
      <c r="F90" s="494">
        <v>88</v>
      </c>
      <c r="G90" s="429"/>
      <c r="H90" s="430"/>
      <c r="I90" s="432"/>
      <c r="J90" s="430"/>
      <c r="K90" s="432"/>
      <c r="L90" s="430"/>
      <c r="M90" s="491"/>
    </row>
    <row r="91" spans="1:13" ht="18" customHeight="1" x14ac:dyDescent="0.25">
      <c r="A91" s="489"/>
      <c r="B91" s="735"/>
      <c r="C91" s="428" t="s">
        <v>40</v>
      </c>
      <c r="D91" s="429" t="s">
        <v>41</v>
      </c>
      <c r="E91" s="430">
        <f>0.77*1.2</f>
        <v>0.92399999999999993</v>
      </c>
      <c r="F91" s="430">
        <f>E91*F90</f>
        <v>81.311999999999998</v>
      </c>
      <c r="G91" s="429"/>
      <c r="H91" s="430"/>
      <c r="I91" s="432"/>
      <c r="J91" s="430"/>
      <c r="K91" s="432"/>
      <c r="L91" s="430"/>
      <c r="M91" s="431"/>
    </row>
    <row r="92" spans="1:13" ht="21.75" customHeight="1" x14ac:dyDescent="0.25">
      <c r="A92" s="489"/>
      <c r="B92" s="735"/>
      <c r="C92" s="428" t="s">
        <v>75</v>
      </c>
      <c r="D92" s="429" t="s">
        <v>43</v>
      </c>
      <c r="E92" s="429">
        <f>0.0095*1.2</f>
        <v>1.1399999999999999E-2</v>
      </c>
      <c r="F92" s="430">
        <f>E92*F90</f>
        <v>1.0031999999999999</v>
      </c>
      <c r="G92" s="429"/>
      <c r="H92" s="430"/>
      <c r="I92" s="432"/>
      <c r="J92" s="430"/>
      <c r="K92" s="432"/>
      <c r="L92" s="430"/>
      <c r="M92" s="431"/>
    </row>
    <row r="93" spans="1:13" ht="18" customHeight="1" x14ac:dyDescent="0.25">
      <c r="A93" s="489"/>
      <c r="B93" s="429"/>
      <c r="C93" s="495" t="s">
        <v>92</v>
      </c>
      <c r="D93" s="429" t="s">
        <v>93</v>
      </c>
      <c r="E93" s="429">
        <v>0.24</v>
      </c>
      <c r="F93" s="430">
        <f>E93*F90</f>
        <v>21.119999999999997</v>
      </c>
      <c r="G93" s="429"/>
      <c r="H93" s="430"/>
      <c r="I93" s="496"/>
      <c r="J93" s="431"/>
      <c r="K93" s="432"/>
      <c r="L93" s="430"/>
      <c r="M93" s="431"/>
    </row>
    <row r="94" spans="1:13" x14ac:dyDescent="0.25">
      <c r="A94" s="489"/>
      <c r="B94" s="429"/>
      <c r="C94" s="495" t="s">
        <v>94</v>
      </c>
      <c r="D94" s="490" t="s">
        <v>93</v>
      </c>
      <c r="E94" s="490">
        <f>0.183+0.12+0.001</f>
        <v>0.30399999999999999</v>
      </c>
      <c r="F94" s="430">
        <f>E94*F90</f>
        <v>26.751999999999999</v>
      </c>
      <c r="G94" s="429"/>
      <c r="H94" s="430"/>
      <c r="I94" s="432"/>
      <c r="J94" s="431"/>
      <c r="K94" s="432"/>
      <c r="L94" s="430"/>
      <c r="M94" s="431"/>
    </row>
    <row r="95" spans="1:13" ht="14.25" customHeight="1" x14ac:dyDescent="0.25">
      <c r="A95" s="489"/>
      <c r="B95" s="429"/>
      <c r="C95" s="428" t="s">
        <v>58</v>
      </c>
      <c r="D95" s="429" t="s">
        <v>43</v>
      </c>
      <c r="E95" s="429">
        <v>1.6E-2</v>
      </c>
      <c r="F95" s="433">
        <f>E95*F90</f>
        <v>1.4079999999999999</v>
      </c>
      <c r="G95" s="429"/>
      <c r="H95" s="430"/>
      <c r="I95" s="432"/>
      <c r="J95" s="430"/>
      <c r="K95" s="432"/>
      <c r="L95" s="430"/>
      <c r="M95" s="431"/>
    </row>
    <row r="96" spans="1:13" ht="33" customHeight="1" x14ac:dyDescent="0.25">
      <c r="A96" s="440">
        <v>8</v>
      </c>
      <c r="B96" s="519" t="s">
        <v>109</v>
      </c>
      <c r="C96" s="497" t="s">
        <v>110</v>
      </c>
      <c r="D96" s="412" t="s">
        <v>46</v>
      </c>
      <c r="E96" s="448"/>
      <c r="F96" s="498">
        <v>10</v>
      </c>
      <c r="G96" s="414"/>
      <c r="H96" s="499"/>
      <c r="I96" s="674"/>
      <c r="J96" s="499"/>
      <c r="K96" s="420"/>
      <c r="L96" s="499"/>
      <c r="M96" s="414"/>
    </row>
    <row r="97" spans="1:13" ht="15.75" x14ac:dyDescent="0.3">
      <c r="A97" s="440"/>
      <c r="B97" s="402"/>
      <c r="C97" s="500" t="s">
        <v>68</v>
      </c>
      <c r="D97" s="451" t="s">
        <v>48</v>
      </c>
      <c r="E97" s="448">
        <v>0.57999999999999996</v>
      </c>
      <c r="F97" s="501">
        <f>E97*F96</f>
        <v>5.8</v>
      </c>
      <c r="G97" s="419"/>
      <c r="H97" s="502"/>
      <c r="I97" s="676"/>
      <c r="J97" s="502"/>
      <c r="K97" s="503"/>
      <c r="L97" s="502"/>
      <c r="M97" s="502"/>
    </row>
    <row r="98" spans="1:13" ht="18" customHeight="1" x14ac:dyDescent="0.3">
      <c r="A98" s="440"/>
      <c r="B98" s="402"/>
      <c r="C98" s="504" t="s">
        <v>98</v>
      </c>
      <c r="D98" s="451" t="s">
        <v>50</v>
      </c>
      <c r="E98" s="448">
        <v>3.0499999999999999E-2</v>
      </c>
      <c r="F98" s="501">
        <f>E98*F96</f>
        <v>0.30499999999999999</v>
      </c>
      <c r="G98" s="448"/>
      <c r="H98" s="502"/>
      <c r="I98" s="676"/>
      <c r="J98" s="502"/>
      <c r="K98" s="503"/>
      <c r="L98" s="502"/>
      <c r="M98" s="502"/>
    </row>
    <row r="99" spans="1:13" ht="18" customHeight="1" x14ac:dyDescent="0.25">
      <c r="A99" s="440"/>
      <c r="B99" s="505"/>
      <c r="C99" s="418" t="s">
        <v>64</v>
      </c>
      <c r="D99" s="419" t="s">
        <v>50</v>
      </c>
      <c r="E99" s="419">
        <v>9.8500000000000004E-2</v>
      </c>
      <c r="F99" s="506">
        <f>E99*F96</f>
        <v>0.9850000000000001</v>
      </c>
      <c r="G99" s="419"/>
      <c r="H99" s="414"/>
      <c r="I99" s="674"/>
      <c r="J99" s="414"/>
      <c r="K99" s="420"/>
      <c r="L99" s="414"/>
      <c r="M99" s="414"/>
    </row>
    <row r="100" spans="1:13" ht="33" customHeight="1" x14ac:dyDescent="0.25">
      <c r="A100" s="459">
        <v>9</v>
      </c>
      <c r="B100" s="520" t="s">
        <v>111</v>
      </c>
      <c r="C100" s="615" t="s">
        <v>112</v>
      </c>
      <c r="D100" s="521" t="s">
        <v>39</v>
      </c>
      <c r="E100" s="424"/>
      <c r="F100" s="425">
        <v>10</v>
      </c>
      <c r="G100" s="522"/>
      <c r="H100" s="523"/>
      <c r="I100" s="522"/>
      <c r="J100" s="523"/>
      <c r="K100" s="522"/>
      <c r="L100" s="523"/>
      <c r="M100" s="523"/>
    </row>
    <row r="101" spans="1:13" ht="18.75" customHeight="1" x14ac:dyDescent="0.25">
      <c r="A101" s="467"/>
      <c r="B101" s="524"/>
      <c r="C101" s="525" t="s">
        <v>40</v>
      </c>
      <c r="D101" s="524" t="s">
        <v>103</v>
      </c>
      <c r="E101" s="526">
        <f>0.985*1.2</f>
        <v>1.1819999999999999</v>
      </c>
      <c r="F101" s="527">
        <f>E101*F100</f>
        <v>11.82</v>
      </c>
      <c r="G101" s="526"/>
      <c r="H101" s="527"/>
      <c r="I101" s="524"/>
      <c r="J101" s="528"/>
      <c r="K101" s="529"/>
      <c r="L101" s="529"/>
      <c r="M101" s="528"/>
    </row>
    <row r="102" spans="1:13" ht="17.25" customHeight="1" x14ac:dyDescent="0.25">
      <c r="A102" s="467"/>
      <c r="B102" s="524"/>
      <c r="C102" s="525" t="s">
        <v>113</v>
      </c>
      <c r="D102" s="524" t="s">
        <v>43</v>
      </c>
      <c r="E102" s="530">
        <f>0.0039*1.2</f>
        <v>4.6799999999999993E-3</v>
      </c>
      <c r="F102" s="527">
        <f>E102*F100</f>
        <v>4.6799999999999994E-2</v>
      </c>
      <c r="G102" s="527"/>
      <c r="H102" s="531"/>
      <c r="I102" s="524"/>
      <c r="J102" s="528"/>
      <c r="K102" s="532"/>
      <c r="L102" s="532"/>
      <c r="M102" s="532"/>
    </row>
    <row r="103" spans="1:13" ht="36.75" customHeight="1" x14ac:dyDescent="0.25">
      <c r="A103" s="467"/>
      <c r="B103" s="533"/>
      <c r="C103" s="468" t="s">
        <v>114</v>
      </c>
      <c r="D103" s="534" t="s">
        <v>39</v>
      </c>
      <c r="E103" s="535">
        <v>1.03</v>
      </c>
      <c r="F103" s="536">
        <f>E103*F100</f>
        <v>10.3</v>
      </c>
      <c r="G103" s="536"/>
      <c r="H103" s="535"/>
      <c r="I103" s="537"/>
      <c r="J103" s="538"/>
      <c r="K103" s="539"/>
      <c r="L103" s="539"/>
      <c r="M103" s="538"/>
    </row>
    <row r="104" spans="1:13" x14ac:dyDescent="0.25">
      <c r="A104" s="467"/>
      <c r="B104" s="533"/>
      <c r="C104" s="540" t="s">
        <v>115</v>
      </c>
      <c r="D104" s="524" t="s">
        <v>43</v>
      </c>
      <c r="E104" s="526">
        <v>1.6E-2</v>
      </c>
      <c r="F104" s="527">
        <f>E104*F100</f>
        <v>0.16</v>
      </c>
      <c r="G104" s="527"/>
      <c r="H104" s="531"/>
      <c r="I104" s="524"/>
      <c r="J104" s="528"/>
      <c r="K104" s="532"/>
      <c r="L104" s="532"/>
      <c r="M104" s="532"/>
    </row>
    <row r="105" spans="1:13" ht="27" customHeight="1" x14ac:dyDescent="0.25">
      <c r="A105" s="28"/>
      <c r="B105" s="32"/>
      <c r="C105" s="111" t="s">
        <v>116</v>
      </c>
      <c r="D105" s="112"/>
      <c r="E105" s="113"/>
      <c r="F105" s="669"/>
      <c r="G105" s="36"/>
      <c r="H105" s="36"/>
      <c r="I105" s="670"/>
      <c r="J105" s="36"/>
      <c r="K105" s="36"/>
      <c r="L105" s="36"/>
      <c r="M105" s="36"/>
    </row>
    <row r="106" spans="1:13" ht="25.5" customHeight="1" x14ac:dyDescent="0.25">
      <c r="A106" s="541">
        <v>1</v>
      </c>
      <c r="B106" s="470" t="s">
        <v>81</v>
      </c>
      <c r="C106" s="471" t="s">
        <v>82</v>
      </c>
      <c r="D106" s="472" t="s">
        <v>46</v>
      </c>
      <c r="E106" s="473"/>
      <c r="F106" s="474">
        <v>10</v>
      </c>
      <c r="G106" s="475"/>
      <c r="H106" s="476"/>
      <c r="I106" s="477"/>
      <c r="J106" s="478"/>
      <c r="K106" s="479"/>
      <c r="L106" s="479"/>
      <c r="M106" s="480"/>
    </row>
    <row r="107" spans="1:13" x14ac:dyDescent="0.25">
      <c r="A107" s="469"/>
      <c r="B107" s="477"/>
      <c r="C107" s="481" t="s">
        <v>61</v>
      </c>
      <c r="D107" s="475" t="s">
        <v>48</v>
      </c>
      <c r="E107" s="482">
        <f>0.243</f>
        <v>0.24299999999999999</v>
      </c>
      <c r="F107" s="483">
        <f>E107*F106</f>
        <v>2.4299999999999997</v>
      </c>
      <c r="G107" s="484"/>
      <c r="H107" s="485"/>
      <c r="I107" s="486"/>
      <c r="J107" s="485"/>
      <c r="K107" s="486"/>
      <c r="L107" s="485"/>
      <c r="M107" s="485"/>
    </row>
    <row r="108" spans="1:13" x14ac:dyDescent="0.25">
      <c r="A108" s="469"/>
      <c r="B108" s="477"/>
      <c r="C108" s="481" t="s">
        <v>83</v>
      </c>
      <c r="D108" s="475" t="s">
        <v>50</v>
      </c>
      <c r="E108" s="487">
        <f>0.0016</f>
        <v>1.6000000000000001E-3</v>
      </c>
      <c r="F108" s="488">
        <f>E108*F106</f>
        <v>1.6E-2</v>
      </c>
      <c r="G108" s="488"/>
      <c r="H108" s="485"/>
      <c r="I108" s="486"/>
      <c r="J108" s="485"/>
      <c r="K108" s="486"/>
      <c r="L108" s="485"/>
      <c r="M108" s="485"/>
    </row>
    <row r="109" spans="1:13" ht="30.75" customHeight="1" x14ac:dyDescent="0.25">
      <c r="A109" s="489">
        <v>2</v>
      </c>
      <c r="B109" s="490" t="s">
        <v>84</v>
      </c>
      <c r="C109" s="423" t="s">
        <v>85</v>
      </c>
      <c r="D109" s="424" t="s">
        <v>39</v>
      </c>
      <c r="E109" s="424"/>
      <c r="F109" s="425">
        <v>10</v>
      </c>
      <c r="G109" s="429"/>
      <c r="H109" s="430"/>
      <c r="I109" s="432"/>
      <c r="J109" s="430"/>
      <c r="K109" s="432"/>
      <c r="L109" s="430"/>
      <c r="M109" s="491"/>
    </row>
    <row r="110" spans="1:13" ht="18.75" customHeight="1" x14ac:dyDescent="0.25">
      <c r="A110" s="489"/>
      <c r="B110" s="492"/>
      <c r="C110" s="428" t="s">
        <v>40</v>
      </c>
      <c r="D110" s="429" t="s">
        <v>41</v>
      </c>
      <c r="E110" s="430">
        <f>1.01*1.2</f>
        <v>1.212</v>
      </c>
      <c r="F110" s="430">
        <f>E110*F109</f>
        <v>12.12</v>
      </c>
      <c r="G110" s="429"/>
      <c r="H110" s="430"/>
      <c r="I110" s="432"/>
      <c r="J110" s="430"/>
      <c r="K110" s="432"/>
      <c r="L110" s="430"/>
      <c r="M110" s="430"/>
    </row>
    <row r="111" spans="1:13" ht="18.75" customHeight="1" x14ac:dyDescent="0.25">
      <c r="A111" s="489"/>
      <c r="B111" s="492"/>
      <c r="C111" s="428" t="s">
        <v>86</v>
      </c>
      <c r="D111" s="429" t="s">
        <v>43</v>
      </c>
      <c r="E111" s="433">
        <f>0.041*1.2</f>
        <v>4.9200000000000001E-2</v>
      </c>
      <c r="F111" s="430">
        <f>E111*F109</f>
        <v>0.49199999999999999</v>
      </c>
      <c r="G111" s="429"/>
      <c r="H111" s="431"/>
      <c r="I111" s="432"/>
      <c r="J111" s="430"/>
      <c r="K111" s="432"/>
      <c r="L111" s="431"/>
      <c r="M111" s="430"/>
    </row>
    <row r="112" spans="1:13" ht="18.75" customHeight="1" x14ac:dyDescent="0.25">
      <c r="A112" s="489"/>
      <c r="B112" s="492"/>
      <c r="C112" s="428" t="s">
        <v>87</v>
      </c>
      <c r="D112" s="429" t="s">
        <v>43</v>
      </c>
      <c r="E112" s="433">
        <f>0.027*1.2</f>
        <v>3.2399999999999998E-2</v>
      </c>
      <c r="F112" s="430">
        <f>E112*F109</f>
        <v>0.32399999999999995</v>
      </c>
      <c r="G112" s="429"/>
      <c r="H112" s="430"/>
      <c r="I112" s="432"/>
      <c r="J112" s="430"/>
      <c r="K112" s="432"/>
      <c r="L112" s="430"/>
      <c r="M112" s="430"/>
    </row>
    <row r="113" spans="1:13" ht="18.75" customHeight="1" x14ac:dyDescent="0.25">
      <c r="A113" s="489"/>
      <c r="B113" s="492"/>
      <c r="C113" s="428" t="s">
        <v>88</v>
      </c>
      <c r="D113" s="429" t="s">
        <v>56</v>
      </c>
      <c r="E113" s="433">
        <v>2.3800000000000002E-2</v>
      </c>
      <c r="F113" s="430">
        <f>E113*F109</f>
        <v>0.23800000000000002</v>
      </c>
      <c r="G113" s="429"/>
      <c r="H113" s="430"/>
      <c r="I113" s="432"/>
      <c r="J113" s="431"/>
      <c r="K113" s="431"/>
      <c r="L113" s="431"/>
      <c r="M113" s="430"/>
    </row>
    <row r="114" spans="1:13" ht="18.75" customHeight="1" x14ac:dyDescent="0.25">
      <c r="A114" s="489"/>
      <c r="B114" s="492"/>
      <c r="C114" s="428" t="s">
        <v>89</v>
      </c>
      <c r="D114" s="429" t="s">
        <v>46</v>
      </c>
      <c r="E114" s="433">
        <v>5.28E-2</v>
      </c>
      <c r="F114" s="430">
        <f>E114*F109</f>
        <v>0.52800000000000002</v>
      </c>
      <c r="G114" s="429"/>
      <c r="H114" s="430"/>
      <c r="I114" s="432"/>
      <c r="J114" s="431"/>
      <c r="K114" s="431"/>
      <c r="L114" s="431"/>
      <c r="M114" s="430"/>
    </row>
    <row r="115" spans="1:13" ht="18.75" customHeight="1" x14ac:dyDescent="0.25">
      <c r="A115" s="489"/>
      <c r="B115" s="492"/>
      <c r="C115" s="428" t="s">
        <v>83</v>
      </c>
      <c r="D115" s="429" t="s">
        <v>50</v>
      </c>
      <c r="E115" s="433">
        <v>3.0000000000000001E-3</v>
      </c>
      <c r="F115" s="430">
        <f>E115*F109</f>
        <v>0.03</v>
      </c>
      <c r="G115" s="429"/>
      <c r="H115" s="430"/>
      <c r="I115" s="432"/>
      <c r="J115" s="431"/>
      <c r="K115" s="431"/>
      <c r="L115" s="431"/>
      <c r="M115" s="430"/>
    </row>
    <row r="116" spans="1:13" ht="36" customHeight="1" x14ac:dyDescent="0.25">
      <c r="A116" s="440">
        <v>3</v>
      </c>
      <c r="B116" s="441" t="s">
        <v>65</v>
      </c>
      <c r="C116" s="442" t="s">
        <v>66</v>
      </c>
      <c r="D116" s="443" t="s">
        <v>67</v>
      </c>
      <c r="E116" s="440"/>
      <c r="F116" s="626">
        <v>1</v>
      </c>
      <c r="G116" s="419"/>
      <c r="H116" s="414"/>
      <c r="I116" s="674"/>
      <c r="J116" s="414"/>
      <c r="K116" s="420"/>
      <c r="L116" s="414"/>
      <c r="M116" s="414"/>
    </row>
    <row r="117" spans="1:13" ht="17.25" customHeight="1" x14ac:dyDescent="0.25">
      <c r="A117" s="445"/>
      <c r="B117" s="446"/>
      <c r="C117" s="447" t="s">
        <v>68</v>
      </c>
      <c r="D117" s="409" t="s">
        <v>67</v>
      </c>
      <c r="E117" s="448">
        <v>1</v>
      </c>
      <c r="F117" s="638">
        <f>E117*F116</f>
        <v>1</v>
      </c>
      <c r="G117" s="420"/>
      <c r="H117" s="414"/>
      <c r="I117" s="637"/>
      <c r="J117" s="449"/>
      <c r="K117" s="420"/>
      <c r="L117" s="414"/>
      <c r="M117" s="414"/>
    </row>
    <row r="118" spans="1:13" ht="24" customHeight="1" x14ac:dyDescent="0.25">
      <c r="A118" s="445"/>
      <c r="B118" s="450"/>
      <c r="C118" s="447" t="s">
        <v>69</v>
      </c>
      <c r="D118" s="451" t="s">
        <v>50</v>
      </c>
      <c r="E118" s="452">
        <f>0.0633*1.2*1.5</f>
        <v>0.11393999999999999</v>
      </c>
      <c r="F118" s="668">
        <f>E118*F116</f>
        <v>0.11393999999999999</v>
      </c>
      <c r="G118" s="419"/>
      <c r="H118" s="414"/>
      <c r="I118" s="674"/>
      <c r="J118" s="414"/>
      <c r="K118" s="420"/>
      <c r="L118" s="414"/>
      <c r="M118" s="414"/>
    </row>
    <row r="119" spans="1:13" ht="21" customHeight="1" x14ac:dyDescent="0.25">
      <c r="A119" s="445"/>
      <c r="B119" s="446"/>
      <c r="C119" s="418" t="s">
        <v>70</v>
      </c>
      <c r="D119" s="419" t="s">
        <v>67</v>
      </c>
      <c r="E119" s="419">
        <v>1</v>
      </c>
      <c r="F119" s="667">
        <f>E119*F116</f>
        <v>1</v>
      </c>
      <c r="G119" s="419"/>
      <c r="H119" s="414"/>
      <c r="I119" s="674"/>
      <c r="J119" s="414"/>
      <c r="K119" s="420"/>
      <c r="L119" s="414"/>
      <c r="M119" s="438"/>
    </row>
    <row r="120" spans="1:13" ht="18" customHeight="1" x14ac:dyDescent="0.25">
      <c r="A120" s="421"/>
      <c r="B120" s="427"/>
      <c r="C120" s="428" t="s">
        <v>71</v>
      </c>
      <c r="D120" s="429" t="s">
        <v>67</v>
      </c>
      <c r="E120" s="429">
        <v>2</v>
      </c>
      <c r="F120" s="431">
        <f>E120*F116</f>
        <v>2</v>
      </c>
      <c r="G120" s="429"/>
      <c r="H120" s="430"/>
      <c r="I120" s="432"/>
      <c r="J120" s="430"/>
      <c r="K120" s="432"/>
      <c r="L120" s="430"/>
      <c r="M120" s="430"/>
    </row>
    <row r="121" spans="1:13" ht="17.25" customHeight="1" x14ac:dyDescent="0.25">
      <c r="A121" s="445"/>
      <c r="B121" s="450"/>
      <c r="C121" s="447" t="s">
        <v>72</v>
      </c>
      <c r="D121" s="451" t="s">
        <v>50</v>
      </c>
      <c r="E121" s="440">
        <v>0.28000000000000003</v>
      </c>
      <c r="F121" s="638">
        <f>E121*F116</f>
        <v>0.28000000000000003</v>
      </c>
      <c r="G121" s="420"/>
      <c r="H121" s="414"/>
      <c r="I121" s="675"/>
      <c r="J121" s="414"/>
      <c r="K121" s="420"/>
      <c r="L121" s="414"/>
      <c r="M121" s="414"/>
    </row>
    <row r="122" spans="1:13" ht="45.75" customHeight="1" x14ac:dyDescent="0.25">
      <c r="A122" s="489">
        <v>4</v>
      </c>
      <c r="B122" s="735" t="s">
        <v>90</v>
      </c>
      <c r="C122" s="423" t="s">
        <v>91</v>
      </c>
      <c r="D122" s="462" t="s">
        <v>39</v>
      </c>
      <c r="E122" s="462"/>
      <c r="F122" s="494">
        <v>84</v>
      </c>
      <c r="G122" s="429"/>
      <c r="H122" s="430"/>
      <c r="I122" s="432"/>
      <c r="J122" s="430"/>
      <c r="K122" s="432"/>
      <c r="L122" s="430"/>
      <c r="M122" s="491"/>
    </row>
    <row r="123" spans="1:13" ht="17.25" customHeight="1" x14ac:dyDescent="0.25">
      <c r="A123" s="489"/>
      <c r="B123" s="735"/>
      <c r="C123" s="428" t="s">
        <v>40</v>
      </c>
      <c r="D123" s="429" t="s">
        <v>41</v>
      </c>
      <c r="E123" s="430">
        <f>0.77*1.2</f>
        <v>0.92399999999999993</v>
      </c>
      <c r="F123" s="430">
        <f>E123*F122</f>
        <v>77.616</v>
      </c>
      <c r="G123" s="429"/>
      <c r="H123" s="430"/>
      <c r="I123" s="432"/>
      <c r="J123" s="430"/>
      <c r="K123" s="432"/>
      <c r="L123" s="430"/>
      <c r="M123" s="431"/>
    </row>
    <row r="124" spans="1:13" ht="17.25" customHeight="1" x14ac:dyDescent="0.25">
      <c r="A124" s="489"/>
      <c r="B124" s="735"/>
      <c r="C124" s="428" t="s">
        <v>75</v>
      </c>
      <c r="D124" s="429" t="s">
        <v>43</v>
      </c>
      <c r="E124" s="429">
        <f>0.0095*1.2</f>
        <v>1.1399999999999999E-2</v>
      </c>
      <c r="F124" s="430">
        <f>E124*F122</f>
        <v>0.9575999999999999</v>
      </c>
      <c r="G124" s="429"/>
      <c r="H124" s="430"/>
      <c r="I124" s="432"/>
      <c r="J124" s="430"/>
      <c r="K124" s="432"/>
      <c r="L124" s="430"/>
      <c r="M124" s="431"/>
    </row>
    <row r="125" spans="1:13" ht="17.25" customHeight="1" x14ac:dyDescent="0.25">
      <c r="A125" s="489"/>
      <c r="B125" s="429"/>
      <c r="C125" s="495" t="s">
        <v>92</v>
      </c>
      <c r="D125" s="429" t="s">
        <v>93</v>
      </c>
      <c r="E125" s="429">
        <v>0.24</v>
      </c>
      <c r="F125" s="430">
        <f>E125*F122</f>
        <v>20.16</v>
      </c>
      <c r="G125" s="429"/>
      <c r="H125" s="430"/>
      <c r="I125" s="496"/>
      <c r="J125" s="431"/>
      <c r="K125" s="432"/>
      <c r="L125" s="430"/>
      <c r="M125" s="431"/>
    </row>
    <row r="126" spans="1:13" ht="17.25" customHeight="1" x14ac:dyDescent="0.25">
      <c r="A126" s="489"/>
      <c r="B126" s="429"/>
      <c r="C126" s="495" t="s">
        <v>94</v>
      </c>
      <c r="D126" s="490" t="s">
        <v>93</v>
      </c>
      <c r="E126" s="490">
        <f>0.183+0.12+0.001</f>
        <v>0.30399999999999999</v>
      </c>
      <c r="F126" s="430">
        <f>E126*F122</f>
        <v>25.535999999999998</v>
      </c>
      <c r="G126" s="429"/>
      <c r="H126" s="430"/>
      <c r="I126" s="432"/>
      <c r="J126" s="431"/>
      <c r="K126" s="432"/>
      <c r="L126" s="430"/>
      <c r="M126" s="431"/>
    </row>
    <row r="127" spans="1:13" ht="17.25" customHeight="1" x14ac:dyDescent="0.25">
      <c r="A127" s="489"/>
      <c r="B127" s="429"/>
      <c r="C127" s="428" t="s">
        <v>58</v>
      </c>
      <c r="D127" s="429" t="s">
        <v>43</v>
      </c>
      <c r="E127" s="429">
        <v>1.6E-2</v>
      </c>
      <c r="F127" s="433">
        <f>E127*F122</f>
        <v>1.3440000000000001</v>
      </c>
      <c r="G127" s="429"/>
      <c r="H127" s="430"/>
      <c r="I127" s="432"/>
      <c r="J127" s="430"/>
      <c r="K127" s="432"/>
      <c r="L127" s="430"/>
      <c r="M127" s="431"/>
    </row>
    <row r="128" spans="1:13" x14ac:dyDescent="0.25">
      <c r="A128" s="28"/>
      <c r="B128" s="32"/>
      <c r="C128" s="111" t="s">
        <v>117</v>
      </c>
      <c r="D128" s="31"/>
      <c r="E128" s="32"/>
      <c r="F128" s="669"/>
      <c r="G128" s="36"/>
      <c r="H128" s="36"/>
      <c r="I128" s="670"/>
      <c r="J128" s="36"/>
      <c r="K128" s="36"/>
      <c r="L128" s="36"/>
      <c r="M128" s="36"/>
    </row>
    <row r="129" spans="1:13" ht="48" customHeight="1" x14ac:dyDescent="0.25">
      <c r="A129" s="395">
        <v>1</v>
      </c>
      <c r="B129" s="739" t="s">
        <v>73</v>
      </c>
      <c r="C129" s="454" t="s">
        <v>118</v>
      </c>
      <c r="D129" s="407" t="s">
        <v>39</v>
      </c>
      <c r="E129" s="398"/>
      <c r="F129" s="424">
        <v>1.37</v>
      </c>
      <c r="G129" s="456"/>
      <c r="H129" s="401"/>
      <c r="I129" s="524"/>
      <c r="J129" s="403"/>
      <c r="K129" s="404"/>
      <c r="L129" s="404"/>
      <c r="M129" s="405"/>
    </row>
    <row r="130" spans="1:13" ht="18.75" customHeight="1" x14ac:dyDescent="0.25">
      <c r="A130" s="395"/>
      <c r="B130" s="739"/>
      <c r="C130" s="457" t="s">
        <v>40</v>
      </c>
      <c r="D130" s="407" t="s">
        <v>41</v>
      </c>
      <c r="E130" s="407">
        <f>1.56*0.6</f>
        <v>0.93599999999999994</v>
      </c>
      <c r="F130" s="430">
        <f>E130*F129</f>
        <v>1.2823200000000001</v>
      </c>
      <c r="G130" s="407"/>
      <c r="H130" s="401"/>
      <c r="I130" s="432"/>
      <c r="J130" s="401"/>
      <c r="K130" s="408"/>
      <c r="L130" s="401"/>
      <c r="M130" s="401"/>
    </row>
    <row r="131" spans="1:13" ht="18.75" customHeight="1" x14ac:dyDescent="0.25">
      <c r="A131" s="395"/>
      <c r="B131" s="396"/>
      <c r="C131" s="457" t="s">
        <v>75</v>
      </c>
      <c r="D131" s="407" t="s">
        <v>43</v>
      </c>
      <c r="E131" s="458">
        <f>0.098*0.6</f>
        <v>5.8799999999999998E-2</v>
      </c>
      <c r="F131" s="430">
        <f>E131*F129</f>
        <v>8.0556000000000003E-2</v>
      </c>
      <c r="G131" s="400"/>
      <c r="H131" s="401"/>
      <c r="I131" s="432"/>
      <c r="J131" s="401"/>
      <c r="K131" s="408"/>
      <c r="L131" s="401"/>
      <c r="M131" s="401"/>
    </row>
    <row r="132" spans="1:13" ht="52.5" customHeight="1" x14ac:dyDescent="0.25">
      <c r="A132" s="459">
        <v>2</v>
      </c>
      <c r="B132" s="460" t="s">
        <v>76</v>
      </c>
      <c r="C132" s="461" t="s">
        <v>119</v>
      </c>
      <c r="D132" s="462" t="s">
        <v>39</v>
      </c>
      <c r="E132" s="463"/>
      <c r="F132" s="542">
        <v>1.37</v>
      </c>
      <c r="G132" s="429"/>
      <c r="H132" s="430"/>
      <c r="I132" s="465"/>
      <c r="J132" s="430"/>
      <c r="K132" s="466"/>
      <c r="L132" s="466"/>
      <c r="M132" s="466"/>
    </row>
    <row r="133" spans="1:13" ht="17.25" customHeight="1" x14ac:dyDescent="0.25">
      <c r="A133" s="467"/>
      <c r="B133" s="460"/>
      <c r="C133" s="468" t="s">
        <v>40</v>
      </c>
      <c r="D133" s="429" t="s">
        <v>39</v>
      </c>
      <c r="E133" s="430">
        <f>1.21*1.2</f>
        <v>1.452</v>
      </c>
      <c r="F133" s="431">
        <f>E133*F132</f>
        <v>1.9892400000000001</v>
      </c>
      <c r="G133" s="429"/>
      <c r="H133" s="430"/>
      <c r="I133" s="432"/>
      <c r="J133" s="430"/>
      <c r="K133" s="432"/>
      <c r="L133" s="430"/>
      <c r="M133" s="430"/>
    </row>
    <row r="134" spans="1:13" ht="17.25" customHeight="1" x14ac:dyDescent="0.25">
      <c r="A134" s="467"/>
      <c r="B134" s="460"/>
      <c r="C134" s="428" t="s">
        <v>78</v>
      </c>
      <c r="D134" s="429" t="s">
        <v>43</v>
      </c>
      <c r="E134" s="429">
        <f>0.245*1.2</f>
        <v>0.29399999999999998</v>
      </c>
      <c r="F134" s="431">
        <f>E134*F132</f>
        <v>0.40278000000000003</v>
      </c>
      <c r="G134" s="429"/>
      <c r="H134" s="430"/>
      <c r="I134" s="432"/>
      <c r="J134" s="430"/>
      <c r="K134" s="432"/>
      <c r="L134" s="430"/>
      <c r="M134" s="430"/>
    </row>
    <row r="135" spans="1:13" ht="17.25" customHeight="1" x14ac:dyDescent="0.25">
      <c r="A135" s="467"/>
      <c r="B135" s="460"/>
      <c r="C135" s="428" t="s">
        <v>79</v>
      </c>
      <c r="D135" s="429" t="s">
        <v>39</v>
      </c>
      <c r="E135" s="429">
        <v>1</v>
      </c>
      <c r="F135" s="431">
        <f>E135*F132</f>
        <v>1.37</v>
      </c>
      <c r="G135" s="429"/>
      <c r="H135" s="430"/>
      <c r="I135" s="432"/>
      <c r="J135" s="430"/>
      <c r="K135" s="432"/>
      <c r="L135" s="430"/>
      <c r="M135" s="430"/>
    </row>
    <row r="136" spans="1:13" ht="17.25" customHeight="1" x14ac:dyDescent="0.25">
      <c r="A136" s="467"/>
      <c r="B136" s="460"/>
      <c r="C136" s="428" t="s">
        <v>80</v>
      </c>
      <c r="D136" s="429" t="s">
        <v>43</v>
      </c>
      <c r="E136" s="429">
        <v>9.0999999999999998E-2</v>
      </c>
      <c r="F136" s="431">
        <f>E136*F132</f>
        <v>0.12467</v>
      </c>
      <c r="G136" s="429"/>
      <c r="H136" s="430"/>
      <c r="I136" s="432"/>
      <c r="J136" s="430"/>
      <c r="K136" s="432"/>
      <c r="L136" s="430"/>
      <c r="M136" s="431"/>
    </row>
    <row r="137" spans="1:13" ht="39.75" customHeight="1" x14ac:dyDescent="0.25">
      <c r="A137" s="395">
        <v>3</v>
      </c>
      <c r="B137" s="505" t="s">
        <v>120</v>
      </c>
      <c r="C137" s="454" t="s">
        <v>121</v>
      </c>
      <c r="D137" s="398" t="s">
        <v>122</v>
      </c>
      <c r="E137" s="543"/>
      <c r="F137" s="426">
        <v>1.55</v>
      </c>
      <c r="G137" s="407"/>
      <c r="H137" s="401"/>
      <c r="I137" s="432"/>
      <c r="J137" s="401"/>
      <c r="K137" s="408"/>
      <c r="L137" s="401"/>
      <c r="M137" s="544"/>
    </row>
    <row r="138" spans="1:13" ht="21" customHeight="1" x14ac:dyDescent="0.25">
      <c r="A138" s="395"/>
      <c r="B138" s="505" t="s">
        <v>123</v>
      </c>
      <c r="C138" s="457" t="s">
        <v>54</v>
      </c>
      <c r="D138" s="407" t="s">
        <v>41</v>
      </c>
      <c r="E138" s="401">
        <f>0.594/0.74*0.6</f>
        <v>0.48162162162162159</v>
      </c>
      <c r="F138" s="430">
        <f>F137*E138</f>
        <v>0.74651351351351347</v>
      </c>
      <c r="G138" s="400"/>
      <c r="H138" s="401"/>
      <c r="I138" s="432"/>
      <c r="J138" s="401"/>
      <c r="K138" s="408"/>
      <c r="L138" s="401"/>
      <c r="M138" s="401"/>
    </row>
    <row r="139" spans="1:13" ht="21" customHeight="1" x14ac:dyDescent="0.25">
      <c r="A139" s="395"/>
      <c r="B139" s="505" t="s">
        <v>124</v>
      </c>
      <c r="C139" s="457" t="s">
        <v>125</v>
      </c>
      <c r="D139" s="407" t="s">
        <v>43</v>
      </c>
      <c r="E139" s="401">
        <f>0.0366/0.74*0.5</f>
        <v>2.472972972972973E-2</v>
      </c>
      <c r="F139" s="430">
        <f>F137*E139</f>
        <v>3.8331081081081082E-2</v>
      </c>
      <c r="G139" s="407"/>
      <c r="H139" s="401"/>
      <c r="I139" s="432"/>
      <c r="J139" s="401"/>
      <c r="K139" s="408"/>
      <c r="L139" s="401"/>
      <c r="M139" s="401"/>
    </row>
    <row r="140" spans="1:13" ht="17.25" customHeight="1" x14ac:dyDescent="0.25">
      <c r="A140" s="395"/>
      <c r="B140" s="505" t="s">
        <v>124</v>
      </c>
      <c r="C140" s="457" t="s">
        <v>80</v>
      </c>
      <c r="D140" s="407" t="s">
        <v>43</v>
      </c>
      <c r="E140" s="458">
        <f>0.048/0.74*0.5</f>
        <v>3.2432432432432434E-2</v>
      </c>
      <c r="F140" s="430">
        <f>F137*E140</f>
        <v>5.0270270270270277E-2</v>
      </c>
      <c r="G140" s="407"/>
      <c r="H140" s="401"/>
      <c r="I140" s="432"/>
      <c r="J140" s="401"/>
      <c r="K140" s="408"/>
      <c r="L140" s="401"/>
      <c r="M140" s="401"/>
    </row>
    <row r="141" spans="1:13" ht="36.75" customHeight="1" x14ac:dyDescent="0.25">
      <c r="A141" s="395">
        <v>4</v>
      </c>
      <c r="B141" s="505" t="s">
        <v>120</v>
      </c>
      <c r="C141" s="454" t="s">
        <v>126</v>
      </c>
      <c r="D141" s="398" t="s">
        <v>122</v>
      </c>
      <c r="E141" s="543"/>
      <c r="F141" s="426">
        <v>1.55</v>
      </c>
      <c r="G141" s="407"/>
      <c r="H141" s="401"/>
      <c r="I141" s="432"/>
      <c r="J141" s="401"/>
      <c r="K141" s="408"/>
      <c r="L141" s="401"/>
      <c r="M141" s="544"/>
    </row>
    <row r="142" spans="1:13" ht="15.75" customHeight="1" x14ac:dyDescent="0.25">
      <c r="A142" s="395"/>
      <c r="B142" s="505"/>
      <c r="C142" s="457" t="s">
        <v>54</v>
      </c>
      <c r="D142" s="407" t="s">
        <v>41</v>
      </c>
      <c r="E142" s="401">
        <f>0.594/0.74</f>
        <v>0.80270270270270272</v>
      </c>
      <c r="F142" s="430">
        <f>F141*E142</f>
        <v>1.2441891891891892</v>
      </c>
      <c r="G142" s="400"/>
      <c r="H142" s="401"/>
      <c r="I142" s="432"/>
      <c r="J142" s="401"/>
      <c r="K142" s="408"/>
      <c r="L142" s="401"/>
      <c r="M142" s="401"/>
    </row>
    <row r="143" spans="1:13" ht="15.75" customHeight="1" x14ac:dyDescent="0.25">
      <c r="A143" s="395"/>
      <c r="B143" s="505"/>
      <c r="C143" s="457" t="s">
        <v>125</v>
      </c>
      <c r="D143" s="407" t="s">
        <v>43</v>
      </c>
      <c r="E143" s="401">
        <f>0.0366/0.74</f>
        <v>4.9459459459459461E-2</v>
      </c>
      <c r="F143" s="430">
        <f>F141*E143</f>
        <v>7.6662162162162165E-2</v>
      </c>
      <c r="G143" s="407"/>
      <c r="H143" s="401"/>
      <c r="I143" s="432"/>
      <c r="J143" s="401"/>
      <c r="K143" s="408"/>
      <c r="L143" s="401"/>
      <c r="M143" s="401"/>
    </row>
    <row r="144" spans="1:13" ht="15.75" customHeight="1" x14ac:dyDescent="0.25">
      <c r="A144" s="395"/>
      <c r="B144" s="505"/>
      <c r="C144" s="457" t="s">
        <v>127</v>
      </c>
      <c r="D144" s="407" t="s">
        <v>128</v>
      </c>
      <c r="E144" s="407">
        <v>1</v>
      </c>
      <c r="F144" s="430">
        <f>E144*F141</f>
        <v>1.55</v>
      </c>
      <c r="G144" s="407"/>
      <c r="H144" s="401"/>
      <c r="I144" s="432"/>
      <c r="J144" s="545"/>
      <c r="K144" s="408"/>
      <c r="L144" s="401"/>
      <c r="M144" s="546"/>
    </row>
    <row r="145" spans="1:13" ht="15.75" customHeight="1" x14ac:dyDescent="0.25">
      <c r="A145" s="395"/>
      <c r="B145" s="505"/>
      <c r="C145" s="457" t="s">
        <v>129</v>
      </c>
      <c r="D145" s="407" t="s">
        <v>93</v>
      </c>
      <c r="E145" s="401">
        <f>0.3/0.74</f>
        <v>0.40540540540540537</v>
      </c>
      <c r="F145" s="430">
        <f>F141*E145</f>
        <v>0.6283783783783784</v>
      </c>
      <c r="G145" s="407"/>
      <c r="H145" s="401"/>
      <c r="I145" s="432"/>
      <c r="J145" s="401"/>
      <c r="K145" s="408"/>
      <c r="L145" s="401"/>
      <c r="M145" s="545"/>
    </row>
    <row r="146" spans="1:13" ht="15.75" customHeight="1" x14ac:dyDescent="0.25">
      <c r="A146" s="395"/>
      <c r="B146" s="505"/>
      <c r="C146" s="457" t="s">
        <v>88</v>
      </c>
      <c r="D146" s="407" t="s">
        <v>56</v>
      </c>
      <c r="E146" s="458">
        <f>0.0034/0.74</f>
        <v>4.5945945945945945E-3</v>
      </c>
      <c r="F146" s="430">
        <f>F141*E146</f>
        <v>7.1216216216216221E-3</v>
      </c>
      <c r="G146" s="547"/>
      <c r="H146" s="401"/>
      <c r="I146" s="432"/>
      <c r="J146" s="401"/>
      <c r="K146" s="408"/>
      <c r="L146" s="401"/>
      <c r="M146" s="401"/>
    </row>
    <row r="147" spans="1:13" ht="15.75" customHeight="1" x14ac:dyDescent="0.25">
      <c r="A147" s="395"/>
      <c r="B147" s="505"/>
      <c r="C147" s="457" t="s">
        <v>80</v>
      </c>
      <c r="D147" s="407" t="s">
        <v>43</v>
      </c>
      <c r="E147" s="458">
        <f>0.048/0.74</f>
        <v>6.4864864864864868E-2</v>
      </c>
      <c r="F147" s="430">
        <f>F141*E147</f>
        <v>0.10054054054054055</v>
      </c>
      <c r="G147" s="407"/>
      <c r="H147" s="401"/>
      <c r="I147" s="432"/>
      <c r="J147" s="401"/>
      <c r="K147" s="408"/>
      <c r="L147" s="401"/>
      <c r="M147" s="401"/>
    </row>
    <row r="148" spans="1:13" ht="33.75" customHeight="1" x14ac:dyDescent="0.25">
      <c r="A148" s="548">
        <v>5</v>
      </c>
      <c r="B148" s="549" t="s">
        <v>130</v>
      </c>
      <c r="C148" s="550" t="s">
        <v>131</v>
      </c>
      <c r="D148" s="551" t="s">
        <v>39</v>
      </c>
      <c r="E148" s="552"/>
      <c r="F148" s="553">
        <v>0.4</v>
      </c>
      <c r="G148" s="554"/>
      <c r="H148" s="554"/>
      <c r="I148" s="555"/>
      <c r="J148" s="554"/>
      <c r="K148" s="554"/>
      <c r="L148" s="554"/>
      <c r="M148" s="556"/>
    </row>
    <row r="149" spans="1:13" ht="21.75" customHeight="1" x14ac:dyDescent="0.25">
      <c r="A149" s="548"/>
      <c r="B149" s="557"/>
      <c r="C149" s="174" t="s">
        <v>132</v>
      </c>
      <c r="D149" s="558" t="s">
        <v>133</v>
      </c>
      <c r="E149" s="559">
        <f>0.492*1.2</f>
        <v>0.59039999999999992</v>
      </c>
      <c r="F149" s="560">
        <v>55.68</v>
      </c>
      <c r="G149" s="554"/>
      <c r="H149" s="554"/>
      <c r="I149" s="555"/>
      <c r="J149" s="554"/>
      <c r="K149" s="554"/>
      <c r="L149" s="554"/>
      <c r="M149" s="556"/>
    </row>
    <row r="150" spans="1:13" ht="18" customHeight="1" x14ac:dyDescent="0.25">
      <c r="A150" s="561"/>
      <c r="B150" s="562"/>
      <c r="C150" s="563" t="s">
        <v>134</v>
      </c>
      <c r="D150" s="564" t="s">
        <v>43</v>
      </c>
      <c r="E150" s="565">
        <f>0.0083*1.2</f>
        <v>9.9600000000000001E-3</v>
      </c>
      <c r="F150" s="566">
        <f>F148*E150</f>
        <v>3.9840000000000006E-3</v>
      </c>
      <c r="G150" s="554"/>
      <c r="H150" s="554"/>
      <c r="I150" s="555"/>
      <c r="J150" s="554"/>
      <c r="K150" s="554"/>
      <c r="L150" s="554"/>
      <c r="M150" s="556"/>
    </row>
    <row r="151" spans="1:13" x14ac:dyDescent="0.25">
      <c r="A151" s="548"/>
      <c r="B151" s="567"/>
      <c r="C151" s="174" t="s">
        <v>135</v>
      </c>
      <c r="D151" s="558" t="s">
        <v>93</v>
      </c>
      <c r="E151" s="559">
        <v>0.5</v>
      </c>
      <c r="F151" s="560">
        <f>F148*E151</f>
        <v>0.2</v>
      </c>
      <c r="G151" s="554"/>
      <c r="H151" s="554"/>
      <c r="I151" s="568"/>
      <c r="J151" s="554"/>
      <c r="K151" s="554"/>
      <c r="L151" s="554"/>
      <c r="M151" s="556"/>
    </row>
    <row r="152" spans="1:13" ht="15" customHeight="1" x14ac:dyDescent="0.25">
      <c r="A152" s="548"/>
      <c r="B152" s="569"/>
      <c r="C152" s="174" t="s">
        <v>136</v>
      </c>
      <c r="D152" s="558" t="s">
        <v>43</v>
      </c>
      <c r="E152" s="570">
        <v>7.0000000000000001E-3</v>
      </c>
      <c r="F152" s="571">
        <f>E152*F148</f>
        <v>2.8000000000000004E-3</v>
      </c>
      <c r="G152" s="554"/>
      <c r="H152" s="554"/>
      <c r="I152" s="555"/>
      <c r="J152" s="554"/>
      <c r="K152" s="554"/>
      <c r="L152" s="554"/>
      <c r="M152" s="556"/>
    </row>
    <row r="153" spans="1:13" ht="30.75" customHeight="1" x14ac:dyDescent="0.25">
      <c r="A153" s="518">
        <v>6</v>
      </c>
      <c r="B153" s="470" t="s">
        <v>81</v>
      </c>
      <c r="C153" s="471" t="s">
        <v>82</v>
      </c>
      <c r="D153" s="472" t="s">
        <v>46</v>
      </c>
      <c r="E153" s="473"/>
      <c r="F153" s="474">
        <v>7</v>
      </c>
      <c r="G153" s="475"/>
      <c r="H153" s="476"/>
      <c r="I153" s="477"/>
      <c r="J153" s="478"/>
      <c r="K153" s="479"/>
      <c r="L153" s="479"/>
      <c r="M153" s="480"/>
    </row>
    <row r="154" spans="1:13" x14ac:dyDescent="0.25">
      <c r="A154" s="469"/>
      <c r="B154" s="477"/>
      <c r="C154" s="481" t="s">
        <v>61</v>
      </c>
      <c r="D154" s="475" t="s">
        <v>48</v>
      </c>
      <c r="E154" s="482">
        <f>0.243</f>
        <v>0.24299999999999999</v>
      </c>
      <c r="F154" s="483">
        <f>E154*F153</f>
        <v>1.7010000000000001</v>
      </c>
      <c r="G154" s="484"/>
      <c r="H154" s="485"/>
      <c r="I154" s="486"/>
      <c r="J154" s="485"/>
      <c r="K154" s="486"/>
      <c r="L154" s="485"/>
      <c r="M154" s="485"/>
    </row>
    <row r="155" spans="1:13" x14ac:dyDescent="0.25">
      <c r="A155" s="469"/>
      <c r="B155" s="477"/>
      <c r="C155" s="481" t="s">
        <v>83</v>
      </c>
      <c r="D155" s="475" t="s">
        <v>50</v>
      </c>
      <c r="E155" s="487">
        <f>0.0016</f>
        <v>1.6000000000000001E-3</v>
      </c>
      <c r="F155" s="488">
        <f>E155*F153</f>
        <v>1.12E-2</v>
      </c>
      <c r="G155" s="488"/>
      <c r="H155" s="485"/>
      <c r="I155" s="486"/>
      <c r="J155" s="485"/>
      <c r="K155" s="486"/>
      <c r="L155" s="485"/>
      <c r="M155" s="485"/>
    </row>
    <row r="156" spans="1:13" ht="29.25" customHeight="1" x14ac:dyDescent="0.25">
      <c r="A156" s="489">
        <v>7</v>
      </c>
      <c r="B156" s="490" t="s">
        <v>84</v>
      </c>
      <c r="C156" s="423" t="s">
        <v>85</v>
      </c>
      <c r="D156" s="424" t="s">
        <v>39</v>
      </c>
      <c r="E156" s="424"/>
      <c r="F156" s="425">
        <v>7</v>
      </c>
      <c r="G156" s="429"/>
      <c r="H156" s="430"/>
      <c r="I156" s="432"/>
      <c r="J156" s="430"/>
      <c r="K156" s="432"/>
      <c r="L156" s="430"/>
      <c r="M156" s="491"/>
    </row>
    <row r="157" spans="1:13" ht="17.25" customHeight="1" x14ac:dyDescent="0.25">
      <c r="A157" s="489"/>
      <c r="B157" s="492"/>
      <c r="C157" s="428" t="s">
        <v>40</v>
      </c>
      <c r="D157" s="429" t="s">
        <v>41</v>
      </c>
      <c r="E157" s="430">
        <f>1.01*1.2</f>
        <v>1.212</v>
      </c>
      <c r="F157" s="430">
        <f>E157*F156</f>
        <v>8.484</v>
      </c>
      <c r="G157" s="429"/>
      <c r="H157" s="430"/>
      <c r="I157" s="432"/>
      <c r="J157" s="430"/>
      <c r="K157" s="432"/>
      <c r="L157" s="430"/>
      <c r="M157" s="430"/>
    </row>
    <row r="158" spans="1:13" ht="18.75" customHeight="1" x14ac:dyDescent="0.25">
      <c r="A158" s="489"/>
      <c r="B158" s="492"/>
      <c r="C158" s="428" t="s">
        <v>86</v>
      </c>
      <c r="D158" s="429" t="s">
        <v>43</v>
      </c>
      <c r="E158" s="433">
        <f>0.041*1.2</f>
        <v>4.9200000000000001E-2</v>
      </c>
      <c r="F158" s="430">
        <f>E158*F156</f>
        <v>0.34439999999999998</v>
      </c>
      <c r="G158" s="429"/>
      <c r="H158" s="431"/>
      <c r="I158" s="432"/>
      <c r="J158" s="430"/>
      <c r="K158" s="432"/>
      <c r="L158" s="431"/>
      <c r="M158" s="430"/>
    </row>
    <row r="159" spans="1:13" x14ac:dyDescent="0.25">
      <c r="A159" s="489"/>
      <c r="B159" s="492"/>
      <c r="C159" s="428" t="s">
        <v>87</v>
      </c>
      <c r="D159" s="429" t="s">
        <v>43</v>
      </c>
      <c r="E159" s="433">
        <f>0.027*1.2</f>
        <v>3.2399999999999998E-2</v>
      </c>
      <c r="F159" s="430">
        <f>E159*F156</f>
        <v>0.2268</v>
      </c>
      <c r="G159" s="429"/>
      <c r="H159" s="430"/>
      <c r="I159" s="432"/>
      <c r="J159" s="430"/>
      <c r="K159" s="432"/>
      <c r="L159" s="430"/>
      <c r="M159" s="430"/>
    </row>
    <row r="160" spans="1:13" ht="19.5" customHeight="1" x14ac:dyDescent="0.25">
      <c r="A160" s="489"/>
      <c r="B160" s="492"/>
      <c r="C160" s="428" t="s">
        <v>88</v>
      </c>
      <c r="D160" s="429" t="s">
        <v>56</v>
      </c>
      <c r="E160" s="433">
        <v>2.3800000000000002E-2</v>
      </c>
      <c r="F160" s="430">
        <f>E160*F156</f>
        <v>0.16660000000000003</v>
      </c>
      <c r="G160" s="429"/>
      <c r="H160" s="430"/>
      <c r="I160" s="432"/>
      <c r="J160" s="431"/>
      <c r="K160" s="431"/>
      <c r="L160" s="431"/>
      <c r="M160" s="430"/>
    </row>
    <row r="161" spans="1:13" ht="21.75" customHeight="1" x14ac:dyDescent="0.25">
      <c r="A161" s="489"/>
      <c r="B161" s="492"/>
      <c r="C161" s="428" t="s">
        <v>89</v>
      </c>
      <c r="D161" s="429" t="s">
        <v>46</v>
      </c>
      <c r="E161" s="433">
        <v>5.28E-2</v>
      </c>
      <c r="F161" s="430">
        <f>E161*F156</f>
        <v>0.36959999999999998</v>
      </c>
      <c r="G161" s="429"/>
      <c r="H161" s="430"/>
      <c r="I161" s="432"/>
      <c r="J161" s="431"/>
      <c r="K161" s="431"/>
      <c r="L161" s="431"/>
      <c r="M161" s="430"/>
    </row>
    <row r="162" spans="1:13" ht="19.5" customHeight="1" x14ac:dyDescent="0.25">
      <c r="A162" s="489"/>
      <c r="B162" s="492"/>
      <c r="C162" s="428" t="s">
        <v>83</v>
      </c>
      <c r="D162" s="429" t="s">
        <v>50</v>
      </c>
      <c r="E162" s="433">
        <v>3.0000000000000001E-3</v>
      </c>
      <c r="F162" s="430">
        <f>E162*F156</f>
        <v>2.1000000000000001E-2</v>
      </c>
      <c r="G162" s="429"/>
      <c r="H162" s="430"/>
      <c r="I162" s="432"/>
      <c r="J162" s="431"/>
      <c r="K162" s="431"/>
      <c r="L162" s="431"/>
      <c r="M162" s="430"/>
    </row>
    <row r="163" spans="1:13" ht="33" customHeight="1" x14ac:dyDescent="0.25">
      <c r="A163" s="395">
        <v>8</v>
      </c>
      <c r="B163" s="572" t="s">
        <v>137</v>
      </c>
      <c r="C163" s="454" t="s">
        <v>138</v>
      </c>
      <c r="D163" s="398" t="s">
        <v>128</v>
      </c>
      <c r="E163" s="543"/>
      <c r="F163" s="425">
        <v>8</v>
      </c>
      <c r="G163" s="407"/>
      <c r="H163" s="401"/>
      <c r="I163" s="432"/>
      <c r="J163" s="401"/>
      <c r="K163" s="408"/>
      <c r="L163" s="401"/>
      <c r="M163" s="544"/>
    </row>
    <row r="164" spans="1:13" ht="15.75" customHeight="1" x14ac:dyDescent="0.25">
      <c r="A164" s="395"/>
      <c r="B164" s="573"/>
      <c r="C164" s="457" t="s">
        <v>40</v>
      </c>
      <c r="D164" s="407" t="s">
        <v>41</v>
      </c>
      <c r="E164" s="401">
        <v>0.3</v>
      </c>
      <c r="F164" s="430">
        <f>E164*F163</f>
        <v>2.4</v>
      </c>
      <c r="G164" s="407"/>
      <c r="H164" s="401"/>
      <c r="I164" s="432"/>
      <c r="J164" s="401"/>
      <c r="K164" s="408"/>
      <c r="L164" s="401"/>
      <c r="M164" s="401"/>
    </row>
    <row r="165" spans="1:13" ht="18.75" customHeight="1" x14ac:dyDescent="0.25">
      <c r="A165" s="395"/>
      <c r="B165" s="573"/>
      <c r="C165" s="457" t="s">
        <v>75</v>
      </c>
      <c r="D165" s="407" t="s">
        <v>43</v>
      </c>
      <c r="E165" s="407">
        <v>1.0999999999999999E-2</v>
      </c>
      <c r="F165" s="430">
        <f>E165*F163</f>
        <v>8.7999999999999995E-2</v>
      </c>
      <c r="G165" s="407"/>
      <c r="H165" s="401"/>
      <c r="I165" s="432"/>
      <c r="J165" s="401"/>
      <c r="K165" s="408"/>
      <c r="L165" s="401"/>
      <c r="M165" s="401"/>
    </row>
    <row r="166" spans="1:13" x14ac:dyDescent="0.25">
      <c r="A166" s="395"/>
      <c r="B166" s="573"/>
      <c r="C166" s="457" t="s">
        <v>88</v>
      </c>
      <c r="D166" s="407" t="s">
        <v>56</v>
      </c>
      <c r="E166" s="574">
        <v>6.7000000000000002E-3</v>
      </c>
      <c r="F166" s="430">
        <f>E166*F163</f>
        <v>5.3600000000000002E-2</v>
      </c>
      <c r="G166" s="407"/>
      <c r="H166" s="401"/>
      <c r="I166" s="432"/>
      <c r="J166" s="545"/>
      <c r="K166" s="545"/>
      <c r="L166" s="545"/>
      <c r="M166" s="545"/>
    </row>
    <row r="167" spans="1:13" ht="41.25" customHeight="1" x14ac:dyDescent="0.25">
      <c r="A167" s="440">
        <v>9</v>
      </c>
      <c r="B167" s="441" t="s">
        <v>65</v>
      </c>
      <c r="C167" s="442" t="s">
        <v>66</v>
      </c>
      <c r="D167" s="443" t="s">
        <v>67</v>
      </c>
      <c r="E167" s="440"/>
      <c r="F167" s="626">
        <v>2</v>
      </c>
      <c r="G167" s="419"/>
      <c r="H167" s="414"/>
      <c r="I167" s="674"/>
      <c r="J167" s="414"/>
      <c r="K167" s="420"/>
      <c r="L167" s="414"/>
      <c r="M167" s="414"/>
    </row>
    <row r="168" spans="1:13" ht="18" customHeight="1" x14ac:dyDescent="0.25">
      <c r="A168" s="445"/>
      <c r="B168" s="446"/>
      <c r="C168" s="447" t="s">
        <v>68</v>
      </c>
      <c r="D168" s="409" t="s">
        <v>67</v>
      </c>
      <c r="E168" s="448">
        <v>1</v>
      </c>
      <c r="F168" s="638">
        <f>E168*F167</f>
        <v>2</v>
      </c>
      <c r="G168" s="420"/>
      <c r="H168" s="414"/>
      <c r="I168" s="637"/>
      <c r="J168" s="449"/>
      <c r="K168" s="420"/>
      <c r="L168" s="414"/>
      <c r="M168" s="414"/>
    </row>
    <row r="169" spans="1:13" ht="24" customHeight="1" x14ac:dyDescent="0.25">
      <c r="A169" s="445"/>
      <c r="B169" s="450"/>
      <c r="C169" s="447" t="s">
        <v>69</v>
      </c>
      <c r="D169" s="451" t="s">
        <v>50</v>
      </c>
      <c r="E169" s="452">
        <f>0.0633*1.2*1.5</f>
        <v>0.11393999999999999</v>
      </c>
      <c r="F169" s="668">
        <f>E169*F167</f>
        <v>0.22787999999999997</v>
      </c>
      <c r="G169" s="419"/>
      <c r="H169" s="414"/>
      <c r="I169" s="674"/>
      <c r="J169" s="414"/>
      <c r="K169" s="420"/>
      <c r="L169" s="414"/>
      <c r="M169" s="414"/>
    </row>
    <row r="170" spans="1:13" ht="21" customHeight="1" x14ac:dyDescent="0.25">
      <c r="A170" s="445"/>
      <c r="B170" s="446"/>
      <c r="C170" s="418" t="s">
        <v>70</v>
      </c>
      <c r="D170" s="419" t="s">
        <v>67</v>
      </c>
      <c r="E170" s="419">
        <v>1</v>
      </c>
      <c r="F170" s="667">
        <f>E170*F167</f>
        <v>2</v>
      </c>
      <c r="G170" s="419"/>
      <c r="H170" s="414"/>
      <c r="I170" s="674"/>
      <c r="J170" s="414"/>
      <c r="K170" s="420"/>
      <c r="L170" s="414"/>
      <c r="M170" s="438"/>
    </row>
    <row r="171" spans="1:13" ht="22.5" customHeight="1" x14ac:dyDescent="0.25">
      <c r="A171" s="421"/>
      <c r="B171" s="427"/>
      <c r="C171" s="428" t="s">
        <v>71</v>
      </c>
      <c r="D171" s="429" t="s">
        <v>67</v>
      </c>
      <c r="E171" s="429">
        <v>2</v>
      </c>
      <c r="F171" s="431">
        <f>E171*F167</f>
        <v>4</v>
      </c>
      <c r="G171" s="429"/>
      <c r="H171" s="430"/>
      <c r="I171" s="432"/>
      <c r="J171" s="430"/>
      <c r="K171" s="432"/>
      <c r="L171" s="430"/>
      <c r="M171" s="430"/>
    </row>
    <row r="172" spans="1:13" ht="18.75" customHeight="1" x14ac:dyDescent="0.25">
      <c r="A172" s="445"/>
      <c r="B172" s="450"/>
      <c r="C172" s="447" t="s">
        <v>72</v>
      </c>
      <c r="D172" s="451" t="s">
        <v>50</v>
      </c>
      <c r="E172" s="440">
        <v>0.28000000000000003</v>
      </c>
      <c r="F172" s="638">
        <f>E172*F167</f>
        <v>0.56000000000000005</v>
      </c>
      <c r="G172" s="420"/>
      <c r="H172" s="414"/>
      <c r="I172" s="675"/>
      <c r="J172" s="414"/>
      <c r="K172" s="420"/>
      <c r="L172" s="414"/>
      <c r="M172" s="414"/>
    </row>
    <row r="173" spans="1:13" ht="43.5" customHeight="1" x14ac:dyDescent="0.25">
      <c r="A173" s="489">
        <v>10</v>
      </c>
      <c r="B173" s="735" t="s">
        <v>90</v>
      </c>
      <c r="C173" s="423" t="s">
        <v>91</v>
      </c>
      <c r="D173" s="462" t="s">
        <v>39</v>
      </c>
      <c r="E173" s="462"/>
      <c r="F173" s="494">
        <v>95</v>
      </c>
      <c r="G173" s="429"/>
      <c r="H173" s="430"/>
      <c r="I173" s="432"/>
      <c r="J173" s="430"/>
      <c r="K173" s="432"/>
      <c r="L173" s="430"/>
      <c r="M173" s="491"/>
    </row>
    <row r="174" spans="1:13" ht="19.5" customHeight="1" x14ac:dyDescent="0.25">
      <c r="A174" s="489"/>
      <c r="B174" s="735"/>
      <c r="C174" s="428" t="s">
        <v>40</v>
      </c>
      <c r="D174" s="429" t="s">
        <v>41</v>
      </c>
      <c r="E174" s="430">
        <f>0.77*1.2</f>
        <v>0.92399999999999993</v>
      </c>
      <c r="F174" s="430">
        <f>E174*F173</f>
        <v>87.779999999999987</v>
      </c>
      <c r="G174" s="429"/>
      <c r="H174" s="430"/>
      <c r="I174" s="432"/>
      <c r="J174" s="430"/>
      <c r="K174" s="432"/>
      <c r="L174" s="430"/>
      <c r="M174" s="431"/>
    </row>
    <row r="175" spans="1:13" ht="19.5" customHeight="1" x14ac:dyDescent="0.25">
      <c r="A175" s="489"/>
      <c r="B175" s="735"/>
      <c r="C175" s="428" t="s">
        <v>75</v>
      </c>
      <c r="D175" s="429" t="s">
        <v>43</v>
      </c>
      <c r="E175" s="429">
        <f>0.0095*1.2</f>
        <v>1.1399999999999999E-2</v>
      </c>
      <c r="F175" s="430">
        <f>E175*F173</f>
        <v>1.083</v>
      </c>
      <c r="G175" s="429"/>
      <c r="H175" s="430"/>
      <c r="I175" s="432"/>
      <c r="J175" s="430"/>
      <c r="K175" s="432"/>
      <c r="L175" s="430"/>
      <c r="M175" s="431"/>
    </row>
    <row r="176" spans="1:13" ht="18" customHeight="1" x14ac:dyDescent="0.25">
      <c r="A176" s="489"/>
      <c r="B176" s="429"/>
      <c r="C176" s="495" t="s">
        <v>92</v>
      </c>
      <c r="D176" s="429" t="s">
        <v>93</v>
      </c>
      <c r="E176" s="429">
        <v>0.24</v>
      </c>
      <c r="F176" s="430">
        <f>E176*F173</f>
        <v>22.8</v>
      </c>
      <c r="G176" s="429"/>
      <c r="H176" s="430"/>
      <c r="I176" s="496"/>
      <c r="J176" s="431"/>
      <c r="K176" s="432"/>
      <c r="L176" s="430"/>
      <c r="M176" s="431"/>
    </row>
    <row r="177" spans="1:13" x14ac:dyDescent="0.25">
      <c r="A177" s="489"/>
      <c r="B177" s="429"/>
      <c r="C177" s="495" t="s">
        <v>94</v>
      </c>
      <c r="D177" s="490" t="s">
        <v>93</v>
      </c>
      <c r="E177" s="490">
        <f>0.183+0.12+0.001</f>
        <v>0.30399999999999999</v>
      </c>
      <c r="F177" s="430">
        <f>E177*F173</f>
        <v>28.88</v>
      </c>
      <c r="G177" s="429"/>
      <c r="H177" s="430"/>
      <c r="I177" s="432"/>
      <c r="J177" s="431"/>
      <c r="K177" s="432"/>
      <c r="L177" s="430"/>
      <c r="M177" s="431"/>
    </row>
    <row r="178" spans="1:13" ht="15.75" customHeight="1" x14ac:dyDescent="0.25">
      <c r="A178" s="489"/>
      <c r="B178" s="429"/>
      <c r="C178" s="428" t="s">
        <v>58</v>
      </c>
      <c r="D178" s="429" t="s">
        <v>43</v>
      </c>
      <c r="E178" s="429">
        <v>1.6E-2</v>
      </c>
      <c r="F178" s="433">
        <f>E178*F173</f>
        <v>1.52</v>
      </c>
      <c r="G178" s="429"/>
      <c r="H178" s="430"/>
      <c r="I178" s="432"/>
      <c r="J178" s="430"/>
      <c r="K178" s="432"/>
      <c r="L178" s="430"/>
      <c r="M178" s="431"/>
    </row>
    <row r="179" spans="1:13" ht="32.25" customHeight="1" x14ac:dyDescent="0.25">
      <c r="A179" s="440">
        <v>11</v>
      </c>
      <c r="B179" s="263" t="s">
        <v>95</v>
      </c>
      <c r="C179" s="497" t="s">
        <v>96</v>
      </c>
      <c r="D179" s="412" t="s">
        <v>67</v>
      </c>
      <c r="E179" s="448"/>
      <c r="F179" s="498">
        <v>4</v>
      </c>
      <c r="G179" s="414"/>
      <c r="H179" s="499"/>
      <c r="I179" s="674"/>
      <c r="J179" s="499"/>
      <c r="K179" s="420"/>
      <c r="L179" s="499"/>
      <c r="M179" s="414"/>
    </row>
    <row r="180" spans="1:13" ht="15.75" x14ac:dyDescent="0.3">
      <c r="A180" s="440"/>
      <c r="B180" s="402" t="s">
        <v>97</v>
      </c>
      <c r="C180" s="500" t="s">
        <v>68</v>
      </c>
      <c r="D180" s="451" t="s">
        <v>48</v>
      </c>
      <c r="E180" s="448">
        <f>0.58*0.4</f>
        <v>0.23199999999999998</v>
      </c>
      <c r="F180" s="501">
        <f>E180*F179</f>
        <v>0.92799999999999994</v>
      </c>
      <c r="G180" s="419"/>
      <c r="H180" s="502"/>
      <c r="I180" s="676"/>
      <c r="J180" s="502"/>
      <c r="K180" s="503"/>
      <c r="L180" s="502"/>
      <c r="M180" s="502"/>
    </row>
    <row r="181" spans="1:13" ht="19.5" customHeight="1" x14ac:dyDescent="0.3">
      <c r="A181" s="440"/>
      <c r="B181" s="402"/>
      <c r="C181" s="504" t="s">
        <v>98</v>
      </c>
      <c r="D181" s="451" t="s">
        <v>50</v>
      </c>
      <c r="E181" s="448">
        <f>0.0305*0.4</f>
        <v>1.2200000000000001E-2</v>
      </c>
      <c r="F181" s="501">
        <f>E181*F179</f>
        <v>4.8800000000000003E-2</v>
      </c>
      <c r="G181" s="448"/>
      <c r="H181" s="502"/>
      <c r="I181" s="676"/>
      <c r="J181" s="502"/>
      <c r="K181" s="503"/>
      <c r="L181" s="502"/>
      <c r="M181" s="502"/>
    </row>
    <row r="182" spans="1:13" ht="22.5" customHeight="1" x14ac:dyDescent="0.25">
      <c r="A182" s="440"/>
      <c r="B182" s="505"/>
      <c r="C182" s="418" t="s">
        <v>64</v>
      </c>
      <c r="D182" s="419" t="s">
        <v>50</v>
      </c>
      <c r="E182" s="419">
        <f>0.0985*0.4</f>
        <v>3.9400000000000004E-2</v>
      </c>
      <c r="F182" s="506">
        <f>E182*F179</f>
        <v>0.15760000000000002</v>
      </c>
      <c r="G182" s="419"/>
      <c r="H182" s="414"/>
      <c r="I182" s="674"/>
      <c r="J182" s="414"/>
      <c r="K182" s="420"/>
      <c r="L182" s="414"/>
      <c r="M182" s="414"/>
    </row>
    <row r="183" spans="1:13" ht="31.5" customHeight="1" x14ac:dyDescent="0.25">
      <c r="A183" s="507">
        <v>12</v>
      </c>
      <c r="B183" s="263" t="s">
        <v>99</v>
      </c>
      <c r="C183" s="508" t="s">
        <v>100</v>
      </c>
      <c r="D183" s="507" t="s">
        <v>101</v>
      </c>
      <c r="E183" s="507"/>
      <c r="F183" s="601">
        <v>4</v>
      </c>
      <c r="G183" s="507"/>
      <c r="H183" s="464"/>
      <c r="I183" s="677"/>
      <c r="J183" s="464"/>
      <c r="K183" s="509"/>
      <c r="L183" s="464"/>
      <c r="M183" s="464"/>
    </row>
    <row r="184" spans="1:13" ht="19.5" customHeight="1" x14ac:dyDescent="0.25">
      <c r="A184" s="407"/>
      <c r="B184" s="510"/>
      <c r="C184" s="511" t="s">
        <v>102</v>
      </c>
      <c r="D184" s="407" t="s">
        <v>103</v>
      </c>
      <c r="E184" s="407">
        <f>0.74*1.2</f>
        <v>0.88800000000000001</v>
      </c>
      <c r="F184" s="493">
        <f>F183*E184</f>
        <v>3.552</v>
      </c>
      <c r="G184" s="512"/>
      <c r="H184" s="513"/>
      <c r="I184" s="678"/>
      <c r="J184" s="513"/>
      <c r="K184" s="514"/>
      <c r="L184" s="513"/>
      <c r="M184" s="513"/>
    </row>
    <row r="185" spans="1:13" ht="19.5" customHeight="1" x14ac:dyDescent="0.25">
      <c r="A185" s="407"/>
      <c r="B185" s="407"/>
      <c r="C185" s="511" t="s">
        <v>104</v>
      </c>
      <c r="D185" s="407" t="s">
        <v>43</v>
      </c>
      <c r="E185" s="407">
        <f>0.02*1.2</f>
        <v>2.4E-2</v>
      </c>
      <c r="F185" s="493">
        <f>F183*E185</f>
        <v>9.6000000000000002E-2</v>
      </c>
      <c r="G185" s="512"/>
      <c r="H185" s="513"/>
      <c r="I185" s="678"/>
      <c r="J185" s="513"/>
      <c r="K185" s="514"/>
      <c r="L185" s="513"/>
      <c r="M185" s="513"/>
    </row>
    <row r="186" spans="1:13" ht="19.5" customHeight="1" x14ac:dyDescent="0.25">
      <c r="A186" s="407"/>
      <c r="B186" s="510"/>
      <c r="C186" s="575" t="s">
        <v>404</v>
      </c>
      <c r="D186" s="263" t="s">
        <v>101</v>
      </c>
      <c r="E186" s="263">
        <v>1</v>
      </c>
      <c r="F186" s="422">
        <f>F183*E186</f>
        <v>4</v>
      </c>
      <c r="G186" s="515"/>
      <c r="H186" s="515"/>
      <c r="I186" s="535"/>
      <c r="J186" s="516"/>
      <c r="K186" s="515"/>
      <c r="L186" s="515"/>
      <c r="M186" s="517"/>
    </row>
    <row r="187" spans="1:13" ht="19.5" customHeight="1" x14ac:dyDescent="0.25">
      <c r="A187" s="407"/>
      <c r="B187" s="407"/>
      <c r="C187" s="511" t="s">
        <v>106</v>
      </c>
      <c r="D187" s="407" t="s">
        <v>43</v>
      </c>
      <c r="E187" s="407">
        <v>0.01</v>
      </c>
      <c r="F187" s="493">
        <f>F183*E187</f>
        <v>0.04</v>
      </c>
      <c r="G187" s="401"/>
      <c r="H187" s="401"/>
      <c r="I187" s="535"/>
      <c r="J187" s="401"/>
      <c r="K187" s="401"/>
      <c r="L187" s="401"/>
      <c r="M187" s="513"/>
    </row>
    <row r="188" spans="1:13" ht="24" customHeight="1" x14ac:dyDescent="0.25">
      <c r="A188" s="28"/>
      <c r="B188" s="32"/>
      <c r="C188" s="111" t="s">
        <v>139</v>
      </c>
      <c r="D188" s="31"/>
      <c r="E188" s="32"/>
      <c r="F188" s="669"/>
      <c r="G188" s="36"/>
      <c r="H188" s="36"/>
      <c r="I188" s="670"/>
      <c r="J188" s="36"/>
      <c r="K188" s="36"/>
      <c r="L188" s="36"/>
      <c r="M188" s="36"/>
    </row>
    <row r="189" spans="1:13" ht="19.5" customHeight="1" x14ac:dyDescent="0.25">
      <c r="A189" s="395">
        <v>1</v>
      </c>
      <c r="B189" s="505" t="s">
        <v>120</v>
      </c>
      <c r="C189" s="454" t="s">
        <v>121</v>
      </c>
      <c r="D189" s="398" t="s">
        <v>122</v>
      </c>
      <c r="E189" s="543"/>
      <c r="F189" s="426">
        <v>1.55</v>
      </c>
      <c r="G189" s="407"/>
      <c r="H189" s="401"/>
      <c r="I189" s="432"/>
      <c r="J189" s="401"/>
      <c r="K189" s="408"/>
      <c r="L189" s="401"/>
      <c r="M189" s="544"/>
    </row>
    <row r="190" spans="1:13" ht="16.5" customHeight="1" x14ac:dyDescent="0.25">
      <c r="A190" s="395"/>
      <c r="B190" s="505" t="s">
        <v>123</v>
      </c>
      <c r="C190" s="457" t="s">
        <v>54</v>
      </c>
      <c r="D190" s="407" t="s">
        <v>41</v>
      </c>
      <c r="E190" s="401">
        <f>0.594/0.74*0.6</f>
        <v>0.48162162162162159</v>
      </c>
      <c r="F190" s="430">
        <f>F189*E190</f>
        <v>0.74651351351351347</v>
      </c>
      <c r="G190" s="400"/>
      <c r="H190" s="401"/>
      <c r="I190" s="432"/>
      <c r="J190" s="401"/>
      <c r="K190" s="408"/>
      <c r="L190" s="401"/>
      <c r="M190" s="401"/>
    </row>
    <row r="191" spans="1:13" ht="21.75" customHeight="1" x14ac:dyDescent="0.25">
      <c r="A191" s="395"/>
      <c r="B191" s="505" t="s">
        <v>124</v>
      </c>
      <c r="C191" s="457" t="s">
        <v>125</v>
      </c>
      <c r="D191" s="407" t="s">
        <v>43</v>
      </c>
      <c r="E191" s="401">
        <f>0.0366/0.74*0.5</f>
        <v>2.472972972972973E-2</v>
      </c>
      <c r="F191" s="430">
        <f>F189*E191</f>
        <v>3.8331081081081082E-2</v>
      </c>
      <c r="G191" s="407"/>
      <c r="H191" s="401"/>
      <c r="I191" s="432"/>
      <c r="J191" s="401"/>
      <c r="K191" s="408"/>
      <c r="L191" s="401"/>
      <c r="M191" s="401"/>
    </row>
    <row r="192" spans="1:13" ht="16.5" customHeight="1" x14ac:dyDescent="0.25">
      <c r="A192" s="395"/>
      <c r="B192" s="505" t="s">
        <v>124</v>
      </c>
      <c r="C192" s="457" t="s">
        <v>80</v>
      </c>
      <c r="D192" s="407" t="s">
        <v>43</v>
      </c>
      <c r="E192" s="458">
        <f>0.048/0.74*0.5</f>
        <v>3.2432432432432434E-2</v>
      </c>
      <c r="F192" s="430">
        <f>F189*E192</f>
        <v>5.0270270270270277E-2</v>
      </c>
      <c r="G192" s="407"/>
      <c r="H192" s="401"/>
      <c r="I192" s="432"/>
      <c r="J192" s="401"/>
      <c r="K192" s="408"/>
      <c r="L192" s="401"/>
      <c r="M192" s="401"/>
    </row>
    <row r="193" spans="1:13" ht="39" customHeight="1" x14ac:dyDescent="0.25">
      <c r="A193" s="395">
        <v>2</v>
      </c>
      <c r="B193" s="505" t="s">
        <v>120</v>
      </c>
      <c r="C193" s="454" t="s">
        <v>126</v>
      </c>
      <c r="D193" s="398" t="s">
        <v>122</v>
      </c>
      <c r="E193" s="543"/>
      <c r="F193" s="426">
        <v>1.55</v>
      </c>
      <c r="G193" s="407"/>
      <c r="H193" s="401"/>
      <c r="I193" s="432"/>
      <c r="J193" s="401"/>
      <c r="K193" s="408"/>
      <c r="L193" s="401"/>
      <c r="M193" s="544"/>
    </row>
    <row r="194" spans="1:13" ht="16.5" customHeight="1" x14ac:dyDescent="0.25">
      <c r="A194" s="395"/>
      <c r="B194" s="505"/>
      <c r="C194" s="457" t="s">
        <v>54</v>
      </c>
      <c r="D194" s="407" t="s">
        <v>41</v>
      </c>
      <c r="E194" s="401">
        <f>0.594/0.74</f>
        <v>0.80270270270270272</v>
      </c>
      <c r="F194" s="430">
        <f>F193*E194</f>
        <v>1.2441891891891892</v>
      </c>
      <c r="G194" s="400"/>
      <c r="H194" s="401"/>
      <c r="I194" s="432"/>
      <c r="J194" s="401"/>
      <c r="K194" s="408"/>
      <c r="L194" s="401"/>
      <c r="M194" s="401"/>
    </row>
    <row r="195" spans="1:13" ht="16.5" customHeight="1" x14ac:dyDescent="0.25">
      <c r="A195" s="395"/>
      <c r="B195" s="505"/>
      <c r="C195" s="457" t="s">
        <v>125</v>
      </c>
      <c r="D195" s="407" t="s">
        <v>43</v>
      </c>
      <c r="E195" s="401">
        <f>0.0366/0.74</f>
        <v>4.9459459459459461E-2</v>
      </c>
      <c r="F195" s="430">
        <f>F193*E195</f>
        <v>7.6662162162162165E-2</v>
      </c>
      <c r="G195" s="407"/>
      <c r="H195" s="401"/>
      <c r="I195" s="432"/>
      <c r="J195" s="401"/>
      <c r="K195" s="408"/>
      <c r="L195" s="401"/>
      <c r="M195" s="401"/>
    </row>
    <row r="196" spans="1:13" ht="16.5" customHeight="1" x14ac:dyDescent="0.25">
      <c r="A196" s="395"/>
      <c r="B196" s="505"/>
      <c r="C196" s="457" t="s">
        <v>127</v>
      </c>
      <c r="D196" s="407" t="s">
        <v>128</v>
      </c>
      <c r="E196" s="407">
        <v>1</v>
      </c>
      <c r="F196" s="430">
        <f>E196*F193</f>
        <v>1.55</v>
      </c>
      <c r="G196" s="407"/>
      <c r="H196" s="401"/>
      <c r="I196" s="432"/>
      <c r="J196" s="545"/>
      <c r="K196" s="408"/>
      <c r="L196" s="401"/>
      <c r="M196" s="546"/>
    </row>
    <row r="197" spans="1:13" ht="16.5" customHeight="1" x14ac:dyDescent="0.25">
      <c r="A197" s="395"/>
      <c r="B197" s="505"/>
      <c r="C197" s="457" t="s">
        <v>129</v>
      </c>
      <c r="D197" s="407" t="s">
        <v>93</v>
      </c>
      <c r="E197" s="401">
        <f>0.3/0.74</f>
        <v>0.40540540540540537</v>
      </c>
      <c r="F197" s="430">
        <f>F193*E197</f>
        <v>0.6283783783783784</v>
      </c>
      <c r="G197" s="407"/>
      <c r="H197" s="401"/>
      <c r="I197" s="432"/>
      <c r="J197" s="401"/>
      <c r="K197" s="408"/>
      <c r="L197" s="401"/>
      <c r="M197" s="545"/>
    </row>
    <row r="198" spans="1:13" ht="16.5" customHeight="1" x14ac:dyDescent="0.25">
      <c r="A198" s="395"/>
      <c r="B198" s="505"/>
      <c r="C198" s="457" t="s">
        <v>88</v>
      </c>
      <c r="D198" s="407" t="s">
        <v>56</v>
      </c>
      <c r="E198" s="458">
        <f>0.0034/0.74</f>
        <v>4.5945945945945945E-3</v>
      </c>
      <c r="F198" s="430">
        <f>F193*E198</f>
        <v>7.1216216216216221E-3</v>
      </c>
      <c r="G198" s="547"/>
      <c r="H198" s="401"/>
      <c r="I198" s="432"/>
      <c r="J198" s="401"/>
      <c r="K198" s="408"/>
      <c r="L198" s="401"/>
      <c r="M198" s="401"/>
    </row>
    <row r="199" spans="1:13" ht="16.5" customHeight="1" x14ac:dyDescent="0.25">
      <c r="A199" s="395"/>
      <c r="B199" s="505"/>
      <c r="C199" s="457" t="s">
        <v>80</v>
      </c>
      <c r="D199" s="407" t="s">
        <v>43</v>
      </c>
      <c r="E199" s="458">
        <f>0.048/0.74</f>
        <v>6.4864864864864868E-2</v>
      </c>
      <c r="F199" s="430">
        <f>F193*E199</f>
        <v>0.10054054054054055</v>
      </c>
      <c r="G199" s="407"/>
      <c r="H199" s="401"/>
      <c r="I199" s="432"/>
      <c r="J199" s="401"/>
      <c r="K199" s="408"/>
      <c r="L199" s="401"/>
      <c r="M199" s="401"/>
    </row>
    <row r="200" spans="1:13" ht="30" customHeight="1" x14ac:dyDescent="0.25">
      <c r="A200" s="548">
        <v>3</v>
      </c>
      <c r="B200" s="549" t="s">
        <v>130</v>
      </c>
      <c r="C200" s="550" t="s">
        <v>131</v>
      </c>
      <c r="D200" s="551" t="s">
        <v>39</v>
      </c>
      <c r="E200" s="552"/>
      <c r="F200" s="553">
        <v>0.4</v>
      </c>
      <c r="G200" s="554"/>
      <c r="H200" s="554"/>
      <c r="I200" s="555"/>
      <c r="J200" s="554"/>
      <c r="K200" s="554"/>
      <c r="L200" s="554"/>
      <c r="M200" s="556"/>
    </row>
    <row r="201" spans="1:13" ht="14.25" customHeight="1" x14ac:dyDescent="0.25">
      <c r="A201" s="548"/>
      <c r="B201" s="557"/>
      <c r="C201" s="174" t="s">
        <v>132</v>
      </c>
      <c r="D201" s="558" t="s">
        <v>133</v>
      </c>
      <c r="E201" s="559">
        <f>0.492*1.2</f>
        <v>0.59039999999999992</v>
      </c>
      <c r="F201" s="560">
        <v>55.68</v>
      </c>
      <c r="G201" s="554"/>
      <c r="H201" s="554"/>
      <c r="I201" s="555"/>
      <c r="J201" s="554"/>
      <c r="K201" s="554"/>
      <c r="L201" s="554"/>
      <c r="M201" s="556"/>
    </row>
    <row r="202" spans="1:13" ht="18" customHeight="1" x14ac:dyDescent="0.25">
      <c r="A202" s="561"/>
      <c r="B202" s="562"/>
      <c r="C202" s="563" t="s">
        <v>134</v>
      </c>
      <c r="D202" s="564" t="s">
        <v>43</v>
      </c>
      <c r="E202" s="565">
        <f>0.0083*1.2</f>
        <v>9.9600000000000001E-3</v>
      </c>
      <c r="F202" s="566">
        <f>F200*E202</f>
        <v>3.9840000000000006E-3</v>
      </c>
      <c r="G202" s="554"/>
      <c r="H202" s="554"/>
      <c r="I202" s="555"/>
      <c r="J202" s="554"/>
      <c r="K202" s="554"/>
      <c r="L202" s="554"/>
      <c r="M202" s="556"/>
    </row>
    <row r="203" spans="1:13" x14ac:dyDescent="0.25">
      <c r="A203" s="548"/>
      <c r="B203" s="567"/>
      <c r="C203" s="174" t="s">
        <v>135</v>
      </c>
      <c r="D203" s="558" t="s">
        <v>93</v>
      </c>
      <c r="E203" s="559">
        <v>0.5</v>
      </c>
      <c r="F203" s="560">
        <f>F200*E203</f>
        <v>0.2</v>
      </c>
      <c r="G203" s="554"/>
      <c r="H203" s="554"/>
      <c r="I203" s="568"/>
      <c r="J203" s="554"/>
      <c r="K203" s="554"/>
      <c r="L203" s="554"/>
      <c r="M203" s="556"/>
    </row>
    <row r="204" spans="1:13" ht="18.75" customHeight="1" x14ac:dyDescent="0.25">
      <c r="A204" s="548"/>
      <c r="B204" s="569"/>
      <c r="C204" s="174" t="s">
        <v>136</v>
      </c>
      <c r="D204" s="558" t="s">
        <v>43</v>
      </c>
      <c r="E204" s="570">
        <v>7.0000000000000001E-3</v>
      </c>
      <c r="F204" s="571">
        <f>E204*F200</f>
        <v>2.8000000000000004E-3</v>
      </c>
      <c r="G204" s="554"/>
      <c r="H204" s="554"/>
      <c r="I204" s="555"/>
      <c r="J204" s="554"/>
      <c r="K204" s="554"/>
      <c r="L204" s="554"/>
      <c r="M204" s="556"/>
    </row>
    <row r="205" spans="1:13" ht="28.5" customHeight="1" x14ac:dyDescent="0.25">
      <c r="A205" s="518">
        <v>4</v>
      </c>
      <c r="B205" s="470" t="s">
        <v>81</v>
      </c>
      <c r="C205" s="471" t="s">
        <v>82</v>
      </c>
      <c r="D205" s="472" t="s">
        <v>46</v>
      </c>
      <c r="E205" s="473"/>
      <c r="F205" s="474">
        <v>10</v>
      </c>
      <c r="G205" s="475"/>
      <c r="H205" s="476"/>
      <c r="I205" s="477"/>
      <c r="J205" s="478"/>
      <c r="K205" s="479"/>
      <c r="L205" s="479"/>
      <c r="M205" s="480"/>
    </row>
    <row r="206" spans="1:13" x14ac:dyDescent="0.25">
      <c r="A206" s="469"/>
      <c r="B206" s="477"/>
      <c r="C206" s="481" t="s">
        <v>61</v>
      </c>
      <c r="D206" s="475" t="s">
        <v>48</v>
      </c>
      <c r="E206" s="482">
        <f>0.243</f>
        <v>0.24299999999999999</v>
      </c>
      <c r="F206" s="483">
        <f>E206*F205</f>
        <v>2.4299999999999997</v>
      </c>
      <c r="G206" s="484"/>
      <c r="H206" s="485"/>
      <c r="I206" s="486"/>
      <c r="J206" s="485"/>
      <c r="K206" s="486"/>
      <c r="L206" s="485"/>
      <c r="M206" s="485"/>
    </row>
    <row r="207" spans="1:13" x14ac:dyDescent="0.25">
      <c r="A207" s="469"/>
      <c r="B207" s="477"/>
      <c r="C207" s="481" t="s">
        <v>83</v>
      </c>
      <c r="D207" s="475" t="s">
        <v>50</v>
      </c>
      <c r="E207" s="487">
        <f>0.0016</f>
        <v>1.6000000000000001E-3</v>
      </c>
      <c r="F207" s="488">
        <f>E207*F205</f>
        <v>1.6E-2</v>
      </c>
      <c r="G207" s="488"/>
      <c r="H207" s="485"/>
      <c r="I207" s="486"/>
      <c r="J207" s="485"/>
      <c r="K207" s="486"/>
      <c r="L207" s="485"/>
      <c r="M207" s="485"/>
    </row>
    <row r="208" spans="1:13" ht="30.75" customHeight="1" x14ac:dyDescent="0.25">
      <c r="A208" s="489">
        <v>5</v>
      </c>
      <c r="B208" s="490" t="s">
        <v>84</v>
      </c>
      <c r="C208" s="423" t="s">
        <v>85</v>
      </c>
      <c r="D208" s="424" t="s">
        <v>39</v>
      </c>
      <c r="E208" s="424"/>
      <c r="F208" s="425">
        <v>10</v>
      </c>
      <c r="G208" s="429"/>
      <c r="H208" s="430"/>
      <c r="I208" s="432"/>
      <c r="J208" s="430"/>
      <c r="K208" s="432"/>
      <c r="L208" s="430"/>
      <c r="M208" s="491"/>
    </row>
    <row r="209" spans="1:13" ht="16.5" customHeight="1" x14ac:dyDescent="0.25">
      <c r="A209" s="489"/>
      <c r="B209" s="492"/>
      <c r="C209" s="428" t="s">
        <v>40</v>
      </c>
      <c r="D209" s="429" t="s">
        <v>41</v>
      </c>
      <c r="E209" s="430">
        <f>1.01*1.2</f>
        <v>1.212</v>
      </c>
      <c r="F209" s="430">
        <f>E209*F208</f>
        <v>12.12</v>
      </c>
      <c r="G209" s="429"/>
      <c r="H209" s="430"/>
      <c r="I209" s="432"/>
      <c r="J209" s="430"/>
      <c r="K209" s="432"/>
      <c r="L209" s="430"/>
      <c r="M209" s="430"/>
    </row>
    <row r="210" spans="1:13" ht="15.75" customHeight="1" x14ac:dyDescent="0.25">
      <c r="A210" s="489"/>
      <c r="B210" s="492"/>
      <c r="C210" s="428" t="s">
        <v>86</v>
      </c>
      <c r="D210" s="429" t="s">
        <v>43</v>
      </c>
      <c r="E210" s="433">
        <f>0.041*1.2</f>
        <v>4.9200000000000001E-2</v>
      </c>
      <c r="F210" s="430">
        <f>E210*F208</f>
        <v>0.49199999999999999</v>
      </c>
      <c r="G210" s="429"/>
      <c r="H210" s="431"/>
      <c r="I210" s="432"/>
      <c r="J210" s="430"/>
      <c r="K210" s="432"/>
      <c r="L210" s="431"/>
      <c r="M210" s="430"/>
    </row>
    <row r="211" spans="1:13" x14ac:dyDescent="0.25">
      <c r="A211" s="489"/>
      <c r="B211" s="492"/>
      <c r="C211" s="428" t="s">
        <v>87</v>
      </c>
      <c r="D211" s="429" t="s">
        <v>43</v>
      </c>
      <c r="E211" s="433">
        <f>0.027*1.2</f>
        <v>3.2399999999999998E-2</v>
      </c>
      <c r="F211" s="430">
        <f>E211*F208</f>
        <v>0.32399999999999995</v>
      </c>
      <c r="G211" s="429"/>
      <c r="H211" s="430"/>
      <c r="I211" s="432"/>
      <c r="J211" s="430"/>
      <c r="K211" s="432"/>
      <c r="L211" s="430"/>
      <c r="M211" s="430"/>
    </row>
    <row r="212" spans="1:13" ht="23.25" customHeight="1" x14ac:dyDescent="0.25">
      <c r="A212" s="489"/>
      <c r="B212" s="492"/>
      <c r="C212" s="428" t="s">
        <v>88</v>
      </c>
      <c r="D212" s="429" t="s">
        <v>56</v>
      </c>
      <c r="E212" s="433">
        <v>2.3800000000000002E-2</v>
      </c>
      <c r="F212" s="430">
        <f>E212*F208</f>
        <v>0.23800000000000002</v>
      </c>
      <c r="G212" s="429"/>
      <c r="H212" s="430"/>
      <c r="I212" s="432"/>
      <c r="J212" s="431"/>
      <c r="K212" s="431"/>
      <c r="L212" s="431"/>
      <c r="M212" s="430"/>
    </row>
    <row r="213" spans="1:13" ht="21" customHeight="1" x14ac:dyDescent="0.25">
      <c r="A213" s="489"/>
      <c r="B213" s="492"/>
      <c r="C213" s="428" t="s">
        <v>89</v>
      </c>
      <c r="D213" s="429" t="s">
        <v>46</v>
      </c>
      <c r="E213" s="433">
        <v>5.28E-2</v>
      </c>
      <c r="F213" s="430">
        <f>E213*F208</f>
        <v>0.52800000000000002</v>
      </c>
      <c r="G213" s="429"/>
      <c r="H213" s="430"/>
      <c r="I213" s="432"/>
      <c r="J213" s="431"/>
      <c r="K213" s="431"/>
      <c r="L213" s="431"/>
      <c r="M213" s="430"/>
    </row>
    <row r="214" spans="1:13" ht="21" customHeight="1" x14ac:dyDescent="0.25">
      <c r="A214" s="489"/>
      <c r="B214" s="492"/>
      <c r="C214" s="428" t="s">
        <v>83</v>
      </c>
      <c r="D214" s="429" t="s">
        <v>50</v>
      </c>
      <c r="E214" s="433">
        <v>3.0000000000000001E-3</v>
      </c>
      <c r="F214" s="430">
        <f>E214*F208</f>
        <v>0.03</v>
      </c>
      <c r="G214" s="429"/>
      <c r="H214" s="430"/>
      <c r="I214" s="432"/>
      <c r="J214" s="431"/>
      <c r="K214" s="431"/>
      <c r="L214" s="431"/>
      <c r="M214" s="430"/>
    </row>
    <row r="215" spans="1:13" ht="45" customHeight="1" x14ac:dyDescent="0.25">
      <c r="A215" s="489">
        <v>6</v>
      </c>
      <c r="B215" s="735" t="s">
        <v>90</v>
      </c>
      <c r="C215" s="423" t="s">
        <v>91</v>
      </c>
      <c r="D215" s="462" t="s">
        <v>39</v>
      </c>
      <c r="E215" s="462"/>
      <c r="F215" s="494">
        <v>96</v>
      </c>
      <c r="G215" s="429"/>
      <c r="H215" s="430"/>
      <c r="I215" s="432"/>
      <c r="J215" s="430"/>
      <c r="K215" s="432"/>
      <c r="L215" s="430"/>
      <c r="M215" s="491"/>
    </row>
    <row r="216" spans="1:13" ht="16.5" customHeight="1" x14ac:dyDescent="0.25">
      <c r="A216" s="489"/>
      <c r="B216" s="735"/>
      <c r="C216" s="428" t="s">
        <v>40</v>
      </c>
      <c r="D216" s="429" t="s">
        <v>41</v>
      </c>
      <c r="E216" s="430">
        <f>0.77*1.2</f>
        <v>0.92399999999999993</v>
      </c>
      <c r="F216" s="430">
        <f>E216*F215</f>
        <v>88.703999999999994</v>
      </c>
      <c r="G216" s="429"/>
      <c r="H216" s="430"/>
      <c r="I216" s="432"/>
      <c r="J216" s="430"/>
      <c r="K216" s="432"/>
      <c r="L216" s="430"/>
      <c r="M216" s="431"/>
    </row>
    <row r="217" spans="1:13" ht="16.5" customHeight="1" x14ac:dyDescent="0.25">
      <c r="A217" s="489"/>
      <c r="B217" s="735"/>
      <c r="C217" s="428" t="s">
        <v>75</v>
      </c>
      <c r="D217" s="429" t="s">
        <v>43</v>
      </c>
      <c r="E217" s="429">
        <f>0.0095*1.2</f>
        <v>1.1399999999999999E-2</v>
      </c>
      <c r="F217" s="430">
        <f>E217*F215</f>
        <v>1.0943999999999998</v>
      </c>
      <c r="G217" s="429"/>
      <c r="H217" s="430"/>
      <c r="I217" s="432"/>
      <c r="J217" s="430"/>
      <c r="K217" s="432"/>
      <c r="L217" s="430"/>
      <c r="M217" s="431"/>
    </row>
    <row r="218" spans="1:13" ht="16.5" customHeight="1" x14ac:dyDescent="0.25">
      <c r="A218" s="489"/>
      <c r="B218" s="429"/>
      <c r="C218" s="495" t="s">
        <v>92</v>
      </c>
      <c r="D218" s="429" t="s">
        <v>93</v>
      </c>
      <c r="E218" s="429">
        <v>0.24</v>
      </c>
      <c r="F218" s="430">
        <f>E218*F215</f>
        <v>23.04</v>
      </c>
      <c r="G218" s="429"/>
      <c r="H218" s="430"/>
      <c r="I218" s="496"/>
      <c r="J218" s="431"/>
      <c r="K218" s="432"/>
      <c r="L218" s="430"/>
      <c r="M218" s="431"/>
    </row>
    <row r="219" spans="1:13" ht="16.5" customHeight="1" x14ac:dyDescent="0.25">
      <c r="A219" s="489"/>
      <c r="B219" s="429"/>
      <c r="C219" s="495" t="s">
        <v>94</v>
      </c>
      <c r="D219" s="490" t="s">
        <v>93</v>
      </c>
      <c r="E219" s="490">
        <f>0.183+0.12+0.001</f>
        <v>0.30399999999999999</v>
      </c>
      <c r="F219" s="430">
        <f>E219*F215</f>
        <v>29.183999999999997</v>
      </c>
      <c r="G219" s="429"/>
      <c r="H219" s="430"/>
      <c r="I219" s="432"/>
      <c r="J219" s="431"/>
      <c r="K219" s="432"/>
      <c r="L219" s="430"/>
      <c r="M219" s="431"/>
    </row>
    <row r="220" spans="1:13" ht="16.5" customHeight="1" x14ac:dyDescent="0.25">
      <c r="A220" s="489"/>
      <c r="B220" s="429"/>
      <c r="C220" s="428" t="s">
        <v>58</v>
      </c>
      <c r="D220" s="429" t="s">
        <v>43</v>
      </c>
      <c r="E220" s="429">
        <v>1.6E-2</v>
      </c>
      <c r="F220" s="433">
        <f>E220*F215</f>
        <v>1.536</v>
      </c>
      <c r="G220" s="429"/>
      <c r="H220" s="430"/>
      <c r="I220" s="432"/>
      <c r="J220" s="430"/>
      <c r="K220" s="432"/>
      <c r="L220" s="430"/>
      <c r="M220" s="431"/>
    </row>
    <row r="221" spans="1:13" ht="31.5" customHeight="1" x14ac:dyDescent="0.25">
      <c r="A221" s="440">
        <v>7</v>
      </c>
      <c r="B221" s="441" t="s">
        <v>65</v>
      </c>
      <c r="C221" s="442" t="s">
        <v>66</v>
      </c>
      <c r="D221" s="443" t="s">
        <v>67</v>
      </c>
      <c r="E221" s="440"/>
      <c r="F221" s="626">
        <v>1</v>
      </c>
      <c r="G221" s="419"/>
      <c r="H221" s="414"/>
      <c r="I221" s="674"/>
      <c r="J221" s="414"/>
      <c r="K221" s="420"/>
      <c r="L221" s="414"/>
      <c r="M221" s="414"/>
    </row>
    <row r="222" spans="1:13" ht="18" customHeight="1" x14ac:dyDescent="0.25">
      <c r="A222" s="445"/>
      <c r="B222" s="446"/>
      <c r="C222" s="447" t="s">
        <v>68</v>
      </c>
      <c r="D222" s="409" t="s">
        <v>67</v>
      </c>
      <c r="E222" s="448">
        <v>1</v>
      </c>
      <c r="F222" s="638">
        <f>E222*F221</f>
        <v>1</v>
      </c>
      <c r="G222" s="420"/>
      <c r="H222" s="414"/>
      <c r="I222" s="637"/>
      <c r="J222" s="449"/>
      <c r="K222" s="420"/>
      <c r="L222" s="414"/>
      <c r="M222" s="414"/>
    </row>
    <row r="223" spans="1:13" ht="18" customHeight="1" x14ac:dyDescent="0.25">
      <c r="A223" s="445"/>
      <c r="B223" s="450"/>
      <c r="C223" s="447" t="s">
        <v>69</v>
      </c>
      <c r="D223" s="451" t="s">
        <v>50</v>
      </c>
      <c r="E223" s="452">
        <f>0.0633*1.2*1.5</f>
        <v>0.11393999999999999</v>
      </c>
      <c r="F223" s="668">
        <f>E223*F221</f>
        <v>0.11393999999999999</v>
      </c>
      <c r="G223" s="419"/>
      <c r="H223" s="414"/>
      <c r="I223" s="674"/>
      <c r="J223" s="414"/>
      <c r="K223" s="420"/>
      <c r="L223" s="414"/>
      <c r="M223" s="414"/>
    </row>
    <row r="224" spans="1:13" ht="18" customHeight="1" x14ac:dyDescent="0.25">
      <c r="A224" s="445"/>
      <c r="B224" s="446"/>
      <c r="C224" s="418" t="s">
        <v>70</v>
      </c>
      <c r="D224" s="419" t="s">
        <v>67</v>
      </c>
      <c r="E224" s="419">
        <v>1</v>
      </c>
      <c r="F224" s="667">
        <f>E224*F221</f>
        <v>1</v>
      </c>
      <c r="G224" s="419"/>
      <c r="H224" s="414"/>
      <c r="I224" s="674"/>
      <c r="J224" s="414"/>
      <c r="K224" s="420"/>
      <c r="L224" s="414"/>
      <c r="M224" s="438"/>
    </row>
    <row r="225" spans="1:13" ht="18" customHeight="1" x14ac:dyDescent="0.25">
      <c r="A225" s="421"/>
      <c r="B225" s="427"/>
      <c r="C225" s="428" t="s">
        <v>71</v>
      </c>
      <c r="D225" s="429" t="s">
        <v>67</v>
      </c>
      <c r="E225" s="429">
        <v>2</v>
      </c>
      <c r="F225" s="431">
        <f>E225*F221</f>
        <v>2</v>
      </c>
      <c r="G225" s="429"/>
      <c r="H225" s="430"/>
      <c r="I225" s="432"/>
      <c r="J225" s="430"/>
      <c r="K225" s="432"/>
      <c r="L225" s="430"/>
      <c r="M225" s="430"/>
    </row>
    <row r="226" spans="1:13" ht="18" customHeight="1" x14ac:dyDescent="0.25">
      <c r="A226" s="445"/>
      <c r="B226" s="450"/>
      <c r="C226" s="447" t="s">
        <v>72</v>
      </c>
      <c r="D226" s="451" t="s">
        <v>50</v>
      </c>
      <c r="E226" s="440">
        <v>0.28000000000000003</v>
      </c>
      <c r="F226" s="638">
        <f>E226*F221</f>
        <v>0.28000000000000003</v>
      </c>
      <c r="G226" s="420"/>
      <c r="H226" s="414"/>
      <c r="I226" s="675"/>
      <c r="J226" s="414"/>
      <c r="K226" s="420"/>
      <c r="L226" s="414"/>
      <c r="M226" s="414"/>
    </row>
    <row r="227" spans="1:13" ht="33" customHeight="1" x14ac:dyDescent="0.25">
      <c r="A227" s="440">
        <v>8</v>
      </c>
      <c r="B227" s="263" t="s">
        <v>95</v>
      </c>
      <c r="C227" s="497" t="s">
        <v>96</v>
      </c>
      <c r="D227" s="412" t="s">
        <v>67</v>
      </c>
      <c r="E227" s="448"/>
      <c r="F227" s="498">
        <v>4</v>
      </c>
      <c r="G227" s="414"/>
      <c r="H227" s="499"/>
      <c r="I227" s="674"/>
      <c r="J227" s="499"/>
      <c r="K227" s="420"/>
      <c r="L227" s="499"/>
      <c r="M227" s="414"/>
    </row>
    <row r="228" spans="1:13" ht="15.75" x14ac:dyDescent="0.3">
      <c r="A228" s="440"/>
      <c r="B228" s="402" t="s">
        <v>97</v>
      </c>
      <c r="C228" s="500" t="s">
        <v>68</v>
      </c>
      <c r="D228" s="451" t="s">
        <v>48</v>
      </c>
      <c r="E228" s="448">
        <f>0.58*0.4</f>
        <v>0.23199999999999998</v>
      </c>
      <c r="F228" s="501">
        <f>E228*F227</f>
        <v>0.92799999999999994</v>
      </c>
      <c r="G228" s="419"/>
      <c r="H228" s="502"/>
      <c r="I228" s="676"/>
      <c r="J228" s="502"/>
      <c r="K228" s="503"/>
      <c r="L228" s="502"/>
      <c r="M228" s="502"/>
    </row>
    <row r="229" spans="1:13" ht="20.25" customHeight="1" x14ac:dyDescent="0.3">
      <c r="A229" s="440"/>
      <c r="B229" s="402"/>
      <c r="C229" s="504" t="s">
        <v>98</v>
      </c>
      <c r="D229" s="451" t="s">
        <v>50</v>
      </c>
      <c r="E229" s="448">
        <f>0.0305*0.4</f>
        <v>1.2200000000000001E-2</v>
      </c>
      <c r="F229" s="501">
        <f>E229*F227</f>
        <v>4.8800000000000003E-2</v>
      </c>
      <c r="G229" s="448"/>
      <c r="H229" s="502"/>
      <c r="I229" s="676"/>
      <c r="J229" s="502"/>
      <c r="K229" s="503"/>
      <c r="L229" s="502"/>
      <c r="M229" s="502"/>
    </row>
    <row r="230" spans="1:13" ht="18.75" customHeight="1" x14ac:dyDescent="0.25">
      <c r="A230" s="440"/>
      <c r="B230" s="505"/>
      <c r="C230" s="418" t="s">
        <v>64</v>
      </c>
      <c r="D230" s="419" t="s">
        <v>50</v>
      </c>
      <c r="E230" s="419">
        <f>0.0985*0.4</f>
        <v>3.9400000000000004E-2</v>
      </c>
      <c r="F230" s="506">
        <f>E230*F227</f>
        <v>0.15760000000000002</v>
      </c>
      <c r="G230" s="419"/>
      <c r="H230" s="414"/>
      <c r="I230" s="674"/>
      <c r="J230" s="414"/>
      <c r="K230" s="420"/>
      <c r="L230" s="414"/>
      <c r="M230" s="414"/>
    </row>
    <row r="231" spans="1:13" ht="30" customHeight="1" x14ac:dyDescent="0.25">
      <c r="A231" s="507">
        <v>9</v>
      </c>
      <c r="B231" s="263" t="s">
        <v>99</v>
      </c>
      <c r="C231" s="508" t="s">
        <v>100</v>
      </c>
      <c r="D231" s="507" t="s">
        <v>101</v>
      </c>
      <c r="E231" s="507"/>
      <c r="F231" s="601">
        <v>4</v>
      </c>
      <c r="G231" s="507"/>
      <c r="H231" s="464"/>
      <c r="I231" s="677"/>
      <c r="J231" s="464"/>
      <c r="K231" s="509"/>
      <c r="L231" s="464"/>
      <c r="M231" s="464"/>
    </row>
    <row r="232" spans="1:13" ht="15" customHeight="1" x14ac:dyDescent="0.25">
      <c r="A232" s="407"/>
      <c r="B232" s="510"/>
      <c r="C232" s="511" t="s">
        <v>102</v>
      </c>
      <c r="D232" s="407" t="s">
        <v>103</v>
      </c>
      <c r="E232" s="407">
        <f>0.74*1.2</f>
        <v>0.88800000000000001</v>
      </c>
      <c r="F232" s="493">
        <f>F231*E232</f>
        <v>3.552</v>
      </c>
      <c r="G232" s="512"/>
      <c r="H232" s="513"/>
      <c r="I232" s="678"/>
      <c r="J232" s="513"/>
      <c r="K232" s="514"/>
      <c r="L232" s="513"/>
      <c r="M232" s="513"/>
    </row>
    <row r="233" spans="1:13" ht="15" customHeight="1" x14ac:dyDescent="0.25">
      <c r="A233" s="407"/>
      <c r="B233" s="407"/>
      <c r="C233" s="511" t="s">
        <v>104</v>
      </c>
      <c r="D233" s="407" t="s">
        <v>43</v>
      </c>
      <c r="E233" s="407">
        <f>0.02*1.2</f>
        <v>2.4E-2</v>
      </c>
      <c r="F233" s="493">
        <f>F231*E233</f>
        <v>9.6000000000000002E-2</v>
      </c>
      <c r="G233" s="512"/>
      <c r="H233" s="513"/>
      <c r="I233" s="678"/>
      <c r="J233" s="513"/>
      <c r="K233" s="514"/>
      <c r="L233" s="513"/>
      <c r="M233" s="513"/>
    </row>
    <row r="234" spans="1:13" ht="27" x14ac:dyDescent="0.25">
      <c r="A234" s="407"/>
      <c r="B234" s="510"/>
      <c r="C234" s="575" t="s">
        <v>140</v>
      </c>
      <c r="D234" s="263" t="s">
        <v>101</v>
      </c>
      <c r="E234" s="263">
        <v>1</v>
      </c>
      <c r="F234" s="422">
        <f>F231*E234</f>
        <v>4</v>
      </c>
      <c r="G234" s="515"/>
      <c r="H234" s="515"/>
      <c r="I234" s="535"/>
      <c r="J234" s="516"/>
      <c r="K234" s="515"/>
      <c r="L234" s="515"/>
      <c r="M234" s="517"/>
    </row>
    <row r="235" spans="1:13" ht="15" customHeight="1" x14ac:dyDescent="0.25">
      <c r="A235" s="407"/>
      <c r="B235" s="407"/>
      <c r="C235" s="511" t="s">
        <v>106</v>
      </c>
      <c r="D235" s="407" t="s">
        <v>43</v>
      </c>
      <c r="E235" s="407">
        <v>0.01</v>
      </c>
      <c r="F235" s="493">
        <f>F231*E235</f>
        <v>0.04</v>
      </c>
      <c r="G235" s="401"/>
      <c r="H235" s="401"/>
      <c r="I235" s="535"/>
      <c r="J235" s="401"/>
      <c r="K235" s="401"/>
      <c r="L235" s="401"/>
      <c r="M235" s="513"/>
    </row>
    <row r="236" spans="1:13" ht="20.25" customHeight="1" x14ac:dyDescent="0.25">
      <c r="A236" s="28"/>
      <c r="B236" s="32"/>
      <c r="C236" s="111" t="s">
        <v>141</v>
      </c>
      <c r="D236" s="31"/>
      <c r="E236" s="32"/>
      <c r="F236" s="669"/>
      <c r="G236" s="36"/>
      <c r="H236" s="36"/>
      <c r="I236" s="670"/>
      <c r="J236" s="36"/>
      <c r="K236" s="36"/>
      <c r="L236" s="36"/>
      <c r="M236" s="36"/>
    </row>
    <row r="237" spans="1:13" ht="27" x14ac:dyDescent="0.25">
      <c r="A237" s="395">
        <v>1</v>
      </c>
      <c r="B237" s="505" t="s">
        <v>120</v>
      </c>
      <c r="C237" s="454" t="s">
        <v>121</v>
      </c>
      <c r="D237" s="398" t="s">
        <v>122</v>
      </c>
      <c r="E237" s="543"/>
      <c r="F237" s="426">
        <v>1.6</v>
      </c>
      <c r="G237" s="407"/>
      <c r="H237" s="401"/>
      <c r="I237" s="432"/>
      <c r="J237" s="401"/>
      <c r="K237" s="408"/>
      <c r="L237" s="401"/>
      <c r="M237" s="544"/>
    </row>
    <row r="238" spans="1:13" ht="24" customHeight="1" x14ac:dyDescent="0.25">
      <c r="A238" s="395"/>
      <c r="B238" s="505" t="s">
        <v>123</v>
      </c>
      <c r="C238" s="457" t="s">
        <v>54</v>
      </c>
      <c r="D238" s="407" t="s">
        <v>41</v>
      </c>
      <c r="E238" s="401">
        <f>0.594/0.74*0.6</f>
        <v>0.48162162162162159</v>
      </c>
      <c r="F238" s="430">
        <f>F237*E238</f>
        <v>0.77059459459459456</v>
      </c>
      <c r="G238" s="400"/>
      <c r="H238" s="401"/>
      <c r="I238" s="432"/>
      <c r="J238" s="401"/>
      <c r="K238" s="408"/>
      <c r="L238" s="401"/>
      <c r="M238" s="401"/>
    </row>
    <row r="239" spans="1:13" ht="19.5" customHeight="1" x14ac:dyDescent="0.25">
      <c r="A239" s="395"/>
      <c r="B239" s="505" t="s">
        <v>124</v>
      </c>
      <c r="C239" s="457" t="s">
        <v>125</v>
      </c>
      <c r="D239" s="407" t="s">
        <v>43</v>
      </c>
      <c r="E239" s="401">
        <f>0.0366/0.74*0.5</f>
        <v>2.472972972972973E-2</v>
      </c>
      <c r="F239" s="430">
        <f>F237*E239</f>
        <v>3.9567567567567574E-2</v>
      </c>
      <c r="G239" s="407"/>
      <c r="H239" s="401"/>
      <c r="I239" s="432"/>
      <c r="J239" s="401"/>
      <c r="K239" s="408"/>
      <c r="L239" s="401"/>
      <c r="M239" s="401"/>
    </row>
    <row r="240" spans="1:13" ht="16.5" customHeight="1" x14ac:dyDescent="0.25">
      <c r="A240" s="395"/>
      <c r="B240" s="505" t="s">
        <v>124</v>
      </c>
      <c r="C240" s="457" t="s">
        <v>80</v>
      </c>
      <c r="D240" s="407" t="s">
        <v>43</v>
      </c>
      <c r="E240" s="458">
        <f>0.048/0.74*0.5</f>
        <v>3.2432432432432434E-2</v>
      </c>
      <c r="F240" s="430">
        <f>F237*E240</f>
        <v>5.1891891891891896E-2</v>
      </c>
      <c r="G240" s="407"/>
      <c r="H240" s="401"/>
      <c r="I240" s="432"/>
      <c r="J240" s="401"/>
      <c r="K240" s="408"/>
      <c r="L240" s="401"/>
      <c r="M240" s="401"/>
    </row>
    <row r="241" spans="1:13" ht="21.75" customHeight="1" x14ac:dyDescent="0.25">
      <c r="A241" s="395">
        <v>2</v>
      </c>
      <c r="B241" s="505" t="s">
        <v>120</v>
      </c>
      <c r="C241" s="454" t="s">
        <v>126</v>
      </c>
      <c r="D241" s="398" t="s">
        <v>122</v>
      </c>
      <c r="E241" s="543"/>
      <c r="F241" s="426">
        <v>1.6</v>
      </c>
      <c r="G241" s="407"/>
      <c r="H241" s="401"/>
      <c r="I241" s="432"/>
      <c r="J241" s="401"/>
      <c r="K241" s="408"/>
      <c r="L241" s="401"/>
      <c r="M241" s="544"/>
    </row>
    <row r="242" spans="1:13" ht="16.5" customHeight="1" x14ac:dyDescent="0.25">
      <c r="A242" s="395"/>
      <c r="B242" s="505"/>
      <c r="C242" s="457" t="s">
        <v>54</v>
      </c>
      <c r="D242" s="407" t="s">
        <v>41</v>
      </c>
      <c r="E242" s="401">
        <f>0.594/0.74</f>
        <v>0.80270270270270272</v>
      </c>
      <c r="F242" s="430">
        <f>F241*E242</f>
        <v>1.2843243243243245</v>
      </c>
      <c r="G242" s="400"/>
      <c r="H242" s="401"/>
      <c r="I242" s="432"/>
      <c r="J242" s="401"/>
      <c r="K242" s="408"/>
      <c r="L242" s="401"/>
      <c r="M242" s="401"/>
    </row>
    <row r="243" spans="1:13" ht="16.5" customHeight="1" x14ac:dyDescent="0.25">
      <c r="A243" s="395"/>
      <c r="B243" s="505"/>
      <c r="C243" s="457" t="s">
        <v>125</v>
      </c>
      <c r="D243" s="407" t="s">
        <v>43</v>
      </c>
      <c r="E243" s="401">
        <f>0.0366/0.74</f>
        <v>4.9459459459459461E-2</v>
      </c>
      <c r="F243" s="430">
        <f>F241*E243</f>
        <v>7.9135135135135148E-2</v>
      </c>
      <c r="G243" s="407"/>
      <c r="H243" s="401"/>
      <c r="I243" s="432"/>
      <c r="J243" s="401"/>
      <c r="K243" s="408"/>
      <c r="L243" s="401"/>
      <c r="M243" s="401"/>
    </row>
    <row r="244" spans="1:13" ht="16.5" customHeight="1" x14ac:dyDescent="0.25">
      <c r="A244" s="395"/>
      <c r="B244" s="505"/>
      <c r="C244" s="457" t="s">
        <v>127</v>
      </c>
      <c r="D244" s="407" t="s">
        <v>128</v>
      </c>
      <c r="E244" s="407">
        <v>1</v>
      </c>
      <c r="F244" s="430">
        <f>E244*F241</f>
        <v>1.6</v>
      </c>
      <c r="G244" s="407"/>
      <c r="H244" s="401"/>
      <c r="I244" s="432"/>
      <c r="J244" s="545"/>
      <c r="K244" s="408"/>
      <c r="L244" s="401"/>
      <c r="M244" s="546"/>
    </row>
    <row r="245" spans="1:13" ht="16.5" customHeight="1" x14ac:dyDescent="0.25">
      <c r="A245" s="395"/>
      <c r="B245" s="505"/>
      <c r="C245" s="457" t="s">
        <v>129</v>
      </c>
      <c r="D245" s="407" t="s">
        <v>93</v>
      </c>
      <c r="E245" s="401">
        <f>0.3/0.74</f>
        <v>0.40540540540540537</v>
      </c>
      <c r="F245" s="430">
        <f>F241*E245</f>
        <v>0.64864864864864868</v>
      </c>
      <c r="G245" s="407"/>
      <c r="H245" s="401"/>
      <c r="I245" s="432"/>
      <c r="J245" s="401"/>
      <c r="K245" s="408"/>
      <c r="L245" s="401"/>
      <c r="M245" s="545"/>
    </row>
    <row r="246" spans="1:13" ht="16.5" customHeight="1" x14ac:dyDescent="0.25">
      <c r="A246" s="395"/>
      <c r="B246" s="505"/>
      <c r="C246" s="457" t="s">
        <v>88</v>
      </c>
      <c r="D246" s="407" t="s">
        <v>56</v>
      </c>
      <c r="E246" s="458">
        <f>0.0034/0.74</f>
        <v>4.5945945945945945E-3</v>
      </c>
      <c r="F246" s="430">
        <f>F241*E246</f>
        <v>7.3513513513513516E-3</v>
      </c>
      <c r="G246" s="547"/>
      <c r="H246" s="401"/>
      <c r="I246" s="432"/>
      <c r="J246" s="401"/>
      <c r="K246" s="408"/>
      <c r="L246" s="401"/>
      <c r="M246" s="401"/>
    </row>
    <row r="247" spans="1:13" ht="16.5" customHeight="1" x14ac:dyDescent="0.25">
      <c r="A247" s="395"/>
      <c r="B247" s="505"/>
      <c r="C247" s="457" t="s">
        <v>80</v>
      </c>
      <c r="D247" s="407" t="s">
        <v>43</v>
      </c>
      <c r="E247" s="458">
        <f>0.048/0.74</f>
        <v>6.4864864864864868E-2</v>
      </c>
      <c r="F247" s="430">
        <f>F241*E247</f>
        <v>0.10378378378378379</v>
      </c>
      <c r="G247" s="407"/>
      <c r="H247" s="401"/>
      <c r="I247" s="432"/>
      <c r="J247" s="401"/>
      <c r="K247" s="408"/>
      <c r="L247" s="401"/>
      <c r="M247" s="401"/>
    </row>
    <row r="248" spans="1:13" ht="33" customHeight="1" x14ac:dyDescent="0.25">
      <c r="A248" s="548">
        <v>3</v>
      </c>
      <c r="B248" s="549" t="s">
        <v>130</v>
      </c>
      <c r="C248" s="550" t="s">
        <v>131</v>
      </c>
      <c r="D248" s="551" t="s">
        <v>39</v>
      </c>
      <c r="E248" s="552"/>
      <c r="F248" s="553">
        <v>0.4</v>
      </c>
      <c r="G248" s="554"/>
      <c r="H248" s="554"/>
      <c r="I248" s="555"/>
      <c r="J248" s="554"/>
      <c r="K248" s="554"/>
      <c r="L248" s="554"/>
      <c r="M248" s="556"/>
    </row>
    <row r="249" spans="1:13" ht="21" customHeight="1" x14ac:dyDescent="0.25">
      <c r="A249" s="548"/>
      <c r="B249" s="557"/>
      <c r="C249" s="174" t="s">
        <v>132</v>
      </c>
      <c r="D249" s="558" t="s">
        <v>133</v>
      </c>
      <c r="E249" s="559">
        <f>0.492*1.2</f>
        <v>0.59039999999999992</v>
      </c>
      <c r="F249" s="560">
        <v>55.68</v>
      </c>
      <c r="G249" s="554"/>
      <c r="H249" s="554"/>
      <c r="I249" s="555"/>
      <c r="J249" s="554"/>
      <c r="K249" s="554"/>
      <c r="L249" s="554"/>
      <c r="M249" s="556"/>
    </row>
    <row r="250" spans="1:13" x14ac:dyDescent="0.25">
      <c r="A250" s="561"/>
      <c r="B250" s="562"/>
      <c r="C250" s="563" t="s">
        <v>134</v>
      </c>
      <c r="D250" s="564" t="s">
        <v>43</v>
      </c>
      <c r="E250" s="565">
        <f>0.0083*1.2</f>
        <v>9.9600000000000001E-3</v>
      </c>
      <c r="F250" s="566">
        <f>F248*E250</f>
        <v>3.9840000000000006E-3</v>
      </c>
      <c r="G250" s="554"/>
      <c r="H250" s="554"/>
      <c r="I250" s="555"/>
      <c r="J250" s="554"/>
      <c r="K250" s="576"/>
      <c r="L250" s="554"/>
      <c r="M250" s="556"/>
    </row>
    <row r="251" spans="1:13" x14ac:dyDescent="0.25">
      <c r="A251" s="548"/>
      <c r="B251" s="567"/>
      <c r="C251" s="174" t="s">
        <v>135</v>
      </c>
      <c r="D251" s="558" t="s">
        <v>93</v>
      </c>
      <c r="E251" s="559">
        <v>0.5</v>
      </c>
      <c r="F251" s="560">
        <f>F248*E251</f>
        <v>0.2</v>
      </c>
      <c r="G251" s="554"/>
      <c r="H251" s="554"/>
      <c r="I251" s="568"/>
      <c r="J251" s="554"/>
      <c r="K251" s="554"/>
      <c r="L251" s="554"/>
      <c r="M251" s="556"/>
    </row>
    <row r="252" spans="1:13" ht="18" customHeight="1" x14ac:dyDescent="0.25">
      <c r="A252" s="548"/>
      <c r="B252" s="569"/>
      <c r="C252" s="174" t="s">
        <v>136</v>
      </c>
      <c r="D252" s="558" t="s">
        <v>43</v>
      </c>
      <c r="E252" s="570">
        <v>7.0000000000000001E-3</v>
      </c>
      <c r="F252" s="571">
        <f>E252*F248</f>
        <v>2.8000000000000004E-3</v>
      </c>
      <c r="G252" s="554"/>
      <c r="H252" s="554"/>
      <c r="I252" s="555"/>
      <c r="J252" s="554"/>
      <c r="K252" s="554"/>
      <c r="L252" s="554"/>
      <c r="M252" s="556"/>
    </row>
    <row r="253" spans="1:13" ht="30" customHeight="1" x14ac:dyDescent="0.25">
      <c r="A253" s="518">
        <v>4</v>
      </c>
      <c r="B253" s="470" t="s">
        <v>81</v>
      </c>
      <c r="C253" s="471" t="s">
        <v>82</v>
      </c>
      <c r="D253" s="472" t="s">
        <v>46</v>
      </c>
      <c r="E253" s="473"/>
      <c r="F253" s="577">
        <v>5</v>
      </c>
      <c r="G253" s="475"/>
      <c r="H253" s="476"/>
      <c r="I253" s="477"/>
      <c r="J253" s="478"/>
      <c r="K253" s="479"/>
      <c r="L253" s="479"/>
      <c r="M253" s="480"/>
    </row>
    <row r="254" spans="1:13" x14ac:dyDescent="0.25">
      <c r="A254" s="469"/>
      <c r="B254" s="477"/>
      <c r="C254" s="481" t="s">
        <v>61</v>
      </c>
      <c r="D254" s="475" t="s">
        <v>48</v>
      </c>
      <c r="E254" s="482">
        <f>0.243</f>
        <v>0.24299999999999999</v>
      </c>
      <c r="F254" s="483">
        <f>E254*F253</f>
        <v>1.2149999999999999</v>
      </c>
      <c r="G254" s="484"/>
      <c r="H254" s="485"/>
      <c r="I254" s="486"/>
      <c r="J254" s="485"/>
      <c r="K254" s="486"/>
      <c r="L254" s="485"/>
      <c r="M254" s="485"/>
    </row>
    <row r="255" spans="1:13" x14ac:dyDescent="0.25">
      <c r="A255" s="469"/>
      <c r="B255" s="477"/>
      <c r="C255" s="481" t="s">
        <v>83</v>
      </c>
      <c r="D255" s="475" t="s">
        <v>50</v>
      </c>
      <c r="E255" s="487">
        <f>0.0016</f>
        <v>1.6000000000000001E-3</v>
      </c>
      <c r="F255" s="488">
        <f>E255*F253</f>
        <v>8.0000000000000002E-3</v>
      </c>
      <c r="G255" s="488"/>
      <c r="H255" s="485"/>
      <c r="I255" s="486"/>
      <c r="J255" s="485"/>
      <c r="K255" s="486"/>
      <c r="L255" s="485"/>
      <c r="M255" s="485"/>
    </row>
    <row r="256" spans="1:13" ht="30.75" customHeight="1" x14ac:dyDescent="0.25">
      <c r="A256" s="489">
        <v>5</v>
      </c>
      <c r="B256" s="490" t="s">
        <v>84</v>
      </c>
      <c r="C256" s="423" t="s">
        <v>85</v>
      </c>
      <c r="D256" s="424" t="s">
        <v>39</v>
      </c>
      <c r="E256" s="424"/>
      <c r="F256" s="425">
        <v>5</v>
      </c>
      <c r="G256" s="429"/>
      <c r="H256" s="430"/>
      <c r="I256" s="432"/>
      <c r="J256" s="430"/>
      <c r="K256" s="432"/>
      <c r="L256" s="430"/>
      <c r="M256" s="491"/>
    </row>
    <row r="257" spans="1:13" ht="16.5" customHeight="1" x14ac:dyDescent="0.25">
      <c r="A257" s="489"/>
      <c r="B257" s="492"/>
      <c r="C257" s="428" t="s">
        <v>40</v>
      </c>
      <c r="D257" s="429" t="s">
        <v>41</v>
      </c>
      <c r="E257" s="430">
        <f>1.01*1.2</f>
        <v>1.212</v>
      </c>
      <c r="F257" s="430">
        <f>E257*F256</f>
        <v>6.06</v>
      </c>
      <c r="G257" s="429"/>
      <c r="H257" s="430"/>
      <c r="I257" s="432"/>
      <c r="J257" s="430"/>
      <c r="K257" s="432"/>
      <c r="L257" s="430"/>
      <c r="M257" s="430"/>
    </row>
    <row r="258" spans="1:13" ht="18.75" customHeight="1" x14ac:dyDescent="0.25">
      <c r="A258" s="489"/>
      <c r="B258" s="492"/>
      <c r="C258" s="428" t="s">
        <v>86</v>
      </c>
      <c r="D258" s="429" t="s">
        <v>43</v>
      </c>
      <c r="E258" s="433">
        <f>0.041*1.2</f>
        <v>4.9200000000000001E-2</v>
      </c>
      <c r="F258" s="430">
        <f>E258*F256</f>
        <v>0.246</v>
      </c>
      <c r="G258" s="429"/>
      <c r="H258" s="431"/>
      <c r="I258" s="432"/>
      <c r="J258" s="430"/>
      <c r="K258" s="432"/>
      <c r="L258" s="431"/>
      <c r="M258" s="430"/>
    </row>
    <row r="259" spans="1:13" ht="20.25" customHeight="1" x14ac:dyDescent="0.25">
      <c r="A259" s="489"/>
      <c r="B259" s="492"/>
      <c r="C259" s="428" t="s">
        <v>87</v>
      </c>
      <c r="D259" s="429" t="s">
        <v>43</v>
      </c>
      <c r="E259" s="433">
        <f>0.027*1.2</f>
        <v>3.2399999999999998E-2</v>
      </c>
      <c r="F259" s="430">
        <f>E259*F256</f>
        <v>0.16199999999999998</v>
      </c>
      <c r="G259" s="429"/>
      <c r="H259" s="430"/>
      <c r="I259" s="432"/>
      <c r="J259" s="430"/>
      <c r="K259" s="432"/>
      <c r="L259" s="430"/>
      <c r="M259" s="430"/>
    </row>
    <row r="260" spans="1:13" ht="19.5" customHeight="1" x14ac:dyDescent="0.25">
      <c r="A260" s="489"/>
      <c r="B260" s="492"/>
      <c r="C260" s="428" t="s">
        <v>88</v>
      </c>
      <c r="D260" s="429" t="s">
        <v>56</v>
      </c>
      <c r="E260" s="433">
        <v>2.3800000000000002E-2</v>
      </c>
      <c r="F260" s="430">
        <f>E260*F256</f>
        <v>0.11900000000000001</v>
      </c>
      <c r="G260" s="429"/>
      <c r="H260" s="430"/>
      <c r="I260" s="432"/>
      <c r="J260" s="431"/>
      <c r="K260" s="431"/>
      <c r="L260" s="431"/>
      <c r="M260" s="430"/>
    </row>
    <row r="261" spans="1:13" ht="21" customHeight="1" x14ac:dyDescent="0.25">
      <c r="A261" s="489"/>
      <c r="B261" s="492"/>
      <c r="C261" s="428" t="s">
        <v>89</v>
      </c>
      <c r="D261" s="429" t="s">
        <v>46</v>
      </c>
      <c r="E261" s="433">
        <v>5.28E-2</v>
      </c>
      <c r="F261" s="430">
        <f>E261*F256</f>
        <v>0.26400000000000001</v>
      </c>
      <c r="G261" s="429"/>
      <c r="H261" s="430"/>
      <c r="I261" s="432"/>
      <c r="J261" s="431"/>
      <c r="K261" s="431"/>
      <c r="L261" s="431"/>
      <c r="M261" s="430"/>
    </row>
    <row r="262" spans="1:13" ht="19.5" customHeight="1" x14ac:dyDescent="0.25">
      <c r="A262" s="489"/>
      <c r="B262" s="492"/>
      <c r="C262" s="428" t="s">
        <v>83</v>
      </c>
      <c r="D262" s="429" t="s">
        <v>50</v>
      </c>
      <c r="E262" s="433">
        <v>3.0000000000000001E-3</v>
      </c>
      <c r="F262" s="430">
        <f>E262*F256</f>
        <v>1.4999999999999999E-2</v>
      </c>
      <c r="G262" s="429"/>
      <c r="H262" s="430"/>
      <c r="I262" s="432"/>
      <c r="J262" s="431"/>
      <c r="K262" s="431"/>
      <c r="L262" s="431"/>
      <c r="M262" s="430"/>
    </row>
    <row r="263" spans="1:13" ht="34.5" customHeight="1" x14ac:dyDescent="0.25">
      <c r="A263" s="440">
        <v>6</v>
      </c>
      <c r="B263" s="441" t="s">
        <v>65</v>
      </c>
      <c r="C263" s="442" t="s">
        <v>66</v>
      </c>
      <c r="D263" s="443" t="s">
        <v>67</v>
      </c>
      <c r="E263" s="440"/>
      <c r="F263" s="626">
        <v>2</v>
      </c>
      <c r="G263" s="419"/>
      <c r="H263" s="414"/>
      <c r="I263" s="674"/>
      <c r="J263" s="414"/>
      <c r="K263" s="420"/>
      <c r="L263" s="414"/>
      <c r="M263" s="414"/>
    </row>
    <row r="264" spans="1:13" ht="18" customHeight="1" x14ac:dyDescent="0.25">
      <c r="A264" s="445"/>
      <c r="B264" s="446"/>
      <c r="C264" s="447" t="s">
        <v>68</v>
      </c>
      <c r="D264" s="409" t="s">
        <v>67</v>
      </c>
      <c r="E264" s="448">
        <v>1</v>
      </c>
      <c r="F264" s="638">
        <f>E264*F263</f>
        <v>2</v>
      </c>
      <c r="G264" s="420"/>
      <c r="H264" s="414"/>
      <c r="I264" s="637"/>
      <c r="J264" s="449"/>
      <c r="K264" s="420"/>
      <c r="L264" s="414"/>
      <c r="M264" s="414"/>
    </row>
    <row r="265" spans="1:13" ht="18" customHeight="1" x14ac:dyDescent="0.25">
      <c r="A265" s="445"/>
      <c r="B265" s="450"/>
      <c r="C265" s="447" t="s">
        <v>69</v>
      </c>
      <c r="D265" s="451" t="s">
        <v>50</v>
      </c>
      <c r="E265" s="452">
        <f>0.0633*1.2*1.5</f>
        <v>0.11393999999999999</v>
      </c>
      <c r="F265" s="668">
        <f>E265*F263</f>
        <v>0.22787999999999997</v>
      </c>
      <c r="G265" s="419"/>
      <c r="H265" s="414"/>
      <c r="I265" s="674"/>
      <c r="J265" s="414"/>
      <c r="K265" s="420"/>
      <c r="L265" s="414"/>
      <c r="M265" s="414"/>
    </row>
    <row r="266" spans="1:13" ht="18" customHeight="1" x14ac:dyDescent="0.25">
      <c r="A266" s="445"/>
      <c r="B266" s="446"/>
      <c r="C266" s="418" t="s">
        <v>70</v>
      </c>
      <c r="D266" s="419" t="s">
        <v>67</v>
      </c>
      <c r="E266" s="419">
        <v>1</v>
      </c>
      <c r="F266" s="667">
        <f>E266*F263</f>
        <v>2</v>
      </c>
      <c r="G266" s="419"/>
      <c r="H266" s="414"/>
      <c r="I266" s="674"/>
      <c r="J266" s="414"/>
      <c r="K266" s="420"/>
      <c r="L266" s="414"/>
      <c r="M266" s="438"/>
    </row>
    <row r="267" spans="1:13" ht="18" customHeight="1" x14ac:dyDescent="0.25">
      <c r="A267" s="421"/>
      <c r="B267" s="427"/>
      <c r="C267" s="428" t="s">
        <v>71</v>
      </c>
      <c r="D267" s="429" t="s">
        <v>67</v>
      </c>
      <c r="E267" s="429">
        <v>2</v>
      </c>
      <c r="F267" s="431">
        <f>E267*F263</f>
        <v>4</v>
      </c>
      <c r="G267" s="429"/>
      <c r="H267" s="430"/>
      <c r="I267" s="432"/>
      <c r="J267" s="430"/>
      <c r="K267" s="432"/>
      <c r="L267" s="430"/>
      <c r="M267" s="430"/>
    </row>
    <row r="268" spans="1:13" ht="18" customHeight="1" x14ac:dyDescent="0.25">
      <c r="A268" s="445"/>
      <c r="B268" s="450"/>
      <c r="C268" s="447" t="s">
        <v>72</v>
      </c>
      <c r="D268" s="451" t="s">
        <v>50</v>
      </c>
      <c r="E268" s="440">
        <v>0.28000000000000003</v>
      </c>
      <c r="F268" s="638">
        <f>E268*F263</f>
        <v>0.56000000000000005</v>
      </c>
      <c r="G268" s="420"/>
      <c r="H268" s="414"/>
      <c r="I268" s="675"/>
      <c r="J268" s="414"/>
      <c r="K268" s="420"/>
      <c r="L268" s="414"/>
      <c r="M268" s="414"/>
    </row>
    <row r="269" spans="1:13" ht="45.75" customHeight="1" x14ac:dyDescent="0.25">
      <c r="A269" s="489">
        <v>7</v>
      </c>
      <c r="B269" s="735" t="s">
        <v>90</v>
      </c>
      <c r="C269" s="423" t="s">
        <v>91</v>
      </c>
      <c r="D269" s="462" t="s">
        <v>39</v>
      </c>
      <c r="E269" s="462"/>
      <c r="F269" s="494">
        <v>134</v>
      </c>
      <c r="G269" s="429"/>
      <c r="H269" s="430"/>
      <c r="I269" s="432"/>
      <c r="J269" s="430"/>
      <c r="K269" s="432"/>
      <c r="L269" s="430"/>
      <c r="M269" s="491"/>
    </row>
    <row r="270" spans="1:13" ht="14.25" customHeight="1" x14ac:dyDescent="0.25">
      <c r="A270" s="489"/>
      <c r="B270" s="735"/>
      <c r="C270" s="428" t="s">
        <v>40</v>
      </c>
      <c r="D270" s="429" t="s">
        <v>41</v>
      </c>
      <c r="E270" s="430">
        <f>0.77*1.2</f>
        <v>0.92399999999999993</v>
      </c>
      <c r="F270" s="430">
        <f>E270*F269</f>
        <v>123.81599999999999</v>
      </c>
      <c r="G270" s="429"/>
      <c r="H270" s="430"/>
      <c r="I270" s="432"/>
      <c r="J270" s="430"/>
      <c r="K270" s="432"/>
      <c r="L270" s="430"/>
      <c r="M270" s="431"/>
    </row>
    <row r="271" spans="1:13" ht="18" customHeight="1" x14ac:dyDescent="0.25">
      <c r="A271" s="489"/>
      <c r="B271" s="735"/>
      <c r="C271" s="428" t="s">
        <v>75</v>
      </c>
      <c r="D271" s="429" t="s">
        <v>43</v>
      </c>
      <c r="E271" s="429">
        <f>0.0095*1.2</f>
        <v>1.1399999999999999E-2</v>
      </c>
      <c r="F271" s="430">
        <f>E271*F269</f>
        <v>1.5275999999999998</v>
      </c>
      <c r="G271" s="429"/>
      <c r="H271" s="430"/>
      <c r="I271" s="432"/>
      <c r="J271" s="430"/>
      <c r="K271" s="432"/>
      <c r="L271" s="430"/>
      <c r="M271" s="431"/>
    </row>
    <row r="272" spans="1:13" ht="15.75" customHeight="1" x14ac:dyDescent="0.25">
      <c r="A272" s="489"/>
      <c r="B272" s="429"/>
      <c r="C272" s="495" t="s">
        <v>92</v>
      </c>
      <c r="D272" s="429" t="s">
        <v>93</v>
      </c>
      <c r="E272" s="429">
        <v>0.24</v>
      </c>
      <c r="F272" s="430">
        <f>E272*F269</f>
        <v>32.159999999999997</v>
      </c>
      <c r="G272" s="429"/>
      <c r="H272" s="430"/>
      <c r="I272" s="496"/>
      <c r="J272" s="431"/>
      <c r="K272" s="432"/>
      <c r="L272" s="430"/>
      <c r="M272" s="431"/>
    </row>
    <row r="273" spans="1:13" x14ac:dyDescent="0.25">
      <c r="A273" s="489"/>
      <c r="B273" s="429"/>
      <c r="C273" s="495" t="s">
        <v>94</v>
      </c>
      <c r="D273" s="490" t="s">
        <v>93</v>
      </c>
      <c r="E273" s="490">
        <f>0.183+0.12+0.001</f>
        <v>0.30399999999999999</v>
      </c>
      <c r="F273" s="430">
        <f>E273*F269</f>
        <v>40.735999999999997</v>
      </c>
      <c r="G273" s="429"/>
      <c r="H273" s="430"/>
      <c r="I273" s="432"/>
      <c r="J273" s="431"/>
      <c r="K273" s="432"/>
      <c r="L273" s="430"/>
      <c r="M273" s="431"/>
    </row>
    <row r="274" spans="1:13" ht="20.25" customHeight="1" x14ac:dyDescent="0.25">
      <c r="A274" s="489"/>
      <c r="B274" s="429"/>
      <c r="C274" s="428" t="s">
        <v>58</v>
      </c>
      <c r="D274" s="429" t="s">
        <v>43</v>
      </c>
      <c r="E274" s="429">
        <v>1.6E-2</v>
      </c>
      <c r="F274" s="433">
        <f>E274*F269</f>
        <v>2.1440000000000001</v>
      </c>
      <c r="G274" s="429"/>
      <c r="H274" s="430"/>
      <c r="I274" s="432"/>
      <c r="J274" s="430"/>
      <c r="K274" s="432"/>
      <c r="L274" s="430"/>
      <c r="M274" s="431"/>
    </row>
    <row r="275" spans="1:13" ht="37.5" customHeight="1" x14ac:dyDescent="0.25">
      <c r="A275" s="440">
        <v>8</v>
      </c>
      <c r="B275" s="263" t="s">
        <v>95</v>
      </c>
      <c r="C275" s="497" t="s">
        <v>96</v>
      </c>
      <c r="D275" s="412" t="s">
        <v>67</v>
      </c>
      <c r="E275" s="448"/>
      <c r="F275" s="498">
        <v>6</v>
      </c>
      <c r="G275" s="414"/>
      <c r="H275" s="499"/>
      <c r="I275" s="674"/>
      <c r="J275" s="499"/>
      <c r="K275" s="420"/>
      <c r="L275" s="499"/>
      <c r="M275" s="414"/>
    </row>
    <row r="276" spans="1:13" ht="15.75" x14ac:dyDescent="0.3">
      <c r="A276" s="440"/>
      <c r="B276" s="402" t="s">
        <v>97</v>
      </c>
      <c r="C276" s="500" t="s">
        <v>68</v>
      </c>
      <c r="D276" s="451" t="s">
        <v>48</v>
      </c>
      <c r="E276" s="448">
        <f>0.58*0.4</f>
        <v>0.23199999999999998</v>
      </c>
      <c r="F276" s="501">
        <f>E276*F275</f>
        <v>1.3919999999999999</v>
      </c>
      <c r="G276" s="419"/>
      <c r="H276" s="502"/>
      <c r="I276" s="676"/>
      <c r="J276" s="502"/>
      <c r="K276" s="503"/>
      <c r="L276" s="502"/>
      <c r="M276" s="502"/>
    </row>
    <row r="277" spans="1:13" ht="16.5" customHeight="1" x14ac:dyDescent="0.3">
      <c r="A277" s="440"/>
      <c r="B277" s="402"/>
      <c r="C277" s="504" t="s">
        <v>98</v>
      </c>
      <c r="D277" s="451" t="s">
        <v>50</v>
      </c>
      <c r="E277" s="448">
        <f>0.0305*0.4</f>
        <v>1.2200000000000001E-2</v>
      </c>
      <c r="F277" s="501">
        <f>E277*F275</f>
        <v>7.3200000000000001E-2</v>
      </c>
      <c r="G277" s="448"/>
      <c r="H277" s="502"/>
      <c r="I277" s="676"/>
      <c r="J277" s="502"/>
      <c r="K277" s="503"/>
      <c r="L277" s="502"/>
      <c r="M277" s="502"/>
    </row>
    <row r="278" spans="1:13" ht="17.25" customHeight="1" x14ac:dyDescent="0.25">
      <c r="A278" s="440"/>
      <c r="B278" s="505"/>
      <c r="C278" s="418" t="s">
        <v>64</v>
      </c>
      <c r="D278" s="419" t="s">
        <v>50</v>
      </c>
      <c r="E278" s="419">
        <f>0.0985*0.4</f>
        <v>3.9400000000000004E-2</v>
      </c>
      <c r="F278" s="506">
        <f>E278*F275</f>
        <v>0.23640000000000003</v>
      </c>
      <c r="G278" s="419"/>
      <c r="H278" s="414"/>
      <c r="I278" s="674"/>
      <c r="J278" s="414"/>
      <c r="K278" s="420"/>
      <c r="L278" s="414"/>
      <c r="M278" s="414"/>
    </row>
    <row r="279" spans="1:13" ht="33.75" customHeight="1" x14ac:dyDescent="0.25">
      <c r="A279" s="507">
        <v>9</v>
      </c>
      <c r="B279" s="263" t="s">
        <v>99</v>
      </c>
      <c r="C279" s="508" t="s">
        <v>100</v>
      </c>
      <c r="D279" s="507" t="s">
        <v>101</v>
      </c>
      <c r="E279" s="507"/>
      <c r="F279" s="601">
        <v>6</v>
      </c>
      <c r="G279" s="507"/>
      <c r="H279" s="464"/>
      <c r="I279" s="677"/>
      <c r="J279" s="464"/>
      <c r="K279" s="509"/>
      <c r="L279" s="464"/>
      <c r="M279" s="464"/>
    </row>
    <row r="280" spans="1:13" ht="17.25" customHeight="1" x14ac:dyDescent="0.25">
      <c r="A280" s="407"/>
      <c r="B280" s="510"/>
      <c r="C280" s="511" t="s">
        <v>102</v>
      </c>
      <c r="D280" s="407" t="s">
        <v>103</v>
      </c>
      <c r="E280" s="407">
        <f>0.74*1.2</f>
        <v>0.88800000000000001</v>
      </c>
      <c r="F280" s="493">
        <f>F279*E280</f>
        <v>5.3280000000000003</v>
      </c>
      <c r="G280" s="512"/>
      <c r="H280" s="513"/>
      <c r="I280" s="678"/>
      <c r="J280" s="513"/>
      <c r="K280" s="514"/>
      <c r="L280" s="513"/>
      <c r="M280" s="513"/>
    </row>
    <row r="281" spans="1:13" ht="17.25" customHeight="1" x14ac:dyDescent="0.25">
      <c r="A281" s="407"/>
      <c r="B281" s="407"/>
      <c r="C281" s="511" t="s">
        <v>104</v>
      </c>
      <c r="D281" s="407" t="s">
        <v>43</v>
      </c>
      <c r="E281" s="407">
        <f>0.02*1.2</f>
        <v>2.4E-2</v>
      </c>
      <c r="F281" s="493">
        <f>F279*E281</f>
        <v>0.14400000000000002</v>
      </c>
      <c r="G281" s="512"/>
      <c r="H281" s="513"/>
      <c r="I281" s="678"/>
      <c r="J281" s="513"/>
      <c r="K281" s="514"/>
      <c r="L281" s="513"/>
      <c r="M281" s="513"/>
    </row>
    <row r="282" spans="1:13" ht="27" x14ac:dyDescent="0.25">
      <c r="A282" s="407"/>
      <c r="B282" s="510"/>
      <c r="C282" s="575" t="s">
        <v>140</v>
      </c>
      <c r="D282" s="263" t="s">
        <v>101</v>
      </c>
      <c r="E282" s="263">
        <v>1</v>
      </c>
      <c r="F282" s="422">
        <f>F279*E282</f>
        <v>6</v>
      </c>
      <c r="G282" s="515"/>
      <c r="H282" s="515"/>
      <c r="I282" s="536"/>
      <c r="J282" s="516"/>
      <c r="K282" s="515"/>
      <c r="L282" s="515"/>
      <c r="M282" s="517"/>
    </row>
    <row r="283" spans="1:13" ht="17.25" customHeight="1" x14ac:dyDescent="0.25">
      <c r="A283" s="407"/>
      <c r="B283" s="407"/>
      <c r="C283" s="511" t="s">
        <v>106</v>
      </c>
      <c r="D283" s="407" t="s">
        <v>43</v>
      </c>
      <c r="E283" s="407">
        <v>0.01</v>
      </c>
      <c r="F283" s="493">
        <f>F279*E283</f>
        <v>0.06</v>
      </c>
      <c r="G283" s="401"/>
      <c r="H283" s="401"/>
      <c r="I283" s="535"/>
      <c r="J283" s="401"/>
      <c r="K283" s="401"/>
      <c r="L283" s="401"/>
      <c r="M283" s="513"/>
    </row>
    <row r="284" spans="1:13" ht="20.25" customHeight="1" x14ac:dyDescent="0.25">
      <c r="A284" s="28"/>
      <c r="B284" s="32"/>
      <c r="C284" s="30" t="s">
        <v>142</v>
      </c>
      <c r="D284" s="31"/>
      <c r="E284" s="32"/>
      <c r="F284" s="669"/>
      <c r="G284" s="36"/>
      <c r="H284" s="36"/>
      <c r="I284" s="670"/>
      <c r="J284" s="36"/>
      <c r="K284" s="36"/>
      <c r="L284" s="36"/>
      <c r="M284" s="36"/>
    </row>
    <row r="285" spans="1:13" ht="25.5" customHeight="1" x14ac:dyDescent="0.25">
      <c r="A285" s="395">
        <v>1</v>
      </c>
      <c r="B285" s="396" t="s">
        <v>37</v>
      </c>
      <c r="C285" s="397" t="s">
        <v>38</v>
      </c>
      <c r="D285" s="398" t="s">
        <v>39</v>
      </c>
      <c r="E285" s="398"/>
      <c r="F285" s="425">
        <v>22</v>
      </c>
      <c r="G285" s="400"/>
      <c r="H285" s="401"/>
      <c r="I285" s="524"/>
      <c r="J285" s="403"/>
      <c r="K285" s="404"/>
      <c r="L285" s="404"/>
      <c r="M285" s="405"/>
    </row>
    <row r="286" spans="1:13" ht="18.75" customHeight="1" x14ac:dyDescent="0.25">
      <c r="A286" s="395"/>
      <c r="B286" s="396"/>
      <c r="C286" s="406" t="s">
        <v>40</v>
      </c>
      <c r="D286" s="407" t="s">
        <v>41</v>
      </c>
      <c r="E286" s="407">
        <v>0.28899999999999998</v>
      </c>
      <c r="F286" s="430">
        <f>E286*F285</f>
        <v>6.3579999999999997</v>
      </c>
      <c r="G286" s="407"/>
      <c r="H286" s="401"/>
      <c r="I286" s="432"/>
      <c r="J286" s="401"/>
      <c r="K286" s="408"/>
      <c r="L286" s="401"/>
      <c r="M286" s="401"/>
    </row>
    <row r="287" spans="1:13" ht="21" customHeight="1" x14ac:dyDescent="0.25">
      <c r="A287" s="395"/>
      <c r="B287" s="396"/>
      <c r="C287" s="406" t="s">
        <v>42</v>
      </c>
      <c r="D287" s="407" t="s">
        <v>43</v>
      </c>
      <c r="E287" s="407">
        <v>6.2799999999999995E-2</v>
      </c>
      <c r="F287" s="430">
        <f>E287*F285</f>
        <v>1.3815999999999999</v>
      </c>
      <c r="G287" s="400"/>
      <c r="H287" s="401"/>
      <c r="I287" s="432"/>
      <c r="J287" s="401"/>
      <c r="K287" s="408"/>
      <c r="L287" s="401"/>
      <c r="M287" s="401"/>
    </row>
    <row r="288" spans="1:13" ht="29.25" customHeight="1" x14ac:dyDescent="0.3">
      <c r="A288" s="409">
        <v>2</v>
      </c>
      <c r="B288" s="410" t="s">
        <v>44</v>
      </c>
      <c r="C288" s="411" t="s">
        <v>45</v>
      </c>
      <c r="D288" s="412" t="s">
        <v>46</v>
      </c>
      <c r="E288" s="412"/>
      <c r="F288" s="498">
        <v>22</v>
      </c>
      <c r="G288" s="413"/>
      <c r="H288" s="414"/>
      <c r="I288" s="673"/>
      <c r="J288" s="415"/>
      <c r="K288" s="416"/>
      <c r="L288" s="416"/>
      <c r="M288" s="417"/>
    </row>
    <row r="289" spans="1:13" ht="18" customHeight="1" x14ac:dyDescent="0.25">
      <c r="A289" s="409"/>
      <c r="B289" s="396"/>
      <c r="C289" s="418" t="s">
        <v>47</v>
      </c>
      <c r="D289" s="419" t="s">
        <v>48</v>
      </c>
      <c r="E289" s="414">
        <f>0.238+0.0284*4</f>
        <v>0.35160000000000002</v>
      </c>
      <c r="F289" s="506">
        <f>E289*F288</f>
        <v>7.7352000000000007</v>
      </c>
      <c r="G289" s="419"/>
      <c r="H289" s="414"/>
      <c r="I289" s="674"/>
      <c r="J289" s="414"/>
      <c r="K289" s="420"/>
      <c r="L289" s="414"/>
      <c r="M289" s="414"/>
    </row>
    <row r="290" spans="1:13" ht="18" customHeight="1" x14ac:dyDescent="0.3">
      <c r="A290" s="409"/>
      <c r="B290" s="396"/>
      <c r="C290" s="418" t="s">
        <v>49</v>
      </c>
      <c r="D290" s="419" t="s">
        <v>50</v>
      </c>
      <c r="E290" s="419">
        <v>7.8E-2</v>
      </c>
      <c r="F290" s="506">
        <f>E290*F288</f>
        <v>1.716</v>
      </c>
      <c r="G290" s="413"/>
      <c r="H290" s="414"/>
      <c r="I290" s="674"/>
      <c r="J290" s="414"/>
      <c r="K290" s="420"/>
      <c r="L290" s="414"/>
      <c r="M290" s="414"/>
    </row>
    <row r="291" spans="1:13" ht="30" customHeight="1" x14ac:dyDescent="0.25">
      <c r="A291" s="421">
        <v>3</v>
      </c>
      <c r="B291" s="422" t="s">
        <v>51</v>
      </c>
      <c r="C291" s="423" t="s">
        <v>52</v>
      </c>
      <c r="D291" s="424" t="s">
        <v>39</v>
      </c>
      <c r="E291" s="424"/>
      <c r="F291" s="425">
        <v>22</v>
      </c>
      <c r="G291" s="426"/>
      <c r="H291" s="425"/>
      <c r="I291" s="426"/>
      <c r="J291" s="425"/>
      <c r="K291" s="426"/>
      <c r="L291" s="425"/>
      <c r="M291" s="425"/>
    </row>
    <row r="292" spans="1:13" ht="21.75" customHeight="1" x14ac:dyDescent="0.25">
      <c r="A292" s="421"/>
      <c r="B292" s="427" t="s">
        <v>53</v>
      </c>
      <c r="C292" s="428" t="s">
        <v>54</v>
      </c>
      <c r="D292" s="429" t="s">
        <v>39</v>
      </c>
      <c r="E292" s="430">
        <v>1</v>
      </c>
      <c r="F292" s="431">
        <f>E292*F291</f>
        <v>22</v>
      </c>
      <c r="G292" s="429"/>
      <c r="H292" s="430"/>
      <c r="I292" s="432"/>
      <c r="J292" s="430"/>
      <c r="K292" s="432"/>
      <c r="L292" s="430"/>
      <c r="M292" s="430"/>
    </row>
    <row r="293" spans="1:13" ht="21.75" customHeight="1" x14ac:dyDescent="0.25">
      <c r="A293" s="421"/>
      <c r="B293" s="427"/>
      <c r="C293" s="428" t="s">
        <v>55</v>
      </c>
      <c r="D293" s="429" t="s">
        <v>56</v>
      </c>
      <c r="E293" s="433">
        <f>0.0408*1.2</f>
        <v>4.8960000000000004E-2</v>
      </c>
      <c r="F293" s="431">
        <f>E293*F291</f>
        <v>1.0771200000000001</v>
      </c>
      <c r="G293" s="429"/>
      <c r="H293" s="430"/>
      <c r="I293" s="432"/>
      <c r="J293" s="430"/>
      <c r="K293" s="432"/>
      <c r="L293" s="430"/>
      <c r="M293" s="430"/>
    </row>
    <row r="294" spans="1:13" ht="19.5" customHeight="1" x14ac:dyDescent="0.25">
      <c r="A294" s="421"/>
      <c r="B294" s="427"/>
      <c r="C294" s="428" t="s">
        <v>57</v>
      </c>
      <c r="D294" s="429" t="s">
        <v>39</v>
      </c>
      <c r="E294" s="429">
        <v>1</v>
      </c>
      <c r="F294" s="431">
        <f>E294*F291</f>
        <v>22</v>
      </c>
      <c r="G294" s="429"/>
      <c r="H294" s="430"/>
      <c r="I294" s="432"/>
      <c r="J294" s="430"/>
      <c r="K294" s="432"/>
      <c r="L294" s="430"/>
      <c r="M294" s="430"/>
    </row>
    <row r="295" spans="1:13" ht="17.25" customHeight="1" x14ac:dyDescent="0.25">
      <c r="A295" s="421"/>
      <c r="B295" s="429"/>
      <c r="C295" s="428" t="s">
        <v>58</v>
      </c>
      <c r="D295" s="429" t="s">
        <v>43</v>
      </c>
      <c r="E295" s="429">
        <v>2.6499999999999999E-2</v>
      </c>
      <c r="F295" s="431">
        <f>E295*F291</f>
        <v>0.58299999999999996</v>
      </c>
      <c r="G295" s="429"/>
      <c r="H295" s="430"/>
      <c r="I295" s="432"/>
      <c r="J295" s="430"/>
      <c r="K295" s="432"/>
      <c r="L295" s="430"/>
      <c r="M295" s="430"/>
    </row>
    <row r="296" spans="1:13" ht="29.25" customHeight="1" x14ac:dyDescent="0.25">
      <c r="A296" s="422">
        <v>4</v>
      </c>
      <c r="B296" s="460" t="s">
        <v>143</v>
      </c>
      <c r="C296" s="423" t="s">
        <v>144</v>
      </c>
      <c r="D296" s="424" t="s">
        <v>39</v>
      </c>
      <c r="E296" s="424"/>
      <c r="F296" s="425">
        <v>22</v>
      </c>
      <c r="G296" s="425"/>
      <c r="H296" s="425"/>
      <c r="I296" s="425"/>
      <c r="J296" s="425"/>
      <c r="K296" s="425"/>
      <c r="L296" s="425"/>
      <c r="M296" s="425"/>
    </row>
    <row r="297" spans="1:13" ht="15.75" customHeight="1" x14ac:dyDescent="0.25">
      <c r="A297" s="422"/>
      <c r="B297" s="460"/>
      <c r="C297" s="428" t="s">
        <v>40</v>
      </c>
      <c r="D297" s="429" t="s">
        <v>145</v>
      </c>
      <c r="E297" s="430">
        <f>1.54*1.2</f>
        <v>1.8479999999999999</v>
      </c>
      <c r="F297" s="431">
        <f>F296*E297</f>
        <v>40.655999999999999</v>
      </c>
      <c r="G297" s="429"/>
      <c r="H297" s="431"/>
      <c r="I297" s="432"/>
      <c r="J297" s="430"/>
      <c r="K297" s="432"/>
      <c r="L297" s="430"/>
      <c r="M297" s="431"/>
    </row>
    <row r="298" spans="1:13" ht="20.25" customHeight="1" x14ac:dyDescent="0.25">
      <c r="A298" s="422"/>
      <c r="B298" s="460"/>
      <c r="C298" s="428" t="s">
        <v>78</v>
      </c>
      <c r="D298" s="429" t="s">
        <v>43</v>
      </c>
      <c r="E298" s="429">
        <f>0.046*1.2</f>
        <v>5.5199999999999999E-2</v>
      </c>
      <c r="F298" s="431">
        <f>F296*E298</f>
        <v>1.2143999999999999</v>
      </c>
      <c r="G298" s="429"/>
      <c r="H298" s="431"/>
      <c r="I298" s="432"/>
      <c r="J298" s="430"/>
      <c r="K298" s="432"/>
      <c r="L298" s="430"/>
      <c r="M298" s="431"/>
    </row>
    <row r="299" spans="1:13" ht="19.5" customHeight="1" x14ac:dyDescent="0.25">
      <c r="A299" s="422"/>
      <c r="B299" s="460"/>
      <c r="C299" s="428" t="s">
        <v>146</v>
      </c>
      <c r="D299" s="429" t="s">
        <v>39</v>
      </c>
      <c r="E299" s="430">
        <v>1.01</v>
      </c>
      <c r="F299" s="431">
        <f>F296*E299</f>
        <v>22.22</v>
      </c>
      <c r="G299" s="429"/>
      <c r="H299" s="431"/>
      <c r="I299" s="432"/>
      <c r="J299" s="430"/>
      <c r="K299" s="432"/>
      <c r="L299" s="430"/>
      <c r="M299" s="431"/>
    </row>
    <row r="300" spans="1:13" ht="16.5" customHeight="1" x14ac:dyDescent="0.25">
      <c r="A300" s="422"/>
      <c r="B300" s="460"/>
      <c r="C300" s="428" t="s">
        <v>147</v>
      </c>
      <c r="D300" s="429" t="s">
        <v>148</v>
      </c>
      <c r="E300" s="430">
        <v>1.07</v>
      </c>
      <c r="F300" s="431">
        <f>E300*F296</f>
        <v>23.540000000000003</v>
      </c>
      <c r="G300" s="429"/>
      <c r="H300" s="431"/>
      <c r="I300" s="432"/>
      <c r="J300" s="430"/>
      <c r="K300" s="432"/>
      <c r="L300" s="430"/>
      <c r="M300" s="431"/>
    </row>
    <row r="301" spans="1:13" ht="18" customHeight="1" x14ac:dyDescent="0.25">
      <c r="A301" s="422"/>
      <c r="B301" s="578"/>
      <c r="C301" s="428" t="s">
        <v>149</v>
      </c>
      <c r="D301" s="429" t="s">
        <v>93</v>
      </c>
      <c r="E301" s="429">
        <v>4.3</v>
      </c>
      <c r="F301" s="431">
        <f>E301*F296</f>
        <v>94.6</v>
      </c>
      <c r="G301" s="429"/>
      <c r="H301" s="430"/>
      <c r="I301" s="432"/>
      <c r="J301" s="430"/>
      <c r="K301" s="432"/>
      <c r="L301" s="430"/>
      <c r="M301" s="430"/>
    </row>
    <row r="302" spans="1:13" ht="13.5" customHeight="1" x14ac:dyDescent="0.25">
      <c r="A302" s="422"/>
      <c r="B302" s="460"/>
      <c r="C302" s="428" t="s">
        <v>80</v>
      </c>
      <c r="D302" s="429" t="s">
        <v>43</v>
      </c>
      <c r="E302" s="429">
        <v>4.2999999999999997E-2</v>
      </c>
      <c r="F302" s="431">
        <f>F296*E302</f>
        <v>0.94599999999999995</v>
      </c>
      <c r="G302" s="429"/>
      <c r="H302" s="431"/>
      <c r="I302" s="432"/>
      <c r="J302" s="430"/>
      <c r="K302" s="432"/>
      <c r="L302" s="430"/>
      <c r="M302" s="430"/>
    </row>
    <row r="303" spans="1:13" ht="31.5" customHeight="1" x14ac:dyDescent="0.25">
      <c r="A303" s="440">
        <v>5</v>
      </c>
      <c r="B303" s="441" t="s">
        <v>65</v>
      </c>
      <c r="C303" s="442" t="s">
        <v>66</v>
      </c>
      <c r="D303" s="443" t="s">
        <v>67</v>
      </c>
      <c r="E303" s="440"/>
      <c r="F303" s="626">
        <v>1</v>
      </c>
      <c r="G303" s="419"/>
      <c r="H303" s="414"/>
      <c r="I303" s="674"/>
      <c r="J303" s="414"/>
      <c r="K303" s="420"/>
      <c r="L303" s="414"/>
      <c r="M303" s="414"/>
    </row>
    <row r="304" spans="1:13" ht="18" customHeight="1" x14ac:dyDescent="0.25">
      <c r="A304" s="445"/>
      <c r="B304" s="446"/>
      <c r="C304" s="447" t="s">
        <v>68</v>
      </c>
      <c r="D304" s="409" t="s">
        <v>67</v>
      </c>
      <c r="E304" s="448">
        <v>1</v>
      </c>
      <c r="F304" s="638">
        <f>E304*F303</f>
        <v>1</v>
      </c>
      <c r="G304" s="420"/>
      <c r="H304" s="414"/>
      <c r="I304" s="637"/>
      <c r="J304" s="449"/>
      <c r="K304" s="420"/>
      <c r="L304" s="414"/>
      <c r="M304" s="414"/>
    </row>
    <row r="305" spans="1:13" ht="18" customHeight="1" x14ac:dyDescent="0.25">
      <c r="A305" s="445"/>
      <c r="B305" s="450"/>
      <c r="C305" s="447" t="s">
        <v>69</v>
      </c>
      <c r="D305" s="451" t="s">
        <v>50</v>
      </c>
      <c r="E305" s="452">
        <f>0.0633*1.2*1.5</f>
        <v>0.11393999999999999</v>
      </c>
      <c r="F305" s="668">
        <f>E305*F303</f>
        <v>0.11393999999999999</v>
      </c>
      <c r="G305" s="419"/>
      <c r="H305" s="414"/>
      <c r="I305" s="674"/>
      <c r="J305" s="414"/>
      <c r="K305" s="420"/>
      <c r="L305" s="414"/>
      <c r="M305" s="414"/>
    </row>
    <row r="306" spans="1:13" ht="18" customHeight="1" x14ac:dyDescent="0.25">
      <c r="A306" s="445"/>
      <c r="B306" s="446"/>
      <c r="C306" s="418" t="s">
        <v>70</v>
      </c>
      <c r="D306" s="419" t="s">
        <v>67</v>
      </c>
      <c r="E306" s="419">
        <v>1</v>
      </c>
      <c r="F306" s="667">
        <f>E306*F303</f>
        <v>1</v>
      </c>
      <c r="G306" s="419"/>
      <c r="H306" s="414"/>
      <c r="I306" s="674"/>
      <c r="J306" s="414"/>
      <c r="K306" s="420"/>
      <c r="L306" s="414"/>
      <c r="M306" s="438"/>
    </row>
    <row r="307" spans="1:13" ht="18" customHeight="1" x14ac:dyDescent="0.25">
      <c r="A307" s="421"/>
      <c r="B307" s="427"/>
      <c r="C307" s="428" t="s">
        <v>71</v>
      </c>
      <c r="D307" s="429" t="s">
        <v>67</v>
      </c>
      <c r="E307" s="429">
        <v>2</v>
      </c>
      <c r="F307" s="431">
        <f>E307*F303</f>
        <v>2</v>
      </c>
      <c r="G307" s="429"/>
      <c r="H307" s="430"/>
      <c r="I307" s="432"/>
      <c r="J307" s="430"/>
      <c r="K307" s="432"/>
      <c r="L307" s="430"/>
      <c r="M307" s="430"/>
    </row>
    <row r="308" spans="1:13" ht="18" customHeight="1" x14ac:dyDescent="0.25">
      <c r="A308" s="445"/>
      <c r="B308" s="450"/>
      <c r="C308" s="447" t="s">
        <v>72</v>
      </c>
      <c r="D308" s="451" t="s">
        <v>50</v>
      </c>
      <c r="E308" s="440">
        <v>0.28000000000000003</v>
      </c>
      <c r="F308" s="638">
        <f>E308*F303</f>
        <v>0.28000000000000003</v>
      </c>
      <c r="G308" s="420"/>
      <c r="H308" s="414"/>
      <c r="I308" s="675"/>
      <c r="J308" s="414"/>
      <c r="K308" s="420"/>
      <c r="L308" s="414"/>
      <c r="M308" s="414"/>
    </row>
    <row r="309" spans="1:13" ht="31.5" customHeight="1" x14ac:dyDescent="0.25">
      <c r="A309" s="469">
        <v>6</v>
      </c>
      <c r="B309" s="470" t="s">
        <v>81</v>
      </c>
      <c r="C309" s="471" t="s">
        <v>82</v>
      </c>
      <c r="D309" s="472" t="s">
        <v>46</v>
      </c>
      <c r="E309" s="473"/>
      <c r="F309" s="474">
        <v>10</v>
      </c>
      <c r="G309" s="475"/>
      <c r="H309" s="476"/>
      <c r="I309" s="477"/>
      <c r="J309" s="478"/>
      <c r="K309" s="479"/>
      <c r="L309" s="479"/>
      <c r="M309" s="480"/>
    </row>
    <row r="310" spans="1:13" x14ac:dyDescent="0.25">
      <c r="A310" s="469"/>
      <c r="B310" s="477"/>
      <c r="C310" s="481" t="s">
        <v>61</v>
      </c>
      <c r="D310" s="475" t="s">
        <v>48</v>
      </c>
      <c r="E310" s="482">
        <f>0.243</f>
        <v>0.24299999999999999</v>
      </c>
      <c r="F310" s="483">
        <f>E310*F309</f>
        <v>2.4299999999999997</v>
      </c>
      <c r="G310" s="484"/>
      <c r="H310" s="485"/>
      <c r="I310" s="486"/>
      <c r="J310" s="485"/>
      <c r="K310" s="486"/>
      <c r="L310" s="485"/>
      <c r="M310" s="485"/>
    </row>
    <row r="311" spans="1:13" x14ac:dyDescent="0.25">
      <c r="A311" s="469"/>
      <c r="B311" s="477"/>
      <c r="C311" s="481" t="s">
        <v>83</v>
      </c>
      <c r="D311" s="475" t="s">
        <v>50</v>
      </c>
      <c r="E311" s="487">
        <f>0.0016</f>
        <v>1.6000000000000001E-3</v>
      </c>
      <c r="F311" s="488">
        <f>E311*F309</f>
        <v>1.6E-2</v>
      </c>
      <c r="G311" s="488"/>
      <c r="H311" s="485"/>
      <c r="I311" s="486"/>
      <c r="J311" s="485"/>
      <c r="K311" s="486"/>
      <c r="L311" s="485"/>
      <c r="M311" s="485"/>
    </row>
    <row r="312" spans="1:13" ht="29.25" customHeight="1" x14ac:dyDescent="0.25">
      <c r="A312" s="489">
        <v>7</v>
      </c>
      <c r="B312" s="490" t="s">
        <v>84</v>
      </c>
      <c r="C312" s="423" t="s">
        <v>85</v>
      </c>
      <c r="D312" s="424" t="s">
        <v>39</v>
      </c>
      <c r="E312" s="424"/>
      <c r="F312" s="425">
        <v>10</v>
      </c>
      <c r="G312" s="429"/>
      <c r="H312" s="430"/>
      <c r="I312" s="432"/>
      <c r="J312" s="430"/>
      <c r="K312" s="432"/>
      <c r="L312" s="430"/>
      <c r="M312" s="491"/>
    </row>
    <row r="313" spans="1:13" ht="18" customHeight="1" x14ac:dyDescent="0.25">
      <c r="A313" s="489"/>
      <c r="B313" s="492"/>
      <c r="C313" s="428" t="s">
        <v>40</v>
      </c>
      <c r="D313" s="429" t="s">
        <v>41</v>
      </c>
      <c r="E313" s="430">
        <f>1.01*1.2</f>
        <v>1.212</v>
      </c>
      <c r="F313" s="430">
        <f>E313*F312</f>
        <v>12.12</v>
      </c>
      <c r="G313" s="429"/>
      <c r="H313" s="430"/>
      <c r="I313" s="432"/>
      <c r="J313" s="430"/>
      <c r="K313" s="432"/>
      <c r="L313" s="430"/>
      <c r="M313" s="430"/>
    </row>
    <row r="314" spans="1:13" ht="18" customHeight="1" x14ac:dyDescent="0.25">
      <c r="A314" s="489"/>
      <c r="B314" s="492"/>
      <c r="C314" s="428" t="s">
        <v>86</v>
      </c>
      <c r="D314" s="429" t="s">
        <v>43</v>
      </c>
      <c r="E314" s="433">
        <f>0.041*1.2</f>
        <v>4.9200000000000001E-2</v>
      </c>
      <c r="F314" s="430">
        <f>E314*F312</f>
        <v>0.49199999999999999</v>
      </c>
      <c r="G314" s="429"/>
      <c r="H314" s="431"/>
      <c r="I314" s="432"/>
      <c r="J314" s="430"/>
      <c r="K314" s="432"/>
      <c r="L314" s="431"/>
      <c r="M314" s="430"/>
    </row>
    <row r="315" spans="1:13" ht="18" customHeight="1" x14ac:dyDescent="0.25">
      <c r="A315" s="489"/>
      <c r="B315" s="492"/>
      <c r="C315" s="428" t="s">
        <v>87</v>
      </c>
      <c r="D315" s="429" t="s">
        <v>43</v>
      </c>
      <c r="E315" s="433">
        <f>0.027*1.2</f>
        <v>3.2399999999999998E-2</v>
      </c>
      <c r="F315" s="430">
        <f>E315*F312</f>
        <v>0.32399999999999995</v>
      </c>
      <c r="G315" s="429"/>
      <c r="H315" s="430"/>
      <c r="I315" s="432"/>
      <c r="J315" s="430"/>
      <c r="K315" s="432"/>
      <c r="L315" s="430"/>
      <c r="M315" s="430"/>
    </row>
    <row r="316" spans="1:13" x14ac:dyDescent="0.25">
      <c r="A316" s="489"/>
      <c r="B316" s="492"/>
      <c r="C316" s="428" t="s">
        <v>88</v>
      </c>
      <c r="D316" s="429" t="s">
        <v>56</v>
      </c>
      <c r="E316" s="433">
        <v>2.3800000000000002E-2</v>
      </c>
      <c r="F316" s="430">
        <f>E316*F312</f>
        <v>0.23800000000000002</v>
      </c>
      <c r="G316" s="429"/>
      <c r="H316" s="430"/>
      <c r="I316" s="432"/>
      <c r="J316" s="431"/>
      <c r="K316" s="431"/>
      <c r="L316" s="431"/>
      <c r="M316" s="430"/>
    </row>
    <row r="317" spans="1:13" x14ac:dyDescent="0.25">
      <c r="A317" s="489"/>
      <c r="B317" s="492"/>
      <c r="C317" s="428" t="s">
        <v>89</v>
      </c>
      <c r="D317" s="429" t="s">
        <v>46</v>
      </c>
      <c r="E317" s="433">
        <v>5.28E-2</v>
      </c>
      <c r="F317" s="430">
        <f>E317*F312</f>
        <v>0.52800000000000002</v>
      </c>
      <c r="G317" s="429"/>
      <c r="H317" s="430"/>
      <c r="I317" s="432"/>
      <c r="J317" s="431"/>
      <c r="K317" s="431"/>
      <c r="L317" s="431"/>
      <c r="M317" s="430"/>
    </row>
    <row r="318" spans="1:13" ht="21.75" customHeight="1" x14ac:dyDescent="0.25">
      <c r="A318" s="489"/>
      <c r="B318" s="492"/>
      <c r="C318" s="428" t="s">
        <v>83</v>
      </c>
      <c r="D318" s="429" t="s">
        <v>50</v>
      </c>
      <c r="E318" s="433">
        <v>3.0000000000000001E-3</v>
      </c>
      <c r="F318" s="430">
        <f>E318*F312</f>
        <v>0.03</v>
      </c>
      <c r="G318" s="429"/>
      <c r="H318" s="430"/>
      <c r="I318" s="432"/>
      <c r="J318" s="431"/>
      <c r="K318" s="431"/>
      <c r="L318" s="431"/>
      <c r="M318" s="430"/>
    </row>
    <row r="319" spans="1:13" ht="42" customHeight="1" x14ac:dyDescent="0.25">
      <c r="A319" s="489">
        <v>8</v>
      </c>
      <c r="B319" s="735" t="s">
        <v>90</v>
      </c>
      <c r="C319" s="423" t="s">
        <v>91</v>
      </c>
      <c r="D319" s="462" t="s">
        <v>39</v>
      </c>
      <c r="E319" s="462"/>
      <c r="F319" s="494">
        <v>98</v>
      </c>
      <c r="G319" s="429"/>
      <c r="H319" s="430"/>
      <c r="I319" s="432"/>
      <c r="J319" s="430"/>
      <c r="K319" s="432"/>
      <c r="L319" s="430"/>
      <c r="M319" s="491"/>
    </row>
    <row r="320" spans="1:13" ht="15.75" customHeight="1" x14ac:dyDescent="0.25">
      <c r="A320" s="489"/>
      <c r="B320" s="735"/>
      <c r="C320" s="428" t="s">
        <v>40</v>
      </c>
      <c r="D320" s="429" t="s">
        <v>41</v>
      </c>
      <c r="E320" s="430">
        <f>0.77*1.2</f>
        <v>0.92399999999999993</v>
      </c>
      <c r="F320" s="430">
        <f>E320*F319</f>
        <v>90.551999999999992</v>
      </c>
      <c r="G320" s="429"/>
      <c r="H320" s="430"/>
      <c r="I320" s="432"/>
      <c r="J320" s="430"/>
      <c r="K320" s="432"/>
      <c r="L320" s="430"/>
      <c r="M320" s="431"/>
    </row>
    <row r="321" spans="1:13" ht="17.25" customHeight="1" x14ac:dyDescent="0.25">
      <c r="A321" s="489"/>
      <c r="B321" s="735"/>
      <c r="C321" s="428" t="s">
        <v>75</v>
      </c>
      <c r="D321" s="429" t="s">
        <v>43</v>
      </c>
      <c r="E321" s="429">
        <f>0.0095*1.2</f>
        <v>1.1399999999999999E-2</v>
      </c>
      <c r="F321" s="430">
        <f>E321*F319</f>
        <v>1.1172</v>
      </c>
      <c r="G321" s="429"/>
      <c r="H321" s="430"/>
      <c r="I321" s="432"/>
      <c r="J321" s="430"/>
      <c r="K321" s="432"/>
      <c r="L321" s="430"/>
      <c r="M321" s="431"/>
    </row>
    <row r="322" spans="1:13" ht="13.5" customHeight="1" x14ac:dyDescent="0.25">
      <c r="A322" s="489"/>
      <c r="B322" s="429"/>
      <c r="C322" s="495" t="s">
        <v>92</v>
      </c>
      <c r="D322" s="429" t="s">
        <v>93</v>
      </c>
      <c r="E322" s="429">
        <v>0.24</v>
      </c>
      <c r="F322" s="430">
        <f>E322*F319</f>
        <v>23.52</v>
      </c>
      <c r="G322" s="429"/>
      <c r="H322" s="430"/>
      <c r="I322" s="496"/>
      <c r="J322" s="431"/>
      <c r="K322" s="432"/>
      <c r="L322" s="430"/>
      <c r="M322" s="431"/>
    </row>
    <row r="323" spans="1:13" x14ac:dyDescent="0.25">
      <c r="A323" s="489"/>
      <c r="B323" s="429"/>
      <c r="C323" s="495" t="s">
        <v>94</v>
      </c>
      <c r="D323" s="490" t="s">
        <v>93</v>
      </c>
      <c r="E323" s="490">
        <f>0.183+0.12+0.001</f>
        <v>0.30399999999999999</v>
      </c>
      <c r="F323" s="430">
        <f>E323*F319</f>
        <v>29.791999999999998</v>
      </c>
      <c r="G323" s="429"/>
      <c r="H323" s="430"/>
      <c r="I323" s="432"/>
      <c r="J323" s="431"/>
      <c r="K323" s="432"/>
      <c r="L323" s="430"/>
      <c r="M323" s="431"/>
    </row>
    <row r="324" spans="1:13" ht="18" customHeight="1" x14ac:dyDescent="0.25">
      <c r="A324" s="489"/>
      <c r="B324" s="429"/>
      <c r="C324" s="428" t="s">
        <v>58</v>
      </c>
      <c r="D324" s="429" t="s">
        <v>43</v>
      </c>
      <c r="E324" s="429">
        <v>1.6E-2</v>
      </c>
      <c r="F324" s="433">
        <f>E324*F319</f>
        <v>1.5680000000000001</v>
      </c>
      <c r="G324" s="429"/>
      <c r="H324" s="430"/>
      <c r="I324" s="432"/>
      <c r="J324" s="430"/>
      <c r="K324" s="432"/>
      <c r="L324" s="430"/>
      <c r="M324" s="431"/>
    </row>
    <row r="325" spans="1:13" ht="29.25" customHeight="1" x14ac:dyDescent="0.25">
      <c r="A325" s="28"/>
      <c r="B325" s="32"/>
      <c r="C325" s="120" t="s">
        <v>150</v>
      </c>
      <c r="D325" s="31"/>
      <c r="E325" s="32"/>
      <c r="F325" s="669"/>
      <c r="G325" s="36"/>
      <c r="H325" s="36"/>
      <c r="I325" s="670"/>
      <c r="J325" s="36"/>
      <c r="K325" s="36"/>
      <c r="L325" s="36"/>
      <c r="M325" s="36"/>
    </row>
    <row r="326" spans="1:13" ht="28.5" customHeight="1" x14ac:dyDescent="0.25">
      <c r="A326" s="518">
        <v>1</v>
      </c>
      <c r="B326" s="470" t="s">
        <v>81</v>
      </c>
      <c r="C326" s="471" t="s">
        <v>82</v>
      </c>
      <c r="D326" s="472" t="s">
        <v>46</v>
      </c>
      <c r="E326" s="473"/>
      <c r="F326" s="474">
        <v>10</v>
      </c>
      <c r="G326" s="475"/>
      <c r="H326" s="476"/>
      <c r="I326" s="477"/>
      <c r="J326" s="478"/>
      <c r="K326" s="479"/>
      <c r="L326" s="479"/>
      <c r="M326" s="480"/>
    </row>
    <row r="327" spans="1:13" x14ac:dyDescent="0.25">
      <c r="A327" s="469"/>
      <c r="B327" s="477"/>
      <c r="C327" s="481" t="s">
        <v>61</v>
      </c>
      <c r="D327" s="475" t="s">
        <v>48</v>
      </c>
      <c r="E327" s="482">
        <f>0.243</f>
        <v>0.24299999999999999</v>
      </c>
      <c r="F327" s="483">
        <f>E327*F326</f>
        <v>2.4299999999999997</v>
      </c>
      <c r="G327" s="484"/>
      <c r="H327" s="485"/>
      <c r="I327" s="486"/>
      <c r="J327" s="485"/>
      <c r="K327" s="486"/>
      <c r="L327" s="485"/>
      <c r="M327" s="485"/>
    </row>
    <row r="328" spans="1:13" x14ac:dyDescent="0.25">
      <c r="A328" s="469"/>
      <c r="B328" s="477"/>
      <c r="C328" s="481" t="s">
        <v>83</v>
      </c>
      <c r="D328" s="475" t="s">
        <v>50</v>
      </c>
      <c r="E328" s="487">
        <f>0.0016</f>
        <v>1.6000000000000001E-3</v>
      </c>
      <c r="F328" s="488">
        <f>E328*F326</f>
        <v>1.6E-2</v>
      </c>
      <c r="G328" s="488"/>
      <c r="H328" s="485"/>
      <c r="I328" s="486"/>
      <c r="J328" s="485"/>
      <c r="K328" s="486"/>
      <c r="L328" s="485"/>
      <c r="M328" s="485"/>
    </row>
    <row r="329" spans="1:13" ht="43.5" customHeight="1" x14ac:dyDescent="0.25">
      <c r="A329" s="396">
        <v>2</v>
      </c>
      <c r="B329" s="737" t="s">
        <v>151</v>
      </c>
      <c r="C329" s="579" t="s">
        <v>152</v>
      </c>
      <c r="D329" s="398" t="s">
        <v>56</v>
      </c>
      <c r="E329" s="543"/>
      <c r="F329" s="425">
        <v>2.4</v>
      </c>
      <c r="G329" s="398"/>
      <c r="H329" s="544"/>
      <c r="I329" s="679"/>
      <c r="J329" s="544"/>
      <c r="K329" s="580"/>
      <c r="L329" s="544"/>
      <c r="M329" s="544"/>
    </row>
    <row r="330" spans="1:13" ht="18.75" customHeight="1" x14ac:dyDescent="0.25">
      <c r="A330" s="396"/>
      <c r="B330" s="737"/>
      <c r="C330" s="457" t="s">
        <v>54</v>
      </c>
      <c r="D330" s="407" t="s">
        <v>101</v>
      </c>
      <c r="E330" s="401">
        <f>E333</f>
        <v>62</v>
      </c>
      <c r="F330" s="430">
        <f>E330*F329</f>
        <v>148.79999999999998</v>
      </c>
      <c r="G330" s="407"/>
      <c r="H330" s="401"/>
      <c r="I330" s="432"/>
      <c r="J330" s="401"/>
      <c r="K330" s="408"/>
      <c r="L330" s="401"/>
      <c r="M330" s="401"/>
    </row>
    <row r="331" spans="1:13" ht="19.5" customHeight="1" x14ac:dyDescent="0.25">
      <c r="A331" s="396"/>
      <c r="B331" s="737"/>
      <c r="C331" s="457" t="s">
        <v>75</v>
      </c>
      <c r="D331" s="407" t="s">
        <v>43</v>
      </c>
      <c r="E331" s="407">
        <f>0.92*1.2</f>
        <v>1.1040000000000001</v>
      </c>
      <c r="F331" s="430">
        <f>E331*F329</f>
        <v>2.6496</v>
      </c>
      <c r="G331" s="407"/>
      <c r="H331" s="401"/>
      <c r="I331" s="432"/>
      <c r="J331" s="401"/>
      <c r="K331" s="408"/>
      <c r="L331" s="401"/>
      <c r="M331" s="401"/>
    </row>
    <row r="332" spans="1:13" ht="19.5" customHeight="1" x14ac:dyDescent="0.25">
      <c r="A332" s="396"/>
      <c r="B332" s="737"/>
      <c r="C332" s="457" t="s">
        <v>88</v>
      </c>
      <c r="D332" s="407" t="s">
        <v>56</v>
      </c>
      <c r="E332" s="407">
        <v>0.11</v>
      </c>
      <c r="F332" s="430">
        <f>E332*F329</f>
        <v>0.26400000000000001</v>
      </c>
      <c r="G332" s="581"/>
      <c r="H332" s="582"/>
      <c r="I332" s="532"/>
      <c r="J332" s="403"/>
      <c r="K332" s="404"/>
      <c r="L332" s="404"/>
      <c r="M332" s="405"/>
    </row>
    <row r="333" spans="1:13" ht="21" customHeight="1" x14ac:dyDescent="0.25">
      <c r="A333" s="396"/>
      <c r="B333" s="505"/>
      <c r="C333" s="457" t="s">
        <v>153</v>
      </c>
      <c r="D333" s="407" t="s">
        <v>101</v>
      </c>
      <c r="E333" s="407">
        <v>62</v>
      </c>
      <c r="F333" s="430">
        <f>E333*F329</f>
        <v>148.79999999999998</v>
      </c>
      <c r="G333" s="581"/>
      <c r="H333" s="582"/>
      <c r="I333" s="524"/>
      <c r="J333" s="403"/>
      <c r="K333" s="404"/>
      <c r="L333" s="404"/>
      <c r="M333" s="405"/>
    </row>
    <row r="334" spans="1:13" ht="15" customHeight="1" x14ac:dyDescent="0.25">
      <c r="A334" s="396"/>
      <c r="B334" s="396"/>
      <c r="C334" s="457" t="s">
        <v>58</v>
      </c>
      <c r="D334" s="407" t="s">
        <v>43</v>
      </c>
      <c r="E334" s="407">
        <v>0.16</v>
      </c>
      <c r="F334" s="433">
        <f>E334*F329</f>
        <v>0.38400000000000001</v>
      </c>
      <c r="G334" s="581"/>
      <c r="H334" s="582"/>
      <c r="I334" s="524"/>
      <c r="J334" s="403"/>
      <c r="K334" s="404"/>
      <c r="L334" s="404"/>
      <c r="M334" s="405"/>
    </row>
    <row r="335" spans="1:13" ht="42.75" customHeight="1" x14ac:dyDescent="0.25">
      <c r="A335" s="395">
        <v>3</v>
      </c>
      <c r="B335" s="505" t="s">
        <v>154</v>
      </c>
      <c r="C335" s="454" t="s">
        <v>155</v>
      </c>
      <c r="D335" s="398" t="s">
        <v>39</v>
      </c>
      <c r="E335" s="407"/>
      <c r="F335" s="426">
        <v>1.68</v>
      </c>
      <c r="G335" s="455"/>
      <c r="H335" s="399"/>
      <c r="I335" s="426"/>
      <c r="J335" s="399"/>
      <c r="K335" s="455"/>
      <c r="L335" s="399"/>
      <c r="M335" s="399"/>
    </row>
    <row r="336" spans="1:13" ht="17.25" customHeight="1" x14ac:dyDescent="0.25">
      <c r="A336" s="395"/>
      <c r="B336" s="505"/>
      <c r="C336" s="457" t="s">
        <v>40</v>
      </c>
      <c r="D336" s="407" t="s">
        <v>103</v>
      </c>
      <c r="E336" s="401">
        <f>1.11*1.2</f>
        <v>1.3320000000000001</v>
      </c>
      <c r="F336" s="430">
        <f>F335*E336</f>
        <v>2.2377600000000002</v>
      </c>
      <c r="G336" s="400"/>
      <c r="H336" s="401"/>
      <c r="I336" s="432"/>
      <c r="J336" s="401"/>
      <c r="K336" s="408"/>
      <c r="L336" s="401"/>
      <c r="M336" s="545"/>
    </row>
    <row r="337" spans="1:13" ht="17.25" customHeight="1" x14ac:dyDescent="0.25">
      <c r="A337" s="395"/>
      <c r="B337" s="505"/>
      <c r="C337" s="457" t="s">
        <v>78</v>
      </c>
      <c r="D337" s="407" t="s">
        <v>43</v>
      </c>
      <c r="E337" s="458">
        <f>0.516*1.2</f>
        <v>0.61919999999999997</v>
      </c>
      <c r="F337" s="433">
        <f>F335*E337</f>
        <v>1.0402559999999998</v>
      </c>
      <c r="G337" s="407"/>
      <c r="H337" s="401"/>
      <c r="I337" s="432"/>
      <c r="J337" s="401"/>
      <c r="K337" s="408"/>
      <c r="L337" s="458"/>
      <c r="M337" s="545"/>
    </row>
    <row r="338" spans="1:13" ht="30" customHeight="1" x14ac:dyDescent="0.25">
      <c r="A338" s="395"/>
      <c r="B338" s="505"/>
      <c r="C338" s="457" t="s">
        <v>156</v>
      </c>
      <c r="D338" s="407" t="s">
        <v>157</v>
      </c>
      <c r="E338" s="407">
        <v>1</v>
      </c>
      <c r="F338" s="430">
        <f>E338*F335</f>
        <v>1.68</v>
      </c>
      <c r="G338" s="407"/>
      <c r="H338" s="401"/>
      <c r="I338" s="432"/>
      <c r="J338" s="401"/>
      <c r="K338" s="408"/>
      <c r="L338" s="401"/>
      <c r="M338" s="545"/>
    </row>
    <row r="339" spans="1:13" ht="20.25" customHeight="1" x14ac:dyDescent="0.25">
      <c r="A339" s="395"/>
      <c r="B339" s="505"/>
      <c r="C339" s="457" t="s">
        <v>158</v>
      </c>
      <c r="D339" s="407" t="s">
        <v>93</v>
      </c>
      <c r="E339" s="407">
        <v>4.8000000000000001E-2</v>
      </c>
      <c r="F339" s="430">
        <f>F335*E339</f>
        <v>8.0640000000000003E-2</v>
      </c>
      <c r="G339" s="407"/>
      <c r="H339" s="401"/>
      <c r="I339" s="432"/>
      <c r="J339" s="401"/>
      <c r="K339" s="408"/>
      <c r="L339" s="401"/>
      <c r="M339" s="545"/>
    </row>
    <row r="340" spans="1:13" ht="19.5" customHeight="1" x14ac:dyDescent="0.25">
      <c r="A340" s="395"/>
      <c r="B340" s="505"/>
      <c r="C340" s="457" t="s">
        <v>80</v>
      </c>
      <c r="D340" s="407" t="s">
        <v>43</v>
      </c>
      <c r="E340" s="407">
        <v>5.3999999999999999E-2</v>
      </c>
      <c r="F340" s="430">
        <f>F335*E340</f>
        <v>9.0719999999999995E-2</v>
      </c>
      <c r="G340" s="407"/>
      <c r="H340" s="401"/>
      <c r="I340" s="432"/>
      <c r="J340" s="401"/>
      <c r="K340" s="408"/>
      <c r="L340" s="401"/>
      <c r="M340" s="545"/>
    </row>
    <row r="341" spans="1:13" ht="30.75" customHeight="1" x14ac:dyDescent="0.25">
      <c r="A341" s="489">
        <v>4</v>
      </c>
      <c r="B341" s="490" t="s">
        <v>84</v>
      </c>
      <c r="C341" s="423" t="s">
        <v>85</v>
      </c>
      <c r="D341" s="424" t="s">
        <v>39</v>
      </c>
      <c r="E341" s="424"/>
      <c r="F341" s="425">
        <v>25</v>
      </c>
      <c r="G341" s="429"/>
      <c r="H341" s="430"/>
      <c r="I341" s="432"/>
      <c r="J341" s="430"/>
      <c r="K341" s="432"/>
      <c r="L341" s="430"/>
      <c r="M341" s="491"/>
    </row>
    <row r="342" spans="1:13" ht="21.75" customHeight="1" x14ac:dyDescent="0.25">
      <c r="A342" s="489"/>
      <c r="B342" s="492"/>
      <c r="C342" s="428" t="s">
        <v>40</v>
      </c>
      <c r="D342" s="429" t="s">
        <v>41</v>
      </c>
      <c r="E342" s="430">
        <f>1.01*1.2</f>
        <v>1.212</v>
      </c>
      <c r="F342" s="430">
        <f>E342*F341</f>
        <v>30.3</v>
      </c>
      <c r="G342" s="429"/>
      <c r="H342" s="430"/>
      <c r="I342" s="432"/>
      <c r="J342" s="430"/>
      <c r="K342" s="432"/>
      <c r="L342" s="430"/>
      <c r="M342" s="430"/>
    </row>
    <row r="343" spans="1:13" ht="22.5" customHeight="1" x14ac:dyDescent="0.25">
      <c r="A343" s="489"/>
      <c r="B343" s="492"/>
      <c r="C343" s="428" t="s">
        <v>86</v>
      </c>
      <c r="D343" s="429" t="s">
        <v>43</v>
      </c>
      <c r="E343" s="433">
        <f>0.041*1.2</f>
        <v>4.9200000000000001E-2</v>
      </c>
      <c r="F343" s="430">
        <f>E343*F341</f>
        <v>1.23</v>
      </c>
      <c r="G343" s="429"/>
      <c r="H343" s="431"/>
      <c r="I343" s="432"/>
      <c r="J343" s="430"/>
      <c r="K343" s="432"/>
      <c r="L343" s="431"/>
      <c r="M343" s="430"/>
    </row>
    <row r="344" spans="1:13" x14ac:dyDescent="0.25">
      <c r="A344" s="489"/>
      <c r="B344" s="492"/>
      <c r="C344" s="428" t="s">
        <v>87</v>
      </c>
      <c r="D344" s="429" t="s">
        <v>43</v>
      </c>
      <c r="E344" s="433">
        <f>0.027*1.2</f>
        <v>3.2399999999999998E-2</v>
      </c>
      <c r="F344" s="430">
        <f>E344*F341</f>
        <v>0.80999999999999994</v>
      </c>
      <c r="G344" s="429"/>
      <c r="H344" s="430"/>
      <c r="I344" s="432"/>
      <c r="J344" s="430"/>
      <c r="K344" s="432"/>
      <c r="L344" s="430"/>
      <c r="M344" s="430"/>
    </row>
    <row r="345" spans="1:13" x14ac:dyDescent="0.25">
      <c r="A345" s="489"/>
      <c r="B345" s="492"/>
      <c r="C345" s="428" t="s">
        <v>88</v>
      </c>
      <c r="D345" s="429" t="s">
        <v>56</v>
      </c>
      <c r="E345" s="433">
        <v>2.3800000000000002E-2</v>
      </c>
      <c r="F345" s="430">
        <f>E345*F341</f>
        <v>0.59500000000000008</v>
      </c>
      <c r="G345" s="429"/>
      <c r="H345" s="430"/>
      <c r="I345" s="432"/>
      <c r="J345" s="431"/>
      <c r="K345" s="431"/>
      <c r="L345" s="431"/>
      <c r="M345" s="430"/>
    </row>
    <row r="346" spans="1:13" x14ac:dyDescent="0.25">
      <c r="A346" s="489"/>
      <c r="B346" s="492"/>
      <c r="C346" s="428" t="s">
        <v>89</v>
      </c>
      <c r="D346" s="429" t="s">
        <v>46</v>
      </c>
      <c r="E346" s="433">
        <v>5.28E-2</v>
      </c>
      <c r="F346" s="430">
        <f>E346*F341</f>
        <v>1.32</v>
      </c>
      <c r="G346" s="429"/>
      <c r="H346" s="430"/>
      <c r="I346" s="432"/>
      <c r="J346" s="431"/>
      <c r="K346" s="431"/>
      <c r="L346" s="431"/>
      <c r="M346" s="430"/>
    </row>
    <row r="347" spans="1:13" ht="16.5" customHeight="1" x14ac:dyDescent="0.25">
      <c r="A347" s="489"/>
      <c r="B347" s="492"/>
      <c r="C347" s="428" t="s">
        <v>83</v>
      </c>
      <c r="D347" s="429" t="s">
        <v>50</v>
      </c>
      <c r="E347" s="433">
        <v>3.0000000000000001E-3</v>
      </c>
      <c r="F347" s="430">
        <f>E347*F341</f>
        <v>7.4999999999999997E-2</v>
      </c>
      <c r="G347" s="429"/>
      <c r="H347" s="430"/>
      <c r="I347" s="432"/>
      <c r="J347" s="431"/>
      <c r="K347" s="431"/>
      <c r="L347" s="431"/>
      <c r="M347" s="430"/>
    </row>
    <row r="348" spans="1:13" ht="45" customHeight="1" x14ac:dyDescent="0.25">
      <c r="A348" s="489">
        <v>5</v>
      </c>
      <c r="B348" s="735" t="s">
        <v>90</v>
      </c>
      <c r="C348" s="423" t="s">
        <v>91</v>
      </c>
      <c r="D348" s="462" t="s">
        <v>39</v>
      </c>
      <c r="E348" s="462"/>
      <c r="F348" s="494">
        <v>95</v>
      </c>
      <c r="G348" s="429"/>
      <c r="H348" s="430"/>
      <c r="I348" s="432"/>
      <c r="J348" s="430"/>
      <c r="K348" s="432"/>
      <c r="L348" s="430"/>
      <c r="M348" s="491"/>
    </row>
    <row r="349" spans="1:13" ht="17.25" customHeight="1" x14ac:dyDescent="0.25">
      <c r="A349" s="489"/>
      <c r="B349" s="735"/>
      <c r="C349" s="428" t="s">
        <v>40</v>
      </c>
      <c r="D349" s="429" t="s">
        <v>41</v>
      </c>
      <c r="E349" s="430">
        <f>0.77*1.2</f>
        <v>0.92399999999999993</v>
      </c>
      <c r="F349" s="430">
        <f>E349*F348</f>
        <v>87.779999999999987</v>
      </c>
      <c r="G349" s="429"/>
      <c r="H349" s="430"/>
      <c r="I349" s="432"/>
      <c r="J349" s="430"/>
      <c r="K349" s="432"/>
      <c r="L349" s="430"/>
      <c r="M349" s="431"/>
    </row>
    <row r="350" spans="1:13" x14ac:dyDescent="0.25">
      <c r="A350" s="489"/>
      <c r="B350" s="735"/>
      <c r="C350" s="428" t="s">
        <v>75</v>
      </c>
      <c r="D350" s="429" t="s">
        <v>43</v>
      </c>
      <c r="E350" s="429">
        <f>0.0095*1.2</f>
        <v>1.1399999999999999E-2</v>
      </c>
      <c r="F350" s="430">
        <f>E350*F348</f>
        <v>1.083</v>
      </c>
      <c r="G350" s="429"/>
      <c r="H350" s="430"/>
      <c r="I350" s="432"/>
      <c r="J350" s="430"/>
      <c r="K350" s="432"/>
      <c r="L350" s="430"/>
      <c r="M350" s="431"/>
    </row>
    <row r="351" spans="1:13" ht="21" customHeight="1" x14ac:dyDescent="0.25">
      <c r="A351" s="489"/>
      <c r="B351" s="429"/>
      <c r="C351" s="495" t="s">
        <v>92</v>
      </c>
      <c r="D351" s="429" t="s">
        <v>93</v>
      </c>
      <c r="E351" s="429">
        <v>0.24</v>
      </c>
      <c r="F351" s="430">
        <f>E351*F348</f>
        <v>22.8</v>
      </c>
      <c r="G351" s="429"/>
      <c r="H351" s="430"/>
      <c r="I351" s="496"/>
      <c r="J351" s="431"/>
      <c r="K351" s="432"/>
      <c r="L351" s="430"/>
      <c r="M351" s="431"/>
    </row>
    <row r="352" spans="1:13" x14ac:dyDescent="0.25">
      <c r="A352" s="489"/>
      <c r="B352" s="429"/>
      <c r="C352" s="495" t="s">
        <v>94</v>
      </c>
      <c r="D352" s="490" t="s">
        <v>93</v>
      </c>
      <c r="E352" s="490">
        <f>0.183+0.12+0.001</f>
        <v>0.30399999999999999</v>
      </c>
      <c r="F352" s="430">
        <f>E352*F348</f>
        <v>28.88</v>
      </c>
      <c r="G352" s="429"/>
      <c r="H352" s="430"/>
      <c r="I352" s="432"/>
      <c r="J352" s="431"/>
      <c r="K352" s="432"/>
      <c r="L352" s="430"/>
      <c r="M352" s="431"/>
    </row>
    <row r="353" spans="1:13" ht="21" customHeight="1" x14ac:dyDescent="0.25">
      <c r="A353" s="489"/>
      <c r="B353" s="429"/>
      <c r="C353" s="428" t="s">
        <v>58</v>
      </c>
      <c r="D353" s="429" t="s">
        <v>43</v>
      </c>
      <c r="E353" s="429">
        <v>1.6E-2</v>
      </c>
      <c r="F353" s="433">
        <f>E353*F348</f>
        <v>1.52</v>
      </c>
      <c r="G353" s="429"/>
      <c r="H353" s="430"/>
      <c r="I353" s="432"/>
      <c r="J353" s="430"/>
      <c r="K353" s="432"/>
      <c r="L353" s="430"/>
      <c r="M353" s="431"/>
    </row>
    <row r="354" spans="1:13" ht="27.75" customHeight="1" x14ac:dyDescent="0.25">
      <c r="A354" s="395">
        <v>6</v>
      </c>
      <c r="B354" s="735" t="s">
        <v>159</v>
      </c>
      <c r="C354" s="423" t="s">
        <v>160</v>
      </c>
      <c r="D354" s="462" t="s">
        <v>39</v>
      </c>
      <c r="E354" s="462"/>
      <c r="F354" s="542">
        <v>3.36</v>
      </c>
      <c r="G354" s="430"/>
      <c r="H354" s="431"/>
      <c r="I354" s="430"/>
      <c r="J354" s="431"/>
      <c r="K354" s="430"/>
      <c r="L354" s="431"/>
      <c r="M354" s="431"/>
    </row>
    <row r="355" spans="1:13" ht="18" customHeight="1" x14ac:dyDescent="0.25">
      <c r="A355" s="395"/>
      <c r="B355" s="735"/>
      <c r="C355" s="428" t="s">
        <v>40</v>
      </c>
      <c r="D355" s="429" t="s">
        <v>41</v>
      </c>
      <c r="E355" s="430">
        <f>0.68*1.2</f>
        <v>0.81600000000000006</v>
      </c>
      <c r="F355" s="430">
        <f>E355*F354</f>
        <v>2.7417600000000002</v>
      </c>
      <c r="G355" s="429"/>
      <c r="H355" s="430"/>
      <c r="I355" s="432"/>
      <c r="J355" s="430"/>
      <c r="K355" s="432"/>
      <c r="L355" s="430"/>
      <c r="M355" s="430"/>
    </row>
    <row r="356" spans="1:13" ht="18" customHeight="1" x14ac:dyDescent="0.25">
      <c r="A356" s="395"/>
      <c r="B356" s="735"/>
      <c r="C356" s="428" t="s">
        <v>75</v>
      </c>
      <c r="D356" s="429" t="s">
        <v>43</v>
      </c>
      <c r="E356" s="429">
        <f>0.038*1.2</f>
        <v>4.5599999999999995E-2</v>
      </c>
      <c r="F356" s="433">
        <f>E356*F354</f>
        <v>0.15321599999999996</v>
      </c>
      <c r="G356" s="429"/>
      <c r="H356" s="430"/>
      <c r="I356" s="432"/>
      <c r="J356" s="430"/>
      <c r="K356" s="432"/>
      <c r="L356" s="433"/>
      <c r="M356" s="430"/>
    </row>
    <row r="357" spans="1:13" ht="18" customHeight="1" x14ac:dyDescent="0.25">
      <c r="A357" s="395"/>
      <c r="B357" s="429"/>
      <c r="C357" s="428" t="s">
        <v>161</v>
      </c>
      <c r="D357" s="429" t="s">
        <v>93</v>
      </c>
      <c r="E357" s="429">
        <v>0.246</v>
      </c>
      <c r="F357" s="430">
        <f>E357*F354</f>
        <v>0.82655999999999996</v>
      </c>
      <c r="G357" s="429"/>
      <c r="H357" s="430"/>
      <c r="I357" s="432"/>
      <c r="J357" s="430"/>
      <c r="K357" s="432"/>
      <c r="L357" s="430"/>
      <c r="M357" s="430"/>
    </row>
    <row r="358" spans="1:13" ht="18" customHeight="1" x14ac:dyDescent="0.25">
      <c r="A358" s="395"/>
      <c r="B358" s="429"/>
      <c r="C358" s="428" t="s">
        <v>58</v>
      </c>
      <c r="D358" s="429" t="s">
        <v>43</v>
      </c>
      <c r="E358" s="429">
        <v>1.9E-3</v>
      </c>
      <c r="F358" s="433">
        <f>E358*F354</f>
        <v>6.3839999999999999E-3</v>
      </c>
      <c r="G358" s="429"/>
      <c r="H358" s="430"/>
      <c r="I358" s="432"/>
      <c r="J358" s="430"/>
      <c r="K358" s="432"/>
      <c r="L358" s="430"/>
      <c r="M358" s="430"/>
    </row>
    <row r="359" spans="1:13" ht="24" customHeight="1" x14ac:dyDescent="0.25">
      <c r="A359" s="28"/>
      <c r="B359" s="32"/>
      <c r="C359" s="120" t="s">
        <v>162</v>
      </c>
      <c r="D359" s="31"/>
      <c r="E359" s="32"/>
      <c r="F359" s="669"/>
      <c r="G359" s="36"/>
      <c r="H359" s="36"/>
      <c r="I359" s="670"/>
      <c r="J359" s="36"/>
      <c r="K359" s="36"/>
      <c r="L359" s="36"/>
      <c r="M359" s="36"/>
    </row>
    <row r="360" spans="1:13" ht="18.75" customHeight="1" x14ac:dyDescent="0.25">
      <c r="A360" s="28"/>
      <c r="B360" s="32"/>
      <c r="C360" s="120" t="s">
        <v>163</v>
      </c>
      <c r="D360" s="31"/>
      <c r="E360" s="32"/>
      <c r="F360" s="669"/>
      <c r="G360" s="36"/>
      <c r="H360" s="36"/>
      <c r="I360" s="670"/>
      <c r="J360" s="36"/>
      <c r="K360" s="36"/>
      <c r="L360" s="36"/>
      <c r="M360" s="36"/>
    </row>
    <row r="361" spans="1:13" ht="24" customHeight="1" x14ac:dyDescent="0.25">
      <c r="A361" s="396">
        <v>1</v>
      </c>
      <c r="B361" s="441" t="s">
        <v>164</v>
      </c>
      <c r="C361" s="583" t="s">
        <v>165</v>
      </c>
      <c r="D361" s="396" t="s">
        <v>101</v>
      </c>
      <c r="E361" s="410"/>
      <c r="F361" s="425">
        <v>1</v>
      </c>
      <c r="G361" s="407"/>
      <c r="H361" s="401"/>
      <c r="I361" s="432"/>
      <c r="J361" s="401"/>
      <c r="K361" s="408"/>
      <c r="L361" s="401"/>
      <c r="M361" s="401"/>
    </row>
    <row r="362" spans="1:13" ht="22.5" customHeight="1" x14ac:dyDescent="0.25">
      <c r="A362" s="396"/>
      <c r="B362" s="446" t="s">
        <v>97</v>
      </c>
      <c r="C362" s="584" t="s">
        <v>102</v>
      </c>
      <c r="D362" s="396" t="s">
        <v>103</v>
      </c>
      <c r="E362" s="263">
        <f>2.44*0.4</f>
        <v>0.97599999999999998</v>
      </c>
      <c r="F362" s="422">
        <f>E362*F361</f>
        <v>0.97599999999999998</v>
      </c>
      <c r="G362" s="408"/>
      <c r="H362" s="401"/>
      <c r="I362" s="428"/>
      <c r="J362" s="585"/>
      <c r="K362" s="408"/>
      <c r="L362" s="401"/>
      <c r="M362" s="401"/>
    </row>
    <row r="363" spans="1:13" ht="18.75" customHeight="1" x14ac:dyDescent="0.25">
      <c r="A363" s="396"/>
      <c r="B363" s="450"/>
      <c r="C363" s="584" t="s">
        <v>166</v>
      </c>
      <c r="D363" s="396" t="s">
        <v>50</v>
      </c>
      <c r="E363" s="410">
        <f>0.13*0.4</f>
        <v>5.2000000000000005E-2</v>
      </c>
      <c r="F363" s="422">
        <f>E363*F361</f>
        <v>5.2000000000000005E-2</v>
      </c>
      <c r="G363" s="407"/>
      <c r="H363" s="401"/>
      <c r="I363" s="432"/>
      <c r="J363" s="401"/>
      <c r="K363" s="408"/>
      <c r="L363" s="401"/>
      <c r="M363" s="401"/>
    </row>
    <row r="364" spans="1:13" x14ac:dyDescent="0.25">
      <c r="A364" s="396"/>
      <c r="B364" s="450"/>
      <c r="C364" s="584" t="s">
        <v>106</v>
      </c>
      <c r="D364" s="396" t="s">
        <v>50</v>
      </c>
      <c r="E364" s="410">
        <f>0.24*0.5</f>
        <v>0.12</v>
      </c>
      <c r="F364" s="422">
        <f>E364*F361</f>
        <v>0.12</v>
      </c>
      <c r="G364" s="408"/>
      <c r="H364" s="401"/>
      <c r="I364" s="493"/>
      <c r="J364" s="401"/>
      <c r="K364" s="408"/>
      <c r="L364" s="401"/>
      <c r="M364" s="401"/>
    </row>
    <row r="365" spans="1:13" ht="33.75" customHeight="1" x14ac:dyDescent="0.25">
      <c r="A365" s="396">
        <v>2</v>
      </c>
      <c r="B365" s="441" t="s">
        <v>167</v>
      </c>
      <c r="C365" s="586" t="s">
        <v>168</v>
      </c>
      <c r="D365" s="396" t="s">
        <v>101</v>
      </c>
      <c r="E365" s="410"/>
      <c r="F365" s="425">
        <v>1</v>
      </c>
      <c r="G365" s="407"/>
      <c r="H365" s="401"/>
      <c r="I365" s="432"/>
      <c r="J365" s="401"/>
      <c r="K365" s="408"/>
      <c r="L365" s="401"/>
      <c r="M365" s="401"/>
    </row>
    <row r="366" spans="1:13" ht="24" customHeight="1" x14ac:dyDescent="0.25">
      <c r="A366" s="396"/>
      <c r="B366" s="446"/>
      <c r="C366" s="584" t="s">
        <v>102</v>
      </c>
      <c r="D366" s="396" t="s">
        <v>169</v>
      </c>
      <c r="E366" s="263">
        <v>1</v>
      </c>
      <c r="F366" s="422">
        <f>E366*F365</f>
        <v>1</v>
      </c>
      <c r="G366" s="408"/>
      <c r="H366" s="401"/>
      <c r="I366" s="428"/>
      <c r="J366" s="585"/>
      <c r="K366" s="408"/>
      <c r="L366" s="401"/>
      <c r="M366" s="401"/>
    </row>
    <row r="367" spans="1:13" ht="21" customHeight="1" x14ac:dyDescent="0.25">
      <c r="A367" s="396"/>
      <c r="B367" s="450"/>
      <c r="C367" s="584" t="s">
        <v>166</v>
      </c>
      <c r="D367" s="396" t="s">
        <v>170</v>
      </c>
      <c r="E367" s="410">
        <v>0.1</v>
      </c>
      <c r="F367" s="422">
        <f>E367*F365</f>
        <v>0.1</v>
      </c>
      <c r="G367" s="407"/>
      <c r="H367" s="401"/>
      <c r="I367" s="432"/>
      <c r="J367" s="401"/>
      <c r="K367" s="408"/>
      <c r="L367" s="401"/>
      <c r="M367" s="401"/>
    </row>
    <row r="368" spans="1:13" ht="30.75" customHeight="1" x14ac:dyDescent="0.25">
      <c r="A368" s="395"/>
      <c r="B368" s="446"/>
      <c r="C368" s="457" t="s">
        <v>171</v>
      </c>
      <c r="D368" s="407" t="s">
        <v>101</v>
      </c>
      <c r="E368" s="407">
        <v>1</v>
      </c>
      <c r="F368" s="430">
        <f>E368*F365</f>
        <v>1</v>
      </c>
      <c r="G368" s="407"/>
      <c r="H368" s="401"/>
      <c r="I368" s="432"/>
      <c r="J368" s="401"/>
      <c r="K368" s="408"/>
      <c r="L368" s="401"/>
      <c r="M368" s="401"/>
    </row>
    <row r="369" spans="1:13" x14ac:dyDescent="0.25">
      <c r="A369" s="396"/>
      <c r="B369" s="450"/>
      <c r="C369" s="584" t="s">
        <v>106</v>
      </c>
      <c r="D369" s="396" t="s">
        <v>50</v>
      </c>
      <c r="E369" s="410">
        <v>0.37</v>
      </c>
      <c r="F369" s="422">
        <f>E369*F365</f>
        <v>0.37</v>
      </c>
      <c r="G369" s="408"/>
      <c r="H369" s="401"/>
      <c r="I369" s="493"/>
      <c r="J369" s="401"/>
      <c r="K369" s="408"/>
      <c r="L369" s="401"/>
      <c r="M369" s="401"/>
    </row>
    <row r="370" spans="1:13" ht="54" x14ac:dyDescent="0.25">
      <c r="A370" s="738">
        <v>3</v>
      </c>
      <c r="B370" s="587" t="s">
        <v>172</v>
      </c>
      <c r="C370" s="508" t="s">
        <v>173</v>
      </c>
      <c r="D370" s="507" t="s">
        <v>174</v>
      </c>
      <c r="E370" s="263"/>
      <c r="F370" s="462">
        <v>10</v>
      </c>
      <c r="G370" s="263"/>
      <c r="H370" s="588"/>
      <c r="I370" s="537"/>
      <c r="J370" s="515"/>
      <c r="K370" s="516"/>
      <c r="L370" s="515"/>
      <c r="M370" s="515"/>
    </row>
    <row r="371" spans="1:13" ht="24" customHeight="1" x14ac:dyDescent="0.25">
      <c r="A371" s="738"/>
      <c r="B371" s="446"/>
      <c r="C371" s="511" t="s">
        <v>102</v>
      </c>
      <c r="D371" s="407" t="s">
        <v>103</v>
      </c>
      <c r="E371" s="408">
        <f>0.37*1.2</f>
        <v>0.44400000000000001</v>
      </c>
      <c r="F371" s="493">
        <f>F370*E371</f>
        <v>4.4400000000000004</v>
      </c>
      <c r="G371" s="408"/>
      <c r="H371" s="401"/>
      <c r="I371" s="432"/>
      <c r="J371" s="401"/>
      <c r="K371" s="408"/>
      <c r="L371" s="401"/>
      <c r="M371" s="401"/>
    </row>
    <row r="372" spans="1:13" ht="18" customHeight="1" x14ac:dyDescent="0.25">
      <c r="A372" s="738"/>
      <c r="B372" s="589"/>
      <c r="C372" s="511" t="s">
        <v>104</v>
      </c>
      <c r="D372" s="407" t="s">
        <v>43</v>
      </c>
      <c r="E372" s="458">
        <f>0.0136*1.2</f>
        <v>1.6319999999999998E-2</v>
      </c>
      <c r="F372" s="493">
        <f>F370*E372</f>
        <v>0.16319999999999998</v>
      </c>
      <c r="G372" s="407"/>
      <c r="H372" s="401"/>
      <c r="I372" s="432"/>
      <c r="J372" s="401"/>
      <c r="K372" s="408"/>
      <c r="L372" s="401"/>
      <c r="M372" s="401"/>
    </row>
    <row r="373" spans="1:13" ht="31.5" customHeight="1" x14ac:dyDescent="0.25">
      <c r="A373" s="738"/>
      <c r="B373" s="590"/>
      <c r="C373" s="591" t="s">
        <v>175</v>
      </c>
      <c r="D373" s="263" t="s">
        <v>174</v>
      </c>
      <c r="E373" s="592">
        <v>0.92900000000000005</v>
      </c>
      <c r="F373" s="422">
        <f>F370*E373</f>
        <v>9.2900000000000009</v>
      </c>
      <c r="G373" s="407"/>
      <c r="H373" s="401"/>
      <c r="I373" s="493"/>
      <c r="J373" s="401"/>
      <c r="K373" s="408"/>
      <c r="L373" s="401"/>
      <c r="M373" s="401"/>
    </row>
    <row r="374" spans="1:13" ht="21" customHeight="1" x14ac:dyDescent="0.25">
      <c r="A374" s="738"/>
      <c r="B374" s="590"/>
      <c r="C374" s="591" t="s">
        <v>176</v>
      </c>
      <c r="D374" s="263" t="s">
        <v>174</v>
      </c>
      <c r="E374" s="592">
        <v>0.92900000000000005</v>
      </c>
      <c r="F374" s="422">
        <f>E374*F370</f>
        <v>9.2900000000000009</v>
      </c>
      <c r="G374" s="407"/>
      <c r="H374" s="401"/>
      <c r="I374" s="493"/>
      <c r="J374" s="401"/>
      <c r="K374" s="408"/>
      <c r="L374" s="401"/>
      <c r="M374" s="401"/>
    </row>
    <row r="375" spans="1:13" ht="17.25" customHeight="1" x14ac:dyDescent="0.25">
      <c r="A375" s="738"/>
      <c r="B375" s="589"/>
      <c r="C375" s="511" t="s">
        <v>106</v>
      </c>
      <c r="D375" s="407" t="s">
        <v>43</v>
      </c>
      <c r="E375" s="407">
        <v>1.6299999999999999E-2</v>
      </c>
      <c r="F375" s="493">
        <f>F370*E375</f>
        <v>0.16299999999999998</v>
      </c>
      <c r="G375" s="408"/>
      <c r="H375" s="401"/>
      <c r="I375" s="430"/>
      <c r="J375" s="401"/>
      <c r="K375" s="408"/>
      <c r="L375" s="401"/>
      <c r="M375" s="401"/>
    </row>
    <row r="376" spans="1:13" ht="22.5" customHeight="1" x14ac:dyDescent="0.25">
      <c r="A376" s="395">
        <v>4</v>
      </c>
      <c r="B376" s="593" t="s">
        <v>177</v>
      </c>
      <c r="C376" s="594" t="s">
        <v>178</v>
      </c>
      <c r="D376" s="262" t="s">
        <v>179</v>
      </c>
      <c r="E376" s="263"/>
      <c r="F376" s="494">
        <v>2</v>
      </c>
      <c r="G376" s="400"/>
      <c r="H376" s="401"/>
      <c r="I376" s="524"/>
      <c r="J376" s="403"/>
      <c r="K376" s="404"/>
      <c r="L376" s="404"/>
      <c r="M376" s="405"/>
    </row>
    <row r="377" spans="1:13" x14ac:dyDescent="0.25">
      <c r="A377" s="395"/>
      <c r="B377" s="402"/>
      <c r="C377" s="595" t="s">
        <v>180</v>
      </c>
      <c r="D377" s="402" t="s">
        <v>103</v>
      </c>
      <c r="E377" s="400">
        <v>0.92</v>
      </c>
      <c r="F377" s="531">
        <f>E377*F376</f>
        <v>1.84</v>
      </c>
      <c r="G377" s="407"/>
      <c r="H377" s="401"/>
      <c r="I377" s="432"/>
      <c r="J377" s="401"/>
      <c r="K377" s="408"/>
      <c r="L377" s="401"/>
      <c r="M377" s="401"/>
    </row>
    <row r="378" spans="1:13" x14ac:dyDescent="0.25">
      <c r="A378" s="395"/>
      <c r="B378" s="402"/>
      <c r="C378" s="595" t="s">
        <v>78</v>
      </c>
      <c r="D378" s="402" t="s">
        <v>43</v>
      </c>
      <c r="E378" s="400">
        <v>0.56000000000000005</v>
      </c>
      <c r="F378" s="526">
        <f>E378*F376</f>
        <v>1.1200000000000001</v>
      </c>
      <c r="G378" s="400"/>
      <c r="H378" s="401"/>
      <c r="I378" s="432"/>
      <c r="J378" s="401"/>
      <c r="K378" s="408"/>
      <c r="L378" s="401"/>
      <c r="M378" s="401"/>
    </row>
    <row r="379" spans="1:13" ht="33" customHeight="1" x14ac:dyDescent="0.25">
      <c r="A379" s="738">
        <v>5</v>
      </c>
      <c r="B379" s="596" t="s">
        <v>181</v>
      </c>
      <c r="C379" s="454" t="s">
        <v>182</v>
      </c>
      <c r="D379" s="398" t="s">
        <v>101</v>
      </c>
      <c r="E379" s="543"/>
      <c r="F379" s="425">
        <v>1</v>
      </c>
      <c r="G379" s="407"/>
      <c r="H379" s="401"/>
      <c r="I379" s="432"/>
      <c r="J379" s="401"/>
      <c r="K379" s="408"/>
      <c r="L379" s="401"/>
      <c r="M379" s="545"/>
    </row>
    <row r="380" spans="1:13" ht="15.75" customHeight="1" x14ac:dyDescent="0.25">
      <c r="A380" s="738"/>
      <c r="B380" s="596"/>
      <c r="C380" s="457" t="s">
        <v>54</v>
      </c>
      <c r="D380" s="596" t="s">
        <v>183</v>
      </c>
      <c r="E380" s="597">
        <v>4.9800000000000004</v>
      </c>
      <c r="F380" s="430">
        <f>E380*F379</f>
        <v>4.9800000000000004</v>
      </c>
      <c r="G380" s="408"/>
      <c r="H380" s="401"/>
      <c r="I380" s="432"/>
      <c r="J380" s="401"/>
      <c r="K380" s="408"/>
      <c r="L380" s="401"/>
      <c r="M380" s="401"/>
    </row>
    <row r="381" spans="1:13" ht="21.75" customHeight="1" x14ac:dyDescent="0.25">
      <c r="A381" s="738"/>
      <c r="B381" s="596"/>
      <c r="C381" s="457" t="s">
        <v>75</v>
      </c>
      <c r="D381" s="596" t="s">
        <v>43</v>
      </c>
      <c r="E381" s="597">
        <f>0.08</f>
        <v>0.08</v>
      </c>
      <c r="F381" s="430">
        <f>E381*F379</f>
        <v>0.08</v>
      </c>
      <c r="G381" s="407"/>
      <c r="H381" s="401"/>
      <c r="I381" s="432"/>
      <c r="J381" s="401"/>
      <c r="K381" s="408"/>
      <c r="L381" s="401"/>
      <c r="M381" s="401"/>
    </row>
    <row r="382" spans="1:13" ht="21" customHeight="1" x14ac:dyDescent="0.25">
      <c r="A382" s="738"/>
      <c r="B382" s="596"/>
      <c r="C382" s="656" t="s">
        <v>184</v>
      </c>
      <c r="D382" s="410" t="s">
        <v>101</v>
      </c>
      <c r="E382" s="657"/>
      <c r="F382" s="430">
        <v>1</v>
      </c>
      <c r="G382" s="598"/>
      <c r="H382" s="599"/>
      <c r="I382" s="680"/>
      <c r="J382" s="401"/>
      <c r="K382" s="598"/>
      <c r="L382" s="401"/>
      <c r="M382" s="401"/>
    </row>
    <row r="383" spans="1:13" ht="20.25" customHeight="1" x14ac:dyDescent="0.25">
      <c r="A383" s="738"/>
      <c r="B383" s="596"/>
      <c r="C383" s="584" t="s">
        <v>106</v>
      </c>
      <c r="D383" s="596" t="s">
        <v>43</v>
      </c>
      <c r="E383" s="597">
        <v>0.23</v>
      </c>
      <c r="F383" s="430">
        <f>E383*F379</f>
        <v>0.23</v>
      </c>
      <c r="G383" s="598"/>
      <c r="H383" s="599"/>
      <c r="I383" s="681"/>
      <c r="J383" s="401"/>
      <c r="K383" s="598"/>
      <c r="L383" s="401"/>
      <c r="M383" s="401"/>
    </row>
    <row r="384" spans="1:13" ht="35.25" customHeight="1" x14ac:dyDescent="0.25">
      <c r="A384" s="738">
        <v>6</v>
      </c>
      <c r="B384" s="587" t="s">
        <v>185</v>
      </c>
      <c r="C384" s="600" t="s">
        <v>186</v>
      </c>
      <c r="D384" s="507" t="s">
        <v>187</v>
      </c>
      <c r="E384" s="263"/>
      <c r="F384" s="601">
        <v>1</v>
      </c>
      <c r="G384" s="263"/>
      <c r="H384" s="515"/>
      <c r="I384" s="537"/>
      <c r="J384" s="515"/>
      <c r="K384" s="516"/>
      <c r="L384" s="515"/>
      <c r="M384" s="515"/>
    </row>
    <row r="385" spans="1:13" ht="18" customHeight="1" x14ac:dyDescent="0.25">
      <c r="A385" s="738"/>
      <c r="B385" s="446" t="s">
        <v>97</v>
      </c>
      <c r="C385" s="591" t="s">
        <v>102</v>
      </c>
      <c r="D385" s="407" t="s">
        <v>103</v>
      </c>
      <c r="E385" s="407">
        <f>1.72*1.2*0.4</f>
        <v>0.82560000000000011</v>
      </c>
      <c r="F385" s="430">
        <f>F384*E385</f>
        <v>0.82560000000000011</v>
      </c>
      <c r="G385" s="408"/>
      <c r="H385" s="401"/>
      <c r="I385" s="432"/>
      <c r="J385" s="401"/>
      <c r="K385" s="408"/>
      <c r="L385" s="401"/>
      <c r="M385" s="401"/>
    </row>
    <row r="386" spans="1:13" ht="14.25" customHeight="1" x14ac:dyDescent="0.25">
      <c r="A386" s="738"/>
      <c r="B386" s="589"/>
      <c r="C386" s="511" t="s">
        <v>106</v>
      </c>
      <c r="D386" s="407" t="s">
        <v>43</v>
      </c>
      <c r="E386" s="407">
        <v>0.31</v>
      </c>
      <c r="F386" s="430">
        <f>F384*E386</f>
        <v>0.31</v>
      </c>
      <c r="G386" s="602"/>
      <c r="H386" s="602"/>
      <c r="I386" s="681"/>
      <c r="J386" s="401"/>
      <c r="K386" s="598"/>
      <c r="L386" s="401"/>
      <c r="M386" s="401"/>
    </row>
    <row r="387" spans="1:13" ht="39.75" customHeight="1" x14ac:dyDescent="0.25">
      <c r="A387" s="738">
        <v>7</v>
      </c>
      <c r="B387" s="587" t="s">
        <v>185</v>
      </c>
      <c r="C387" s="600" t="s">
        <v>188</v>
      </c>
      <c r="D387" s="507" t="s">
        <v>187</v>
      </c>
      <c r="E387" s="263"/>
      <c r="F387" s="601">
        <v>1</v>
      </c>
      <c r="G387" s="263"/>
      <c r="H387" s="515"/>
      <c r="I387" s="537"/>
      <c r="J387" s="515"/>
      <c r="K387" s="516"/>
      <c r="L387" s="515"/>
      <c r="M387" s="515"/>
    </row>
    <row r="388" spans="1:13" ht="18.75" customHeight="1" x14ac:dyDescent="0.25">
      <c r="A388" s="738"/>
      <c r="B388" s="446"/>
      <c r="C388" s="591" t="s">
        <v>102</v>
      </c>
      <c r="D388" s="407" t="s">
        <v>169</v>
      </c>
      <c r="E388" s="407">
        <v>1</v>
      </c>
      <c r="F388" s="430">
        <f>F387*E388</f>
        <v>1</v>
      </c>
      <c r="G388" s="408"/>
      <c r="H388" s="401"/>
      <c r="I388" s="432"/>
      <c r="J388" s="401"/>
      <c r="K388" s="408"/>
      <c r="L388" s="401"/>
      <c r="M388" s="401"/>
    </row>
    <row r="389" spans="1:13" ht="42.75" customHeight="1" x14ac:dyDescent="0.25">
      <c r="A389" s="738"/>
      <c r="B389" s="446"/>
      <c r="C389" s="457" t="s">
        <v>189</v>
      </c>
      <c r="D389" s="407" t="s">
        <v>169</v>
      </c>
      <c r="E389" s="407">
        <v>1</v>
      </c>
      <c r="F389" s="433">
        <f>E389*F387</f>
        <v>1</v>
      </c>
      <c r="G389" s="407"/>
      <c r="H389" s="401"/>
      <c r="I389" s="432"/>
      <c r="J389" s="401"/>
      <c r="K389" s="408"/>
      <c r="L389" s="401"/>
      <c r="M389" s="401"/>
    </row>
    <row r="390" spans="1:13" x14ac:dyDescent="0.25">
      <c r="A390" s="738"/>
      <c r="B390" s="589"/>
      <c r="C390" s="511" t="s">
        <v>106</v>
      </c>
      <c r="D390" s="407" t="s">
        <v>43</v>
      </c>
      <c r="E390" s="407">
        <v>0.31</v>
      </c>
      <c r="F390" s="430">
        <f>F387*E390</f>
        <v>0.31</v>
      </c>
      <c r="G390" s="602"/>
      <c r="H390" s="602"/>
      <c r="I390" s="681"/>
      <c r="J390" s="401"/>
      <c r="K390" s="598"/>
      <c r="L390" s="401"/>
      <c r="M390" s="401"/>
    </row>
    <row r="391" spans="1:13" ht="20.25" customHeight="1" x14ac:dyDescent="0.25">
      <c r="A391" s="440">
        <v>8</v>
      </c>
      <c r="B391" s="263" t="s">
        <v>95</v>
      </c>
      <c r="C391" s="497" t="s">
        <v>190</v>
      </c>
      <c r="D391" s="412" t="s">
        <v>179</v>
      </c>
      <c r="E391" s="448"/>
      <c r="F391" s="498">
        <v>4</v>
      </c>
      <c r="G391" s="414"/>
      <c r="H391" s="499"/>
      <c r="I391" s="674"/>
      <c r="J391" s="499"/>
      <c r="K391" s="420"/>
      <c r="L391" s="499"/>
      <c r="M391" s="414"/>
    </row>
    <row r="392" spans="1:13" ht="15.75" x14ac:dyDescent="0.3">
      <c r="A392" s="440"/>
      <c r="B392" s="402" t="s">
        <v>97</v>
      </c>
      <c r="C392" s="500" t="s">
        <v>68</v>
      </c>
      <c r="D392" s="451" t="s">
        <v>48</v>
      </c>
      <c r="E392" s="448">
        <f>0.58*0.4</f>
        <v>0.23199999999999998</v>
      </c>
      <c r="F392" s="501">
        <f>E392*F391</f>
        <v>0.92799999999999994</v>
      </c>
      <c r="G392" s="419"/>
      <c r="H392" s="502"/>
      <c r="I392" s="676"/>
      <c r="J392" s="502"/>
      <c r="K392" s="503"/>
      <c r="L392" s="502"/>
      <c r="M392" s="502"/>
    </row>
    <row r="393" spans="1:13" ht="22.5" customHeight="1" x14ac:dyDescent="0.3">
      <c r="A393" s="440"/>
      <c r="B393" s="402"/>
      <c r="C393" s="504" t="s">
        <v>98</v>
      </c>
      <c r="D393" s="451" t="s">
        <v>50</v>
      </c>
      <c r="E393" s="448">
        <f>0.0305*0.4</f>
        <v>1.2200000000000001E-2</v>
      </c>
      <c r="F393" s="501">
        <f>E393*F391</f>
        <v>4.8800000000000003E-2</v>
      </c>
      <c r="G393" s="448"/>
      <c r="H393" s="502"/>
      <c r="I393" s="676"/>
      <c r="J393" s="502"/>
      <c r="K393" s="503"/>
      <c r="L393" s="502"/>
      <c r="M393" s="502"/>
    </row>
    <row r="394" spans="1:13" ht="22.5" customHeight="1" x14ac:dyDescent="0.25">
      <c r="A394" s="440"/>
      <c r="B394" s="505"/>
      <c r="C394" s="418" t="s">
        <v>64</v>
      </c>
      <c r="D394" s="419" t="s">
        <v>50</v>
      </c>
      <c r="E394" s="419">
        <f>0.0985*0.4</f>
        <v>3.9400000000000004E-2</v>
      </c>
      <c r="F394" s="506">
        <f>E394*F391</f>
        <v>0.15760000000000002</v>
      </c>
      <c r="G394" s="419"/>
      <c r="H394" s="414"/>
      <c r="I394" s="674"/>
      <c r="J394" s="414"/>
      <c r="K394" s="420"/>
      <c r="L394" s="414"/>
      <c r="M394" s="414"/>
    </row>
    <row r="395" spans="1:13" ht="30.75" customHeight="1" x14ac:dyDescent="0.25">
      <c r="A395" s="507">
        <v>9</v>
      </c>
      <c r="B395" s="263" t="s">
        <v>99</v>
      </c>
      <c r="C395" s="508" t="s">
        <v>191</v>
      </c>
      <c r="D395" s="507" t="s">
        <v>101</v>
      </c>
      <c r="E395" s="507"/>
      <c r="F395" s="601">
        <v>4</v>
      </c>
      <c r="G395" s="507"/>
      <c r="H395" s="464"/>
      <c r="I395" s="677"/>
      <c r="J395" s="464"/>
      <c r="K395" s="509"/>
      <c r="L395" s="464"/>
      <c r="M395" s="464"/>
    </row>
    <row r="396" spans="1:13" ht="21.75" customHeight="1" x14ac:dyDescent="0.25">
      <c r="A396" s="407"/>
      <c r="B396" s="510"/>
      <c r="C396" s="511" t="s">
        <v>102</v>
      </c>
      <c r="D396" s="407" t="s">
        <v>103</v>
      </c>
      <c r="E396" s="407">
        <f>0.74*1.2</f>
        <v>0.88800000000000001</v>
      </c>
      <c r="F396" s="430">
        <f>F395*E396</f>
        <v>3.552</v>
      </c>
      <c r="G396" s="512"/>
      <c r="H396" s="513"/>
      <c r="I396" s="678"/>
      <c r="J396" s="513"/>
      <c r="K396" s="514"/>
      <c r="L396" s="513"/>
      <c r="M396" s="513"/>
    </row>
    <row r="397" spans="1:13" ht="18.75" customHeight="1" x14ac:dyDescent="0.25">
      <c r="A397" s="407"/>
      <c r="B397" s="407"/>
      <c r="C397" s="511" t="s">
        <v>104</v>
      </c>
      <c r="D397" s="407" t="s">
        <v>43</v>
      </c>
      <c r="E397" s="407">
        <f>0.02*1.2</f>
        <v>2.4E-2</v>
      </c>
      <c r="F397" s="493">
        <f>F395*E397</f>
        <v>9.6000000000000002E-2</v>
      </c>
      <c r="G397" s="512"/>
      <c r="H397" s="513"/>
      <c r="I397" s="678"/>
      <c r="J397" s="513"/>
      <c r="K397" s="514"/>
      <c r="L397" s="513"/>
      <c r="M397" s="513"/>
    </row>
    <row r="398" spans="1:13" ht="21" customHeight="1" x14ac:dyDescent="0.25">
      <c r="A398" s="407"/>
      <c r="B398" s="510"/>
      <c r="C398" s="575" t="s">
        <v>192</v>
      </c>
      <c r="D398" s="263" t="s">
        <v>101</v>
      </c>
      <c r="E398" s="263">
        <v>1</v>
      </c>
      <c r="F398" s="422">
        <f>F395*E398</f>
        <v>4</v>
      </c>
      <c r="G398" s="515"/>
      <c r="H398" s="515"/>
      <c r="I398" s="535"/>
      <c r="J398" s="516"/>
      <c r="K398" s="515"/>
      <c r="L398" s="515"/>
      <c r="M398" s="517"/>
    </row>
    <row r="399" spans="1:13" ht="20.25" customHeight="1" x14ac:dyDescent="0.25">
      <c r="A399" s="407"/>
      <c r="B399" s="407"/>
      <c r="C399" s="511" t="s">
        <v>106</v>
      </c>
      <c r="D399" s="407" t="s">
        <v>43</v>
      </c>
      <c r="E399" s="407">
        <v>0.01</v>
      </c>
      <c r="F399" s="493">
        <f>F395*E399</f>
        <v>0.04</v>
      </c>
      <c r="G399" s="401"/>
      <c r="H399" s="401"/>
      <c r="I399" s="535"/>
      <c r="J399" s="401"/>
      <c r="K399" s="401"/>
      <c r="L399" s="401"/>
      <c r="M399" s="513"/>
    </row>
    <row r="400" spans="1:13" ht="17.25" customHeight="1" x14ac:dyDescent="0.25">
      <c r="A400" s="28"/>
      <c r="B400" s="32"/>
      <c r="C400" s="120" t="s">
        <v>193</v>
      </c>
      <c r="D400" s="31"/>
      <c r="E400" s="32"/>
      <c r="F400" s="669"/>
      <c r="G400" s="36"/>
      <c r="H400" s="36"/>
      <c r="I400" s="670"/>
      <c r="J400" s="36"/>
      <c r="K400" s="36"/>
      <c r="L400" s="36"/>
      <c r="M400" s="36"/>
    </row>
    <row r="401" spans="1:13" ht="44.25" customHeight="1" x14ac:dyDescent="0.25">
      <c r="A401" s="396">
        <v>1</v>
      </c>
      <c r="B401" s="446" t="s">
        <v>194</v>
      </c>
      <c r="C401" s="586" t="s">
        <v>195</v>
      </c>
      <c r="D401" s="603" t="s">
        <v>169</v>
      </c>
      <c r="E401" s="410"/>
      <c r="F401" s="425">
        <v>1</v>
      </c>
      <c r="G401" s="407"/>
      <c r="H401" s="401"/>
      <c r="I401" s="430"/>
      <c r="J401" s="401"/>
      <c r="K401" s="401"/>
      <c r="L401" s="401"/>
      <c r="M401" s="401"/>
    </row>
    <row r="402" spans="1:13" x14ac:dyDescent="0.25">
      <c r="A402" s="396"/>
      <c r="B402" s="446"/>
      <c r="C402" s="584" t="s">
        <v>102</v>
      </c>
      <c r="D402" s="396" t="s">
        <v>103</v>
      </c>
      <c r="E402" s="263">
        <v>0.89</v>
      </c>
      <c r="F402" s="422">
        <f>E402*F401</f>
        <v>0.89</v>
      </c>
      <c r="G402" s="407"/>
      <c r="H402" s="401"/>
      <c r="I402" s="432"/>
      <c r="J402" s="401"/>
      <c r="K402" s="401"/>
      <c r="L402" s="401"/>
      <c r="M402" s="401"/>
    </row>
    <row r="403" spans="1:13" ht="19.5" customHeight="1" x14ac:dyDescent="0.25">
      <c r="A403" s="396"/>
      <c r="B403" s="450"/>
      <c r="C403" s="584" t="s">
        <v>196</v>
      </c>
      <c r="D403" s="396" t="s">
        <v>179</v>
      </c>
      <c r="E403" s="410">
        <v>1</v>
      </c>
      <c r="F403" s="422">
        <f>E403*F401</f>
        <v>1</v>
      </c>
      <c r="G403" s="407"/>
      <c r="H403" s="401"/>
      <c r="I403" s="493"/>
      <c r="J403" s="401"/>
      <c r="K403" s="408"/>
      <c r="L403" s="401"/>
      <c r="M403" s="545"/>
    </row>
    <row r="404" spans="1:13" x14ac:dyDescent="0.25">
      <c r="A404" s="396"/>
      <c r="B404" s="450"/>
      <c r="C404" s="584" t="s">
        <v>106</v>
      </c>
      <c r="D404" s="396" t="s">
        <v>43</v>
      </c>
      <c r="E404" s="410">
        <v>0.155</v>
      </c>
      <c r="F404" s="422">
        <f>E404*F401</f>
        <v>0.155</v>
      </c>
      <c r="G404" s="407"/>
      <c r="H404" s="401"/>
      <c r="I404" s="493"/>
      <c r="J404" s="401"/>
      <c r="K404" s="408"/>
      <c r="L404" s="401"/>
      <c r="M404" s="401"/>
    </row>
    <row r="405" spans="1:13" ht="32.25" customHeight="1" x14ac:dyDescent="0.25">
      <c r="A405" s="396">
        <v>2</v>
      </c>
      <c r="B405" s="441" t="s">
        <v>197</v>
      </c>
      <c r="C405" s="586" t="s">
        <v>198</v>
      </c>
      <c r="D405" s="396" t="s">
        <v>101</v>
      </c>
      <c r="E405" s="410"/>
      <c r="F405" s="425">
        <v>2</v>
      </c>
      <c r="G405" s="407"/>
      <c r="H405" s="401"/>
      <c r="I405" s="432"/>
      <c r="J405" s="401"/>
      <c r="K405" s="408"/>
      <c r="L405" s="401"/>
      <c r="M405" s="401"/>
    </row>
    <row r="406" spans="1:13" ht="20.25" customHeight="1" x14ac:dyDescent="0.25">
      <c r="A406" s="396"/>
      <c r="B406" s="446"/>
      <c r="C406" s="584" t="s">
        <v>102</v>
      </c>
      <c r="D406" s="396" t="s">
        <v>103</v>
      </c>
      <c r="E406" s="263">
        <f>0.82*1.2</f>
        <v>0.98399999999999987</v>
      </c>
      <c r="F406" s="422">
        <f>E406*F405</f>
        <v>1.9679999999999997</v>
      </c>
      <c r="G406" s="408"/>
      <c r="H406" s="401"/>
      <c r="I406" s="428"/>
      <c r="J406" s="585"/>
      <c r="K406" s="408"/>
      <c r="L406" s="401"/>
      <c r="M406" s="401"/>
    </row>
    <row r="407" spans="1:13" ht="18" customHeight="1" x14ac:dyDescent="0.25">
      <c r="A407" s="396"/>
      <c r="B407" s="450"/>
      <c r="C407" s="584" t="s">
        <v>166</v>
      </c>
      <c r="D407" s="396" t="s">
        <v>43</v>
      </c>
      <c r="E407" s="410">
        <v>0.01</v>
      </c>
      <c r="F407" s="422">
        <f>E407*F405</f>
        <v>0.02</v>
      </c>
      <c r="G407" s="407"/>
      <c r="H407" s="401"/>
      <c r="I407" s="432"/>
      <c r="J407" s="401"/>
      <c r="K407" s="408"/>
      <c r="L407" s="401"/>
      <c r="M407" s="401"/>
    </row>
    <row r="408" spans="1:13" ht="20.25" customHeight="1" x14ac:dyDescent="0.25">
      <c r="A408" s="395"/>
      <c r="B408" s="446"/>
      <c r="C408" s="457" t="s">
        <v>199</v>
      </c>
      <c r="D408" s="407" t="s">
        <v>101</v>
      </c>
      <c r="E408" s="407">
        <v>1</v>
      </c>
      <c r="F408" s="433">
        <f>E408*F405</f>
        <v>2</v>
      </c>
      <c r="G408" s="407"/>
      <c r="H408" s="401"/>
      <c r="I408" s="432"/>
      <c r="J408" s="401"/>
      <c r="K408" s="408"/>
      <c r="L408" s="401"/>
      <c r="M408" s="401"/>
    </row>
    <row r="409" spans="1:13" ht="17.25" customHeight="1" x14ac:dyDescent="0.25">
      <c r="A409" s="396"/>
      <c r="B409" s="450"/>
      <c r="C409" s="584" t="s">
        <v>106</v>
      </c>
      <c r="D409" s="396" t="s">
        <v>200</v>
      </c>
      <c r="E409" s="410">
        <v>0.27</v>
      </c>
      <c r="F409" s="422">
        <f>E409*F405</f>
        <v>0.54</v>
      </c>
      <c r="G409" s="408"/>
      <c r="H409" s="401"/>
      <c r="I409" s="493"/>
      <c r="J409" s="401"/>
      <c r="K409" s="408"/>
      <c r="L409" s="401"/>
      <c r="M409" s="401"/>
    </row>
    <row r="410" spans="1:13" ht="20.25" customHeight="1" x14ac:dyDescent="0.25">
      <c r="A410" s="440">
        <v>3</v>
      </c>
      <c r="B410" s="263" t="s">
        <v>95</v>
      </c>
      <c r="C410" s="497" t="s">
        <v>190</v>
      </c>
      <c r="D410" s="412" t="s">
        <v>179</v>
      </c>
      <c r="E410" s="448"/>
      <c r="F410" s="498">
        <v>4</v>
      </c>
      <c r="G410" s="414"/>
      <c r="H410" s="499"/>
      <c r="I410" s="674"/>
      <c r="J410" s="499"/>
      <c r="K410" s="420"/>
      <c r="L410" s="499"/>
      <c r="M410" s="414"/>
    </row>
    <row r="411" spans="1:13" ht="15.75" x14ac:dyDescent="0.3">
      <c r="A411" s="440"/>
      <c r="B411" s="402" t="s">
        <v>97</v>
      </c>
      <c r="C411" s="500" t="s">
        <v>68</v>
      </c>
      <c r="D411" s="451" t="s">
        <v>48</v>
      </c>
      <c r="E411" s="448">
        <f>0.58*0.4</f>
        <v>0.23199999999999998</v>
      </c>
      <c r="F411" s="501">
        <f>E411*F410</f>
        <v>0.92799999999999994</v>
      </c>
      <c r="G411" s="419"/>
      <c r="H411" s="502"/>
      <c r="I411" s="676"/>
      <c r="J411" s="502"/>
      <c r="K411" s="503"/>
      <c r="L411" s="502"/>
      <c r="M411" s="502"/>
    </row>
    <row r="412" spans="1:13" ht="20.25" customHeight="1" x14ac:dyDescent="0.3">
      <c r="A412" s="440"/>
      <c r="B412" s="402"/>
      <c r="C412" s="504" t="s">
        <v>98</v>
      </c>
      <c r="D412" s="451" t="s">
        <v>50</v>
      </c>
      <c r="E412" s="448">
        <f>0.0305*0.4</f>
        <v>1.2200000000000001E-2</v>
      </c>
      <c r="F412" s="501">
        <f>E412*F410</f>
        <v>4.8800000000000003E-2</v>
      </c>
      <c r="G412" s="448"/>
      <c r="H412" s="502"/>
      <c r="I412" s="676"/>
      <c r="J412" s="502"/>
      <c r="K412" s="503"/>
      <c r="L412" s="502"/>
      <c r="M412" s="502"/>
    </row>
    <row r="413" spans="1:13" ht="20.25" customHeight="1" x14ac:dyDescent="0.25">
      <c r="A413" s="440"/>
      <c r="B413" s="505"/>
      <c r="C413" s="418" t="s">
        <v>64</v>
      </c>
      <c r="D413" s="419" t="s">
        <v>50</v>
      </c>
      <c r="E413" s="419">
        <f>0.0985*0.4</f>
        <v>3.9400000000000004E-2</v>
      </c>
      <c r="F413" s="506">
        <f>E413*F410</f>
        <v>0.15760000000000002</v>
      </c>
      <c r="G413" s="419"/>
      <c r="H413" s="414"/>
      <c r="I413" s="674"/>
      <c r="J413" s="414"/>
      <c r="K413" s="420"/>
      <c r="L413" s="414"/>
      <c r="M413" s="414"/>
    </row>
    <row r="414" spans="1:13" ht="27" customHeight="1" x14ac:dyDescent="0.25">
      <c r="A414" s="507">
        <v>4</v>
      </c>
      <c r="B414" s="263" t="s">
        <v>99</v>
      </c>
      <c r="C414" s="508" t="s">
        <v>191</v>
      </c>
      <c r="D414" s="507" t="s">
        <v>101</v>
      </c>
      <c r="E414" s="507"/>
      <c r="F414" s="601">
        <v>4</v>
      </c>
      <c r="G414" s="507"/>
      <c r="H414" s="464"/>
      <c r="I414" s="677"/>
      <c r="J414" s="464"/>
      <c r="K414" s="509"/>
      <c r="L414" s="464"/>
      <c r="M414" s="464"/>
    </row>
    <row r="415" spans="1:13" ht="18" customHeight="1" x14ac:dyDescent="0.25">
      <c r="A415" s="407"/>
      <c r="B415" s="510"/>
      <c r="C415" s="511" t="s">
        <v>102</v>
      </c>
      <c r="D415" s="407" t="s">
        <v>103</v>
      </c>
      <c r="E415" s="407">
        <f>0.74*1.2</f>
        <v>0.88800000000000001</v>
      </c>
      <c r="F415" s="430">
        <f>F414*E415</f>
        <v>3.552</v>
      </c>
      <c r="G415" s="512"/>
      <c r="H415" s="513"/>
      <c r="I415" s="678"/>
      <c r="J415" s="513"/>
      <c r="K415" s="514"/>
      <c r="L415" s="513"/>
      <c r="M415" s="513"/>
    </row>
    <row r="416" spans="1:13" ht="18" customHeight="1" x14ac:dyDescent="0.25">
      <c r="A416" s="407"/>
      <c r="B416" s="407"/>
      <c r="C416" s="511" t="s">
        <v>104</v>
      </c>
      <c r="D416" s="407" t="s">
        <v>43</v>
      </c>
      <c r="E416" s="407">
        <f>0.02*1.2</f>
        <v>2.4E-2</v>
      </c>
      <c r="F416" s="493">
        <f>F414*E416</f>
        <v>9.6000000000000002E-2</v>
      </c>
      <c r="G416" s="512"/>
      <c r="H416" s="513"/>
      <c r="I416" s="678"/>
      <c r="J416" s="513"/>
      <c r="K416" s="514"/>
      <c r="L416" s="513"/>
      <c r="M416" s="513"/>
    </row>
    <row r="417" spans="1:13" ht="18" customHeight="1" x14ac:dyDescent="0.25">
      <c r="A417" s="407"/>
      <c r="B417" s="510"/>
      <c r="C417" s="575" t="s">
        <v>192</v>
      </c>
      <c r="D417" s="263" t="s">
        <v>101</v>
      </c>
      <c r="E417" s="263">
        <v>1</v>
      </c>
      <c r="F417" s="422">
        <f>F414*E417</f>
        <v>4</v>
      </c>
      <c r="G417" s="515"/>
      <c r="H417" s="515"/>
      <c r="I417" s="535"/>
      <c r="J417" s="516"/>
      <c r="K417" s="515"/>
      <c r="L417" s="515"/>
      <c r="M417" s="517"/>
    </row>
    <row r="418" spans="1:13" ht="18" customHeight="1" x14ac:dyDescent="0.25">
      <c r="A418" s="407"/>
      <c r="B418" s="407"/>
      <c r="C418" s="511" t="s">
        <v>106</v>
      </c>
      <c r="D418" s="407" t="s">
        <v>43</v>
      </c>
      <c r="E418" s="407">
        <v>0.01</v>
      </c>
      <c r="F418" s="493">
        <f>F414*E418</f>
        <v>0.04</v>
      </c>
      <c r="G418" s="401"/>
      <c r="H418" s="401"/>
      <c r="I418" s="535"/>
      <c r="J418" s="401"/>
      <c r="K418" s="401"/>
      <c r="L418" s="401"/>
      <c r="M418" s="513"/>
    </row>
    <row r="419" spans="1:13" ht="23.25" customHeight="1" x14ac:dyDescent="0.25">
      <c r="A419" s="28"/>
      <c r="B419" s="32"/>
      <c r="C419" s="120" t="s">
        <v>201</v>
      </c>
      <c r="D419" s="31"/>
      <c r="E419" s="32"/>
      <c r="F419" s="669"/>
      <c r="G419" s="36"/>
      <c r="H419" s="36"/>
      <c r="I419" s="670"/>
      <c r="J419" s="36"/>
      <c r="K419" s="36"/>
      <c r="L419" s="36"/>
      <c r="M419" s="36"/>
    </row>
    <row r="420" spans="1:13" ht="30" x14ac:dyDescent="0.25">
      <c r="A420" s="440">
        <v>1</v>
      </c>
      <c r="B420" s="263" t="s">
        <v>95</v>
      </c>
      <c r="C420" s="497" t="s">
        <v>202</v>
      </c>
      <c r="D420" s="412" t="s">
        <v>179</v>
      </c>
      <c r="E420" s="448"/>
      <c r="F420" s="498">
        <v>38</v>
      </c>
      <c r="G420" s="414"/>
      <c r="H420" s="499"/>
      <c r="I420" s="674"/>
      <c r="J420" s="499"/>
      <c r="K420" s="420"/>
      <c r="L420" s="499"/>
      <c r="M420" s="414"/>
    </row>
    <row r="421" spans="1:13" ht="15.75" x14ac:dyDescent="0.3">
      <c r="A421" s="440"/>
      <c r="B421" s="402" t="s">
        <v>97</v>
      </c>
      <c r="C421" s="500" t="s">
        <v>68</v>
      </c>
      <c r="D421" s="451" t="s">
        <v>48</v>
      </c>
      <c r="E421" s="448">
        <f>0.58*0.4</f>
        <v>0.23199999999999998</v>
      </c>
      <c r="F421" s="501">
        <f>E421*F420</f>
        <v>8.8159999999999989</v>
      </c>
      <c r="G421" s="419"/>
      <c r="H421" s="502"/>
      <c r="I421" s="676"/>
      <c r="J421" s="502"/>
      <c r="K421" s="503"/>
      <c r="L421" s="502"/>
      <c r="M421" s="502"/>
    </row>
    <row r="422" spans="1:13" ht="15.75" customHeight="1" x14ac:dyDescent="0.3">
      <c r="A422" s="440"/>
      <c r="B422" s="402"/>
      <c r="C422" s="504" t="s">
        <v>98</v>
      </c>
      <c r="D422" s="451" t="s">
        <v>50</v>
      </c>
      <c r="E422" s="448">
        <f>0.0305*0.4</f>
        <v>1.2200000000000001E-2</v>
      </c>
      <c r="F422" s="501">
        <f>E422*F420</f>
        <v>0.46360000000000001</v>
      </c>
      <c r="G422" s="448"/>
      <c r="H422" s="502"/>
      <c r="I422" s="676"/>
      <c r="J422" s="502"/>
      <c r="K422" s="503"/>
      <c r="L422" s="502"/>
      <c r="M422" s="502"/>
    </row>
    <row r="423" spans="1:13" ht="21" customHeight="1" x14ac:dyDescent="0.25">
      <c r="A423" s="440"/>
      <c r="B423" s="505"/>
      <c r="C423" s="418" t="s">
        <v>64</v>
      </c>
      <c r="D423" s="419" t="s">
        <v>50</v>
      </c>
      <c r="E423" s="419">
        <f>0.0985*0.4</f>
        <v>3.9400000000000004E-2</v>
      </c>
      <c r="F423" s="506">
        <f>E423*F420</f>
        <v>1.4972000000000001</v>
      </c>
      <c r="G423" s="419"/>
      <c r="H423" s="414"/>
      <c r="I423" s="674"/>
      <c r="J423" s="414"/>
      <c r="K423" s="420"/>
      <c r="L423" s="414"/>
      <c r="M423" s="414"/>
    </row>
    <row r="424" spans="1:13" ht="41.25" customHeight="1" x14ac:dyDescent="0.25">
      <c r="A424" s="507">
        <v>2</v>
      </c>
      <c r="B424" s="263" t="s">
        <v>99</v>
      </c>
      <c r="C424" s="508" t="s">
        <v>203</v>
      </c>
      <c r="D424" s="507" t="s">
        <v>101</v>
      </c>
      <c r="E424" s="507"/>
      <c r="F424" s="601">
        <v>38</v>
      </c>
      <c r="G424" s="507"/>
      <c r="H424" s="464"/>
      <c r="I424" s="677"/>
      <c r="J424" s="464"/>
      <c r="K424" s="509"/>
      <c r="L424" s="464"/>
      <c r="M424" s="464"/>
    </row>
    <row r="425" spans="1:13" ht="18" customHeight="1" x14ac:dyDescent="0.25">
      <c r="A425" s="407"/>
      <c r="B425" s="510"/>
      <c r="C425" s="511" t="s">
        <v>102</v>
      </c>
      <c r="D425" s="407" t="s">
        <v>103</v>
      </c>
      <c r="E425" s="407">
        <f>0.74*1.2</f>
        <v>0.88800000000000001</v>
      </c>
      <c r="F425" s="493">
        <f>F424*E425</f>
        <v>33.744</v>
      </c>
      <c r="G425" s="512"/>
      <c r="H425" s="513"/>
      <c r="I425" s="678"/>
      <c r="J425" s="513"/>
      <c r="K425" s="514"/>
      <c r="L425" s="513"/>
      <c r="M425" s="513"/>
    </row>
    <row r="426" spans="1:13" ht="15" customHeight="1" x14ac:dyDescent="0.25">
      <c r="A426" s="407"/>
      <c r="B426" s="407"/>
      <c r="C426" s="511" t="s">
        <v>104</v>
      </c>
      <c r="D426" s="407" t="s">
        <v>43</v>
      </c>
      <c r="E426" s="407">
        <f>0.02*1.2</f>
        <v>2.4E-2</v>
      </c>
      <c r="F426" s="493">
        <f>F424*E426</f>
        <v>0.91200000000000003</v>
      </c>
      <c r="G426" s="512"/>
      <c r="H426" s="513"/>
      <c r="I426" s="678"/>
      <c r="J426" s="513"/>
      <c r="K426" s="514"/>
      <c r="L426" s="513"/>
      <c r="M426" s="513"/>
    </row>
    <row r="427" spans="1:13" ht="57.75" customHeight="1" x14ac:dyDescent="0.25">
      <c r="A427" s="407"/>
      <c r="B427" s="510"/>
      <c r="C427" s="575" t="s">
        <v>204</v>
      </c>
      <c r="D427" s="263" t="s">
        <v>101</v>
      </c>
      <c r="E427" s="263">
        <v>1</v>
      </c>
      <c r="F427" s="422">
        <f>F424*E427</f>
        <v>38</v>
      </c>
      <c r="G427" s="515"/>
      <c r="H427" s="515"/>
      <c r="I427" s="535"/>
      <c r="J427" s="516"/>
      <c r="K427" s="515"/>
      <c r="L427" s="515"/>
      <c r="M427" s="517"/>
    </row>
    <row r="428" spans="1:13" x14ac:dyDescent="0.25">
      <c r="A428" s="407"/>
      <c r="B428" s="407"/>
      <c r="C428" s="511" t="s">
        <v>106</v>
      </c>
      <c r="D428" s="407" t="s">
        <v>43</v>
      </c>
      <c r="E428" s="407">
        <v>0.01</v>
      </c>
      <c r="F428" s="493">
        <f>F424*E428</f>
        <v>0.38</v>
      </c>
      <c r="G428" s="401"/>
      <c r="H428" s="401"/>
      <c r="I428" s="535"/>
      <c r="J428" s="401"/>
      <c r="K428" s="401"/>
      <c r="L428" s="401"/>
      <c r="M428" s="513"/>
    </row>
    <row r="429" spans="1:13" ht="30.75" customHeight="1" x14ac:dyDescent="0.25">
      <c r="A429" s="395">
        <v>3</v>
      </c>
      <c r="B429" s="505" t="s">
        <v>120</v>
      </c>
      <c r="C429" s="454" t="s">
        <v>205</v>
      </c>
      <c r="D429" s="398" t="s">
        <v>122</v>
      </c>
      <c r="E429" s="543"/>
      <c r="F429" s="426">
        <v>6.4</v>
      </c>
      <c r="G429" s="407"/>
      <c r="H429" s="401"/>
      <c r="I429" s="432"/>
      <c r="J429" s="401"/>
      <c r="K429" s="408"/>
      <c r="L429" s="401"/>
      <c r="M429" s="544"/>
    </row>
    <row r="430" spans="1:13" ht="19.5" customHeight="1" x14ac:dyDescent="0.25">
      <c r="A430" s="395"/>
      <c r="B430" s="505" t="s">
        <v>123</v>
      </c>
      <c r="C430" s="457" t="s">
        <v>54</v>
      </c>
      <c r="D430" s="407" t="s">
        <v>41</v>
      </c>
      <c r="E430" s="401">
        <f>0.594/0.74*0.6</f>
        <v>0.48162162162162159</v>
      </c>
      <c r="F430" s="430">
        <f>F429*E430</f>
        <v>3.0823783783783782</v>
      </c>
      <c r="G430" s="400"/>
      <c r="H430" s="401"/>
      <c r="I430" s="432"/>
      <c r="J430" s="401"/>
      <c r="K430" s="408"/>
      <c r="L430" s="401"/>
      <c r="M430" s="401"/>
    </row>
    <row r="431" spans="1:13" ht="19.5" customHeight="1" x14ac:dyDescent="0.25">
      <c r="A431" s="395"/>
      <c r="B431" s="505" t="s">
        <v>124</v>
      </c>
      <c r="C431" s="457" t="s">
        <v>125</v>
      </c>
      <c r="D431" s="407" t="s">
        <v>43</v>
      </c>
      <c r="E431" s="401">
        <f>0.0366/0.74*0.5</f>
        <v>2.472972972972973E-2</v>
      </c>
      <c r="F431" s="430">
        <f>F429*E431</f>
        <v>0.1582702702702703</v>
      </c>
      <c r="G431" s="407"/>
      <c r="H431" s="401"/>
      <c r="I431" s="432"/>
      <c r="J431" s="401"/>
      <c r="K431" s="408"/>
      <c r="L431" s="401"/>
      <c r="M431" s="401"/>
    </row>
    <row r="432" spans="1:13" ht="19.5" customHeight="1" x14ac:dyDescent="0.25">
      <c r="A432" s="395"/>
      <c r="B432" s="505" t="s">
        <v>124</v>
      </c>
      <c r="C432" s="457" t="s">
        <v>80</v>
      </c>
      <c r="D432" s="407" t="s">
        <v>43</v>
      </c>
      <c r="E432" s="458">
        <f>0.048/0.74*0.5</f>
        <v>3.2432432432432434E-2</v>
      </c>
      <c r="F432" s="430">
        <f>F429*E432</f>
        <v>0.20756756756756758</v>
      </c>
      <c r="G432" s="407"/>
      <c r="H432" s="401"/>
      <c r="I432" s="432"/>
      <c r="J432" s="401"/>
      <c r="K432" s="408"/>
      <c r="L432" s="401"/>
      <c r="M432" s="401"/>
    </row>
    <row r="433" spans="1:13" ht="36" customHeight="1" x14ac:dyDescent="0.25">
      <c r="A433" s="395">
        <v>4</v>
      </c>
      <c r="B433" s="505" t="s">
        <v>120</v>
      </c>
      <c r="C433" s="454" t="s">
        <v>206</v>
      </c>
      <c r="D433" s="398" t="s">
        <v>122</v>
      </c>
      <c r="E433" s="543"/>
      <c r="F433" s="426">
        <v>6.4</v>
      </c>
      <c r="G433" s="407"/>
      <c r="H433" s="401"/>
      <c r="I433" s="432"/>
      <c r="J433" s="401"/>
      <c r="K433" s="408"/>
      <c r="L433" s="401"/>
      <c r="M433" s="544"/>
    </row>
    <row r="434" spans="1:13" ht="18.75" customHeight="1" x14ac:dyDescent="0.25">
      <c r="A434" s="395"/>
      <c r="B434" s="505"/>
      <c r="C434" s="457" t="s">
        <v>54</v>
      </c>
      <c r="D434" s="407" t="s">
        <v>41</v>
      </c>
      <c r="E434" s="401">
        <f>0.594/0.74</f>
        <v>0.80270270270270272</v>
      </c>
      <c r="F434" s="430">
        <f>F433*E434</f>
        <v>5.1372972972972981</v>
      </c>
      <c r="G434" s="400"/>
      <c r="H434" s="401"/>
      <c r="I434" s="432"/>
      <c r="J434" s="401"/>
      <c r="K434" s="408"/>
      <c r="L434" s="401"/>
      <c r="M434" s="401"/>
    </row>
    <row r="435" spans="1:13" x14ac:dyDescent="0.25">
      <c r="A435" s="395"/>
      <c r="B435" s="505"/>
      <c r="C435" s="457" t="s">
        <v>125</v>
      </c>
      <c r="D435" s="407" t="s">
        <v>43</v>
      </c>
      <c r="E435" s="401">
        <f>0.0366/0.74</f>
        <v>4.9459459459459461E-2</v>
      </c>
      <c r="F435" s="430">
        <f>F433*E435</f>
        <v>0.31654054054054059</v>
      </c>
      <c r="G435" s="407"/>
      <c r="H435" s="401"/>
      <c r="I435" s="432"/>
      <c r="J435" s="401"/>
      <c r="K435" s="408"/>
      <c r="L435" s="401"/>
      <c r="M435" s="401"/>
    </row>
    <row r="436" spans="1:13" ht="19.5" customHeight="1" x14ac:dyDescent="0.25">
      <c r="A436" s="395"/>
      <c r="B436" s="505"/>
      <c r="C436" s="457" t="s">
        <v>127</v>
      </c>
      <c r="D436" s="407" t="s">
        <v>128</v>
      </c>
      <c r="E436" s="407">
        <v>1</v>
      </c>
      <c r="F436" s="430">
        <f>E436*F433</f>
        <v>6.4</v>
      </c>
      <c r="G436" s="407"/>
      <c r="H436" s="401"/>
      <c r="I436" s="432"/>
      <c r="J436" s="545"/>
      <c r="K436" s="408"/>
      <c r="L436" s="401"/>
      <c r="M436" s="546"/>
    </row>
    <row r="437" spans="1:13" ht="22.5" customHeight="1" x14ac:dyDescent="0.25">
      <c r="A437" s="395"/>
      <c r="B437" s="505"/>
      <c r="C437" s="457" t="s">
        <v>129</v>
      </c>
      <c r="D437" s="407" t="s">
        <v>93</v>
      </c>
      <c r="E437" s="401">
        <f>0.3/0.74</f>
        <v>0.40540540540540537</v>
      </c>
      <c r="F437" s="430">
        <f>F433*E437</f>
        <v>2.5945945945945947</v>
      </c>
      <c r="G437" s="407"/>
      <c r="H437" s="401"/>
      <c r="I437" s="432"/>
      <c r="J437" s="401"/>
      <c r="K437" s="408"/>
      <c r="L437" s="401"/>
      <c r="M437" s="545"/>
    </row>
    <row r="438" spans="1:13" ht="15.75" customHeight="1" x14ac:dyDescent="0.25">
      <c r="A438" s="395"/>
      <c r="B438" s="505"/>
      <c r="C438" s="457" t="s">
        <v>88</v>
      </c>
      <c r="D438" s="407" t="s">
        <v>56</v>
      </c>
      <c r="E438" s="458">
        <f>0.0034/0.74</f>
        <v>4.5945945945945945E-3</v>
      </c>
      <c r="F438" s="430">
        <f>F433*E438</f>
        <v>2.9405405405405406E-2</v>
      </c>
      <c r="G438" s="547"/>
      <c r="H438" s="401"/>
      <c r="I438" s="432"/>
      <c r="J438" s="401"/>
      <c r="K438" s="408"/>
      <c r="L438" s="401"/>
      <c r="M438" s="401"/>
    </row>
    <row r="439" spans="1:13" ht="23.25" customHeight="1" x14ac:dyDescent="0.25">
      <c r="A439" s="395"/>
      <c r="B439" s="505"/>
      <c r="C439" s="457" t="s">
        <v>80</v>
      </c>
      <c r="D439" s="407" t="s">
        <v>43</v>
      </c>
      <c r="E439" s="458">
        <f>0.048/0.74</f>
        <v>6.4864864864864868E-2</v>
      </c>
      <c r="F439" s="430">
        <f>F433*E439</f>
        <v>0.41513513513513517</v>
      </c>
      <c r="G439" s="407"/>
      <c r="H439" s="401"/>
      <c r="I439" s="432"/>
      <c r="J439" s="401"/>
      <c r="K439" s="408"/>
      <c r="L439" s="401"/>
      <c r="M439" s="401"/>
    </row>
    <row r="440" spans="1:13" ht="30" customHeight="1" x14ac:dyDescent="0.25">
      <c r="A440" s="548">
        <v>5</v>
      </c>
      <c r="B440" s="549" t="s">
        <v>130</v>
      </c>
      <c r="C440" s="550" t="s">
        <v>131</v>
      </c>
      <c r="D440" s="551" t="s">
        <v>39</v>
      </c>
      <c r="E440" s="552"/>
      <c r="F440" s="553">
        <v>10</v>
      </c>
      <c r="G440" s="554"/>
      <c r="H440" s="554"/>
      <c r="I440" s="555"/>
      <c r="J440" s="554"/>
      <c r="K440" s="554"/>
      <c r="L440" s="554"/>
      <c r="M440" s="556"/>
    </row>
    <row r="441" spans="1:13" ht="21" customHeight="1" x14ac:dyDescent="0.25">
      <c r="A441" s="548"/>
      <c r="B441" s="557"/>
      <c r="C441" s="174" t="s">
        <v>132</v>
      </c>
      <c r="D441" s="558" t="s">
        <v>133</v>
      </c>
      <c r="E441" s="559">
        <f>0.492*1.2</f>
        <v>0.59039999999999992</v>
      </c>
      <c r="F441" s="560">
        <v>55.68</v>
      </c>
      <c r="G441" s="554"/>
      <c r="H441" s="554"/>
      <c r="I441" s="555"/>
      <c r="J441" s="554"/>
      <c r="K441" s="554"/>
      <c r="L441" s="554"/>
      <c r="M441" s="556"/>
    </row>
    <row r="442" spans="1:13" ht="23.25" customHeight="1" x14ac:dyDescent="0.25">
      <c r="A442" s="561"/>
      <c r="B442" s="562"/>
      <c r="C442" s="563" t="s">
        <v>134</v>
      </c>
      <c r="D442" s="564" t="s">
        <v>43</v>
      </c>
      <c r="E442" s="565">
        <f>0.0083*1.2</f>
        <v>9.9600000000000001E-3</v>
      </c>
      <c r="F442" s="566">
        <f>F440*E442</f>
        <v>9.9599999999999994E-2</v>
      </c>
      <c r="G442" s="554"/>
      <c r="H442" s="554"/>
      <c r="I442" s="555"/>
      <c r="J442" s="554"/>
      <c r="K442" s="554"/>
      <c r="L442" s="554"/>
      <c r="M442" s="556"/>
    </row>
    <row r="443" spans="1:13" x14ac:dyDescent="0.25">
      <c r="A443" s="548"/>
      <c r="B443" s="567"/>
      <c r="C443" s="174" t="s">
        <v>135</v>
      </c>
      <c r="D443" s="558" t="s">
        <v>93</v>
      </c>
      <c r="E443" s="559">
        <v>0.5</v>
      </c>
      <c r="F443" s="560">
        <f>F440*E443</f>
        <v>5</v>
      </c>
      <c r="G443" s="554"/>
      <c r="H443" s="554"/>
      <c r="I443" s="568"/>
      <c r="J443" s="554"/>
      <c r="K443" s="554"/>
      <c r="L443" s="554"/>
      <c r="M443" s="556"/>
    </row>
    <row r="444" spans="1:13" ht="23.25" customHeight="1" x14ac:dyDescent="0.25">
      <c r="A444" s="548"/>
      <c r="B444" s="569"/>
      <c r="C444" s="174" t="s">
        <v>136</v>
      </c>
      <c r="D444" s="558" t="s">
        <v>43</v>
      </c>
      <c r="E444" s="570">
        <v>7.0000000000000001E-3</v>
      </c>
      <c r="F444" s="571">
        <f>E444*F440</f>
        <v>7.0000000000000007E-2</v>
      </c>
      <c r="G444" s="554"/>
      <c r="H444" s="554"/>
      <c r="I444" s="555"/>
      <c r="J444" s="554"/>
      <c r="K444" s="554"/>
      <c r="L444" s="554"/>
      <c r="M444" s="556"/>
    </row>
    <row r="445" spans="1:13" ht="30.75" customHeight="1" x14ac:dyDescent="0.25">
      <c r="A445" s="469">
        <v>6</v>
      </c>
      <c r="B445" s="470" t="s">
        <v>81</v>
      </c>
      <c r="C445" s="471" t="s">
        <v>82</v>
      </c>
      <c r="D445" s="472" t="s">
        <v>46</v>
      </c>
      <c r="E445" s="473"/>
      <c r="F445" s="474">
        <v>30</v>
      </c>
      <c r="G445" s="475"/>
      <c r="H445" s="476"/>
      <c r="I445" s="477"/>
      <c r="J445" s="478"/>
      <c r="K445" s="479"/>
      <c r="L445" s="479"/>
      <c r="M445" s="480"/>
    </row>
    <row r="446" spans="1:13" x14ac:dyDescent="0.25">
      <c r="A446" s="469"/>
      <c r="B446" s="477"/>
      <c r="C446" s="481" t="s">
        <v>61</v>
      </c>
      <c r="D446" s="475" t="s">
        <v>48</v>
      </c>
      <c r="E446" s="482">
        <f>0.243</f>
        <v>0.24299999999999999</v>
      </c>
      <c r="F446" s="483">
        <f>E446*F445</f>
        <v>7.29</v>
      </c>
      <c r="G446" s="484"/>
      <c r="H446" s="485"/>
      <c r="I446" s="486"/>
      <c r="J446" s="485"/>
      <c r="K446" s="486"/>
      <c r="L446" s="485"/>
      <c r="M446" s="485"/>
    </row>
    <row r="447" spans="1:13" x14ac:dyDescent="0.25">
      <c r="A447" s="469"/>
      <c r="B447" s="477"/>
      <c r="C447" s="481" t="s">
        <v>83</v>
      </c>
      <c r="D447" s="475" t="s">
        <v>50</v>
      </c>
      <c r="E447" s="487">
        <f>0.0016</f>
        <v>1.6000000000000001E-3</v>
      </c>
      <c r="F447" s="488">
        <f>E447*F445</f>
        <v>4.8000000000000001E-2</v>
      </c>
      <c r="G447" s="488"/>
      <c r="H447" s="485"/>
      <c r="I447" s="486"/>
      <c r="J447" s="485"/>
      <c r="K447" s="486"/>
      <c r="L447" s="485"/>
      <c r="M447" s="485"/>
    </row>
    <row r="448" spans="1:13" ht="33" customHeight="1" x14ac:dyDescent="0.25">
      <c r="A448" s="489">
        <v>7</v>
      </c>
      <c r="B448" s="490" t="s">
        <v>84</v>
      </c>
      <c r="C448" s="423" t="s">
        <v>85</v>
      </c>
      <c r="D448" s="424" t="s">
        <v>39</v>
      </c>
      <c r="E448" s="424"/>
      <c r="F448" s="425">
        <v>30</v>
      </c>
      <c r="G448" s="429"/>
      <c r="H448" s="430"/>
      <c r="I448" s="432"/>
      <c r="J448" s="430"/>
      <c r="K448" s="432"/>
      <c r="L448" s="430"/>
      <c r="M448" s="491"/>
    </row>
    <row r="449" spans="1:13" ht="16.5" customHeight="1" x14ac:dyDescent="0.25">
      <c r="A449" s="489"/>
      <c r="B449" s="492"/>
      <c r="C449" s="428" t="s">
        <v>40</v>
      </c>
      <c r="D449" s="429" t="s">
        <v>41</v>
      </c>
      <c r="E449" s="430">
        <f>1.01*1.2</f>
        <v>1.212</v>
      </c>
      <c r="F449" s="430">
        <f>E449*F448</f>
        <v>36.36</v>
      </c>
      <c r="G449" s="429"/>
      <c r="H449" s="430"/>
      <c r="I449" s="432"/>
      <c r="J449" s="430"/>
      <c r="K449" s="432"/>
      <c r="L449" s="430"/>
      <c r="M449" s="430"/>
    </row>
    <row r="450" spans="1:13" ht="18.75" customHeight="1" x14ac:dyDescent="0.25">
      <c r="A450" s="489"/>
      <c r="B450" s="492"/>
      <c r="C450" s="428" t="s">
        <v>86</v>
      </c>
      <c r="D450" s="429" t="s">
        <v>43</v>
      </c>
      <c r="E450" s="433">
        <f>0.041*1.2</f>
        <v>4.9200000000000001E-2</v>
      </c>
      <c r="F450" s="430">
        <f>E450*F448</f>
        <v>1.476</v>
      </c>
      <c r="G450" s="429"/>
      <c r="H450" s="431"/>
      <c r="I450" s="432"/>
      <c r="J450" s="430"/>
      <c r="K450" s="432"/>
      <c r="L450" s="431"/>
      <c r="M450" s="430"/>
    </row>
    <row r="451" spans="1:13" ht="21" customHeight="1" x14ac:dyDescent="0.25">
      <c r="A451" s="489"/>
      <c r="B451" s="492"/>
      <c r="C451" s="428" t="s">
        <v>87</v>
      </c>
      <c r="D451" s="429" t="s">
        <v>43</v>
      </c>
      <c r="E451" s="433">
        <f>0.027*1.2</f>
        <v>3.2399999999999998E-2</v>
      </c>
      <c r="F451" s="430">
        <f>E451*F448</f>
        <v>0.97199999999999998</v>
      </c>
      <c r="G451" s="429"/>
      <c r="H451" s="430"/>
      <c r="I451" s="432"/>
      <c r="J451" s="430"/>
      <c r="K451" s="432"/>
      <c r="L451" s="430"/>
      <c r="M451" s="430"/>
    </row>
    <row r="452" spans="1:13" x14ac:dyDescent="0.25">
      <c r="A452" s="489"/>
      <c r="B452" s="492"/>
      <c r="C452" s="428" t="s">
        <v>88</v>
      </c>
      <c r="D452" s="429" t="s">
        <v>56</v>
      </c>
      <c r="E452" s="433">
        <v>2.3800000000000002E-2</v>
      </c>
      <c r="F452" s="430">
        <f>E452*F448</f>
        <v>0.71400000000000008</v>
      </c>
      <c r="G452" s="429"/>
      <c r="H452" s="430"/>
      <c r="I452" s="432"/>
      <c r="J452" s="431"/>
      <c r="K452" s="431"/>
      <c r="L452" s="431"/>
      <c r="M452" s="430"/>
    </row>
    <row r="453" spans="1:13" x14ac:dyDescent="0.25">
      <c r="A453" s="489"/>
      <c r="B453" s="492"/>
      <c r="C453" s="428" t="s">
        <v>89</v>
      </c>
      <c r="D453" s="429" t="s">
        <v>46</v>
      </c>
      <c r="E453" s="433">
        <v>5.28E-2</v>
      </c>
      <c r="F453" s="430">
        <f>E453*F448</f>
        <v>1.5840000000000001</v>
      </c>
      <c r="G453" s="429"/>
      <c r="H453" s="430"/>
      <c r="I453" s="432"/>
      <c r="J453" s="431"/>
      <c r="K453" s="431"/>
      <c r="L453" s="431"/>
      <c r="M453" s="430"/>
    </row>
    <row r="454" spans="1:13" ht="15.75" customHeight="1" x14ac:dyDescent="0.25">
      <c r="A454" s="489"/>
      <c r="B454" s="492"/>
      <c r="C454" s="428" t="s">
        <v>83</v>
      </c>
      <c r="D454" s="429" t="s">
        <v>50</v>
      </c>
      <c r="E454" s="433">
        <v>3.0000000000000001E-3</v>
      </c>
      <c r="F454" s="430">
        <f>E454*F448</f>
        <v>0.09</v>
      </c>
      <c r="G454" s="429"/>
      <c r="H454" s="430"/>
      <c r="I454" s="432"/>
      <c r="J454" s="431"/>
      <c r="K454" s="431"/>
      <c r="L454" s="431"/>
      <c r="M454" s="430"/>
    </row>
    <row r="455" spans="1:13" ht="28.5" customHeight="1" x14ac:dyDescent="0.25">
      <c r="A455" s="395">
        <v>8</v>
      </c>
      <c r="B455" s="572" t="s">
        <v>137</v>
      </c>
      <c r="C455" s="454" t="s">
        <v>138</v>
      </c>
      <c r="D455" s="398" t="s">
        <v>128</v>
      </c>
      <c r="E455" s="543"/>
      <c r="F455" s="425">
        <v>20</v>
      </c>
      <c r="G455" s="407"/>
      <c r="H455" s="401"/>
      <c r="I455" s="432"/>
      <c r="J455" s="401"/>
      <c r="K455" s="408"/>
      <c r="L455" s="401"/>
      <c r="M455" s="544"/>
    </row>
    <row r="456" spans="1:13" ht="18" customHeight="1" x14ac:dyDescent="0.25">
      <c r="A456" s="395"/>
      <c r="B456" s="573"/>
      <c r="C456" s="457" t="s">
        <v>40</v>
      </c>
      <c r="D456" s="407" t="s">
        <v>41</v>
      </c>
      <c r="E456" s="401">
        <v>0.3</v>
      </c>
      <c r="F456" s="430">
        <f>E456*F455</f>
        <v>6</v>
      </c>
      <c r="G456" s="407"/>
      <c r="H456" s="401"/>
      <c r="I456" s="432"/>
      <c r="J456" s="401"/>
      <c r="K456" s="408"/>
      <c r="L456" s="401"/>
      <c r="M456" s="401"/>
    </row>
    <row r="457" spans="1:13" x14ac:dyDescent="0.25">
      <c r="A457" s="395"/>
      <c r="B457" s="573"/>
      <c r="C457" s="457" t="s">
        <v>75</v>
      </c>
      <c r="D457" s="407" t="s">
        <v>43</v>
      </c>
      <c r="E457" s="407">
        <v>1.0999999999999999E-2</v>
      </c>
      <c r="F457" s="430">
        <f>E457*F455</f>
        <v>0.21999999999999997</v>
      </c>
      <c r="G457" s="407"/>
      <c r="H457" s="401"/>
      <c r="I457" s="432"/>
      <c r="J457" s="401"/>
      <c r="K457" s="408"/>
      <c r="L457" s="401"/>
      <c r="M457" s="401"/>
    </row>
    <row r="458" spans="1:13" x14ac:dyDescent="0.25">
      <c r="A458" s="395"/>
      <c r="B458" s="573"/>
      <c r="C458" s="457" t="s">
        <v>88</v>
      </c>
      <c r="D458" s="407" t="s">
        <v>56</v>
      </c>
      <c r="E458" s="574">
        <v>6.7000000000000002E-3</v>
      </c>
      <c r="F458" s="430">
        <f>E458*F455</f>
        <v>0.13400000000000001</v>
      </c>
      <c r="G458" s="407"/>
      <c r="H458" s="401"/>
      <c r="I458" s="432"/>
      <c r="J458" s="545"/>
      <c r="K458" s="545"/>
      <c r="L458" s="545"/>
      <c r="M458" s="545"/>
    </row>
    <row r="459" spans="1:13" ht="54" x14ac:dyDescent="0.25">
      <c r="A459" s="489">
        <v>9</v>
      </c>
      <c r="B459" s="735" t="s">
        <v>90</v>
      </c>
      <c r="C459" s="423" t="s">
        <v>207</v>
      </c>
      <c r="D459" s="462" t="s">
        <v>39</v>
      </c>
      <c r="E459" s="462"/>
      <c r="F459" s="494">
        <v>420</v>
      </c>
      <c r="G459" s="429"/>
      <c r="H459" s="430"/>
      <c r="I459" s="432"/>
      <c r="J459" s="430"/>
      <c r="K459" s="432"/>
      <c r="L459" s="430"/>
      <c r="M459" s="491"/>
    </row>
    <row r="460" spans="1:13" ht="18" customHeight="1" x14ac:dyDescent="0.25">
      <c r="A460" s="489"/>
      <c r="B460" s="735"/>
      <c r="C460" s="428" t="s">
        <v>40</v>
      </c>
      <c r="D460" s="429" t="s">
        <v>41</v>
      </c>
      <c r="E460" s="430">
        <f>0.77*1.2</f>
        <v>0.92399999999999993</v>
      </c>
      <c r="F460" s="430">
        <f>E460*F459</f>
        <v>388.08</v>
      </c>
      <c r="G460" s="429"/>
      <c r="H460" s="430"/>
      <c r="I460" s="432"/>
      <c r="J460" s="430"/>
      <c r="K460" s="432"/>
      <c r="L460" s="430"/>
      <c r="M460" s="431"/>
    </row>
    <row r="461" spans="1:13" ht="16.5" customHeight="1" x14ac:dyDescent="0.25">
      <c r="A461" s="489"/>
      <c r="B461" s="735"/>
      <c r="C461" s="428" t="s">
        <v>75</v>
      </c>
      <c r="D461" s="429" t="s">
        <v>43</v>
      </c>
      <c r="E461" s="429">
        <f>0.0095*1.2</f>
        <v>1.1399999999999999E-2</v>
      </c>
      <c r="F461" s="430">
        <f>E461*F459</f>
        <v>4.7879999999999994</v>
      </c>
      <c r="G461" s="429"/>
      <c r="H461" s="430"/>
      <c r="I461" s="432"/>
      <c r="J461" s="430"/>
      <c r="K461" s="432"/>
      <c r="L461" s="430"/>
      <c r="M461" s="431"/>
    </row>
    <row r="462" spans="1:13" x14ac:dyDescent="0.25">
      <c r="A462" s="489"/>
      <c r="B462" s="429"/>
      <c r="C462" s="495" t="s">
        <v>92</v>
      </c>
      <c r="D462" s="429" t="s">
        <v>93</v>
      </c>
      <c r="E462" s="429">
        <v>0.24</v>
      </c>
      <c r="F462" s="430">
        <f>E462*F459</f>
        <v>100.8</v>
      </c>
      <c r="G462" s="429"/>
      <c r="H462" s="430"/>
      <c r="I462" s="496"/>
      <c r="J462" s="431"/>
      <c r="K462" s="432"/>
      <c r="L462" s="430"/>
      <c r="M462" s="431"/>
    </row>
    <row r="463" spans="1:13" x14ac:dyDescent="0.25">
      <c r="A463" s="489"/>
      <c r="B463" s="429"/>
      <c r="C463" s="495" t="s">
        <v>94</v>
      </c>
      <c r="D463" s="490" t="s">
        <v>93</v>
      </c>
      <c r="E463" s="490">
        <f>0.183+0.12+0.001</f>
        <v>0.30399999999999999</v>
      </c>
      <c r="F463" s="430">
        <f>E463*F459</f>
        <v>127.67999999999999</v>
      </c>
      <c r="G463" s="429"/>
      <c r="H463" s="430"/>
      <c r="I463" s="432"/>
      <c r="J463" s="431"/>
      <c r="K463" s="432"/>
      <c r="L463" s="430"/>
      <c r="M463" s="431"/>
    </row>
    <row r="464" spans="1:13" ht="18" customHeight="1" x14ac:dyDescent="0.25">
      <c r="A464" s="489"/>
      <c r="B464" s="429"/>
      <c r="C464" s="428" t="s">
        <v>58</v>
      </c>
      <c r="D464" s="429" t="s">
        <v>43</v>
      </c>
      <c r="E464" s="429">
        <v>1.6E-2</v>
      </c>
      <c r="F464" s="433">
        <f>E464*F459</f>
        <v>6.72</v>
      </c>
      <c r="G464" s="429"/>
      <c r="H464" s="430"/>
      <c r="I464" s="432"/>
      <c r="J464" s="430"/>
      <c r="K464" s="432"/>
      <c r="L464" s="430"/>
      <c r="M464" s="431"/>
    </row>
    <row r="465" spans="1:13" ht="44.25" customHeight="1" x14ac:dyDescent="0.25">
      <c r="A465" s="395">
        <v>10</v>
      </c>
      <c r="B465" s="396" t="s">
        <v>208</v>
      </c>
      <c r="C465" s="454" t="s">
        <v>209</v>
      </c>
      <c r="D465" s="398" t="s">
        <v>39</v>
      </c>
      <c r="E465" s="604"/>
      <c r="F465" s="424">
        <v>2.83</v>
      </c>
      <c r="G465" s="407"/>
      <c r="H465" s="401"/>
      <c r="I465" s="432"/>
      <c r="J465" s="401"/>
      <c r="K465" s="408"/>
      <c r="L465" s="401"/>
      <c r="M465" s="544"/>
    </row>
    <row r="466" spans="1:13" ht="18" customHeight="1" x14ac:dyDescent="0.25">
      <c r="A466" s="395"/>
      <c r="B466" s="396"/>
      <c r="C466" s="457" t="s">
        <v>180</v>
      </c>
      <c r="D466" s="407" t="s">
        <v>41</v>
      </c>
      <c r="E466" s="407">
        <v>0.88700000000000001</v>
      </c>
      <c r="F466" s="430">
        <f>E466*F465</f>
        <v>2.5102100000000003</v>
      </c>
      <c r="G466" s="407"/>
      <c r="H466" s="401"/>
      <c r="I466" s="432"/>
      <c r="J466" s="401"/>
      <c r="K466" s="408"/>
      <c r="L466" s="401"/>
      <c r="M466" s="401"/>
    </row>
    <row r="467" spans="1:13" ht="18" customHeight="1" x14ac:dyDescent="0.25">
      <c r="A467" s="395"/>
      <c r="B467" s="396"/>
      <c r="C467" s="457" t="s">
        <v>78</v>
      </c>
      <c r="D467" s="407" t="s">
        <v>210</v>
      </c>
      <c r="E467" s="407">
        <v>9.8400000000000001E-2</v>
      </c>
      <c r="F467" s="430">
        <f>E467*F465</f>
        <v>0.278472</v>
      </c>
      <c r="G467" s="407"/>
      <c r="H467" s="401"/>
      <c r="I467" s="432"/>
      <c r="J467" s="401"/>
      <c r="K467" s="408"/>
      <c r="L467" s="401"/>
      <c r="M467" s="401"/>
    </row>
    <row r="468" spans="1:13" ht="95.25" customHeight="1" x14ac:dyDescent="0.25">
      <c r="A468" s="396">
        <v>11</v>
      </c>
      <c r="B468" s="584" t="s">
        <v>211</v>
      </c>
      <c r="C468" s="454" t="s">
        <v>212</v>
      </c>
      <c r="D468" s="398" t="s">
        <v>169</v>
      </c>
      <c r="E468" s="398"/>
      <c r="F468" s="425">
        <v>1</v>
      </c>
      <c r="G468" s="407"/>
      <c r="H468" s="401"/>
      <c r="I468" s="430"/>
      <c r="J468" s="401"/>
      <c r="K468" s="401"/>
      <c r="L468" s="401"/>
      <c r="M468" s="401"/>
    </row>
    <row r="469" spans="1:13" x14ac:dyDescent="0.25">
      <c r="A469" s="396"/>
      <c r="B469" s="584"/>
      <c r="C469" s="457" t="s">
        <v>40</v>
      </c>
      <c r="D469" s="407" t="s">
        <v>41</v>
      </c>
      <c r="E469" s="407">
        <v>8.1</v>
      </c>
      <c r="F469" s="430">
        <f>E469*F468</f>
        <v>8.1</v>
      </c>
      <c r="G469" s="407"/>
      <c r="H469" s="401"/>
      <c r="I469" s="432"/>
      <c r="J469" s="401"/>
      <c r="K469" s="408"/>
      <c r="L469" s="401"/>
      <c r="M469" s="401"/>
    </row>
    <row r="470" spans="1:13" x14ac:dyDescent="0.25">
      <c r="A470" s="396"/>
      <c r="B470" s="584"/>
      <c r="C470" s="457" t="s">
        <v>87</v>
      </c>
      <c r="D470" s="407" t="s">
        <v>43</v>
      </c>
      <c r="E470" s="407">
        <v>0.06</v>
      </c>
      <c r="F470" s="430">
        <f>E470*F468</f>
        <v>0.06</v>
      </c>
      <c r="G470" s="400"/>
      <c r="H470" s="401"/>
      <c r="I470" s="432"/>
      <c r="J470" s="401"/>
      <c r="K470" s="408"/>
      <c r="L470" s="401"/>
      <c r="M470" s="401"/>
    </row>
    <row r="471" spans="1:13" ht="18" customHeight="1" x14ac:dyDescent="0.25">
      <c r="A471" s="453"/>
      <c r="B471" s="584"/>
      <c r="C471" s="457" t="s">
        <v>402</v>
      </c>
      <c r="D471" s="407" t="s">
        <v>39</v>
      </c>
      <c r="E471" s="407"/>
      <c r="F471" s="430">
        <f>1.24*2.28</f>
        <v>2.8271999999999999</v>
      </c>
      <c r="G471" s="400"/>
      <c r="H471" s="401"/>
      <c r="I471" s="432"/>
      <c r="J471" s="401"/>
      <c r="K471" s="408"/>
      <c r="L471" s="401"/>
      <c r="M471" s="545"/>
    </row>
    <row r="472" spans="1:13" ht="30" customHeight="1" x14ac:dyDescent="0.25">
      <c r="A472" s="396"/>
      <c r="B472" s="584"/>
      <c r="C472" s="457" t="s">
        <v>213</v>
      </c>
      <c r="D472" s="407" t="s">
        <v>169</v>
      </c>
      <c r="E472" s="407">
        <v>1</v>
      </c>
      <c r="F472" s="430">
        <f>E472*F468</f>
        <v>1</v>
      </c>
      <c r="G472" s="407"/>
      <c r="H472" s="658"/>
      <c r="I472" s="680"/>
      <c r="J472" s="401"/>
      <c r="K472" s="598"/>
      <c r="L472" s="401"/>
      <c r="M472" s="545"/>
    </row>
    <row r="473" spans="1:13" ht="17.25" customHeight="1" x14ac:dyDescent="0.25">
      <c r="A473" s="396"/>
      <c r="B473" s="584"/>
      <c r="C473" s="457" t="s">
        <v>58</v>
      </c>
      <c r="D473" s="407" t="s">
        <v>43</v>
      </c>
      <c r="E473" s="407">
        <v>0.7</v>
      </c>
      <c r="F473" s="433">
        <f>E473*F468</f>
        <v>0.7</v>
      </c>
      <c r="G473" s="407"/>
      <c r="H473" s="599"/>
      <c r="I473" s="680"/>
      <c r="J473" s="401"/>
      <c r="K473" s="598"/>
      <c r="L473" s="401"/>
      <c r="M473" s="545"/>
    </row>
    <row r="474" spans="1:13" ht="54" customHeight="1" x14ac:dyDescent="0.25">
      <c r="A474" s="395">
        <v>12</v>
      </c>
      <c r="B474" s="410" t="s">
        <v>214</v>
      </c>
      <c r="C474" s="594" t="s">
        <v>215</v>
      </c>
      <c r="D474" s="605" t="s">
        <v>39</v>
      </c>
      <c r="E474" s="410"/>
      <c r="F474" s="494">
        <v>5.7</v>
      </c>
      <c r="G474" s="407"/>
      <c r="H474" s="401"/>
      <c r="I474" s="432"/>
      <c r="J474" s="401"/>
      <c r="K474" s="408"/>
      <c r="L474" s="401"/>
      <c r="M474" s="545"/>
    </row>
    <row r="475" spans="1:13" x14ac:dyDescent="0.25">
      <c r="A475" s="489"/>
      <c r="B475" s="606"/>
      <c r="C475" s="575" t="s">
        <v>40</v>
      </c>
      <c r="D475" s="607" t="s">
        <v>103</v>
      </c>
      <c r="E475" s="592">
        <f>1.08*1.2*1.4</f>
        <v>1.8144</v>
      </c>
      <c r="F475" s="536">
        <f>F474*E475</f>
        <v>10.342080000000001</v>
      </c>
      <c r="G475" s="263"/>
      <c r="H475" s="515"/>
      <c r="I475" s="468"/>
      <c r="J475" s="609"/>
      <c r="K475" s="516"/>
      <c r="L475" s="515"/>
      <c r="M475" s="608"/>
    </row>
    <row r="476" spans="1:13" x14ac:dyDescent="0.25">
      <c r="A476" s="395"/>
      <c r="B476" s="450"/>
      <c r="C476" s="610" t="s">
        <v>216</v>
      </c>
      <c r="D476" s="402" t="s">
        <v>43</v>
      </c>
      <c r="E476" s="400">
        <f>0.028*1.2</f>
        <v>3.3599999999999998E-2</v>
      </c>
      <c r="F476" s="536">
        <f>E476*F474</f>
        <v>0.19152</v>
      </c>
      <c r="G476" s="408"/>
      <c r="H476" s="401"/>
      <c r="I476" s="493"/>
      <c r="J476" s="401"/>
      <c r="K476" s="408"/>
      <c r="L476" s="401"/>
      <c r="M476" s="545"/>
    </row>
    <row r="477" spans="1:13" x14ac:dyDescent="0.25">
      <c r="A477" s="395"/>
      <c r="B477" s="450"/>
      <c r="C477" s="595" t="s">
        <v>217</v>
      </c>
      <c r="D477" s="402" t="s">
        <v>39</v>
      </c>
      <c r="E477" s="456">
        <v>1.02</v>
      </c>
      <c r="F477" s="431">
        <f>E477*F474</f>
        <v>5.8140000000000001</v>
      </c>
      <c r="G477" s="407"/>
      <c r="H477" s="401"/>
      <c r="I477" s="432"/>
      <c r="J477" s="545"/>
      <c r="K477" s="545"/>
      <c r="L477" s="545"/>
      <c r="M477" s="545"/>
    </row>
    <row r="478" spans="1:13" x14ac:dyDescent="0.25">
      <c r="A478" s="395"/>
      <c r="B478" s="450"/>
      <c r="C478" s="611" t="s">
        <v>218</v>
      </c>
      <c r="D478" s="607" t="s">
        <v>219</v>
      </c>
      <c r="E478" s="515">
        <v>0.28999999999999998</v>
      </c>
      <c r="F478" s="536">
        <f>E478*F474</f>
        <v>1.653</v>
      </c>
      <c r="G478" s="407"/>
      <c r="H478" s="401"/>
      <c r="I478" s="432"/>
      <c r="J478" s="545"/>
      <c r="K478" s="545"/>
      <c r="L478" s="545"/>
      <c r="M478" s="545"/>
    </row>
    <row r="479" spans="1:13" x14ac:dyDescent="0.25">
      <c r="A479" s="395"/>
      <c r="B479" s="450"/>
      <c r="C479" s="595" t="s">
        <v>80</v>
      </c>
      <c r="D479" s="402" t="s">
        <v>43</v>
      </c>
      <c r="E479" s="400">
        <v>1.2E-2</v>
      </c>
      <c r="F479" s="431">
        <f>E479*F474</f>
        <v>6.8400000000000002E-2</v>
      </c>
      <c r="G479" s="407"/>
      <c r="H479" s="401"/>
      <c r="I479" s="432"/>
      <c r="J479" s="401"/>
      <c r="K479" s="401"/>
      <c r="L479" s="401"/>
      <c r="M479" s="545"/>
    </row>
    <row r="480" spans="1:13" ht="34.5" customHeight="1" x14ac:dyDescent="0.25">
      <c r="A480" s="440">
        <v>13</v>
      </c>
      <c r="B480" s="263" t="s">
        <v>95</v>
      </c>
      <c r="C480" s="497" t="s">
        <v>220</v>
      </c>
      <c r="D480" s="412" t="s">
        <v>67</v>
      </c>
      <c r="E480" s="448"/>
      <c r="F480" s="498">
        <v>1</v>
      </c>
      <c r="G480" s="414"/>
      <c r="H480" s="499"/>
      <c r="I480" s="674"/>
      <c r="J480" s="499"/>
      <c r="K480" s="420"/>
      <c r="L480" s="499"/>
      <c r="M480" s="414"/>
    </row>
    <row r="481" spans="1:13" ht="15.75" x14ac:dyDescent="0.3">
      <c r="A481" s="440"/>
      <c r="B481" s="402" t="s">
        <v>97</v>
      </c>
      <c r="C481" s="500" t="s">
        <v>68</v>
      </c>
      <c r="D481" s="451" t="s">
        <v>48</v>
      </c>
      <c r="E481" s="448">
        <f>0.58*0.4</f>
        <v>0.23199999999999998</v>
      </c>
      <c r="F481" s="501">
        <f>E481*F480</f>
        <v>0.23199999999999998</v>
      </c>
      <c r="G481" s="419"/>
      <c r="H481" s="502"/>
      <c r="I481" s="676"/>
      <c r="J481" s="502"/>
      <c r="K481" s="503"/>
      <c r="L481" s="502"/>
      <c r="M481" s="502"/>
    </row>
    <row r="482" spans="1:13" ht="18" customHeight="1" x14ac:dyDescent="0.3">
      <c r="A482" s="440"/>
      <c r="B482" s="402"/>
      <c r="C482" s="504" t="s">
        <v>98</v>
      </c>
      <c r="D482" s="451" t="s">
        <v>50</v>
      </c>
      <c r="E482" s="448">
        <f>0.0305*0.4</f>
        <v>1.2200000000000001E-2</v>
      </c>
      <c r="F482" s="501">
        <f>E482*F480</f>
        <v>1.2200000000000001E-2</v>
      </c>
      <c r="G482" s="448"/>
      <c r="H482" s="502"/>
      <c r="I482" s="676"/>
      <c r="J482" s="502"/>
      <c r="K482" s="503"/>
      <c r="L482" s="502"/>
      <c r="M482" s="502"/>
    </row>
    <row r="483" spans="1:13" ht="19.5" customHeight="1" x14ac:dyDescent="0.25">
      <c r="A483" s="440"/>
      <c r="B483" s="505"/>
      <c r="C483" s="418" t="s">
        <v>64</v>
      </c>
      <c r="D483" s="419" t="s">
        <v>50</v>
      </c>
      <c r="E483" s="419">
        <f>0.0985*0.4</f>
        <v>3.9400000000000004E-2</v>
      </c>
      <c r="F483" s="506">
        <f>E483*F480</f>
        <v>3.9400000000000004E-2</v>
      </c>
      <c r="G483" s="419"/>
      <c r="H483" s="414"/>
      <c r="I483" s="674"/>
      <c r="J483" s="414"/>
      <c r="K483" s="420"/>
      <c r="L483" s="414"/>
      <c r="M483" s="414"/>
    </row>
    <row r="484" spans="1:13" ht="32.25" customHeight="1" x14ac:dyDescent="0.25">
      <c r="A484" s="507">
        <v>14</v>
      </c>
      <c r="B484" s="263" t="s">
        <v>95</v>
      </c>
      <c r="C484" s="508" t="s">
        <v>221</v>
      </c>
      <c r="D484" s="507" t="s">
        <v>101</v>
      </c>
      <c r="E484" s="507"/>
      <c r="F484" s="601">
        <v>1</v>
      </c>
      <c r="G484" s="507"/>
      <c r="H484" s="464"/>
      <c r="I484" s="677"/>
      <c r="J484" s="464"/>
      <c r="K484" s="509"/>
      <c r="L484" s="464"/>
      <c r="M484" s="464"/>
    </row>
    <row r="485" spans="1:13" ht="16.5" customHeight="1" x14ac:dyDescent="0.25">
      <c r="A485" s="407"/>
      <c r="B485" s="510"/>
      <c r="C485" s="511" t="s">
        <v>102</v>
      </c>
      <c r="D485" s="407" t="s">
        <v>103</v>
      </c>
      <c r="E485" s="407">
        <f>1.65*1.2</f>
        <v>1.9799999999999998</v>
      </c>
      <c r="F485" s="493">
        <f>F484*E485</f>
        <v>1.9799999999999998</v>
      </c>
      <c r="G485" s="512"/>
      <c r="H485" s="513"/>
      <c r="I485" s="678"/>
      <c r="J485" s="513"/>
      <c r="K485" s="514"/>
      <c r="L485" s="513"/>
      <c r="M485" s="513"/>
    </row>
    <row r="486" spans="1:13" ht="16.5" customHeight="1" x14ac:dyDescent="0.25">
      <c r="A486" s="407"/>
      <c r="B486" s="407"/>
      <c r="C486" s="511" t="s">
        <v>104</v>
      </c>
      <c r="D486" s="407" t="s">
        <v>43</v>
      </c>
      <c r="E486" s="407">
        <f>0.022*1.2</f>
        <v>2.6399999999999996E-2</v>
      </c>
      <c r="F486" s="493">
        <f>F484*E486</f>
        <v>2.6399999999999996E-2</v>
      </c>
      <c r="G486" s="512"/>
      <c r="H486" s="513"/>
      <c r="I486" s="678"/>
      <c r="J486" s="513"/>
      <c r="K486" s="514"/>
      <c r="L486" s="513"/>
      <c r="M486" s="513"/>
    </row>
    <row r="487" spans="1:13" ht="27" x14ac:dyDescent="0.25">
      <c r="A487" s="407"/>
      <c r="B487" s="510"/>
      <c r="C487" s="575" t="s">
        <v>222</v>
      </c>
      <c r="D487" s="263" t="s">
        <v>101</v>
      </c>
      <c r="E487" s="263">
        <v>1</v>
      </c>
      <c r="F487" s="422">
        <f>F484*E487</f>
        <v>1</v>
      </c>
      <c r="G487" s="515"/>
      <c r="H487" s="515"/>
      <c r="I487" s="535"/>
      <c r="J487" s="516"/>
      <c r="K487" s="515"/>
      <c r="L487" s="515"/>
      <c r="M487" s="517"/>
    </row>
    <row r="488" spans="1:13" x14ac:dyDescent="0.25">
      <c r="A488" s="407"/>
      <c r="B488" s="407"/>
      <c r="C488" s="511" t="s">
        <v>106</v>
      </c>
      <c r="D488" s="407" t="s">
        <v>43</v>
      </c>
      <c r="E488" s="407">
        <v>0.30599999999999999</v>
      </c>
      <c r="F488" s="493">
        <f>F484*E488</f>
        <v>0.30599999999999999</v>
      </c>
      <c r="G488" s="401"/>
      <c r="H488" s="401"/>
      <c r="I488" s="535"/>
      <c r="J488" s="401"/>
      <c r="K488" s="401"/>
      <c r="L488" s="401"/>
      <c r="M488" s="513"/>
    </row>
    <row r="489" spans="1:13" ht="33" customHeight="1" x14ac:dyDescent="0.25">
      <c r="A489" s="440">
        <v>15</v>
      </c>
      <c r="B489" s="519" t="s">
        <v>109</v>
      </c>
      <c r="C489" s="612" t="s">
        <v>223</v>
      </c>
      <c r="D489" s="412" t="s">
        <v>46</v>
      </c>
      <c r="E489" s="448"/>
      <c r="F489" s="498">
        <v>10</v>
      </c>
      <c r="G489" s="414"/>
      <c r="H489" s="499"/>
      <c r="I489" s="674"/>
      <c r="J489" s="499"/>
      <c r="K489" s="420"/>
      <c r="L489" s="499"/>
      <c r="M489" s="414"/>
    </row>
    <row r="490" spans="1:13" ht="17.25" customHeight="1" x14ac:dyDescent="0.3">
      <c r="A490" s="440"/>
      <c r="B490" s="402"/>
      <c r="C490" s="500" t="s">
        <v>68</v>
      </c>
      <c r="D490" s="451" t="s">
        <v>48</v>
      </c>
      <c r="E490" s="448">
        <v>0.57999999999999996</v>
      </c>
      <c r="F490" s="501">
        <f>E490*F489</f>
        <v>5.8</v>
      </c>
      <c r="G490" s="419"/>
      <c r="H490" s="502"/>
      <c r="I490" s="676"/>
      <c r="J490" s="502"/>
      <c r="K490" s="503"/>
      <c r="L490" s="502"/>
      <c r="M490" s="502"/>
    </row>
    <row r="491" spans="1:13" ht="17.25" customHeight="1" x14ac:dyDescent="0.3">
      <c r="A491" s="440"/>
      <c r="B491" s="402"/>
      <c r="C491" s="504" t="s">
        <v>98</v>
      </c>
      <c r="D491" s="451" t="s">
        <v>50</v>
      </c>
      <c r="E491" s="448">
        <v>3.0499999999999999E-2</v>
      </c>
      <c r="F491" s="501">
        <f>E491*F489</f>
        <v>0.30499999999999999</v>
      </c>
      <c r="G491" s="448"/>
      <c r="H491" s="502"/>
      <c r="I491" s="676"/>
      <c r="J491" s="502"/>
      <c r="K491" s="503"/>
      <c r="L491" s="502"/>
      <c r="M491" s="502"/>
    </row>
    <row r="492" spans="1:13" ht="17.25" customHeight="1" x14ac:dyDescent="0.25">
      <c r="A492" s="440"/>
      <c r="B492" s="505"/>
      <c r="C492" s="418" t="s">
        <v>64</v>
      </c>
      <c r="D492" s="419" t="s">
        <v>50</v>
      </c>
      <c r="E492" s="419">
        <v>9.8500000000000004E-2</v>
      </c>
      <c r="F492" s="506">
        <f>E492*F489</f>
        <v>0.9850000000000001</v>
      </c>
      <c r="G492" s="419"/>
      <c r="H492" s="414"/>
      <c r="I492" s="674"/>
      <c r="J492" s="414"/>
      <c r="K492" s="420"/>
      <c r="L492" s="414"/>
      <c r="M492" s="414"/>
    </row>
    <row r="493" spans="1:13" ht="53.25" customHeight="1" x14ac:dyDescent="0.3">
      <c r="A493" s="613">
        <v>16</v>
      </c>
      <c r="B493" s="614" t="s">
        <v>224</v>
      </c>
      <c r="C493" s="615" t="s">
        <v>225</v>
      </c>
      <c r="D493" s="616" t="s">
        <v>39</v>
      </c>
      <c r="E493" s="463"/>
      <c r="F493" s="617">
        <v>10</v>
      </c>
      <c r="G493" s="463"/>
      <c r="H493" s="425"/>
      <c r="I493" s="616"/>
      <c r="J493" s="425"/>
      <c r="K493" s="618"/>
      <c r="L493" s="425"/>
      <c r="M493" s="425"/>
    </row>
    <row r="494" spans="1:13" ht="17.25" customHeight="1" x14ac:dyDescent="0.3">
      <c r="A494" s="613"/>
      <c r="B494" s="524"/>
      <c r="C494" s="525" t="s">
        <v>40</v>
      </c>
      <c r="D494" s="524" t="s">
        <v>103</v>
      </c>
      <c r="E494" s="530">
        <f>1.11*1.15</f>
        <v>1.2765</v>
      </c>
      <c r="F494" s="531">
        <f>E494*F493</f>
        <v>12.765000000000001</v>
      </c>
      <c r="G494" s="526"/>
      <c r="H494" s="527"/>
      <c r="I494" s="524"/>
      <c r="J494" s="528"/>
      <c r="K494" s="529"/>
      <c r="L494" s="529"/>
      <c r="M494" s="528"/>
    </row>
    <row r="495" spans="1:13" ht="17.25" customHeight="1" x14ac:dyDescent="0.3">
      <c r="A495" s="613"/>
      <c r="B495" s="524"/>
      <c r="C495" s="525" t="s">
        <v>226</v>
      </c>
      <c r="D495" s="524" t="s">
        <v>43</v>
      </c>
      <c r="E495" s="526">
        <f>0.035+0.0104</f>
        <v>4.5400000000000003E-2</v>
      </c>
      <c r="F495" s="531">
        <f>E495*F493</f>
        <v>0.45400000000000001</v>
      </c>
      <c r="G495" s="527"/>
      <c r="H495" s="531"/>
      <c r="I495" s="524"/>
      <c r="J495" s="528"/>
      <c r="K495" s="528"/>
      <c r="L495" s="532"/>
      <c r="M495" s="532"/>
    </row>
    <row r="496" spans="1:13" ht="17.25" customHeight="1" x14ac:dyDescent="0.25">
      <c r="A496" s="619"/>
      <c r="B496" s="736" t="s">
        <v>227</v>
      </c>
      <c r="C496" s="620" t="s">
        <v>228</v>
      </c>
      <c r="D496" s="429" t="s">
        <v>128</v>
      </c>
      <c r="E496" s="431">
        <v>3.2</v>
      </c>
      <c r="F496" s="430">
        <f>E496*F493</f>
        <v>32</v>
      </c>
      <c r="G496" s="429"/>
      <c r="H496" s="430"/>
      <c r="I496" s="432"/>
      <c r="J496" s="430"/>
      <c r="K496" s="432"/>
      <c r="L496" s="430"/>
      <c r="M496" s="431"/>
    </row>
    <row r="497" spans="1:13" ht="15" customHeight="1" x14ac:dyDescent="0.25">
      <c r="A497" s="619"/>
      <c r="B497" s="736"/>
      <c r="C497" s="620" t="s">
        <v>229</v>
      </c>
      <c r="D497" s="429" t="s">
        <v>230</v>
      </c>
      <c r="E497" s="429">
        <v>0.4</v>
      </c>
      <c r="F497" s="430">
        <f>E497*F493</f>
        <v>4</v>
      </c>
      <c r="G497" s="429"/>
      <c r="H497" s="430"/>
      <c r="I497" s="432"/>
      <c r="J497" s="430"/>
      <c r="K497" s="432"/>
      <c r="L497" s="430"/>
      <c r="M497" s="431"/>
    </row>
    <row r="498" spans="1:13" ht="17.25" customHeight="1" x14ac:dyDescent="0.3">
      <c r="A498" s="613"/>
      <c r="B498" s="533"/>
      <c r="C498" s="540" t="s">
        <v>231</v>
      </c>
      <c r="D498" s="524" t="s">
        <v>39</v>
      </c>
      <c r="E498" s="531">
        <v>1.03</v>
      </c>
      <c r="F498" s="531">
        <f>E498*F493</f>
        <v>10.3</v>
      </c>
      <c r="G498" s="527"/>
      <c r="H498" s="531"/>
      <c r="I498" s="524"/>
      <c r="J498" s="528"/>
      <c r="K498" s="532"/>
      <c r="L498" s="532"/>
      <c r="M498" s="532"/>
    </row>
    <row r="499" spans="1:13" ht="17.25" customHeight="1" x14ac:dyDescent="0.25">
      <c r="A499" s="619"/>
      <c r="B499" s="429"/>
      <c r="C499" s="428" t="s">
        <v>232</v>
      </c>
      <c r="D499" s="429" t="s">
        <v>101</v>
      </c>
      <c r="E499" s="429">
        <v>21</v>
      </c>
      <c r="F499" s="430">
        <f>E499*F493</f>
        <v>210</v>
      </c>
      <c r="G499" s="429"/>
      <c r="H499" s="430"/>
      <c r="I499" s="430"/>
      <c r="J499" s="430"/>
      <c r="K499" s="432"/>
      <c r="L499" s="430"/>
      <c r="M499" s="431"/>
    </row>
    <row r="500" spans="1:13" ht="17.25" customHeight="1" x14ac:dyDescent="0.3">
      <c r="A500" s="613"/>
      <c r="B500" s="533"/>
      <c r="C500" s="540" t="s">
        <v>233</v>
      </c>
      <c r="D500" s="524" t="s">
        <v>43</v>
      </c>
      <c r="E500" s="526">
        <v>0.16300000000000001</v>
      </c>
      <c r="F500" s="531">
        <f>E500*F493</f>
        <v>1.6300000000000001</v>
      </c>
      <c r="G500" s="527"/>
      <c r="H500" s="531"/>
      <c r="I500" s="524"/>
      <c r="J500" s="528"/>
      <c r="K500" s="532"/>
      <c r="L500" s="532"/>
      <c r="M500" s="532"/>
    </row>
    <row r="501" spans="1:13" ht="34.5" customHeight="1" x14ac:dyDescent="0.25">
      <c r="A501" s="469">
        <v>17</v>
      </c>
      <c r="B501" s="470" t="s">
        <v>81</v>
      </c>
      <c r="C501" s="471" t="s">
        <v>234</v>
      </c>
      <c r="D501" s="472" t="s">
        <v>46</v>
      </c>
      <c r="E501" s="473"/>
      <c r="F501" s="474">
        <v>10</v>
      </c>
      <c r="G501" s="475"/>
      <c r="H501" s="476"/>
      <c r="I501" s="477"/>
      <c r="J501" s="478"/>
      <c r="K501" s="479"/>
      <c r="L501" s="479"/>
      <c r="M501" s="480"/>
    </row>
    <row r="502" spans="1:13" x14ac:dyDescent="0.25">
      <c r="A502" s="469"/>
      <c r="B502" s="477" t="s">
        <v>235</v>
      </c>
      <c r="C502" s="481" t="s">
        <v>61</v>
      </c>
      <c r="D502" s="475" t="s">
        <v>48</v>
      </c>
      <c r="E502" s="482">
        <f>0.243*1.1</f>
        <v>0.26730000000000004</v>
      </c>
      <c r="F502" s="483">
        <f>E502*F501</f>
        <v>2.6730000000000005</v>
      </c>
      <c r="G502" s="484"/>
      <c r="H502" s="485"/>
      <c r="I502" s="486"/>
      <c r="J502" s="485"/>
      <c r="K502" s="486"/>
      <c r="L502" s="485"/>
      <c r="M502" s="485"/>
    </row>
    <row r="503" spans="1:13" x14ac:dyDescent="0.25">
      <c r="A503" s="469"/>
      <c r="B503" s="477"/>
      <c r="C503" s="481" t="s">
        <v>83</v>
      </c>
      <c r="D503" s="475" t="s">
        <v>50</v>
      </c>
      <c r="E503" s="487">
        <f>0.0016</f>
        <v>1.6000000000000001E-3</v>
      </c>
      <c r="F503" s="488">
        <f>E503*F501</f>
        <v>1.6E-2</v>
      </c>
      <c r="G503" s="488"/>
      <c r="H503" s="485"/>
      <c r="I503" s="486"/>
      <c r="J503" s="485"/>
      <c r="K503" s="486"/>
      <c r="L503" s="485"/>
      <c r="M503" s="485"/>
    </row>
    <row r="504" spans="1:13" ht="22.5" customHeight="1" x14ac:dyDescent="0.25">
      <c r="A504" s="489">
        <v>18</v>
      </c>
      <c r="B504" s="490" t="s">
        <v>236</v>
      </c>
      <c r="C504" s="423" t="s">
        <v>237</v>
      </c>
      <c r="D504" s="424" t="s">
        <v>39</v>
      </c>
      <c r="E504" s="424"/>
      <c r="F504" s="425">
        <v>10</v>
      </c>
      <c r="G504" s="429"/>
      <c r="H504" s="430"/>
      <c r="I504" s="432"/>
      <c r="J504" s="430"/>
      <c r="K504" s="432"/>
      <c r="L504" s="430"/>
      <c r="M504" s="491"/>
    </row>
    <row r="505" spans="1:13" ht="18.75" customHeight="1" x14ac:dyDescent="0.25">
      <c r="A505" s="489"/>
      <c r="B505" s="492"/>
      <c r="C505" s="428" t="s">
        <v>40</v>
      </c>
      <c r="D505" s="429" t="s">
        <v>41</v>
      </c>
      <c r="E505" s="430">
        <f>1.06*1.2</f>
        <v>1.272</v>
      </c>
      <c r="F505" s="430">
        <f>E505*F504</f>
        <v>12.72</v>
      </c>
      <c r="G505" s="429"/>
      <c r="H505" s="430"/>
      <c r="I505" s="432"/>
      <c r="J505" s="430"/>
      <c r="K505" s="432"/>
      <c r="L505" s="430"/>
      <c r="M505" s="430"/>
    </row>
    <row r="506" spans="1:13" ht="18.75" customHeight="1" x14ac:dyDescent="0.25">
      <c r="A506" s="489"/>
      <c r="B506" s="492"/>
      <c r="C506" s="428" t="s">
        <v>86</v>
      </c>
      <c r="D506" s="429" t="s">
        <v>43</v>
      </c>
      <c r="E506" s="433">
        <f>0.041*1.2</f>
        <v>4.9200000000000001E-2</v>
      </c>
      <c r="F506" s="430">
        <f>E506*F504</f>
        <v>0.49199999999999999</v>
      </c>
      <c r="G506" s="429"/>
      <c r="H506" s="431"/>
      <c r="I506" s="432"/>
      <c r="J506" s="430"/>
      <c r="K506" s="432"/>
      <c r="L506" s="431"/>
      <c r="M506" s="430"/>
    </row>
    <row r="507" spans="1:13" ht="18.75" customHeight="1" x14ac:dyDescent="0.25">
      <c r="A507" s="489"/>
      <c r="B507" s="492"/>
      <c r="C507" s="428" t="s">
        <v>87</v>
      </c>
      <c r="D507" s="429" t="s">
        <v>43</v>
      </c>
      <c r="E507" s="433">
        <f>0.027*1.2</f>
        <v>3.2399999999999998E-2</v>
      </c>
      <c r="F507" s="430">
        <f>E507*F504</f>
        <v>0.32399999999999995</v>
      </c>
      <c r="G507" s="429"/>
      <c r="H507" s="430"/>
      <c r="I507" s="432"/>
      <c r="J507" s="430"/>
      <c r="K507" s="432"/>
      <c r="L507" s="430"/>
      <c r="M507" s="430"/>
    </row>
    <row r="508" spans="1:13" ht="18.75" customHeight="1" x14ac:dyDescent="0.25">
      <c r="A508" s="489"/>
      <c r="B508" s="492"/>
      <c r="C508" s="428" t="s">
        <v>88</v>
      </c>
      <c r="D508" s="429" t="s">
        <v>56</v>
      </c>
      <c r="E508" s="433">
        <v>2.4400000000000002E-2</v>
      </c>
      <c r="F508" s="430">
        <f>E508*F504</f>
        <v>0.24400000000000002</v>
      </c>
      <c r="G508" s="429"/>
      <c r="H508" s="430"/>
      <c r="I508" s="432"/>
      <c r="J508" s="431"/>
      <c r="K508" s="431"/>
      <c r="L508" s="431"/>
      <c r="M508" s="430"/>
    </row>
    <row r="509" spans="1:13" ht="18.75" customHeight="1" x14ac:dyDescent="0.25">
      <c r="A509" s="489"/>
      <c r="B509" s="492"/>
      <c r="C509" s="428" t="s">
        <v>89</v>
      </c>
      <c r="D509" s="429" t="s">
        <v>46</v>
      </c>
      <c r="E509" s="621">
        <v>5.28E-2</v>
      </c>
      <c r="F509" s="430">
        <f>E509*F504</f>
        <v>0.52800000000000002</v>
      </c>
      <c r="G509" s="429"/>
      <c r="H509" s="430"/>
      <c r="I509" s="432"/>
      <c r="J509" s="431"/>
      <c r="K509" s="431"/>
      <c r="L509" s="431"/>
      <c r="M509" s="430"/>
    </row>
    <row r="510" spans="1:13" ht="18.75" customHeight="1" x14ac:dyDescent="0.25">
      <c r="A510" s="489"/>
      <c r="B510" s="492"/>
      <c r="C510" s="428" t="s">
        <v>83</v>
      </c>
      <c r="D510" s="429" t="s">
        <v>50</v>
      </c>
      <c r="E510" s="433">
        <v>2E-3</v>
      </c>
      <c r="F510" s="430">
        <f>E510*F504</f>
        <v>0.02</v>
      </c>
      <c r="G510" s="429"/>
      <c r="H510" s="430"/>
      <c r="I510" s="432"/>
      <c r="J510" s="431"/>
      <c r="K510" s="431"/>
      <c r="L510" s="431"/>
      <c r="M510" s="430"/>
    </row>
    <row r="511" spans="1:13" ht="45.75" customHeight="1" x14ac:dyDescent="0.25">
      <c r="A511" s="489">
        <v>19</v>
      </c>
      <c r="B511" s="735" t="s">
        <v>90</v>
      </c>
      <c r="C511" s="423" t="s">
        <v>238</v>
      </c>
      <c r="D511" s="462" t="s">
        <v>39</v>
      </c>
      <c r="E511" s="462"/>
      <c r="F511" s="494">
        <v>174</v>
      </c>
      <c r="G511" s="429"/>
      <c r="H511" s="430"/>
      <c r="I511" s="432"/>
      <c r="J511" s="430"/>
      <c r="K511" s="432"/>
      <c r="L511" s="430"/>
      <c r="M511" s="491"/>
    </row>
    <row r="512" spans="1:13" ht="17.25" customHeight="1" x14ac:dyDescent="0.25">
      <c r="A512" s="489"/>
      <c r="B512" s="735"/>
      <c r="C512" s="428" t="s">
        <v>40</v>
      </c>
      <c r="D512" s="429" t="s">
        <v>41</v>
      </c>
      <c r="E512" s="430">
        <f>0.77*1.2</f>
        <v>0.92399999999999993</v>
      </c>
      <c r="F512" s="430">
        <f>E512*F511</f>
        <v>160.77599999999998</v>
      </c>
      <c r="G512" s="429"/>
      <c r="H512" s="430"/>
      <c r="I512" s="432"/>
      <c r="J512" s="430"/>
      <c r="K512" s="432"/>
      <c r="L512" s="430"/>
      <c r="M512" s="431"/>
    </row>
    <row r="513" spans="1:13" ht="17.25" customHeight="1" x14ac:dyDescent="0.25">
      <c r="A513" s="489"/>
      <c r="B513" s="735"/>
      <c r="C513" s="428" t="s">
        <v>75</v>
      </c>
      <c r="D513" s="429" t="s">
        <v>43</v>
      </c>
      <c r="E513" s="429">
        <f>0.0095*1.2</f>
        <v>1.1399999999999999E-2</v>
      </c>
      <c r="F513" s="430">
        <f>E513*F511</f>
        <v>1.9835999999999998</v>
      </c>
      <c r="G513" s="429"/>
      <c r="H513" s="430"/>
      <c r="I513" s="432"/>
      <c r="J513" s="430"/>
      <c r="K513" s="432"/>
      <c r="L513" s="430"/>
      <c r="M513" s="431"/>
    </row>
    <row r="514" spans="1:13" ht="17.25" customHeight="1" x14ac:dyDescent="0.25">
      <c r="A514" s="489"/>
      <c r="B514" s="429"/>
      <c r="C514" s="495" t="s">
        <v>92</v>
      </c>
      <c r="D514" s="429" t="s">
        <v>93</v>
      </c>
      <c r="E514" s="429">
        <v>0.24</v>
      </c>
      <c r="F514" s="430">
        <f>E514*F511</f>
        <v>41.76</v>
      </c>
      <c r="G514" s="429"/>
      <c r="H514" s="430"/>
      <c r="I514" s="496"/>
      <c r="J514" s="431"/>
      <c r="K514" s="432"/>
      <c r="L514" s="430"/>
      <c r="M514" s="431"/>
    </row>
    <row r="515" spans="1:13" ht="17.25" customHeight="1" x14ac:dyDescent="0.25">
      <c r="A515" s="489"/>
      <c r="B515" s="429"/>
      <c r="C515" s="495" t="s">
        <v>94</v>
      </c>
      <c r="D515" s="490" t="s">
        <v>93</v>
      </c>
      <c r="E515" s="490">
        <f>0.183+0.12+0.001</f>
        <v>0.30399999999999999</v>
      </c>
      <c r="F515" s="430">
        <f>E515*F511</f>
        <v>52.896000000000001</v>
      </c>
      <c r="G515" s="429"/>
      <c r="H515" s="430"/>
      <c r="I515" s="432"/>
      <c r="J515" s="431"/>
      <c r="K515" s="432"/>
      <c r="L515" s="430"/>
      <c r="M515" s="431"/>
    </row>
    <row r="516" spans="1:13" ht="17.25" customHeight="1" x14ac:dyDescent="0.25">
      <c r="A516" s="489"/>
      <c r="B516" s="429"/>
      <c r="C516" s="428" t="s">
        <v>58</v>
      </c>
      <c r="D516" s="429" t="s">
        <v>43</v>
      </c>
      <c r="E516" s="429">
        <v>1.6E-2</v>
      </c>
      <c r="F516" s="433">
        <f>E516*F511</f>
        <v>2.7840000000000003</v>
      </c>
      <c r="G516" s="429"/>
      <c r="H516" s="430"/>
      <c r="I516" s="432"/>
      <c r="J516" s="430"/>
      <c r="K516" s="432"/>
      <c r="L516" s="430"/>
      <c r="M516" s="431"/>
    </row>
    <row r="517" spans="1:13" ht="52.5" customHeight="1" x14ac:dyDescent="0.25">
      <c r="A517" s="507">
        <v>20</v>
      </c>
      <c r="B517" s="263" t="s">
        <v>239</v>
      </c>
      <c r="C517" s="508" t="s">
        <v>240</v>
      </c>
      <c r="D517" s="507" t="s">
        <v>101</v>
      </c>
      <c r="E517" s="507"/>
      <c r="F517" s="601">
        <v>16</v>
      </c>
      <c r="G517" s="507"/>
      <c r="H517" s="464"/>
      <c r="I517" s="677"/>
      <c r="J517" s="464"/>
      <c r="K517" s="509"/>
      <c r="L517" s="464"/>
      <c r="M517" s="464"/>
    </row>
    <row r="518" spans="1:13" x14ac:dyDescent="0.25">
      <c r="A518" s="407"/>
      <c r="B518" s="510"/>
      <c r="C518" s="511" t="s">
        <v>102</v>
      </c>
      <c r="D518" s="407" t="s">
        <v>103</v>
      </c>
      <c r="E518" s="407">
        <v>2.5499999999999998</v>
      </c>
      <c r="F518" s="493">
        <f>F517*E518</f>
        <v>40.799999999999997</v>
      </c>
      <c r="G518" s="512"/>
      <c r="H518" s="513"/>
      <c r="I518" s="678"/>
      <c r="J518" s="513"/>
      <c r="K518" s="514"/>
      <c r="L518" s="513"/>
      <c r="M518" s="513"/>
    </row>
    <row r="519" spans="1:13" x14ac:dyDescent="0.25">
      <c r="A519" s="407"/>
      <c r="B519" s="407"/>
      <c r="C519" s="511" t="s">
        <v>104</v>
      </c>
      <c r="D519" s="407" t="s">
        <v>43</v>
      </c>
      <c r="E519" s="407">
        <f>1.49</f>
        <v>1.49</v>
      </c>
      <c r="F519" s="493">
        <f>F517*E519</f>
        <v>23.84</v>
      </c>
      <c r="G519" s="512"/>
      <c r="H519" s="513"/>
      <c r="I519" s="678"/>
      <c r="J519" s="513"/>
      <c r="K519" s="514"/>
      <c r="L519" s="513"/>
      <c r="M519" s="513"/>
    </row>
    <row r="520" spans="1:13" ht="47.25" customHeight="1" x14ac:dyDescent="0.25">
      <c r="A520" s="407"/>
      <c r="B520" s="510"/>
      <c r="C520" s="575" t="s">
        <v>241</v>
      </c>
      <c r="D520" s="263" t="s">
        <v>101</v>
      </c>
      <c r="E520" s="263">
        <v>1</v>
      </c>
      <c r="F520" s="422">
        <f>F517*E520</f>
        <v>16</v>
      </c>
      <c r="G520" s="515"/>
      <c r="H520" s="515"/>
      <c r="I520" s="536"/>
      <c r="J520" s="516"/>
      <c r="K520" s="515"/>
      <c r="L520" s="515"/>
      <c r="M520" s="517"/>
    </row>
    <row r="521" spans="1:13" x14ac:dyDescent="0.25">
      <c r="A521" s="407"/>
      <c r="B521" s="407"/>
      <c r="C521" s="511" t="s">
        <v>106</v>
      </c>
      <c r="D521" s="407" t="s">
        <v>43</v>
      </c>
      <c r="E521" s="407">
        <v>0.01</v>
      </c>
      <c r="F521" s="493">
        <f>F517*E521</f>
        <v>0.16</v>
      </c>
      <c r="G521" s="401"/>
      <c r="H521" s="401"/>
      <c r="I521" s="535"/>
      <c r="J521" s="401"/>
      <c r="K521" s="401"/>
      <c r="L521" s="401"/>
      <c r="M521" s="513"/>
    </row>
    <row r="522" spans="1:13" ht="35.25" customHeight="1" x14ac:dyDescent="0.25">
      <c r="A522" s="469">
        <v>21</v>
      </c>
      <c r="B522" s="470"/>
      <c r="C522" s="471" t="s">
        <v>242</v>
      </c>
      <c r="D522" s="472" t="s">
        <v>46</v>
      </c>
      <c r="E522" s="473"/>
      <c r="F522" s="474">
        <v>15.2</v>
      </c>
      <c r="G522" s="475"/>
      <c r="H522" s="476"/>
      <c r="I522" s="477"/>
      <c r="J522" s="478"/>
      <c r="K522" s="479"/>
      <c r="L522" s="479"/>
      <c r="M522" s="480"/>
    </row>
    <row r="523" spans="1:13" x14ac:dyDescent="0.25">
      <c r="A523" s="469"/>
      <c r="B523" s="477"/>
      <c r="C523" s="481" t="s">
        <v>61</v>
      </c>
      <c r="D523" s="475" t="s">
        <v>46</v>
      </c>
      <c r="E523" s="622">
        <v>1</v>
      </c>
      <c r="F523" s="483">
        <f>E523*F522</f>
        <v>15.2</v>
      </c>
      <c r="G523" s="484"/>
      <c r="H523" s="485"/>
      <c r="I523" s="486"/>
      <c r="J523" s="485"/>
      <c r="K523" s="486"/>
      <c r="L523" s="485"/>
      <c r="M523" s="623"/>
    </row>
    <row r="524" spans="1:13" x14ac:dyDescent="0.25">
      <c r="A524" s="469"/>
      <c r="B524" s="477"/>
      <c r="C524" s="481" t="s">
        <v>243</v>
      </c>
      <c r="D524" s="475" t="s">
        <v>46</v>
      </c>
      <c r="E524" s="487">
        <v>1</v>
      </c>
      <c r="F524" s="488">
        <f>E524*F522</f>
        <v>15.2</v>
      </c>
      <c r="G524" s="488"/>
      <c r="H524" s="485"/>
      <c r="I524" s="486"/>
      <c r="J524" s="485"/>
      <c r="K524" s="486"/>
      <c r="L524" s="485"/>
      <c r="M524" s="623"/>
    </row>
    <row r="525" spans="1:13" ht="36.75" customHeight="1" x14ac:dyDescent="0.25">
      <c r="A525" s="469">
        <v>22</v>
      </c>
      <c r="B525" s="470"/>
      <c r="C525" s="471" t="s">
        <v>244</v>
      </c>
      <c r="D525" s="472" t="s">
        <v>46</v>
      </c>
      <c r="E525" s="473"/>
      <c r="F525" s="474">
        <v>19</v>
      </c>
      <c r="G525" s="475"/>
      <c r="H525" s="476"/>
      <c r="I525" s="477"/>
      <c r="J525" s="478"/>
      <c r="K525" s="479"/>
      <c r="L525" s="479"/>
      <c r="M525" s="480"/>
    </row>
    <row r="526" spans="1:13" x14ac:dyDescent="0.25">
      <c r="A526" s="469"/>
      <c r="B526" s="477"/>
      <c r="C526" s="481" t="s">
        <v>61</v>
      </c>
      <c r="D526" s="475" t="s">
        <v>46</v>
      </c>
      <c r="E526" s="622">
        <v>1</v>
      </c>
      <c r="F526" s="483">
        <f>E526*F525</f>
        <v>19</v>
      </c>
      <c r="G526" s="484"/>
      <c r="H526" s="485"/>
      <c r="I526" s="486"/>
      <c r="J526" s="485"/>
      <c r="K526" s="486"/>
      <c r="L526" s="485"/>
      <c r="M526" s="623"/>
    </row>
    <row r="527" spans="1:13" x14ac:dyDescent="0.25">
      <c r="A527" s="469"/>
      <c r="B527" s="477"/>
      <c r="C527" s="481" t="s">
        <v>244</v>
      </c>
      <c r="D527" s="475" t="s">
        <v>46</v>
      </c>
      <c r="E527" s="622">
        <v>1</v>
      </c>
      <c r="F527" s="488">
        <f>E527*F525</f>
        <v>19</v>
      </c>
      <c r="G527" s="488"/>
      <c r="H527" s="485"/>
      <c r="I527" s="486"/>
      <c r="J527" s="485"/>
      <c r="K527" s="486"/>
      <c r="L527" s="485"/>
      <c r="M527" s="623"/>
    </row>
    <row r="528" spans="1:13" ht="33.75" customHeight="1" x14ac:dyDescent="0.25">
      <c r="A528" s="469">
        <v>23</v>
      </c>
      <c r="B528" s="470"/>
      <c r="C528" s="471" t="s">
        <v>245</v>
      </c>
      <c r="D528" s="472" t="s">
        <v>46</v>
      </c>
      <c r="E528" s="473"/>
      <c r="F528" s="474">
        <v>31.92</v>
      </c>
      <c r="G528" s="475"/>
      <c r="H528" s="476"/>
      <c r="I528" s="477"/>
      <c r="J528" s="478"/>
      <c r="K528" s="479"/>
      <c r="L528" s="479"/>
      <c r="M528" s="480"/>
    </row>
    <row r="529" spans="1:13" x14ac:dyDescent="0.25">
      <c r="A529" s="469"/>
      <c r="B529" s="477"/>
      <c r="C529" s="481" t="s">
        <v>61</v>
      </c>
      <c r="D529" s="475" t="s">
        <v>46</v>
      </c>
      <c r="E529" s="622">
        <v>1</v>
      </c>
      <c r="F529" s="483">
        <f>E529*F528</f>
        <v>31.92</v>
      </c>
      <c r="G529" s="484"/>
      <c r="H529" s="485"/>
      <c r="I529" s="486"/>
      <c r="J529" s="485"/>
      <c r="K529" s="486"/>
      <c r="L529" s="485"/>
      <c r="M529" s="623"/>
    </row>
    <row r="530" spans="1:13" x14ac:dyDescent="0.25">
      <c r="A530" s="469"/>
      <c r="B530" s="477"/>
      <c r="C530" s="481" t="s">
        <v>245</v>
      </c>
      <c r="D530" s="475" t="s">
        <v>46</v>
      </c>
      <c r="E530" s="622">
        <v>1</v>
      </c>
      <c r="F530" s="488">
        <f>E530*F528</f>
        <v>31.92</v>
      </c>
      <c r="G530" s="488"/>
      <c r="H530" s="485"/>
      <c r="I530" s="486"/>
      <c r="J530" s="485"/>
      <c r="K530" s="486"/>
      <c r="L530" s="485"/>
      <c r="M530" s="623"/>
    </row>
    <row r="531" spans="1:13" ht="45" customHeight="1" x14ac:dyDescent="0.25">
      <c r="A531" s="469">
        <v>24</v>
      </c>
      <c r="B531" s="470"/>
      <c r="C531" s="471" t="s">
        <v>246</v>
      </c>
      <c r="D531" s="472" t="s">
        <v>46</v>
      </c>
      <c r="E531" s="473"/>
      <c r="F531" s="474">
        <v>18.239999999999998</v>
      </c>
      <c r="G531" s="475"/>
      <c r="H531" s="476"/>
      <c r="I531" s="477"/>
      <c r="J531" s="478"/>
      <c r="K531" s="479"/>
      <c r="L531" s="479"/>
      <c r="M531" s="480"/>
    </row>
    <row r="532" spans="1:13" x14ac:dyDescent="0.25">
      <c r="A532" s="469"/>
      <c r="B532" s="477"/>
      <c r="C532" s="481" t="s">
        <v>61</v>
      </c>
      <c r="D532" s="475" t="s">
        <v>46</v>
      </c>
      <c r="E532" s="622">
        <v>1</v>
      </c>
      <c r="F532" s="483">
        <f>E532*F531</f>
        <v>18.239999999999998</v>
      </c>
      <c r="G532" s="484"/>
      <c r="H532" s="485"/>
      <c r="I532" s="486"/>
      <c r="J532" s="485"/>
      <c r="K532" s="486"/>
      <c r="L532" s="485"/>
      <c r="M532" s="623"/>
    </row>
    <row r="533" spans="1:13" x14ac:dyDescent="0.25">
      <c r="A533" s="469"/>
      <c r="B533" s="477"/>
      <c r="C533" s="481" t="s">
        <v>246</v>
      </c>
      <c r="D533" s="475" t="s">
        <v>46</v>
      </c>
      <c r="E533" s="622">
        <v>1</v>
      </c>
      <c r="F533" s="488">
        <f>E533*F531</f>
        <v>18.239999999999998</v>
      </c>
      <c r="G533" s="488"/>
      <c r="H533" s="485"/>
      <c r="I533" s="486"/>
      <c r="J533" s="485"/>
      <c r="K533" s="486"/>
      <c r="L533" s="485"/>
      <c r="M533" s="623"/>
    </row>
    <row r="534" spans="1:13" ht="20.25" customHeight="1" x14ac:dyDescent="0.25">
      <c r="A534" s="469">
        <v>25</v>
      </c>
      <c r="B534" s="470"/>
      <c r="C534" s="471" t="s">
        <v>247</v>
      </c>
      <c r="D534" s="472" t="s">
        <v>46</v>
      </c>
      <c r="E534" s="473"/>
      <c r="F534" s="474">
        <v>26.4</v>
      </c>
      <c r="G534" s="475"/>
      <c r="H534" s="476"/>
      <c r="I534" s="477"/>
      <c r="J534" s="478"/>
      <c r="K534" s="479"/>
      <c r="L534" s="479"/>
      <c r="M534" s="480"/>
    </row>
    <row r="535" spans="1:13" x14ac:dyDescent="0.25">
      <c r="A535" s="469"/>
      <c r="B535" s="477"/>
      <c r="C535" s="481" t="s">
        <v>61</v>
      </c>
      <c r="D535" s="475" t="s">
        <v>46</v>
      </c>
      <c r="E535" s="622">
        <v>1</v>
      </c>
      <c r="F535" s="483">
        <f>E535*F534</f>
        <v>26.4</v>
      </c>
      <c r="G535" s="484"/>
      <c r="H535" s="485"/>
      <c r="I535" s="486"/>
      <c r="J535" s="485"/>
      <c r="K535" s="486"/>
      <c r="L535" s="485"/>
      <c r="M535" s="623"/>
    </row>
    <row r="536" spans="1:13" x14ac:dyDescent="0.25">
      <c r="A536" s="469"/>
      <c r="B536" s="477"/>
      <c r="C536" s="481" t="s">
        <v>247</v>
      </c>
      <c r="D536" s="475" t="s">
        <v>46</v>
      </c>
      <c r="E536" s="622">
        <v>1</v>
      </c>
      <c r="F536" s="488">
        <f>E536*F534</f>
        <v>26.4</v>
      </c>
      <c r="G536" s="488"/>
      <c r="H536" s="485"/>
      <c r="I536" s="486"/>
      <c r="J536" s="485"/>
      <c r="K536" s="486"/>
      <c r="L536" s="485"/>
      <c r="M536" s="623"/>
    </row>
    <row r="537" spans="1:13" ht="21" customHeight="1" x14ac:dyDescent="0.25">
      <c r="A537" s="469">
        <v>26</v>
      </c>
      <c r="B537" s="470"/>
      <c r="C537" s="471" t="s">
        <v>248</v>
      </c>
      <c r="D537" s="472" t="s">
        <v>46</v>
      </c>
      <c r="E537" s="473"/>
      <c r="F537" s="474">
        <v>15.84</v>
      </c>
      <c r="G537" s="475"/>
      <c r="H537" s="476"/>
      <c r="I537" s="477"/>
      <c r="J537" s="478"/>
      <c r="K537" s="479"/>
      <c r="L537" s="479"/>
      <c r="M537" s="480"/>
    </row>
    <row r="538" spans="1:13" x14ac:dyDescent="0.25">
      <c r="A538" s="469"/>
      <c r="B538" s="477"/>
      <c r="C538" s="481" t="s">
        <v>61</v>
      </c>
      <c r="D538" s="475" t="s">
        <v>46</v>
      </c>
      <c r="E538" s="622">
        <v>1</v>
      </c>
      <c r="F538" s="483">
        <f>E538*F537</f>
        <v>15.84</v>
      </c>
      <c r="G538" s="484"/>
      <c r="H538" s="485"/>
      <c r="I538" s="486"/>
      <c r="J538" s="485"/>
      <c r="K538" s="486"/>
      <c r="L538" s="485"/>
      <c r="M538" s="623"/>
    </row>
    <row r="539" spans="1:13" x14ac:dyDescent="0.25">
      <c r="A539" s="469"/>
      <c r="B539" s="477"/>
      <c r="C539" s="481" t="s">
        <v>247</v>
      </c>
      <c r="D539" s="475" t="s">
        <v>46</v>
      </c>
      <c r="E539" s="622">
        <v>1</v>
      </c>
      <c r="F539" s="488">
        <f>E539*F537</f>
        <v>15.84</v>
      </c>
      <c r="G539" s="488"/>
      <c r="H539" s="485"/>
      <c r="I539" s="486"/>
      <c r="J539" s="485"/>
      <c r="K539" s="486"/>
      <c r="L539" s="485"/>
      <c r="M539" s="623"/>
    </row>
    <row r="540" spans="1:13" x14ac:dyDescent="0.25">
      <c r="A540" s="28"/>
      <c r="B540" s="32"/>
      <c r="C540" s="145" t="s">
        <v>249</v>
      </c>
      <c r="D540" s="146"/>
      <c r="E540" s="32"/>
      <c r="F540" s="670"/>
      <c r="G540" s="36"/>
      <c r="H540" s="36"/>
      <c r="I540" s="670"/>
      <c r="J540" s="36"/>
      <c r="K540" s="36"/>
      <c r="L540" s="36"/>
      <c r="M540" s="36"/>
    </row>
    <row r="541" spans="1:13" ht="20.25" customHeight="1" x14ac:dyDescent="0.25">
      <c r="A541" s="409">
        <v>1</v>
      </c>
      <c r="B541" s="410" t="s">
        <v>250</v>
      </c>
      <c r="C541" s="435" t="s">
        <v>251</v>
      </c>
      <c r="D541" s="624" t="s">
        <v>252</v>
      </c>
      <c r="E541" s="625"/>
      <c r="F541" s="626">
        <v>25</v>
      </c>
      <c r="G541" s="627"/>
      <c r="H541" s="444"/>
      <c r="I541" s="682"/>
      <c r="J541" s="444"/>
      <c r="K541" s="627"/>
      <c r="L541" s="444"/>
      <c r="M541" s="444"/>
    </row>
    <row r="542" spans="1:13" ht="24.75" customHeight="1" x14ac:dyDescent="0.25">
      <c r="A542" s="409"/>
      <c r="B542" s="584"/>
      <c r="C542" s="418" t="s">
        <v>68</v>
      </c>
      <c r="D542" s="419" t="s">
        <v>48</v>
      </c>
      <c r="E542" s="439">
        <f>0.123</f>
        <v>0.123</v>
      </c>
      <c r="F542" s="628">
        <f>E542*F541</f>
        <v>3.0750000000000002</v>
      </c>
      <c r="G542" s="420"/>
      <c r="H542" s="414"/>
      <c r="I542" s="674"/>
      <c r="J542" s="414"/>
      <c r="K542" s="420"/>
      <c r="L542" s="414"/>
      <c r="M542" s="414"/>
    </row>
    <row r="543" spans="1:13" ht="15" customHeight="1" x14ac:dyDescent="0.25">
      <c r="A543" s="409"/>
      <c r="B543" s="584"/>
      <c r="C543" s="418" t="s">
        <v>253</v>
      </c>
      <c r="D543" s="419" t="s">
        <v>50</v>
      </c>
      <c r="E543" s="419">
        <v>1.1999999999999999E-3</v>
      </c>
      <c r="F543" s="628">
        <f>E543*F541</f>
        <v>0.03</v>
      </c>
      <c r="G543" s="419"/>
      <c r="H543" s="414"/>
      <c r="I543" s="674"/>
      <c r="J543" s="414"/>
      <c r="K543" s="420"/>
      <c r="L543" s="439"/>
      <c r="M543" s="414"/>
    </row>
    <row r="544" spans="1:13" ht="30" x14ac:dyDescent="0.25">
      <c r="A544" s="409">
        <v>2</v>
      </c>
      <c r="B544" s="410" t="s">
        <v>250</v>
      </c>
      <c r="C544" s="435" t="s">
        <v>297</v>
      </c>
      <c r="D544" s="624" t="s">
        <v>252</v>
      </c>
      <c r="E544" s="625"/>
      <c r="F544" s="626">
        <v>20</v>
      </c>
      <c r="G544" s="627"/>
      <c r="H544" s="444"/>
      <c r="I544" s="682"/>
      <c r="J544" s="444"/>
      <c r="K544" s="627"/>
      <c r="L544" s="444"/>
      <c r="M544" s="444"/>
    </row>
    <row r="545" spans="1:13" ht="19.5" customHeight="1" x14ac:dyDescent="0.25">
      <c r="A545" s="409"/>
      <c r="B545" s="584"/>
      <c r="C545" s="418" t="s">
        <v>68</v>
      </c>
      <c r="D545" s="419" t="s">
        <v>48</v>
      </c>
      <c r="E545" s="439">
        <f>0.123*1.2</f>
        <v>0.14759999999999998</v>
      </c>
      <c r="F545" s="628">
        <f>E545*F544</f>
        <v>2.9519999999999995</v>
      </c>
      <c r="G545" s="420"/>
      <c r="H545" s="414"/>
      <c r="I545" s="674"/>
      <c r="J545" s="414"/>
      <c r="K545" s="420"/>
      <c r="L545" s="414"/>
      <c r="M545" s="414"/>
    </row>
    <row r="546" spans="1:13" x14ac:dyDescent="0.25">
      <c r="A546" s="409"/>
      <c r="B546" s="584"/>
      <c r="C546" s="418" t="s">
        <v>253</v>
      </c>
      <c r="D546" s="419" t="s">
        <v>50</v>
      </c>
      <c r="E546" s="419">
        <v>1.1999999999999999E-3</v>
      </c>
      <c r="F546" s="628">
        <f>E546*F544</f>
        <v>2.3999999999999997E-2</v>
      </c>
      <c r="G546" s="419"/>
      <c r="H546" s="414"/>
      <c r="I546" s="674"/>
      <c r="J546" s="414"/>
      <c r="K546" s="420"/>
      <c r="L546" s="439"/>
      <c r="M546" s="414"/>
    </row>
    <row r="547" spans="1:13" ht="32.25" customHeight="1" x14ac:dyDescent="0.25">
      <c r="A547" s="409">
        <v>3</v>
      </c>
      <c r="B547" s="629" t="s">
        <v>254</v>
      </c>
      <c r="C547" s="435" t="s">
        <v>255</v>
      </c>
      <c r="D547" s="412" t="s">
        <v>252</v>
      </c>
      <c r="E547" s="436"/>
      <c r="F547" s="498">
        <v>25</v>
      </c>
      <c r="G547" s="414"/>
      <c r="H547" s="438"/>
      <c r="I547" s="506"/>
      <c r="J547" s="438"/>
      <c r="K547" s="414"/>
      <c r="L547" s="438"/>
      <c r="M547" s="438"/>
    </row>
    <row r="548" spans="1:13" ht="18" customHeight="1" x14ac:dyDescent="0.25">
      <c r="A548" s="409"/>
      <c r="B548" s="629"/>
      <c r="C548" s="418" t="s">
        <v>61</v>
      </c>
      <c r="D548" s="419" t="s">
        <v>48</v>
      </c>
      <c r="E548" s="414">
        <f>0.74*1.2</f>
        <v>0.88800000000000001</v>
      </c>
      <c r="F548" s="506">
        <f>E548*F547</f>
        <v>22.2</v>
      </c>
      <c r="G548" s="419"/>
      <c r="H548" s="414"/>
      <c r="I548" s="674"/>
      <c r="J548" s="414"/>
      <c r="K548" s="420"/>
      <c r="L548" s="414"/>
      <c r="M548" s="414"/>
    </row>
    <row r="549" spans="1:13" ht="18.75" customHeight="1" x14ac:dyDescent="0.3">
      <c r="A549" s="630"/>
      <c r="B549" s="631"/>
      <c r="C549" s="632" t="s">
        <v>256</v>
      </c>
      <c r="D549" s="631" t="s">
        <v>50</v>
      </c>
      <c r="E549" s="633">
        <f>0.0662*1.2</f>
        <v>7.9439999999999997E-2</v>
      </c>
      <c r="F549" s="506">
        <f>E549*F547</f>
        <v>1.986</v>
      </c>
      <c r="G549" s="419"/>
      <c r="H549" s="414"/>
      <c r="I549" s="674"/>
      <c r="J549" s="414"/>
      <c r="K549" s="420"/>
      <c r="L549" s="414"/>
      <c r="M549" s="414"/>
    </row>
    <row r="550" spans="1:13" ht="20.25" customHeight="1" x14ac:dyDescent="0.25">
      <c r="A550" s="409"/>
      <c r="B550" s="629"/>
      <c r="C550" s="418" t="s">
        <v>257</v>
      </c>
      <c r="D550" s="448" t="s">
        <v>122</v>
      </c>
      <c r="E550" s="448">
        <v>1</v>
      </c>
      <c r="F550" s="501">
        <f>E550*F547</f>
        <v>25</v>
      </c>
      <c r="G550" s="448"/>
      <c r="H550" s="502"/>
      <c r="I550" s="676"/>
      <c r="J550" s="634"/>
      <c r="K550" s="503"/>
      <c r="L550" s="502"/>
      <c r="M550" s="634"/>
    </row>
    <row r="551" spans="1:13" ht="22.5" customHeight="1" x14ac:dyDescent="0.3">
      <c r="A551" s="409"/>
      <c r="B551" s="409"/>
      <c r="C551" s="418" t="s">
        <v>258</v>
      </c>
      <c r="D551" s="419" t="s">
        <v>50</v>
      </c>
      <c r="E551" s="419">
        <v>0.13300000000000001</v>
      </c>
      <c r="F551" s="506">
        <f>E551*F547</f>
        <v>3.3250000000000002</v>
      </c>
      <c r="G551" s="419"/>
      <c r="H551" s="414"/>
      <c r="I551" s="683"/>
      <c r="J551" s="414"/>
      <c r="K551" s="635"/>
      <c r="L551" s="635"/>
      <c r="M551" s="438"/>
    </row>
    <row r="552" spans="1:13" ht="30" x14ac:dyDescent="0.3">
      <c r="A552" s="409">
        <v>4</v>
      </c>
      <c r="B552" s="505" t="s">
        <v>259</v>
      </c>
      <c r="C552" s="636" t="s">
        <v>298</v>
      </c>
      <c r="D552" s="624" t="s">
        <v>252</v>
      </c>
      <c r="E552" s="625"/>
      <c r="F552" s="626">
        <v>12</v>
      </c>
      <c r="G552" s="414"/>
      <c r="H552" s="438"/>
      <c r="I552" s="506"/>
      <c r="J552" s="438"/>
      <c r="K552" s="414"/>
      <c r="L552" s="438"/>
      <c r="M552" s="438"/>
    </row>
    <row r="553" spans="1:13" ht="24" customHeight="1" x14ac:dyDescent="0.25">
      <c r="A553" s="409"/>
      <c r="B553" s="505"/>
      <c r="C553" s="637" t="s">
        <v>68</v>
      </c>
      <c r="D553" s="419" t="s">
        <v>48</v>
      </c>
      <c r="E553" s="414">
        <f>0.63*1.2</f>
        <v>0.75600000000000001</v>
      </c>
      <c r="F553" s="506">
        <f>E553*F552</f>
        <v>9.0719999999999992</v>
      </c>
      <c r="G553" s="419"/>
      <c r="H553" s="414"/>
      <c r="I553" s="684"/>
      <c r="J553" s="414"/>
      <c r="K553" s="420"/>
      <c r="L553" s="414"/>
      <c r="M553" s="414"/>
    </row>
    <row r="554" spans="1:13" ht="19.5" customHeight="1" x14ac:dyDescent="0.25">
      <c r="A554" s="409"/>
      <c r="B554" s="505"/>
      <c r="C554" s="659" t="s">
        <v>260</v>
      </c>
      <c r="D554" s="448" t="s">
        <v>252</v>
      </c>
      <c r="E554" s="448">
        <v>1.1499999999999999</v>
      </c>
      <c r="F554" s="501">
        <f>E554*F552</f>
        <v>13.799999999999999</v>
      </c>
      <c r="G554" s="448"/>
      <c r="H554" s="502"/>
      <c r="I554" s="676"/>
      <c r="J554" s="502"/>
      <c r="K554" s="503"/>
      <c r="L554" s="502"/>
      <c r="M554" s="502"/>
    </row>
    <row r="555" spans="1:13" x14ac:dyDescent="0.25">
      <c r="A555" s="409"/>
      <c r="B555" s="396"/>
      <c r="C555" s="418" t="s">
        <v>261</v>
      </c>
      <c r="D555" s="419" t="s">
        <v>219</v>
      </c>
      <c r="E555" s="419">
        <v>0.128</v>
      </c>
      <c r="F555" s="506">
        <f>E555*F552</f>
        <v>1.536</v>
      </c>
      <c r="G555" s="419"/>
      <c r="H555" s="639"/>
      <c r="I555" s="685"/>
      <c r="J555" s="414"/>
      <c r="K555" s="640"/>
      <c r="L555" s="414"/>
      <c r="M555" s="438"/>
    </row>
    <row r="556" spans="1:13" ht="15.75" x14ac:dyDescent="0.3">
      <c r="A556" s="409"/>
      <c r="B556" s="396"/>
      <c r="C556" s="418" t="s">
        <v>262</v>
      </c>
      <c r="D556" s="419" t="s">
        <v>219</v>
      </c>
      <c r="E556" s="419">
        <v>5.0000000000000001E-3</v>
      </c>
      <c r="F556" s="506">
        <f>E556*F552</f>
        <v>0.06</v>
      </c>
      <c r="G556" s="419"/>
      <c r="H556" s="414"/>
      <c r="I556" s="673"/>
      <c r="J556" s="414"/>
      <c r="K556" s="635"/>
      <c r="L556" s="635"/>
      <c r="M556" s="438"/>
    </row>
    <row r="557" spans="1:13" ht="31.5" customHeight="1" x14ac:dyDescent="0.3">
      <c r="A557" s="409">
        <v>5</v>
      </c>
      <c r="B557" s="737" t="s">
        <v>263</v>
      </c>
      <c r="C557" s="435" t="s">
        <v>264</v>
      </c>
      <c r="D557" s="624" t="s">
        <v>67</v>
      </c>
      <c r="E557" s="625"/>
      <c r="F557" s="626">
        <v>2</v>
      </c>
      <c r="G557" s="419"/>
      <c r="H557" s="414"/>
      <c r="I557" s="673"/>
      <c r="J557" s="415"/>
      <c r="K557" s="416"/>
      <c r="L557" s="416"/>
      <c r="M557" s="417"/>
    </row>
    <row r="558" spans="1:13" ht="18" customHeight="1" x14ac:dyDescent="0.25">
      <c r="A558" s="409"/>
      <c r="B558" s="737"/>
      <c r="C558" s="418" t="s">
        <v>68</v>
      </c>
      <c r="D558" s="419" t="s">
        <v>48</v>
      </c>
      <c r="E558" s="414">
        <f>0.46*1.2</f>
        <v>0.55200000000000005</v>
      </c>
      <c r="F558" s="506">
        <f>E558*F557</f>
        <v>1.1040000000000001</v>
      </c>
      <c r="G558" s="419"/>
      <c r="H558" s="414"/>
      <c r="I558" s="674"/>
      <c r="J558" s="414"/>
      <c r="K558" s="420"/>
      <c r="L558" s="414"/>
      <c r="M558" s="414"/>
    </row>
    <row r="559" spans="1:13" ht="23.25" customHeight="1" x14ac:dyDescent="0.25">
      <c r="A559" s="409"/>
      <c r="B559" s="737"/>
      <c r="C559" s="418" t="s">
        <v>265</v>
      </c>
      <c r="D559" s="419" t="s">
        <v>67</v>
      </c>
      <c r="E559" s="419">
        <v>1</v>
      </c>
      <c r="F559" s="628">
        <f>E559*F557</f>
        <v>2</v>
      </c>
      <c r="G559" s="419"/>
      <c r="H559" s="639"/>
      <c r="I559" s="685"/>
      <c r="J559" s="414"/>
      <c r="K559" s="640"/>
      <c r="L559" s="414"/>
      <c r="M559" s="438"/>
    </row>
    <row r="560" spans="1:13" ht="21" customHeight="1" x14ac:dyDescent="0.25">
      <c r="A560" s="409"/>
      <c r="B560" s="396"/>
      <c r="C560" s="418" t="s">
        <v>261</v>
      </c>
      <c r="D560" s="419" t="s">
        <v>219</v>
      </c>
      <c r="E560" s="419">
        <v>0.24</v>
      </c>
      <c r="F560" s="506">
        <f>E560*F557</f>
        <v>0.48</v>
      </c>
      <c r="G560" s="419"/>
      <c r="H560" s="639"/>
      <c r="I560" s="685"/>
      <c r="J560" s="414"/>
      <c r="K560" s="640"/>
      <c r="L560" s="414"/>
      <c r="M560" s="438"/>
    </row>
    <row r="561" spans="1:13" ht="35.25" customHeight="1" x14ac:dyDescent="0.3">
      <c r="A561" s="409">
        <v>6</v>
      </c>
      <c r="B561" s="737" t="s">
        <v>266</v>
      </c>
      <c r="C561" s="435" t="s">
        <v>267</v>
      </c>
      <c r="D561" s="624" t="s">
        <v>67</v>
      </c>
      <c r="E561" s="625"/>
      <c r="F561" s="626">
        <v>8</v>
      </c>
      <c r="G561" s="419"/>
      <c r="H561" s="414"/>
      <c r="I561" s="673"/>
      <c r="J561" s="415"/>
      <c r="K561" s="416"/>
      <c r="L561" s="416"/>
      <c r="M561" s="417"/>
    </row>
    <row r="562" spans="1:13" ht="21.75" customHeight="1" x14ac:dyDescent="0.25">
      <c r="A562" s="409"/>
      <c r="B562" s="737"/>
      <c r="C562" s="418" t="s">
        <v>68</v>
      </c>
      <c r="D562" s="419" t="s">
        <v>48</v>
      </c>
      <c r="E562" s="414">
        <f>0.57*1.2</f>
        <v>0.68399999999999994</v>
      </c>
      <c r="F562" s="506">
        <f>E562*F561</f>
        <v>5.4719999999999995</v>
      </c>
      <c r="G562" s="419"/>
      <c r="H562" s="414"/>
      <c r="I562" s="674"/>
      <c r="J562" s="414"/>
      <c r="K562" s="420"/>
      <c r="L562" s="414"/>
      <c r="M562" s="414"/>
    </row>
    <row r="563" spans="1:13" ht="21.75" customHeight="1" x14ac:dyDescent="0.3">
      <c r="A563" s="409"/>
      <c r="B563" s="737"/>
      <c r="C563" s="418" t="s">
        <v>268</v>
      </c>
      <c r="D563" s="419" t="s">
        <v>67</v>
      </c>
      <c r="E563" s="419">
        <v>1</v>
      </c>
      <c r="F563" s="628">
        <f>E563*F561</f>
        <v>8</v>
      </c>
      <c r="G563" s="413"/>
      <c r="H563" s="414"/>
      <c r="I563" s="674"/>
      <c r="J563" s="414"/>
      <c r="K563" s="420"/>
      <c r="L563" s="414"/>
      <c r="M563" s="414"/>
    </row>
    <row r="564" spans="1:13" ht="21.75" customHeight="1" x14ac:dyDescent="0.25">
      <c r="A564" s="409"/>
      <c r="B564" s="396"/>
      <c r="C564" s="418" t="s">
        <v>261</v>
      </c>
      <c r="D564" s="419" t="s">
        <v>219</v>
      </c>
      <c r="E564" s="419">
        <v>0.24</v>
      </c>
      <c r="F564" s="506">
        <f>E564*F561</f>
        <v>1.92</v>
      </c>
      <c r="G564" s="419"/>
      <c r="H564" s="639"/>
      <c r="I564" s="685"/>
      <c r="J564" s="414"/>
      <c r="K564" s="640"/>
      <c r="L564" s="414"/>
      <c r="M564" s="438"/>
    </row>
    <row r="565" spans="1:13" ht="45.75" customHeight="1" x14ac:dyDescent="0.3">
      <c r="A565" s="409">
        <v>7</v>
      </c>
      <c r="B565" s="737" t="s">
        <v>266</v>
      </c>
      <c r="C565" s="435" t="s">
        <v>269</v>
      </c>
      <c r="D565" s="624" t="s">
        <v>67</v>
      </c>
      <c r="E565" s="625"/>
      <c r="F565" s="626">
        <v>500</v>
      </c>
      <c r="G565" s="419"/>
      <c r="H565" s="414"/>
      <c r="I565" s="673"/>
      <c r="J565" s="415"/>
      <c r="K565" s="416"/>
      <c r="L565" s="416"/>
      <c r="M565" s="417"/>
    </row>
    <row r="566" spans="1:13" ht="17.25" customHeight="1" x14ac:dyDescent="0.25">
      <c r="A566" s="409"/>
      <c r="B566" s="737"/>
      <c r="C566" s="418" t="s">
        <v>68</v>
      </c>
      <c r="D566" s="419" t="s">
        <v>67</v>
      </c>
      <c r="E566" s="438">
        <v>1</v>
      </c>
      <c r="F566" s="506">
        <f>E566*F565</f>
        <v>500</v>
      </c>
      <c r="G566" s="419"/>
      <c r="H566" s="414"/>
      <c r="I566" s="674"/>
      <c r="J566" s="414"/>
      <c r="K566" s="420"/>
      <c r="L566" s="414"/>
      <c r="M566" s="438"/>
    </row>
    <row r="567" spans="1:13" ht="19.5" customHeight="1" x14ac:dyDescent="0.3">
      <c r="A567" s="409"/>
      <c r="B567" s="737"/>
      <c r="C567" s="418" t="s">
        <v>270</v>
      </c>
      <c r="D567" s="419" t="s">
        <v>67</v>
      </c>
      <c r="E567" s="419">
        <v>1</v>
      </c>
      <c r="F567" s="628">
        <f>E567*F565</f>
        <v>500</v>
      </c>
      <c r="G567" s="413"/>
      <c r="H567" s="414"/>
      <c r="I567" s="674"/>
      <c r="J567" s="414"/>
      <c r="K567" s="420"/>
      <c r="L567" s="414"/>
      <c r="M567" s="438"/>
    </row>
    <row r="568" spans="1:13" ht="31.5" customHeight="1" x14ac:dyDescent="0.25">
      <c r="A568" s="396">
        <v>8</v>
      </c>
      <c r="B568" s="446" t="s">
        <v>271</v>
      </c>
      <c r="C568" s="454" t="s">
        <v>272</v>
      </c>
      <c r="D568" s="398" t="s">
        <v>39</v>
      </c>
      <c r="E568" s="407"/>
      <c r="F568" s="491">
        <v>30</v>
      </c>
      <c r="G568" s="455"/>
      <c r="H568" s="641"/>
      <c r="I568" s="426"/>
      <c r="J568" s="641"/>
      <c r="K568" s="455"/>
      <c r="L568" s="641"/>
      <c r="M568" s="641"/>
    </row>
    <row r="569" spans="1:13" ht="18" customHeight="1" x14ac:dyDescent="0.25">
      <c r="A569" s="396"/>
      <c r="B569" s="446"/>
      <c r="C569" s="457" t="s">
        <v>40</v>
      </c>
      <c r="D569" s="407" t="s">
        <v>103</v>
      </c>
      <c r="E569" s="407">
        <v>0.57999999999999996</v>
      </c>
      <c r="F569" s="430">
        <f>F568*E569</f>
        <v>17.399999999999999</v>
      </c>
      <c r="G569" s="407"/>
      <c r="H569" s="401"/>
      <c r="I569" s="432"/>
      <c r="J569" s="401"/>
      <c r="K569" s="408"/>
      <c r="L569" s="401"/>
      <c r="M569" s="545"/>
    </row>
    <row r="570" spans="1:13" ht="18.75" customHeight="1" x14ac:dyDescent="0.25">
      <c r="A570" s="396"/>
      <c r="B570" s="446"/>
      <c r="C570" s="457" t="s">
        <v>78</v>
      </c>
      <c r="D570" s="407" t="s">
        <v>273</v>
      </c>
      <c r="E570" s="407">
        <v>0.01</v>
      </c>
      <c r="F570" s="430">
        <f>F568*E570</f>
        <v>0.3</v>
      </c>
      <c r="G570" s="407"/>
      <c r="H570" s="401"/>
      <c r="I570" s="432"/>
      <c r="J570" s="401"/>
      <c r="K570" s="408"/>
      <c r="L570" s="401"/>
      <c r="M570" s="545"/>
    </row>
    <row r="571" spans="1:13" ht="33.75" customHeight="1" x14ac:dyDescent="0.25">
      <c r="A571" s="396"/>
      <c r="B571" s="446"/>
      <c r="C571" s="406" t="s">
        <v>272</v>
      </c>
      <c r="D571" s="263" t="s">
        <v>46</v>
      </c>
      <c r="E571" s="263">
        <v>1.1000000000000001</v>
      </c>
      <c r="F571" s="535">
        <f>F568*E571</f>
        <v>33</v>
      </c>
      <c r="G571" s="263"/>
      <c r="H571" s="515"/>
      <c r="I571" s="537"/>
      <c r="J571" s="515"/>
      <c r="K571" s="516"/>
      <c r="L571" s="515"/>
      <c r="M571" s="608"/>
    </row>
    <row r="572" spans="1:13" ht="17.25" customHeight="1" x14ac:dyDescent="0.25">
      <c r="A572" s="28"/>
      <c r="B572" s="32"/>
      <c r="C572" s="156" t="s">
        <v>274</v>
      </c>
      <c r="D572" s="31"/>
      <c r="E572" s="32"/>
      <c r="F572" s="669"/>
      <c r="G572" s="157"/>
      <c r="H572" s="642"/>
      <c r="I572" s="670"/>
      <c r="J572" s="33"/>
      <c r="K572" s="36"/>
      <c r="L572" s="36"/>
      <c r="M572" s="36"/>
    </row>
    <row r="573" spans="1:13" ht="46.5" customHeight="1" x14ac:dyDescent="0.25">
      <c r="A573" s="440">
        <v>1</v>
      </c>
      <c r="B573" s="734" t="s">
        <v>159</v>
      </c>
      <c r="C573" s="435" t="s">
        <v>275</v>
      </c>
      <c r="D573" s="412" t="s">
        <v>46</v>
      </c>
      <c r="E573" s="436"/>
      <c r="F573" s="498">
        <v>145</v>
      </c>
      <c r="G573" s="414"/>
      <c r="H573" s="438"/>
      <c r="I573" s="506"/>
      <c r="J573" s="438"/>
      <c r="K573" s="414"/>
      <c r="L573" s="438"/>
      <c r="M573" s="438"/>
    </row>
    <row r="574" spans="1:13" x14ac:dyDescent="0.25">
      <c r="A574" s="409"/>
      <c r="B574" s="734"/>
      <c r="C574" s="418" t="s">
        <v>68</v>
      </c>
      <c r="D574" s="419" t="s">
        <v>276</v>
      </c>
      <c r="E574" s="414">
        <f>0.68*1.2</f>
        <v>0.81600000000000006</v>
      </c>
      <c r="F574" s="506">
        <f>E574*F573</f>
        <v>118.32000000000001</v>
      </c>
      <c r="G574" s="419"/>
      <c r="H574" s="414"/>
      <c r="I574" s="674"/>
      <c r="J574" s="414"/>
      <c r="K574" s="420"/>
      <c r="L574" s="414"/>
      <c r="M574" s="438"/>
    </row>
    <row r="575" spans="1:13" ht="21" customHeight="1" x14ac:dyDescent="0.25">
      <c r="A575" s="409"/>
      <c r="B575" s="734"/>
      <c r="C575" s="418" t="s">
        <v>277</v>
      </c>
      <c r="D575" s="419" t="s">
        <v>50</v>
      </c>
      <c r="E575" s="419">
        <f>0.03*1.2</f>
        <v>3.5999999999999997E-2</v>
      </c>
      <c r="F575" s="667">
        <f>E575*F573</f>
        <v>5.22</v>
      </c>
      <c r="G575" s="419"/>
      <c r="H575" s="414"/>
      <c r="I575" s="674"/>
      <c r="J575" s="414"/>
      <c r="K575" s="420"/>
      <c r="L575" s="439"/>
      <c r="M575" s="414"/>
    </row>
    <row r="576" spans="1:13" ht="19.5" customHeight="1" x14ac:dyDescent="0.25">
      <c r="A576" s="409"/>
      <c r="B576" s="409"/>
      <c r="C576" s="418" t="s">
        <v>278</v>
      </c>
      <c r="D576" s="419" t="s">
        <v>219</v>
      </c>
      <c r="E576" s="419">
        <v>0.246</v>
      </c>
      <c r="F576" s="506">
        <f>E576*F573</f>
        <v>35.67</v>
      </c>
      <c r="G576" s="419"/>
      <c r="H576" s="414"/>
      <c r="I576" s="628"/>
      <c r="J576" s="414"/>
      <c r="K576" s="420"/>
      <c r="L576" s="414"/>
      <c r="M576" s="414"/>
    </row>
    <row r="577" spans="1:13" ht="17.25" customHeight="1" x14ac:dyDescent="0.25">
      <c r="A577" s="409"/>
      <c r="B577" s="409"/>
      <c r="C577" s="418" t="s">
        <v>64</v>
      </c>
      <c r="D577" s="419" t="s">
        <v>50</v>
      </c>
      <c r="E577" s="419">
        <v>1.9E-3</v>
      </c>
      <c r="F577" s="667">
        <f>E577*F573</f>
        <v>0.27550000000000002</v>
      </c>
      <c r="G577" s="419"/>
      <c r="H577" s="414"/>
      <c r="I577" s="674"/>
      <c r="J577" s="414"/>
      <c r="K577" s="420"/>
      <c r="L577" s="414"/>
      <c r="M577" s="414"/>
    </row>
    <row r="578" spans="1:13" ht="50.25" customHeight="1" x14ac:dyDescent="0.25">
      <c r="A578" s="395">
        <v>2</v>
      </c>
      <c r="B578" s="660" t="s">
        <v>279</v>
      </c>
      <c r="C578" s="594" t="s">
        <v>280</v>
      </c>
      <c r="D578" s="262" t="s">
        <v>46</v>
      </c>
      <c r="E578" s="507"/>
      <c r="F578" s="542">
        <v>3.2</v>
      </c>
      <c r="G578" s="398"/>
      <c r="H578" s="455"/>
      <c r="I578" s="426"/>
      <c r="J578" s="455"/>
      <c r="K578" s="455"/>
      <c r="L578" s="455"/>
      <c r="M578" s="455"/>
    </row>
    <row r="579" spans="1:13" x14ac:dyDescent="0.25">
      <c r="A579" s="395"/>
      <c r="B579" s="396" t="s">
        <v>123</v>
      </c>
      <c r="C579" s="595" t="s">
        <v>40</v>
      </c>
      <c r="D579" s="402" t="s">
        <v>103</v>
      </c>
      <c r="E579" s="458">
        <f>1.66*0.6*1.2</f>
        <v>1.1951999999999998</v>
      </c>
      <c r="F579" s="430">
        <f>E579*F578</f>
        <v>3.8246399999999996</v>
      </c>
      <c r="G579" s="400"/>
      <c r="H579" s="401"/>
      <c r="I579" s="432"/>
      <c r="J579" s="401"/>
      <c r="K579" s="408"/>
      <c r="L579" s="401"/>
      <c r="M579" s="401"/>
    </row>
    <row r="580" spans="1:13" x14ac:dyDescent="0.25">
      <c r="A580" s="402"/>
      <c r="B580" s="402"/>
      <c r="C580" s="595" t="s">
        <v>281</v>
      </c>
      <c r="D580" s="402" t="s">
        <v>145</v>
      </c>
      <c r="E580" s="400">
        <f>0.205*0.6*1.2</f>
        <v>0.14759999999999998</v>
      </c>
      <c r="F580" s="671">
        <f>E580*F578</f>
        <v>0.47231999999999996</v>
      </c>
      <c r="G580" s="407"/>
      <c r="H580" s="401"/>
      <c r="I580" s="432"/>
      <c r="J580" s="401"/>
      <c r="K580" s="408"/>
      <c r="L580" s="401"/>
      <c r="M580" s="401"/>
    </row>
    <row r="581" spans="1:13" ht="19.5" customHeight="1" x14ac:dyDescent="0.25">
      <c r="A581" s="395"/>
      <c r="B581" s="396"/>
      <c r="C581" s="610" t="s">
        <v>216</v>
      </c>
      <c r="D581" s="402" t="s">
        <v>43</v>
      </c>
      <c r="E581" s="407">
        <f>0.05*1.2</f>
        <v>0.06</v>
      </c>
      <c r="F581" s="493">
        <f>E581*F578</f>
        <v>0.192</v>
      </c>
      <c r="G581" s="581"/>
      <c r="H581" s="582"/>
      <c r="I581" s="686"/>
      <c r="J581" s="643"/>
      <c r="K581" s="408"/>
      <c r="L581" s="401"/>
      <c r="M581" s="401"/>
    </row>
    <row r="582" spans="1:13" x14ac:dyDescent="0.25">
      <c r="A582" s="395"/>
      <c r="B582" s="396"/>
      <c r="C582" s="595" t="s">
        <v>80</v>
      </c>
      <c r="D582" s="402" t="s">
        <v>43</v>
      </c>
      <c r="E582" s="400">
        <f>0.11*0.5</f>
        <v>5.5E-2</v>
      </c>
      <c r="F582" s="531">
        <f>E582*F578</f>
        <v>0.17600000000000002</v>
      </c>
      <c r="G582" s="407"/>
      <c r="H582" s="401"/>
      <c r="I582" s="432"/>
      <c r="J582" s="401"/>
      <c r="K582" s="408"/>
      <c r="L582" s="401"/>
      <c r="M582" s="401"/>
    </row>
    <row r="583" spans="1:13" ht="41.25" customHeight="1" x14ac:dyDescent="0.25">
      <c r="A583" s="644">
        <v>4</v>
      </c>
      <c r="B583" s="396" t="s">
        <v>282</v>
      </c>
      <c r="C583" s="454" t="s">
        <v>283</v>
      </c>
      <c r="D583" s="645" t="s">
        <v>122</v>
      </c>
      <c r="E583" s="646"/>
      <c r="F583" s="647">
        <v>7</v>
      </c>
      <c r="G583" s="400"/>
      <c r="H583" s="456"/>
      <c r="I583" s="524"/>
      <c r="J583" s="403"/>
      <c r="K583" s="404"/>
      <c r="L583" s="404"/>
      <c r="M583" s="405"/>
    </row>
    <row r="584" spans="1:13" ht="18.75" customHeight="1" x14ac:dyDescent="0.3">
      <c r="A584" s="613"/>
      <c r="B584" s="402"/>
      <c r="C584" s="648" t="s">
        <v>40</v>
      </c>
      <c r="D584" s="407" t="s">
        <v>41</v>
      </c>
      <c r="E584" s="407">
        <f>0.379*1.2</f>
        <v>0.45479999999999998</v>
      </c>
      <c r="F584" s="531">
        <f>E584*F583</f>
        <v>3.1835999999999998</v>
      </c>
      <c r="G584" s="400"/>
      <c r="H584" s="649"/>
      <c r="I584" s="524"/>
      <c r="J584" s="403"/>
      <c r="K584" s="650"/>
      <c r="L584" s="650"/>
      <c r="M584" s="403"/>
    </row>
    <row r="585" spans="1:13" ht="18.75" customHeight="1" x14ac:dyDescent="0.3">
      <c r="A585" s="613"/>
      <c r="B585" s="402"/>
      <c r="C585" s="648" t="s">
        <v>216</v>
      </c>
      <c r="D585" s="407" t="s">
        <v>43</v>
      </c>
      <c r="E585" s="407">
        <f>0.028*1.2</f>
        <v>3.3599999999999998E-2</v>
      </c>
      <c r="F585" s="531">
        <f>E585*F583</f>
        <v>0.23519999999999999</v>
      </c>
      <c r="G585" s="649"/>
      <c r="H585" s="456"/>
      <c r="I585" s="524"/>
      <c r="J585" s="403"/>
      <c r="K585" s="403"/>
      <c r="L585" s="405"/>
      <c r="M585" s="403"/>
    </row>
    <row r="586" spans="1:13" ht="29.25" customHeight="1" x14ac:dyDescent="0.3">
      <c r="A586" s="651"/>
      <c r="B586" s="596"/>
      <c r="C586" s="406" t="s">
        <v>284</v>
      </c>
      <c r="D586" s="400" t="s">
        <v>128</v>
      </c>
      <c r="E586" s="526">
        <v>1</v>
      </c>
      <c r="F586" s="531">
        <f>E586*F583</f>
        <v>7</v>
      </c>
      <c r="G586" s="400"/>
      <c r="H586" s="456"/>
      <c r="I586" s="531"/>
      <c r="J586" s="456"/>
      <c r="K586" s="652"/>
      <c r="L586" s="456"/>
      <c r="M586" s="403"/>
    </row>
    <row r="587" spans="1:13" ht="15.75" x14ac:dyDescent="0.3">
      <c r="A587" s="613"/>
      <c r="B587" s="168"/>
      <c r="C587" s="595" t="s">
        <v>233</v>
      </c>
      <c r="D587" s="402" t="s">
        <v>43</v>
      </c>
      <c r="E587" s="407">
        <f>0.07</f>
        <v>7.0000000000000007E-2</v>
      </c>
      <c r="F587" s="531">
        <f>E587*F583</f>
        <v>0.49000000000000005</v>
      </c>
      <c r="G587" s="649"/>
      <c r="H587" s="456"/>
      <c r="I587" s="524"/>
      <c r="J587" s="403"/>
      <c r="K587" s="405"/>
      <c r="L587" s="405"/>
      <c r="M587" s="403"/>
    </row>
    <row r="588" spans="1:13" ht="82.5" customHeight="1" x14ac:dyDescent="0.25">
      <c r="A588" s="644">
        <v>5</v>
      </c>
      <c r="B588" s="396" t="s">
        <v>285</v>
      </c>
      <c r="C588" s="653" t="s">
        <v>286</v>
      </c>
      <c r="D588" s="645" t="s">
        <v>169</v>
      </c>
      <c r="E588" s="646"/>
      <c r="F588" s="647">
        <v>1</v>
      </c>
      <c r="G588" s="400"/>
      <c r="H588" s="456"/>
      <c r="I588" s="524"/>
      <c r="J588" s="403"/>
      <c r="K588" s="404"/>
      <c r="L588" s="404"/>
      <c r="M588" s="405"/>
    </row>
    <row r="589" spans="1:13" ht="15.75" x14ac:dyDescent="0.3">
      <c r="A589" s="613"/>
      <c r="B589" s="402"/>
      <c r="C589" s="648" t="s">
        <v>40</v>
      </c>
      <c r="D589" s="407" t="s">
        <v>41</v>
      </c>
      <c r="E589" s="407">
        <f>7.33</f>
        <v>7.33</v>
      </c>
      <c r="F589" s="531">
        <f>E589*F588</f>
        <v>7.33</v>
      </c>
      <c r="G589" s="400"/>
      <c r="H589" s="649"/>
      <c r="I589" s="524"/>
      <c r="J589" s="403"/>
      <c r="K589" s="650"/>
      <c r="L589" s="650"/>
      <c r="M589" s="403"/>
    </row>
    <row r="590" spans="1:13" ht="21" customHeight="1" x14ac:dyDescent="0.3">
      <c r="A590" s="613"/>
      <c r="B590" s="402"/>
      <c r="C590" s="648" t="s">
        <v>216</v>
      </c>
      <c r="D590" s="407" t="s">
        <v>43</v>
      </c>
      <c r="E590" s="407">
        <f>0.028*1.2</f>
        <v>3.3599999999999998E-2</v>
      </c>
      <c r="F590" s="531">
        <f>E590*F588</f>
        <v>3.3599999999999998E-2</v>
      </c>
      <c r="G590" s="649"/>
      <c r="H590" s="456"/>
      <c r="I590" s="524"/>
      <c r="J590" s="403"/>
      <c r="K590" s="403"/>
      <c r="L590" s="405"/>
      <c r="M590" s="403"/>
    </row>
    <row r="591" spans="1:13" ht="29.25" customHeight="1" x14ac:dyDescent="0.3">
      <c r="A591" s="651"/>
      <c r="B591" s="596"/>
      <c r="C591" s="406" t="s">
        <v>284</v>
      </c>
      <c r="D591" s="400" t="s">
        <v>128</v>
      </c>
      <c r="E591" s="526"/>
      <c r="F591" s="531">
        <v>3</v>
      </c>
      <c r="G591" s="400"/>
      <c r="H591" s="456"/>
      <c r="I591" s="531"/>
      <c r="J591" s="456"/>
      <c r="K591" s="652"/>
      <c r="L591" s="456"/>
      <c r="M591" s="403"/>
    </row>
    <row r="592" spans="1:13" ht="27.75" customHeight="1" x14ac:dyDescent="0.3">
      <c r="A592" s="651"/>
      <c r="B592" s="596"/>
      <c r="C592" s="406" t="s">
        <v>287</v>
      </c>
      <c r="D592" s="400" t="s">
        <v>128</v>
      </c>
      <c r="E592" s="526"/>
      <c r="F592" s="531">
        <v>3</v>
      </c>
      <c r="G592" s="400"/>
      <c r="H592" s="456"/>
      <c r="I592" s="531"/>
      <c r="J592" s="456"/>
      <c r="K592" s="652"/>
      <c r="L592" s="456"/>
      <c r="M592" s="403"/>
    </row>
    <row r="593" spans="1:14" ht="19.5" customHeight="1" x14ac:dyDescent="0.3">
      <c r="A593" s="651"/>
      <c r="B593" s="596"/>
      <c r="C593" s="406" t="s">
        <v>288</v>
      </c>
      <c r="D593" s="400" t="s">
        <v>169</v>
      </c>
      <c r="E593" s="526"/>
      <c r="F593" s="531">
        <v>1</v>
      </c>
      <c r="G593" s="400"/>
      <c r="H593" s="456"/>
      <c r="I593" s="531"/>
      <c r="J593" s="456"/>
      <c r="K593" s="652"/>
      <c r="L593" s="456"/>
      <c r="M593" s="403"/>
    </row>
    <row r="594" spans="1:14" ht="21" customHeight="1" x14ac:dyDescent="0.3">
      <c r="A594" s="651"/>
      <c r="B594" s="596"/>
      <c r="C594" s="406" t="s">
        <v>289</v>
      </c>
      <c r="D594" s="400" t="s">
        <v>219</v>
      </c>
      <c r="E594" s="526">
        <v>2</v>
      </c>
      <c r="F594" s="531">
        <f>E594*F588</f>
        <v>2</v>
      </c>
      <c r="G594" s="400"/>
      <c r="H594" s="456"/>
      <c r="I594" s="531"/>
      <c r="J594" s="456"/>
      <c r="K594" s="652"/>
      <c r="L594" s="456"/>
      <c r="M594" s="403"/>
    </row>
    <row r="595" spans="1:14" ht="33" customHeight="1" x14ac:dyDescent="0.3">
      <c r="A595" s="651">
        <v>6</v>
      </c>
      <c r="B595" s="596"/>
      <c r="C595" s="397" t="s">
        <v>403</v>
      </c>
      <c r="D595" s="400" t="s">
        <v>290</v>
      </c>
      <c r="E595" s="526"/>
      <c r="F595" s="672">
        <v>5</v>
      </c>
      <c r="G595" s="400"/>
      <c r="H595" s="456"/>
      <c r="I595" s="531"/>
      <c r="J595" s="456"/>
      <c r="K595" s="652"/>
      <c r="L595" s="456"/>
      <c r="M595" s="403"/>
    </row>
    <row r="596" spans="1:14" x14ac:dyDescent="0.25">
      <c r="A596" s="259"/>
      <c r="B596" s="168"/>
      <c r="C596" s="169" t="s">
        <v>291</v>
      </c>
      <c r="D596" s="170"/>
      <c r="E596" s="170"/>
      <c r="F596" s="171"/>
      <c r="G596" s="170"/>
      <c r="H596" s="172"/>
      <c r="I596" s="171"/>
      <c r="J596" s="172"/>
      <c r="K596" s="170"/>
      <c r="L596" s="172"/>
      <c r="M596" s="172"/>
      <c r="N596" s="661"/>
    </row>
    <row r="597" spans="1:14" ht="30.75" customHeight="1" x14ac:dyDescent="0.25">
      <c r="A597" s="259"/>
      <c r="B597" s="173"/>
      <c r="C597" s="174" t="s">
        <v>292</v>
      </c>
      <c r="D597" s="175" t="s">
        <v>427</v>
      </c>
      <c r="E597" s="173"/>
      <c r="F597" s="176"/>
      <c r="G597" s="173"/>
      <c r="H597" s="173"/>
      <c r="I597" s="176"/>
      <c r="J597" s="177"/>
      <c r="K597" s="173"/>
      <c r="L597" s="173"/>
      <c r="M597" s="177"/>
    </row>
    <row r="598" spans="1:14" x14ac:dyDescent="0.25">
      <c r="A598" s="259"/>
      <c r="B598" s="168"/>
      <c r="C598" s="169" t="s">
        <v>293</v>
      </c>
      <c r="D598" s="178"/>
      <c r="E598" s="173"/>
      <c r="F598" s="176"/>
      <c r="G598" s="173"/>
      <c r="H598" s="179"/>
      <c r="I598" s="176"/>
      <c r="J598" s="179"/>
      <c r="K598" s="173"/>
      <c r="L598" s="179"/>
      <c r="M598" s="179"/>
    </row>
    <row r="599" spans="1:14" ht="19.5" customHeight="1" x14ac:dyDescent="0.25">
      <c r="A599" s="259"/>
      <c r="B599" s="259"/>
      <c r="C599" s="174" t="s">
        <v>294</v>
      </c>
      <c r="D599" s="175" t="s">
        <v>427</v>
      </c>
      <c r="E599" s="173"/>
      <c r="F599" s="176"/>
      <c r="G599" s="173"/>
      <c r="H599" s="173"/>
      <c r="I599" s="176"/>
      <c r="J599" s="173"/>
      <c r="K599" s="173"/>
      <c r="L599" s="173"/>
      <c r="M599" s="177"/>
    </row>
    <row r="600" spans="1:14" x14ac:dyDescent="0.25">
      <c r="A600" s="259"/>
      <c r="B600" s="259"/>
      <c r="C600" s="169" t="s">
        <v>293</v>
      </c>
      <c r="D600" s="180"/>
      <c r="E600" s="173"/>
      <c r="F600" s="176"/>
      <c r="G600" s="173"/>
      <c r="H600" s="173"/>
      <c r="I600" s="176"/>
      <c r="J600" s="173"/>
      <c r="K600" s="173"/>
      <c r="L600" s="173"/>
      <c r="M600" s="179"/>
    </row>
    <row r="601" spans="1:14" x14ac:dyDescent="0.25">
      <c r="A601" s="259"/>
      <c r="B601" s="259"/>
      <c r="C601" s="174" t="s">
        <v>295</v>
      </c>
      <c r="D601" s="175" t="s">
        <v>427</v>
      </c>
      <c r="E601" s="173"/>
      <c r="F601" s="176"/>
      <c r="G601" s="173"/>
      <c r="H601" s="173"/>
      <c r="I601" s="176"/>
      <c r="J601" s="173"/>
      <c r="K601" s="173"/>
      <c r="L601" s="173"/>
      <c r="M601" s="177"/>
    </row>
    <row r="602" spans="1:14" x14ac:dyDescent="0.25">
      <c r="A602" s="259"/>
      <c r="B602" s="259"/>
      <c r="C602" s="169" t="s">
        <v>296</v>
      </c>
      <c r="D602" s="173"/>
      <c r="E602" s="173"/>
      <c r="F602" s="176"/>
      <c r="G602" s="173"/>
      <c r="H602" s="173"/>
      <c r="I602" s="176"/>
      <c r="J602" s="173"/>
      <c r="K602" s="173"/>
      <c r="L602" s="173"/>
      <c r="M602" s="179"/>
    </row>
  </sheetData>
  <mergeCells count="37">
    <mergeCell ref="B122:B124"/>
    <mergeCell ref="A6:A7"/>
    <mergeCell ref="B6:B7"/>
    <mergeCell ref="C6:C7"/>
    <mergeCell ref="D6:D7"/>
    <mergeCell ref="M6:M7"/>
    <mergeCell ref="B32:B33"/>
    <mergeCell ref="B50:B52"/>
    <mergeCell ref="B66:B67"/>
    <mergeCell ref="B90:B92"/>
    <mergeCell ref="E6:F6"/>
    <mergeCell ref="G6:H6"/>
    <mergeCell ref="I6:J6"/>
    <mergeCell ref="K6:L6"/>
    <mergeCell ref="A387:A390"/>
    <mergeCell ref="B129:B130"/>
    <mergeCell ref="B173:B175"/>
    <mergeCell ref="B215:B217"/>
    <mergeCell ref="B269:B271"/>
    <mergeCell ref="B319:B321"/>
    <mergeCell ref="B329:B332"/>
    <mergeCell ref="B348:B350"/>
    <mergeCell ref="B354:B356"/>
    <mergeCell ref="A370:A375"/>
    <mergeCell ref="A379:A383"/>
    <mergeCell ref="A384:A386"/>
    <mergeCell ref="B573:B575"/>
    <mergeCell ref="B459:B461"/>
    <mergeCell ref="B496:B497"/>
    <mergeCell ref="B511:B513"/>
    <mergeCell ref="B557:B559"/>
    <mergeCell ref="B561:B563"/>
    <mergeCell ref="B565:B567"/>
    <mergeCell ref="A1:D1"/>
    <mergeCell ref="A2:M2"/>
    <mergeCell ref="A3:M3"/>
    <mergeCell ref="A4:M4"/>
  </mergeCells>
  <pageMargins left="0.25" right="0.25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view="pageBreakPreview" zoomScale="80" zoomScaleNormal="100" zoomScaleSheetLayoutView="80" workbookViewId="0">
      <selection activeCell="A4" sqref="A4:M4"/>
    </sheetView>
  </sheetViews>
  <sheetFormatPr defaultRowHeight="15" x14ac:dyDescent="0.25"/>
  <cols>
    <col min="1" max="1" width="3.85546875" customWidth="1"/>
    <col min="2" max="2" width="8.7109375" customWidth="1"/>
    <col min="3" max="3" width="38.42578125" customWidth="1"/>
    <col min="6" max="6" width="9.140625" style="21"/>
    <col min="7" max="7" width="7.7109375" customWidth="1"/>
    <col min="11" max="11" width="8.28515625" customWidth="1"/>
    <col min="13" max="13" width="10.7109375" customWidth="1"/>
  </cols>
  <sheetData>
    <row r="1" spans="1:13" x14ac:dyDescent="0.25">
      <c r="A1" s="721" t="s">
        <v>0</v>
      </c>
      <c r="B1" s="721"/>
      <c r="C1" s="721"/>
      <c r="D1" s="721"/>
      <c r="E1" s="1"/>
      <c r="F1" s="17"/>
      <c r="G1" s="17"/>
      <c r="H1" s="1"/>
      <c r="I1" s="1"/>
      <c r="J1" s="1"/>
    </row>
    <row r="3" spans="1:13" ht="18.75" x14ac:dyDescent="0.3">
      <c r="B3" s="753" t="s">
        <v>299</v>
      </c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</row>
    <row r="4" spans="1:13" ht="40.5" customHeight="1" x14ac:dyDescent="0.25">
      <c r="A4" s="761" t="s">
        <v>423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</row>
    <row r="5" spans="1:13" x14ac:dyDescent="0.25">
      <c r="C5" s="754" t="s">
        <v>300</v>
      </c>
      <c r="D5" s="754"/>
      <c r="E5" s="754"/>
      <c r="F5" s="754"/>
      <c r="G5" s="754"/>
      <c r="H5" s="754"/>
      <c r="I5" s="754"/>
      <c r="J5" s="754"/>
      <c r="K5" s="754"/>
      <c r="L5" s="754"/>
    </row>
    <row r="6" spans="1:13" x14ac:dyDescent="0.25">
      <c r="C6" s="20"/>
    </row>
    <row r="7" spans="1:13" ht="36" customHeight="1" x14ac:dyDescent="0.25">
      <c r="A7" s="755" t="s">
        <v>26</v>
      </c>
      <c r="B7" s="757" t="s">
        <v>27</v>
      </c>
      <c r="C7" s="757" t="s">
        <v>28</v>
      </c>
      <c r="D7" s="757" t="s">
        <v>29</v>
      </c>
      <c r="E7" s="759" t="s">
        <v>30</v>
      </c>
      <c r="F7" s="760"/>
      <c r="G7" s="746" t="s">
        <v>31</v>
      </c>
      <c r="H7" s="747"/>
      <c r="I7" s="746" t="s">
        <v>32</v>
      </c>
      <c r="J7" s="747"/>
      <c r="K7" s="746" t="s">
        <v>33</v>
      </c>
      <c r="L7" s="747"/>
      <c r="M7" s="748" t="s">
        <v>34</v>
      </c>
    </row>
    <row r="8" spans="1:13" ht="22.5" customHeight="1" x14ac:dyDescent="0.25">
      <c r="A8" s="756"/>
      <c r="B8" s="758"/>
      <c r="C8" s="758"/>
      <c r="D8" s="758"/>
      <c r="E8" s="22" t="s">
        <v>35</v>
      </c>
      <c r="F8" s="23" t="s">
        <v>34</v>
      </c>
      <c r="G8" s="22" t="s">
        <v>35</v>
      </c>
      <c r="H8" s="22" t="s">
        <v>34</v>
      </c>
      <c r="I8" s="22" t="s">
        <v>35</v>
      </c>
      <c r="J8" s="22" t="s">
        <v>34</v>
      </c>
      <c r="K8" s="22" t="s">
        <v>35</v>
      </c>
      <c r="L8" s="22" t="s">
        <v>34</v>
      </c>
      <c r="M8" s="749"/>
    </row>
    <row r="9" spans="1:13" x14ac:dyDescent="0.25">
      <c r="A9" s="24">
        <v>1</v>
      </c>
      <c r="B9" s="25">
        <v>2</v>
      </c>
      <c r="C9" s="25">
        <v>3</v>
      </c>
      <c r="D9" s="24">
        <v>4</v>
      </c>
      <c r="E9" s="24">
        <v>5</v>
      </c>
      <c r="F9" s="26">
        <v>6</v>
      </c>
      <c r="G9" s="24">
        <v>7</v>
      </c>
      <c r="H9" s="24">
        <v>8</v>
      </c>
      <c r="I9" s="27">
        <v>9</v>
      </c>
      <c r="J9" s="24">
        <v>10</v>
      </c>
      <c r="K9" s="24">
        <v>11</v>
      </c>
      <c r="L9" s="24">
        <v>12</v>
      </c>
      <c r="M9" s="27">
        <v>13</v>
      </c>
    </row>
    <row r="10" spans="1:13" x14ac:dyDescent="0.25">
      <c r="A10" s="32"/>
      <c r="B10" s="32"/>
      <c r="C10" s="183" t="s">
        <v>301</v>
      </c>
      <c r="D10" s="146"/>
      <c r="E10" s="32"/>
      <c r="F10" s="36"/>
      <c r="G10" s="32"/>
      <c r="H10" s="32"/>
      <c r="I10" s="32"/>
      <c r="J10" s="32"/>
      <c r="K10" s="32"/>
      <c r="L10" s="32"/>
      <c r="M10" s="32"/>
    </row>
    <row r="11" spans="1:13" ht="27" x14ac:dyDescent="0.25">
      <c r="A11" s="184">
        <v>1</v>
      </c>
      <c r="B11" s="185" t="s">
        <v>302</v>
      </c>
      <c r="C11" s="714" t="s">
        <v>303</v>
      </c>
      <c r="D11" s="159" t="s">
        <v>39</v>
      </c>
      <c r="E11" s="92"/>
      <c r="F11" s="141">
        <v>50</v>
      </c>
      <c r="G11" s="187"/>
      <c r="H11" s="188"/>
      <c r="I11" s="95"/>
      <c r="J11" s="188"/>
      <c r="K11" s="95"/>
      <c r="L11" s="188"/>
      <c r="M11" s="189"/>
    </row>
    <row r="12" spans="1:13" ht="20.25" customHeight="1" x14ac:dyDescent="0.25">
      <c r="A12" s="142"/>
      <c r="B12" s="142"/>
      <c r="C12" s="144" t="s">
        <v>40</v>
      </c>
      <c r="D12" s="142" t="s">
        <v>145</v>
      </c>
      <c r="E12" s="130">
        <f>0.129*1.2</f>
        <v>0.15479999999999999</v>
      </c>
      <c r="F12" s="97">
        <f>E12*F11</f>
        <v>7.7399999999999993</v>
      </c>
      <c r="G12" s="96"/>
      <c r="H12" s="97"/>
      <c r="I12" s="96"/>
      <c r="J12" s="97"/>
      <c r="K12" s="190"/>
      <c r="L12" s="191"/>
      <c r="M12" s="192"/>
    </row>
    <row r="13" spans="1:13" ht="57.75" customHeight="1" x14ac:dyDescent="0.25">
      <c r="A13" s="193">
        <v>2</v>
      </c>
      <c r="B13" s="194" t="s">
        <v>304</v>
      </c>
      <c r="C13" s="93" t="s">
        <v>387</v>
      </c>
      <c r="D13" s="159" t="s">
        <v>56</v>
      </c>
      <c r="E13" s="195"/>
      <c r="F13" s="383">
        <v>0.7</v>
      </c>
      <c r="G13" s="196"/>
      <c r="H13" s="196"/>
      <c r="I13" s="197"/>
      <c r="J13" s="196"/>
      <c r="K13" s="196"/>
      <c r="L13" s="196"/>
      <c r="M13" s="196"/>
    </row>
    <row r="14" spans="1:13" x14ac:dyDescent="0.25">
      <c r="A14" s="198"/>
      <c r="B14" s="199"/>
      <c r="C14" s="200" t="s">
        <v>180</v>
      </c>
      <c r="D14" s="201" t="s">
        <v>183</v>
      </c>
      <c r="E14" s="202">
        <f>3.88*1.2</f>
        <v>4.6559999999999997</v>
      </c>
      <c r="F14" s="202">
        <f>F13*E14</f>
        <v>3.2591999999999994</v>
      </c>
      <c r="G14" s="204"/>
      <c r="H14" s="202"/>
      <c r="I14" s="203"/>
      <c r="J14" s="202"/>
      <c r="K14" s="202"/>
      <c r="L14" s="202"/>
      <c r="M14" s="202"/>
    </row>
    <row r="15" spans="1:13" ht="45" x14ac:dyDescent="0.25">
      <c r="A15" s="88">
        <v>3</v>
      </c>
      <c r="B15" s="88" t="s">
        <v>305</v>
      </c>
      <c r="C15" s="205" t="s">
        <v>306</v>
      </c>
      <c r="D15" s="206" t="s">
        <v>307</v>
      </c>
      <c r="E15" s="207"/>
      <c r="F15" s="384">
        <v>0.7</v>
      </c>
      <c r="G15" s="208"/>
      <c r="H15" s="208"/>
      <c r="I15" s="209"/>
      <c r="J15" s="208"/>
      <c r="K15" s="208"/>
      <c r="L15" s="208"/>
      <c r="M15" s="208"/>
    </row>
    <row r="16" spans="1:13" x14ac:dyDescent="0.25">
      <c r="A16" s="210"/>
      <c r="B16" s="211"/>
      <c r="C16" s="212" t="s">
        <v>308</v>
      </c>
      <c r="D16" s="75" t="s">
        <v>276</v>
      </c>
      <c r="E16" s="213">
        <f>0.993*1.2</f>
        <v>1.1916</v>
      </c>
      <c r="F16" s="213">
        <f>F15*E16</f>
        <v>0.83411999999999997</v>
      </c>
      <c r="G16" s="215"/>
      <c r="H16" s="213"/>
      <c r="I16" s="214"/>
      <c r="J16" s="213"/>
      <c r="K16" s="213"/>
      <c r="L16" s="213"/>
      <c r="M16" s="213"/>
    </row>
    <row r="17" spans="1:13" ht="40.5" x14ac:dyDescent="0.25">
      <c r="A17" s="216">
        <v>4</v>
      </c>
      <c r="B17" s="217" t="s">
        <v>309</v>
      </c>
      <c r="C17" s="218" t="s">
        <v>310</v>
      </c>
      <c r="D17" s="216" t="s">
        <v>311</v>
      </c>
      <c r="E17" s="219"/>
      <c r="F17" s="141">
        <v>0.2</v>
      </c>
      <c r="G17" s="220"/>
      <c r="H17" s="216"/>
      <c r="I17" s="219"/>
      <c r="J17" s="221"/>
      <c r="K17" s="222"/>
      <c r="L17" s="114"/>
      <c r="M17" s="223"/>
    </row>
    <row r="18" spans="1:13" x14ac:dyDescent="0.25">
      <c r="A18" s="224"/>
      <c r="B18" s="225"/>
      <c r="C18" s="226" t="s">
        <v>54</v>
      </c>
      <c r="D18" s="225" t="s">
        <v>312</v>
      </c>
      <c r="E18" s="227">
        <f>0.89*1.2</f>
        <v>1.0680000000000001</v>
      </c>
      <c r="F18" s="385">
        <f>E18*F17</f>
        <v>0.21360000000000001</v>
      </c>
      <c r="G18" s="229"/>
      <c r="H18" s="230"/>
      <c r="I18" s="227"/>
      <c r="J18" s="227"/>
      <c r="K18" s="231"/>
      <c r="L18" s="232"/>
      <c r="M18" s="105"/>
    </row>
    <row r="19" spans="1:13" x14ac:dyDescent="0.25">
      <c r="A19" s="225"/>
      <c r="B19" s="225"/>
      <c r="C19" s="82" t="s">
        <v>313</v>
      </c>
      <c r="D19" s="225" t="s">
        <v>43</v>
      </c>
      <c r="E19" s="233">
        <f>0.37*1.2</f>
        <v>0.44400000000000001</v>
      </c>
      <c r="F19" s="143">
        <f>E19*F17</f>
        <v>8.8800000000000004E-2</v>
      </c>
      <c r="G19" s="234"/>
      <c r="H19" s="225"/>
      <c r="I19" s="233"/>
      <c r="J19" s="105"/>
      <c r="K19" s="231"/>
      <c r="L19" s="105"/>
      <c r="M19" s="105"/>
    </row>
    <row r="20" spans="1:13" ht="15.75" x14ac:dyDescent="0.25">
      <c r="A20" s="224"/>
      <c r="B20" s="225"/>
      <c r="C20" s="226" t="s">
        <v>314</v>
      </c>
      <c r="D20" s="225" t="s">
        <v>315</v>
      </c>
      <c r="E20" s="227">
        <v>1.1499999999999999</v>
      </c>
      <c r="F20" s="385">
        <f>E20*F17</f>
        <v>0.22999999999999998</v>
      </c>
      <c r="G20" s="234"/>
      <c r="H20" s="225"/>
      <c r="I20" s="235"/>
      <c r="J20" s="227"/>
      <c r="K20" s="231"/>
      <c r="L20" s="231"/>
      <c r="M20" s="105"/>
    </row>
    <row r="21" spans="1:13" x14ac:dyDescent="0.25">
      <c r="A21" s="236"/>
      <c r="B21" s="236"/>
      <c r="C21" s="237" t="s">
        <v>316</v>
      </c>
      <c r="D21" s="236" t="s">
        <v>43</v>
      </c>
      <c r="E21" s="238">
        <v>0.02</v>
      </c>
      <c r="F21" s="268">
        <f>E21*F17</f>
        <v>4.0000000000000001E-3</v>
      </c>
      <c r="G21" s="240"/>
      <c r="H21" s="236"/>
      <c r="I21" s="241"/>
      <c r="J21" s="227"/>
      <c r="K21" s="242"/>
      <c r="L21" s="242"/>
      <c r="M21" s="105"/>
    </row>
    <row r="22" spans="1:13" ht="40.5" x14ac:dyDescent="0.25">
      <c r="A22" s="216">
        <v>5</v>
      </c>
      <c r="B22" s="243" t="s">
        <v>317</v>
      </c>
      <c r="C22" s="244" t="s">
        <v>318</v>
      </c>
      <c r="D22" s="245" t="s">
        <v>307</v>
      </c>
      <c r="E22" s="246"/>
      <c r="F22" s="383">
        <v>0.6</v>
      </c>
      <c r="G22" s="246"/>
      <c r="H22" s="245"/>
      <c r="I22" s="246"/>
      <c r="J22" s="247"/>
      <c r="K22" s="246"/>
      <c r="L22" s="246"/>
      <c r="M22" s="246"/>
    </row>
    <row r="23" spans="1:13" x14ac:dyDescent="0.25">
      <c r="A23" s="248"/>
      <c r="B23" s="225"/>
      <c r="C23" s="249" t="s">
        <v>54</v>
      </c>
      <c r="D23" s="104" t="s">
        <v>183</v>
      </c>
      <c r="E23" s="108">
        <f>6.66*1.2*1.15</f>
        <v>9.1907999999999994</v>
      </c>
      <c r="F23" s="260">
        <f>F22*E23</f>
        <v>5.5144799999999998</v>
      </c>
      <c r="G23" s="107"/>
      <c r="H23" s="108"/>
      <c r="I23" s="108"/>
      <c r="J23" s="108"/>
      <c r="K23" s="108"/>
      <c r="L23" s="250"/>
      <c r="M23" s="105"/>
    </row>
    <row r="24" spans="1:13" x14ac:dyDescent="0.25">
      <c r="A24" s="248"/>
      <c r="B24" s="104"/>
      <c r="C24" s="249" t="s">
        <v>319</v>
      </c>
      <c r="D24" s="104" t="s">
        <v>320</v>
      </c>
      <c r="E24" s="108">
        <f>0.59*1.2</f>
        <v>0.70799999999999996</v>
      </c>
      <c r="F24" s="260">
        <f>F22*E24</f>
        <v>0.42479999999999996</v>
      </c>
      <c r="G24" s="108"/>
      <c r="H24" s="104"/>
      <c r="I24" s="108"/>
      <c r="J24" s="108"/>
      <c r="K24" s="108"/>
      <c r="L24" s="250"/>
      <c r="M24" s="105"/>
    </row>
    <row r="25" spans="1:13" x14ac:dyDescent="0.25">
      <c r="A25" s="248"/>
      <c r="B25" s="225"/>
      <c r="C25" s="249" t="s">
        <v>321</v>
      </c>
      <c r="D25" s="104" t="s">
        <v>56</v>
      </c>
      <c r="E25" s="108">
        <v>1.0149999999999999</v>
      </c>
      <c r="F25" s="260">
        <f>F22*E25</f>
        <v>0.60899999999999987</v>
      </c>
      <c r="G25" s="108"/>
      <c r="H25" s="104"/>
      <c r="I25" s="107"/>
      <c r="J25" s="108"/>
      <c r="K25" s="108"/>
      <c r="L25" s="250"/>
      <c r="M25" s="105"/>
    </row>
    <row r="26" spans="1:13" x14ac:dyDescent="0.25">
      <c r="A26" s="248"/>
      <c r="B26" s="225"/>
      <c r="C26" s="249" t="s">
        <v>322</v>
      </c>
      <c r="D26" s="104" t="s">
        <v>39</v>
      </c>
      <c r="E26" s="108">
        <v>1.6</v>
      </c>
      <c r="F26" s="260">
        <f>F22*E26</f>
        <v>0.96</v>
      </c>
      <c r="G26" s="108"/>
      <c r="H26" s="104"/>
      <c r="I26" s="108"/>
      <c r="J26" s="108"/>
      <c r="K26" s="108"/>
      <c r="L26" s="250"/>
      <c r="M26" s="105"/>
    </row>
    <row r="27" spans="1:13" ht="27" x14ac:dyDescent="0.25">
      <c r="A27" s="248"/>
      <c r="B27" s="225"/>
      <c r="C27" s="251" t="s">
        <v>323</v>
      </c>
      <c r="D27" s="104" t="s">
        <v>56</v>
      </c>
      <c r="E27" s="108">
        <v>1.83E-2</v>
      </c>
      <c r="F27" s="191">
        <f>F22*E27</f>
        <v>1.098E-2</v>
      </c>
      <c r="G27" s="108"/>
      <c r="H27" s="104"/>
      <c r="I27" s="107"/>
      <c r="J27" s="108"/>
      <c r="K27" s="108"/>
      <c r="L27" s="250"/>
      <c r="M27" s="105"/>
    </row>
    <row r="28" spans="1:13" x14ac:dyDescent="0.25">
      <c r="A28" s="252"/>
      <c r="B28" s="253"/>
      <c r="C28" s="254" t="s">
        <v>316</v>
      </c>
      <c r="D28" s="253" t="s">
        <v>320</v>
      </c>
      <c r="E28" s="203">
        <v>0.4</v>
      </c>
      <c r="F28" s="204">
        <f>F22*E28</f>
        <v>0.24</v>
      </c>
      <c r="G28" s="203"/>
      <c r="H28" s="253"/>
      <c r="I28" s="203"/>
      <c r="J28" s="108"/>
      <c r="K28" s="203"/>
      <c r="L28" s="256"/>
      <c r="M28" s="105"/>
    </row>
    <row r="29" spans="1:13" ht="54" x14ac:dyDescent="0.25">
      <c r="A29" s="142">
        <v>6</v>
      </c>
      <c r="B29" s="261" t="s">
        <v>325</v>
      </c>
      <c r="C29" s="131" t="s">
        <v>326</v>
      </c>
      <c r="D29" s="159" t="s">
        <v>324</v>
      </c>
      <c r="E29" s="87"/>
      <c r="F29" s="713">
        <f>0.00942*26</f>
        <v>0.24492</v>
      </c>
      <c r="G29" s="95"/>
      <c r="H29" s="141"/>
      <c r="I29" s="94"/>
      <c r="J29" s="141"/>
      <c r="K29" s="95"/>
      <c r="L29" s="141"/>
      <c r="M29" s="141"/>
    </row>
    <row r="30" spans="1:13" ht="18" customHeight="1" x14ac:dyDescent="0.25">
      <c r="A30" s="142"/>
      <c r="B30" s="142"/>
      <c r="C30" s="264" t="s">
        <v>180</v>
      </c>
      <c r="D30" s="142" t="s">
        <v>103</v>
      </c>
      <c r="E30" s="97">
        <f>53.8*1.2*1.1</f>
        <v>71.015999999999991</v>
      </c>
      <c r="F30" s="143">
        <f>E30*F29</f>
        <v>17.393238719999999</v>
      </c>
      <c r="G30" s="96"/>
      <c r="H30" s="143"/>
      <c r="I30" s="265"/>
      <c r="J30" s="266"/>
      <c r="K30" s="266"/>
      <c r="L30" s="266"/>
      <c r="M30" s="260"/>
    </row>
    <row r="31" spans="1:13" ht="18" customHeight="1" x14ac:dyDescent="0.25">
      <c r="A31" s="142"/>
      <c r="B31" s="142"/>
      <c r="C31" s="264" t="s">
        <v>327</v>
      </c>
      <c r="D31" s="142" t="s">
        <v>210</v>
      </c>
      <c r="E31" s="96">
        <f>0.3*1.2</f>
        <v>0.36</v>
      </c>
      <c r="F31" s="143">
        <f>E31*F29</f>
        <v>8.8171199999999991E-2</v>
      </c>
      <c r="G31" s="96"/>
      <c r="H31" s="97"/>
      <c r="I31" s="98"/>
      <c r="J31" s="97"/>
      <c r="K31" s="98"/>
      <c r="L31" s="97"/>
      <c r="M31" s="191"/>
    </row>
    <row r="32" spans="1:13" ht="18" customHeight="1" x14ac:dyDescent="0.25">
      <c r="A32" s="142"/>
      <c r="B32" s="142"/>
      <c r="C32" s="264" t="s">
        <v>78</v>
      </c>
      <c r="D32" s="142" t="s">
        <v>43</v>
      </c>
      <c r="E32" s="96">
        <f>18.4*1.2</f>
        <v>22.08</v>
      </c>
      <c r="F32" s="143">
        <f>E32*F29</f>
        <v>5.4078335999999991</v>
      </c>
      <c r="G32" s="96"/>
      <c r="H32" s="97"/>
      <c r="I32" s="98"/>
      <c r="J32" s="97"/>
      <c r="K32" s="98"/>
      <c r="L32" s="97"/>
      <c r="M32" s="191"/>
    </row>
    <row r="33" spans="1:13" ht="18" customHeight="1" x14ac:dyDescent="0.25">
      <c r="A33" s="142"/>
      <c r="B33" s="142"/>
      <c r="C33" s="264" t="s">
        <v>328</v>
      </c>
      <c r="D33" s="142" t="s">
        <v>324</v>
      </c>
      <c r="E33" s="96">
        <v>1</v>
      </c>
      <c r="F33" s="130">
        <f>E33*F29</f>
        <v>0.24492</v>
      </c>
      <c r="G33" s="96"/>
      <c r="H33" s="97"/>
      <c r="I33" s="98"/>
      <c r="J33" s="97"/>
      <c r="K33" s="98"/>
      <c r="L33" s="97"/>
      <c r="M33" s="260"/>
    </row>
    <row r="34" spans="1:13" ht="18" customHeight="1" x14ac:dyDescent="0.25">
      <c r="A34" s="142"/>
      <c r="B34" s="142"/>
      <c r="C34" s="264" t="s">
        <v>158</v>
      </c>
      <c r="D34" s="142" t="s">
        <v>93</v>
      </c>
      <c r="E34" s="96">
        <v>24.4</v>
      </c>
      <c r="F34" s="143">
        <f>E34*F29</f>
        <v>5.9760479999999996</v>
      </c>
      <c r="G34" s="96"/>
      <c r="H34" s="97"/>
      <c r="I34" s="98"/>
      <c r="J34" s="260"/>
      <c r="K34" s="98"/>
      <c r="L34" s="97"/>
      <c r="M34" s="191"/>
    </row>
    <row r="35" spans="1:13" ht="18" customHeight="1" x14ac:dyDescent="0.25">
      <c r="A35" s="201"/>
      <c r="B35" s="201"/>
      <c r="C35" s="267" t="s">
        <v>80</v>
      </c>
      <c r="D35" s="201" t="s">
        <v>43</v>
      </c>
      <c r="E35" s="126">
        <v>2.78</v>
      </c>
      <c r="F35" s="268">
        <f>E35*F29</f>
        <v>0.68087759999999997</v>
      </c>
      <c r="G35" s="126"/>
      <c r="H35" s="99"/>
      <c r="I35" s="269"/>
      <c r="J35" s="204"/>
      <c r="K35" s="269"/>
      <c r="L35" s="99"/>
      <c r="M35" s="202"/>
    </row>
    <row r="36" spans="1:13" x14ac:dyDescent="0.25">
      <c r="A36" s="28"/>
      <c r="B36" s="257"/>
      <c r="C36" s="120" t="s">
        <v>389</v>
      </c>
      <c r="D36" s="31"/>
      <c r="E36" s="257"/>
      <c r="F36" s="35"/>
      <c r="G36" s="258"/>
      <c r="H36" s="33"/>
      <c r="I36" s="258"/>
      <c r="J36" s="258"/>
      <c r="K36" s="258"/>
      <c r="L36" s="258"/>
      <c r="M36" s="258"/>
    </row>
    <row r="37" spans="1:13" ht="27" x14ac:dyDescent="0.25">
      <c r="A37" s="750">
        <v>7</v>
      </c>
      <c r="B37" s="194" t="s">
        <v>304</v>
      </c>
      <c r="C37" s="93" t="s">
        <v>398</v>
      </c>
      <c r="D37" s="159" t="s">
        <v>56</v>
      </c>
      <c r="E37" s="195"/>
      <c r="F37" s="383">
        <v>9</v>
      </c>
      <c r="G37" s="196"/>
      <c r="H37" s="196"/>
      <c r="I37" s="197"/>
      <c r="J37" s="196"/>
      <c r="K37" s="196"/>
      <c r="L37" s="196"/>
      <c r="M37" s="196"/>
    </row>
    <row r="38" spans="1:13" x14ac:dyDescent="0.25">
      <c r="A38" s="750"/>
      <c r="B38" s="199"/>
      <c r="C38" s="200" t="s">
        <v>180</v>
      </c>
      <c r="D38" s="201" t="s">
        <v>183</v>
      </c>
      <c r="E38" s="202">
        <f>3.88*1.2</f>
        <v>4.6559999999999997</v>
      </c>
      <c r="F38" s="202">
        <f>F37*E38</f>
        <v>41.903999999999996</v>
      </c>
      <c r="G38" s="204"/>
      <c r="H38" s="202"/>
      <c r="I38" s="203"/>
      <c r="J38" s="202"/>
      <c r="K38" s="202"/>
      <c r="L38" s="202"/>
      <c r="M38" s="202"/>
    </row>
    <row r="39" spans="1:13" ht="30" x14ac:dyDescent="0.25">
      <c r="A39" s="750">
        <v>8</v>
      </c>
      <c r="B39" s="88" t="s">
        <v>305</v>
      </c>
      <c r="C39" s="205" t="s">
        <v>400</v>
      </c>
      <c r="D39" s="206" t="s">
        <v>307</v>
      </c>
      <c r="E39" s="207"/>
      <c r="F39" s="384">
        <v>9</v>
      </c>
      <c r="G39" s="208"/>
      <c r="H39" s="208"/>
      <c r="I39" s="209"/>
      <c r="J39" s="208"/>
      <c r="K39" s="208"/>
      <c r="L39" s="208"/>
      <c r="M39" s="208"/>
    </row>
    <row r="40" spans="1:13" x14ac:dyDescent="0.25">
      <c r="A40" s="750"/>
      <c r="B40" s="211"/>
      <c r="C40" s="212" t="s">
        <v>308</v>
      </c>
      <c r="D40" s="75" t="s">
        <v>276</v>
      </c>
      <c r="E40" s="213">
        <f>0.993*1.2</f>
        <v>1.1916</v>
      </c>
      <c r="F40" s="213">
        <f>F39*E40</f>
        <v>10.724399999999999</v>
      </c>
      <c r="G40" s="215"/>
      <c r="H40" s="213"/>
      <c r="I40" s="214"/>
      <c r="J40" s="213"/>
      <c r="K40" s="213"/>
      <c r="L40" s="213"/>
      <c r="M40" s="213"/>
    </row>
    <row r="41" spans="1:13" ht="27" x14ac:dyDescent="0.25">
      <c r="A41" s="372">
        <v>9</v>
      </c>
      <c r="B41" s="217" t="s">
        <v>309</v>
      </c>
      <c r="C41" s="218" t="s">
        <v>390</v>
      </c>
      <c r="D41" s="216" t="s">
        <v>311</v>
      </c>
      <c r="E41" s="219"/>
      <c r="F41" s="141">
        <v>3</v>
      </c>
      <c r="G41" s="220"/>
      <c r="H41" s="216"/>
      <c r="I41" s="219"/>
      <c r="J41" s="221"/>
      <c r="K41" s="222"/>
      <c r="L41" s="114"/>
      <c r="M41" s="223"/>
    </row>
    <row r="42" spans="1:13" x14ac:dyDescent="0.25">
      <c r="A42" s="224"/>
      <c r="B42" s="225"/>
      <c r="C42" s="226" t="s">
        <v>54</v>
      </c>
      <c r="D42" s="225" t="s">
        <v>312</v>
      </c>
      <c r="E42" s="227">
        <f>0.89*1.2</f>
        <v>1.0680000000000001</v>
      </c>
      <c r="F42" s="385">
        <f>E42*F41</f>
        <v>3.2040000000000002</v>
      </c>
      <c r="G42" s="229"/>
      <c r="H42" s="230"/>
      <c r="I42" s="227"/>
      <c r="J42" s="227"/>
      <c r="K42" s="231"/>
      <c r="L42" s="232"/>
      <c r="M42" s="105"/>
    </row>
    <row r="43" spans="1:13" x14ac:dyDescent="0.25">
      <c r="A43" s="225"/>
      <c r="B43" s="225"/>
      <c r="C43" s="82" t="s">
        <v>313</v>
      </c>
      <c r="D43" s="225" t="s">
        <v>43</v>
      </c>
      <c r="E43" s="233">
        <f>0.37*1.2</f>
        <v>0.44400000000000001</v>
      </c>
      <c r="F43" s="143">
        <f>E43*F41</f>
        <v>1.3320000000000001</v>
      </c>
      <c r="G43" s="234"/>
      <c r="H43" s="225"/>
      <c r="I43" s="233"/>
      <c r="J43" s="105"/>
      <c r="K43" s="231"/>
      <c r="L43" s="105"/>
      <c r="M43" s="105"/>
    </row>
    <row r="44" spans="1:13" ht="15.75" x14ac:dyDescent="0.25">
      <c r="A44" s="224"/>
      <c r="B44" s="225"/>
      <c r="C44" s="226" t="s">
        <v>314</v>
      </c>
      <c r="D44" s="225" t="s">
        <v>315</v>
      </c>
      <c r="E44" s="227">
        <v>1.1499999999999999</v>
      </c>
      <c r="F44" s="385">
        <f>E44*F41</f>
        <v>3.4499999999999997</v>
      </c>
      <c r="G44" s="234"/>
      <c r="H44" s="225"/>
      <c r="I44" s="235"/>
      <c r="J44" s="227"/>
      <c r="K44" s="231"/>
      <c r="L44" s="231"/>
      <c r="M44" s="105"/>
    </row>
    <row r="45" spans="1:13" x14ac:dyDescent="0.25">
      <c r="A45" s="236"/>
      <c r="B45" s="236"/>
      <c r="C45" s="237" t="s">
        <v>316</v>
      </c>
      <c r="D45" s="236" t="s">
        <v>43</v>
      </c>
      <c r="E45" s="238">
        <v>0.02</v>
      </c>
      <c r="F45" s="268">
        <f>E45*F41</f>
        <v>0.06</v>
      </c>
      <c r="G45" s="240"/>
      <c r="H45" s="236"/>
      <c r="I45" s="241"/>
      <c r="J45" s="227"/>
      <c r="K45" s="242"/>
      <c r="L45" s="242"/>
      <c r="M45" s="105"/>
    </row>
    <row r="46" spans="1:13" ht="27" x14ac:dyDescent="0.25">
      <c r="A46" s="85">
        <v>10</v>
      </c>
      <c r="B46" s="751" t="s">
        <v>329</v>
      </c>
      <c r="C46" s="37" t="s">
        <v>330</v>
      </c>
      <c r="D46" s="273" t="s">
        <v>56</v>
      </c>
      <c r="E46" s="274"/>
      <c r="F46" s="273">
        <v>3</v>
      </c>
      <c r="G46" s="95"/>
      <c r="H46" s="141"/>
      <c r="I46" s="95"/>
      <c r="J46" s="141"/>
      <c r="K46" s="95"/>
      <c r="L46" s="141"/>
      <c r="M46" s="141"/>
    </row>
    <row r="47" spans="1:13" x14ac:dyDescent="0.25">
      <c r="A47" s="85"/>
      <c r="B47" s="751"/>
      <c r="C47" s="40" t="s">
        <v>40</v>
      </c>
      <c r="D47" s="96" t="s">
        <v>41</v>
      </c>
      <c r="E47" s="97">
        <f>2.9*1.2</f>
        <v>3.48</v>
      </c>
      <c r="F47" s="97">
        <f>E47*F46</f>
        <v>10.44</v>
      </c>
      <c r="G47" s="96"/>
      <c r="H47" s="143"/>
      <c r="I47" s="98"/>
      <c r="J47" s="97"/>
      <c r="K47" s="98"/>
      <c r="L47" s="97"/>
      <c r="M47" s="143"/>
    </row>
    <row r="48" spans="1:13" x14ac:dyDescent="0.25">
      <c r="A48" s="85"/>
      <c r="B48" s="751"/>
      <c r="C48" s="40" t="s">
        <v>331</v>
      </c>
      <c r="D48" s="96" t="s">
        <v>56</v>
      </c>
      <c r="E48" s="96">
        <v>1.02</v>
      </c>
      <c r="F48" s="130">
        <f>E48*F46</f>
        <v>3.06</v>
      </c>
      <c r="G48" s="96"/>
      <c r="H48" s="97"/>
      <c r="I48" s="98"/>
      <c r="J48" s="97"/>
      <c r="K48" s="98"/>
      <c r="L48" s="97"/>
      <c r="M48" s="97"/>
    </row>
    <row r="49" spans="1:14" x14ac:dyDescent="0.25">
      <c r="A49" s="86"/>
      <c r="B49" s="751"/>
      <c r="C49" s="46" t="s">
        <v>80</v>
      </c>
      <c r="D49" s="126" t="s">
        <v>332</v>
      </c>
      <c r="E49" s="126">
        <v>0.88</v>
      </c>
      <c r="F49" s="275">
        <f>E49*F47</f>
        <v>9.1871999999999989</v>
      </c>
      <c r="G49" s="126"/>
      <c r="H49" s="99"/>
      <c r="I49" s="269"/>
      <c r="J49" s="99"/>
      <c r="K49" s="269"/>
      <c r="L49" s="99"/>
      <c r="M49" s="99"/>
    </row>
    <row r="50" spans="1:14" ht="40.5" x14ac:dyDescent="0.25">
      <c r="A50" s="84">
        <v>11</v>
      </c>
      <c r="B50" s="752" t="s">
        <v>333</v>
      </c>
      <c r="C50" s="93" t="s">
        <v>388</v>
      </c>
      <c r="D50" s="92" t="s">
        <v>39</v>
      </c>
      <c r="E50" s="92"/>
      <c r="F50" s="141">
        <v>30</v>
      </c>
      <c r="G50" s="87"/>
      <c r="H50" s="129"/>
      <c r="I50" s="128"/>
      <c r="J50" s="129"/>
      <c r="K50" s="128"/>
      <c r="L50" s="129"/>
      <c r="M50" s="94"/>
    </row>
    <row r="51" spans="1:14" x14ac:dyDescent="0.25">
      <c r="A51" s="85"/>
      <c r="B51" s="751"/>
      <c r="C51" s="40" t="s">
        <v>40</v>
      </c>
      <c r="D51" s="96" t="s">
        <v>41</v>
      </c>
      <c r="E51" s="96">
        <v>1.23</v>
      </c>
      <c r="F51" s="96">
        <f>E51*F50</f>
        <v>36.9</v>
      </c>
      <c r="G51" s="96"/>
      <c r="H51" s="97"/>
      <c r="I51" s="98"/>
      <c r="J51" s="97"/>
      <c r="K51" s="98"/>
      <c r="L51" s="97"/>
      <c r="M51" s="97"/>
    </row>
    <row r="52" spans="1:14" x14ac:dyDescent="0.25">
      <c r="A52" s="85"/>
      <c r="B52" s="277"/>
      <c r="C52" s="40" t="s">
        <v>75</v>
      </c>
      <c r="D52" s="96" t="s">
        <v>43</v>
      </c>
      <c r="E52" s="130">
        <f>0.081*1.2</f>
        <v>9.7199999999999995E-2</v>
      </c>
      <c r="F52" s="130">
        <f>E52*F50</f>
        <v>2.9159999999999999</v>
      </c>
      <c r="G52" s="96"/>
      <c r="H52" s="97"/>
      <c r="I52" s="98"/>
      <c r="J52" s="97"/>
      <c r="K52" s="98"/>
      <c r="L52" s="97"/>
      <c r="M52" s="97"/>
    </row>
    <row r="53" spans="1:14" x14ac:dyDescent="0.25">
      <c r="A53" s="85"/>
      <c r="B53" s="277"/>
      <c r="C53" s="40" t="s">
        <v>334</v>
      </c>
      <c r="D53" s="96" t="s">
        <v>56</v>
      </c>
      <c r="E53" s="130">
        <v>2.1899999999999999E-2</v>
      </c>
      <c r="F53" s="97">
        <f>E53*F50</f>
        <v>0.65700000000000003</v>
      </c>
      <c r="G53" s="96"/>
      <c r="H53" s="97"/>
      <c r="I53" s="278"/>
      <c r="J53" s="143"/>
      <c r="K53" s="98"/>
      <c r="L53" s="97"/>
      <c r="M53" s="97"/>
    </row>
    <row r="54" spans="1:14" x14ac:dyDescent="0.25">
      <c r="A54" s="85"/>
      <c r="B54" s="277"/>
      <c r="C54" s="40" t="s">
        <v>335</v>
      </c>
      <c r="D54" s="96" t="s">
        <v>39</v>
      </c>
      <c r="E54" s="96">
        <v>1</v>
      </c>
      <c r="F54" s="97">
        <f>E54*F50</f>
        <v>30</v>
      </c>
      <c r="G54" s="96"/>
      <c r="H54" s="97"/>
      <c r="I54" s="279"/>
      <c r="J54" s="143"/>
      <c r="K54" s="98"/>
      <c r="L54" s="97"/>
      <c r="M54" s="97"/>
    </row>
    <row r="55" spans="1:14" x14ac:dyDescent="0.25">
      <c r="A55" s="86"/>
      <c r="B55" s="280"/>
      <c r="C55" s="46" t="s">
        <v>80</v>
      </c>
      <c r="D55" s="126" t="s">
        <v>43</v>
      </c>
      <c r="E55" s="126">
        <v>4.2599999999999999E-2</v>
      </c>
      <c r="F55" s="99">
        <f>E55*F50</f>
        <v>1.278</v>
      </c>
      <c r="G55" s="126"/>
      <c r="H55" s="268"/>
      <c r="I55" s="269"/>
      <c r="J55" s="99"/>
      <c r="K55" s="269"/>
      <c r="L55" s="99"/>
      <c r="M55" s="99"/>
    </row>
    <row r="56" spans="1:14" ht="44.25" customHeight="1" x14ac:dyDescent="0.25">
      <c r="A56" s="142">
        <v>12</v>
      </c>
      <c r="B56" s="261" t="s">
        <v>325</v>
      </c>
      <c r="C56" s="131" t="s">
        <v>414</v>
      </c>
      <c r="D56" s="132" t="s">
        <v>324</v>
      </c>
      <c r="E56" s="96"/>
      <c r="F56" s="712">
        <f>4.71*114/1000</f>
        <v>0.53693999999999997</v>
      </c>
      <c r="G56" s="95"/>
      <c r="H56" s="141"/>
      <c r="I56" s="94"/>
      <c r="J56" s="141"/>
      <c r="K56" s="95"/>
      <c r="L56" s="141"/>
      <c r="M56" s="141"/>
    </row>
    <row r="57" spans="1:14" x14ac:dyDescent="0.25">
      <c r="A57" s="142"/>
      <c r="B57" s="142"/>
      <c r="C57" s="264" t="s">
        <v>180</v>
      </c>
      <c r="D57" s="142" t="s">
        <v>103</v>
      </c>
      <c r="E57" s="97">
        <f>53.8*1.2*1.1</f>
        <v>71.015999999999991</v>
      </c>
      <c r="F57" s="143">
        <f>E57*F56</f>
        <v>38.131331039999992</v>
      </c>
      <c r="G57" s="96"/>
      <c r="H57" s="143"/>
      <c r="I57" s="265"/>
      <c r="J57" s="266"/>
      <c r="K57" s="266"/>
      <c r="L57" s="266"/>
      <c r="M57" s="260"/>
    </row>
    <row r="58" spans="1:14" x14ac:dyDescent="0.25">
      <c r="A58" s="142"/>
      <c r="B58" s="142"/>
      <c r="C58" s="264" t="s">
        <v>327</v>
      </c>
      <c r="D58" s="142" t="s">
        <v>210</v>
      </c>
      <c r="E58" s="96">
        <f>0.3*1.2</f>
        <v>0.36</v>
      </c>
      <c r="F58" s="143">
        <f>E58*F56</f>
        <v>0.19329839999999998</v>
      </c>
      <c r="G58" s="96"/>
      <c r="H58" s="97"/>
      <c r="I58" s="98"/>
      <c r="J58" s="97"/>
      <c r="K58" s="98"/>
      <c r="L58" s="97"/>
      <c r="M58" s="191"/>
    </row>
    <row r="59" spans="1:14" x14ac:dyDescent="0.25">
      <c r="A59" s="142"/>
      <c r="B59" s="142"/>
      <c r="C59" s="264" t="s">
        <v>78</v>
      </c>
      <c r="D59" s="142" t="s">
        <v>43</v>
      </c>
      <c r="E59" s="96">
        <f>18.4*1.2</f>
        <v>22.08</v>
      </c>
      <c r="F59" s="143">
        <f>E59*F56</f>
        <v>11.855635199999998</v>
      </c>
      <c r="G59" s="96"/>
      <c r="H59" s="97"/>
      <c r="I59" s="98"/>
      <c r="J59" s="97"/>
      <c r="K59" s="98"/>
      <c r="L59" s="97"/>
      <c r="M59" s="191"/>
    </row>
    <row r="60" spans="1:14" x14ac:dyDescent="0.25">
      <c r="A60" s="142"/>
      <c r="B60" s="142"/>
      <c r="C60" s="264" t="s">
        <v>336</v>
      </c>
      <c r="D60" s="142" t="s">
        <v>324</v>
      </c>
      <c r="E60" s="96">
        <v>1</v>
      </c>
      <c r="F60" s="97">
        <f>E60*F56</f>
        <v>0.53693999999999997</v>
      </c>
      <c r="G60" s="96"/>
      <c r="H60" s="97"/>
      <c r="I60" s="98"/>
      <c r="J60" s="97"/>
      <c r="K60" s="98"/>
      <c r="L60" s="97"/>
      <c r="M60" s="260"/>
    </row>
    <row r="61" spans="1:14" x14ac:dyDescent="0.25">
      <c r="A61" s="142"/>
      <c r="B61" s="142"/>
      <c r="C61" s="264" t="s">
        <v>158</v>
      </c>
      <c r="D61" s="142" t="s">
        <v>93</v>
      </c>
      <c r="E61" s="96">
        <v>24.4</v>
      </c>
      <c r="F61" s="143">
        <f>E61*F56</f>
        <v>13.101335999999998</v>
      </c>
      <c r="G61" s="96"/>
      <c r="H61" s="97"/>
      <c r="I61" s="98"/>
      <c r="J61" s="260"/>
      <c r="K61" s="98"/>
      <c r="L61" s="97"/>
      <c r="M61" s="191"/>
    </row>
    <row r="62" spans="1:14" x14ac:dyDescent="0.25">
      <c r="A62" s="201"/>
      <c r="B62" s="201"/>
      <c r="C62" s="267" t="s">
        <v>80</v>
      </c>
      <c r="D62" s="201" t="s">
        <v>43</v>
      </c>
      <c r="E62" s="126">
        <v>2.78</v>
      </c>
      <c r="F62" s="268">
        <f>E62*F56</f>
        <v>1.4926931999999997</v>
      </c>
      <c r="G62" s="126"/>
      <c r="H62" s="99"/>
      <c r="I62" s="269"/>
      <c r="J62" s="204"/>
      <c r="K62" s="269"/>
      <c r="L62" s="99"/>
      <c r="M62" s="202"/>
    </row>
    <row r="63" spans="1:14" s="698" customFormat="1" ht="30" x14ac:dyDescent="0.25">
      <c r="A63" s="694">
        <v>13</v>
      </c>
      <c r="B63" s="688" t="s">
        <v>406</v>
      </c>
      <c r="C63" s="283" t="s">
        <v>409</v>
      </c>
      <c r="D63" s="284" t="s">
        <v>46</v>
      </c>
      <c r="E63" s="695"/>
      <c r="F63" s="384">
        <v>36</v>
      </c>
      <c r="G63" s="696"/>
      <c r="H63" s="696"/>
      <c r="I63" s="696"/>
      <c r="J63" s="696"/>
      <c r="K63" s="696"/>
      <c r="L63" s="696"/>
      <c r="M63" s="696"/>
      <c r="N63" s="697"/>
    </row>
    <row r="64" spans="1:14" s="698" customFormat="1" x14ac:dyDescent="0.3">
      <c r="A64" s="699"/>
      <c r="B64" s="152"/>
      <c r="C64" s="153" t="s">
        <v>308</v>
      </c>
      <c r="D64" s="689" t="s">
        <v>48</v>
      </c>
      <c r="E64" s="700">
        <f>1.14*1.2</f>
        <v>1.3679999999999999</v>
      </c>
      <c r="F64" s="58">
        <f>E64*F63</f>
        <v>49.247999999999998</v>
      </c>
      <c r="G64" s="701"/>
      <c r="H64" s="58"/>
      <c r="I64" s="59"/>
      <c r="J64" s="58"/>
      <c r="K64" s="59"/>
      <c r="L64" s="58"/>
      <c r="M64" s="58"/>
      <c r="N64" s="697"/>
    </row>
    <row r="65" spans="1:18" s="698" customFormat="1" x14ac:dyDescent="0.3">
      <c r="A65" s="699"/>
      <c r="B65" s="152"/>
      <c r="C65" s="153" t="s">
        <v>256</v>
      </c>
      <c r="D65" s="689" t="s">
        <v>50</v>
      </c>
      <c r="E65" s="700">
        <f>0.124*1.2</f>
        <v>0.14879999999999999</v>
      </c>
      <c r="F65" s="58">
        <f>E65*F63</f>
        <v>5.3567999999999998</v>
      </c>
      <c r="G65" s="57"/>
      <c r="H65" s="58"/>
      <c r="I65" s="59"/>
      <c r="J65" s="58"/>
      <c r="K65" s="59"/>
      <c r="L65" s="58"/>
      <c r="M65" s="58"/>
      <c r="N65" s="697"/>
    </row>
    <row r="66" spans="1:18" s="698" customFormat="1" x14ac:dyDescent="0.3">
      <c r="A66" s="699"/>
      <c r="B66" s="152"/>
      <c r="C66" s="153" t="s">
        <v>407</v>
      </c>
      <c r="D66" s="689" t="s">
        <v>46</v>
      </c>
      <c r="E66" s="700">
        <v>1.05</v>
      </c>
      <c r="F66" s="58">
        <f>E66*F63</f>
        <v>37.800000000000004</v>
      </c>
      <c r="G66" s="57"/>
      <c r="H66" s="58"/>
      <c r="I66" s="59"/>
      <c r="J66" s="58"/>
      <c r="K66" s="59"/>
      <c r="L66" s="58"/>
      <c r="M66" s="58"/>
      <c r="N66" s="697"/>
    </row>
    <row r="67" spans="1:18" s="698" customFormat="1" x14ac:dyDescent="0.3">
      <c r="A67" s="699"/>
      <c r="B67" s="152"/>
      <c r="C67" s="153" t="s">
        <v>408</v>
      </c>
      <c r="D67" s="689" t="s">
        <v>219</v>
      </c>
      <c r="E67" s="700">
        <v>1.1000000000000001</v>
      </c>
      <c r="F67" s="58">
        <f>E67*F63</f>
        <v>39.6</v>
      </c>
      <c r="G67" s="57"/>
      <c r="H67" s="58"/>
      <c r="I67" s="59"/>
      <c r="J67" s="58"/>
      <c r="K67" s="59"/>
      <c r="L67" s="58"/>
      <c r="M67" s="58"/>
      <c r="N67" s="697"/>
    </row>
    <row r="68" spans="1:18" s="698" customFormat="1" ht="15.75" x14ac:dyDescent="0.3">
      <c r="A68" s="702"/>
      <c r="B68" s="366"/>
      <c r="C68" s="365" t="s">
        <v>83</v>
      </c>
      <c r="D68" s="76" t="s">
        <v>50</v>
      </c>
      <c r="E68" s="703">
        <v>9.2399999999999996E-2</v>
      </c>
      <c r="F68" s="62">
        <f>E68*F63</f>
        <v>3.3264</v>
      </c>
      <c r="G68" s="61"/>
      <c r="H68" s="62"/>
      <c r="I68" s="70"/>
      <c r="J68" s="62"/>
      <c r="K68" s="70"/>
      <c r="L68" s="62"/>
      <c r="M68" s="367"/>
      <c r="N68" s="704"/>
      <c r="O68" s="705"/>
      <c r="P68" s="705"/>
      <c r="Q68" s="705"/>
      <c r="R68" s="705"/>
    </row>
    <row r="69" spans="1:18" ht="49.5" customHeight="1" x14ac:dyDescent="0.25">
      <c r="A69" s="142">
        <v>14</v>
      </c>
      <c r="B69" s="744" t="s">
        <v>415</v>
      </c>
      <c r="C69" s="706" t="s">
        <v>411</v>
      </c>
      <c r="D69" s="52" t="s">
        <v>46</v>
      </c>
      <c r="E69" s="65"/>
      <c r="F69" s="707">
        <v>36</v>
      </c>
      <c r="G69" s="88"/>
      <c r="H69" s="270"/>
      <c r="I69" s="323"/>
      <c r="J69" s="270"/>
      <c r="K69" s="323"/>
      <c r="L69" s="270"/>
      <c r="M69" s="324"/>
    </row>
    <row r="70" spans="1:18" x14ac:dyDescent="0.25">
      <c r="A70" s="142"/>
      <c r="B70" s="745"/>
      <c r="C70" s="326" t="s">
        <v>61</v>
      </c>
      <c r="D70" s="73" t="s">
        <v>276</v>
      </c>
      <c r="E70" s="90">
        <f>0.68*1.2</f>
        <v>0.81600000000000006</v>
      </c>
      <c r="F70" s="90">
        <f>E70*F69</f>
        <v>29.376000000000001</v>
      </c>
      <c r="G70" s="73"/>
      <c r="H70" s="90"/>
      <c r="I70" s="91"/>
      <c r="J70" s="90"/>
      <c r="K70" s="91"/>
      <c r="L70" s="90"/>
      <c r="M70" s="154"/>
    </row>
    <row r="71" spans="1:18" x14ac:dyDescent="0.25">
      <c r="A71" s="142"/>
      <c r="B71" s="745"/>
      <c r="C71" s="326" t="s">
        <v>277</v>
      </c>
      <c r="D71" s="73" t="s">
        <v>50</v>
      </c>
      <c r="E71" s="73">
        <f>0.0014*1.2</f>
        <v>1.6799999999999999E-3</v>
      </c>
      <c r="F71" s="90">
        <f>E71*F69</f>
        <v>6.0479999999999992E-2</v>
      </c>
      <c r="G71" s="73"/>
      <c r="H71" s="90"/>
      <c r="I71" s="91"/>
      <c r="J71" s="90"/>
      <c r="K71" s="91"/>
      <c r="L71" s="90"/>
      <c r="M71" s="154"/>
    </row>
    <row r="72" spans="1:18" x14ac:dyDescent="0.25">
      <c r="A72" s="142"/>
      <c r="B72" s="687"/>
      <c r="C72" s="326" t="s">
        <v>364</v>
      </c>
      <c r="D72" s="73" t="s">
        <v>219</v>
      </c>
      <c r="E72" s="73">
        <v>0.28899999999999998</v>
      </c>
      <c r="F72" s="90">
        <f>E72*F69</f>
        <v>10.404</v>
      </c>
      <c r="G72" s="73"/>
      <c r="H72" s="90"/>
      <c r="I72" s="91"/>
      <c r="J72" s="154"/>
      <c r="K72" s="91"/>
      <c r="L72" s="90"/>
      <c r="M72" s="154"/>
    </row>
    <row r="73" spans="1:18" x14ac:dyDescent="0.25">
      <c r="A73" s="142"/>
      <c r="B73" s="687"/>
      <c r="C73" s="326" t="s">
        <v>365</v>
      </c>
      <c r="D73" s="73" t="s">
        <v>219</v>
      </c>
      <c r="E73" s="90">
        <f>(0.289+0.41+0.104)*0.5</f>
        <v>0.40149999999999997</v>
      </c>
      <c r="F73" s="90">
        <f>E73*F69</f>
        <v>14.453999999999999</v>
      </c>
      <c r="G73" s="73"/>
      <c r="H73" s="90"/>
      <c r="I73" s="91"/>
      <c r="J73" s="154"/>
      <c r="K73" s="91"/>
      <c r="L73" s="90"/>
      <c r="M73" s="154"/>
    </row>
    <row r="74" spans="1:18" x14ac:dyDescent="0.25">
      <c r="A74" s="142"/>
      <c r="B74" s="76"/>
      <c r="C74" s="327" t="s">
        <v>72</v>
      </c>
      <c r="D74" s="77" t="s">
        <v>50</v>
      </c>
      <c r="E74" s="77">
        <v>7.0000000000000001E-3</v>
      </c>
      <c r="F74" s="328">
        <f>E74*F69</f>
        <v>0.252</v>
      </c>
      <c r="G74" s="77"/>
      <c r="H74" s="272"/>
      <c r="I74" s="294"/>
      <c r="J74" s="272"/>
      <c r="K74" s="294"/>
      <c r="L74" s="272"/>
      <c r="M74" s="295"/>
    </row>
    <row r="75" spans="1:18" ht="90" x14ac:dyDescent="0.25">
      <c r="A75" s="282">
        <v>15</v>
      </c>
      <c r="B75" s="140" t="s">
        <v>337</v>
      </c>
      <c r="C75" s="283" t="s">
        <v>338</v>
      </c>
      <c r="D75" s="284" t="s">
        <v>46</v>
      </c>
      <c r="E75" s="285"/>
      <c r="F75" s="386">
        <v>36</v>
      </c>
      <c r="G75" s="286"/>
      <c r="H75" s="53"/>
      <c r="I75" s="286"/>
      <c r="J75" s="53"/>
      <c r="K75" s="286"/>
      <c r="L75" s="53"/>
      <c r="M75" s="53"/>
    </row>
    <row r="76" spans="1:18" ht="15.75" x14ac:dyDescent="0.25">
      <c r="A76" s="287"/>
      <c r="B76" s="288"/>
      <c r="C76" s="289" t="s">
        <v>68</v>
      </c>
      <c r="D76" s="72" t="s">
        <v>46</v>
      </c>
      <c r="E76" s="72">
        <v>1</v>
      </c>
      <c r="F76" s="154">
        <f>E76*F75</f>
        <v>36</v>
      </c>
      <c r="G76" s="73"/>
      <c r="H76" s="154"/>
      <c r="I76" s="154"/>
      <c r="J76" s="154"/>
      <c r="K76" s="154"/>
      <c r="L76" s="154"/>
      <c r="M76" s="154"/>
    </row>
    <row r="77" spans="1:18" ht="15.75" x14ac:dyDescent="0.25">
      <c r="A77" s="287"/>
      <c r="B77" s="288"/>
      <c r="C77" s="289" t="s">
        <v>256</v>
      </c>
      <c r="D77" s="72" t="s">
        <v>50</v>
      </c>
      <c r="E77" s="290">
        <f>0.0264*1.2</f>
        <v>3.168E-2</v>
      </c>
      <c r="F77" s="154">
        <f>E77*F75</f>
        <v>1.1404799999999999</v>
      </c>
      <c r="G77" s="73"/>
      <c r="H77" s="90"/>
      <c r="I77" s="91"/>
      <c r="J77" s="90"/>
      <c r="K77" s="91"/>
      <c r="L77" s="90"/>
      <c r="M77" s="90"/>
    </row>
    <row r="78" spans="1:18" ht="15.75" x14ac:dyDescent="0.25">
      <c r="A78" s="287"/>
      <c r="B78" s="288"/>
      <c r="C78" s="289" t="s">
        <v>339</v>
      </c>
      <c r="D78" s="72" t="s">
        <v>46</v>
      </c>
      <c r="E78" s="72">
        <v>1.3</v>
      </c>
      <c r="F78" s="154">
        <f>E78*F75</f>
        <v>46.800000000000004</v>
      </c>
      <c r="G78" s="73"/>
      <c r="H78" s="90"/>
      <c r="I78" s="91"/>
      <c r="J78" s="154"/>
      <c r="K78" s="154"/>
      <c r="L78" s="154"/>
      <c r="M78" s="154"/>
    </row>
    <row r="79" spans="1:18" ht="30" x14ac:dyDescent="0.25">
      <c r="A79" s="287"/>
      <c r="B79" s="288"/>
      <c r="C79" s="181" t="s">
        <v>340</v>
      </c>
      <c r="D79" s="182" t="s">
        <v>219</v>
      </c>
      <c r="E79" s="182">
        <v>0.2</v>
      </c>
      <c r="F79" s="154">
        <f>E79*F75</f>
        <v>7.2</v>
      </c>
      <c r="G79" s="73"/>
      <c r="H79" s="90"/>
      <c r="I79" s="154"/>
      <c r="J79" s="154"/>
      <c r="K79" s="154"/>
      <c r="L79" s="154"/>
      <c r="M79" s="154"/>
    </row>
    <row r="80" spans="1:18" ht="30" x14ac:dyDescent="0.25">
      <c r="A80" s="287"/>
      <c r="B80" s="288"/>
      <c r="C80" s="181" t="s">
        <v>341</v>
      </c>
      <c r="D80" s="182" t="s">
        <v>122</v>
      </c>
      <c r="E80" s="182"/>
      <c r="F80" s="154">
        <v>10</v>
      </c>
      <c r="G80" s="73"/>
      <c r="H80" s="90"/>
      <c r="I80" s="154"/>
      <c r="J80" s="154"/>
      <c r="K80" s="154"/>
      <c r="L80" s="154"/>
      <c r="M80" s="154"/>
    </row>
    <row r="81" spans="1:13" ht="15.75" x14ac:dyDescent="0.25">
      <c r="A81" s="287"/>
      <c r="B81" s="288"/>
      <c r="C81" s="289" t="s">
        <v>342</v>
      </c>
      <c r="D81" s="72" t="s">
        <v>219</v>
      </c>
      <c r="E81" s="72">
        <v>7.9000000000000001E-2</v>
      </c>
      <c r="F81" s="154">
        <f>E81*F75</f>
        <v>2.8439999999999999</v>
      </c>
      <c r="G81" s="73"/>
      <c r="H81" s="90"/>
      <c r="I81" s="91"/>
      <c r="J81" s="90"/>
      <c r="K81" s="91"/>
      <c r="L81" s="90"/>
      <c r="M81" s="90"/>
    </row>
    <row r="82" spans="1:13" ht="15.75" x14ac:dyDescent="0.25">
      <c r="A82" s="291"/>
      <c r="B82" s="292"/>
      <c r="C82" s="293" t="s">
        <v>83</v>
      </c>
      <c r="D82" s="76" t="s">
        <v>50</v>
      </c>
      <c r="E82" s="76">
        <v>6.3600000000000004E-2</v>
      </c>
      <c r="F82" s="272">
        <f>E82*F75</f>
        <v>2.2896000000000001</v>
      </c>
      <c r="G82" s="77"/>
      <c r="H82" s="272"/>
      <c r="I82" s="294"/>
      <c r="J82" s="272"/>
      <c r="K82" s="294"/>
      <c r="L82" s="272"/>
      <c r="M82" s="295"/>
    </row>
    <row r="83" spans="1:13" x14ac:dyDescent="0.25">
      <c r="A83" s="28"/>
      <c r="B83" s="257"/>
      <c r="C83" s="296" t="s">
        <v>343</v>
      </c>
      <c r="D83" s="297"/>
      <c r="E83" s="257"/>
      <c r="F83" s="258"/>
      <c r="G83" s="157"/>
      <c r="H83" s="33"/>
      <c r="I83" s="33"/>
      <c r="J83" s="35"/>
      <c r="K83" s="258"/>
      <c r="L83" s="258"/>
      <c r="M83" s="258"/>
    </row>
    <row r="84" spans="1:13" ht="40.5" x14ac:dyDescent="0.25">
      <c r="A84" s="85">
        <v>16</v>
      </c>
      <c r="B84" s="51" t="s">
        <v>282</v>
      </c>
      <c r="C84" s="298" t="s">
        <v>344</v>
      </c>
      <c r="D84" s="273" t="s">
        <v>345</v>
      </c>
      <c r="E84" s="274"/>
      <c r="F84" s="133">
        <v>115</v>
      </c>
      <c r="G84" s="96"/>
      <c r="H84" s="97"/>
      <c r="I84" s="98"/>
      <c r="J84" s="97"/>
      <c r="K84" s="98"/>
      <c r="L84" s="97"/>
      <c r="M84" s="133"/>
    </row>
    <row r="85" spans="1:13" x14ac:dyDescent="0.25">
      <c r="A85" s="85"/>
      <c r="B85" s="51"/>
      <c r="C85" s="299" t="s">
        <v>40</v>
      </c>
      <c r="D85" s="96" t="s">
        <v>41</v>
      </c>
      <c r="E85" s="96">
        <f>0.379*1.2</f>
        <v>0.45479999999999998</v>
      </c>
      <c r="F85" s="97">
        <f>E85*F84</f>
        <v>52.302</v>
      </c>
      <c r="G85" s="96"/>
      <c r="H85" s="97"/>
      <c r="I85" s="98"/>
      <c r="J85" s="97"/>
      <c r="K85" s="98"/>
      <c r="L85" s="143"/>
      <c r="M85" s="143"/>
    </row>
    <row r="86" spans="1:13" x14ac:dyDescent="0.25">
      <c r="A86" s="85"/>
      <c r="B86" s="51"/>
      <c r="C86" s="299" t="s">
        <v>216</v>
      </c>
      <c r="D86" s="96" t="s">
        <v>43</v>
      </c>
      <c r="E86" s="96">
        <f>0.028*1.2</f>
        <v>3.3599999999999998E-2</v>
      </c>
      <c r="F86" s="130">
        <f>E86*F84</f>
        <v>3.8639999999999999</v>
      </c>
      <c r="G86" s="96"/>
      <c r="H86" s="97"/>
      <c r="I86" s="98"/>
      <c r="J86" s="97"/>
      <c r="K86" s="98"/>
      <c r="L86" s="143"/>
      <c r="M86" s="143"/>
    </row>
    <row r="87" spans="1:13" x14ac:dyDescent="0.25">
      <c r="A87" s="85"/>
      <c r="B87" s="51"/>
      <c r="C87" s="300" t="s">
        <v>346</v>
      </c>
      <c r="D87" s="96" t="s">
        <v>345</v>
      </c>
      <c r="E87" s="143">
        <v>1</v>
      </c>
      <c r="F87" s="143">
        <f>E87*F84</f>
        <v>115</v>
      </c>
      <c r="G87" s="96"/>
      <c r="H87" s="97"/>
      <c r="I87" s="98"/>
      <c r="J87" s="143"/>
      <c r="K87" s="98"/>
      <c r="L87" s="143"/>
      <c r="M87" s="143"/>
    </row>
    <row r="88" spans="1:13" x14ac:dyDescent="0.25">
      <c r="A88" s="86"/>
      <c r="B88" s="125"/>
      <c r="C88" s="301" t="s">
        <v>347</v>
      </c>
      <c r="D88" s="126" t="s">
        <v>348</v>
      </c>
      <c r="E88" s="126">
        <f>0.07</f>
        <v>7.0000000000000007E-2</v>
      </c>
      <c r="F88" s="99">
        <f>E88*F84</f>
        <v>8.0500000000000007</v>
      </c>
      <c r="G88" s="126"/>
      <c r="H88" s="99"/>
      <c r="I88" s="269"/>
      <c r="J88" s="99"/>
      <c r="K88" s="269"/>
      <c r="L88" s="99"/>
      <c r="M88" s="268"/>
    </row>
    <row r="89" spans="1:13" x14ac:dyDescent="0.25">
      <c r="A89" s="28"/>
      <c r="B89" s="257"/>
      <c r="C89" s="120" t="s">
        <v>349</v>
      </c>
      <c r="D89" s="297"/>
      <c r="E89" s="257"/>
      <c r="F89" s="258"/>
      <c r="G89" s="258"/>
      <c r="H89" s="258"/>
      <c r="I89" s="258"/>
      <c r="J89" s="258"/>
      <c r="K89" s="258"/>
      <c r="L89" s="258"/>
      <c r="M89" s="258"/>
    </row>
    <row r="90" spans="1:13" ht="72.75" customHeight="1" x14ac:dyDescent="0.25">
      <c r="A90" s="142">
        <v>17</v>
      </c>
      <c r="B90" s="261" t="s">
        <v>350</v>
      </c>
      <c r="C90" s="131" t="s">
        <v>416</v>
      </c>
      <c r="D90" s="132" t="s">
        <v>324</v>
      </c>
      <c r="E90" s="96"/>
      <c r="F90" s="281">
        <f>0.00314*84</f>
        <v>0.26375999999999999</v>
      </c>
      <c r="G90" s="95"/>
      <c r="H90" s="141"/>
      <c r="I90" s="94"/>
      <c r="J90" s="141"/>
      <c r="K90" s="95"/>
      <c r="L90" s="141"/>
      <c r="M90" s="141"/>
    </row>
    <row r="91" spans="1:13" x14ac:dyDescent="0.25">
      <c r="A91" s="142"/>
      <c r="B91" s="142"/>
      <c r="C91" s="264" t="s">
        <v>180</v>
      </c>
      <c r="D91" s="142" t="s">
        <v>103</v>
      </c>
      <c r="E91" s="97">
        <f>62.8*1.2*1.1</f>
        <v>82.896000000000001</v>
      </c>
      <c r="F91" s="143">
        <f>E91*F90</f>
        <v>21.86464896</v>
      </c>
      <c r="G91" s="96"/>
      <c r="H91" s="143"/>
      <c r="I91" s="265"/>
      <c r="J91" s="266"/>
      <c r="K91" s="266"/>
      <c r="L91" s="266"/>
      <c r="M91" s="260"/>
    </row>
    <row r="92" spans="1:13" x14ac:dyDescent="0.25">
      <c r="A92" s="142"/>
      <c r="B92" s="142"/>
      <c r="C92" s="264" t="s">
        <v>78</v>
      </c>
      <c r="D92" s="142" t="s">
        <v>43</v>
      </c>
      <c r="E92" s="96">
        <f>1*1.2</f>
        <v>1.2</v>
      </c>
      <c r="F92" s="143">
        <f>E92*F90</f>
        <v>0.31651199999999996</v>
      </c>
      <c r="G92" s="96"/>
      <c r="H92" s="97"/>
      <c r="I92" s="98"/>
      <c r="J92" s="97"/>
      <c r="K92" s="98"/>
      <c r="L92" s="97"/>
      <c r="M92" s="191"/>
    </row>
    <row r="93" spans="1:13" x14ac:dyDescent="0.25">
      <c r="A93" s="142"/>
      <c r="B93" s="142"/>
      <c r="C93" s="264" t="s">
        <v>351</v>
      </c>
      <c r="D93" s="142" t="s">
        <v>324</v>
      </c>
      <c r="E93" s="96">
        <v>1</v>
      </c>
      <c r="F93" s="143">
        <f>E93*F90</f>
        <v>0.26375999999999999</v>
      </c>
      <c r="G93" s="96"/>
      <c r="H93" s="97"/>
      <c r="I93" s="98"/>
      <c r="J93" s="97"/>
      <c r="K93" s="98"/>
      <c r="L93" s="97"/>
      <c r="M93" s="260"/>
    </row>
    <row r="94" spans="1:13" x14ac:dyDescent="0.25">
      <c r="A94" s="142"/>
      <c r="B94" s="142"/>
      <c r="C94" s="264" t="s">
        <v>158</v>
      </c>
      <c r="D94" s="142" t="s">
        <v>93</v>
      </c>
      <c r="E94" s="96">
        <v>1.04</v>
      </c>
      <c r="F94" s="143">
        <f>E94*F90</f>
        <v>0.27431040000000001</v>
      </c>
      <c r="G94" s="96"/>
      <c r="H94" s="97"/>
      <c r="I94" s="98"/>
      <c r="J94" s="260"/>
      <c r="K94" s="98"/>
      <c r="L94" s="97"/>
      <c r="M94" s="191"/>
    </row>
    <row r="95" spans="1:13" x14ac:dyDescent="0.25">
      <c r="A95" s="201"/>
      <c r="B95" s="201"/>
      <c r="C95" s="267" t="s">
        <v>80</v>
      </c>
      <c r="D95" s="201" t="s">
        <v>43</v>
      </c>
      <c r="E95" s="126">
        <v>2.78</v>
      </c>
      <c r="F95" s="268">
        <f>E95*F90</f>
        <v>0.73325279999999993</v>
      </c>
      <c r="G95" s="126"/>
      <c r="H95" s="99"/>
      <c r="I95" s="269"/>
      <c r="J95" s="204"/>
      <c r="K95" s="269"/>
      <c r="L95" s="99"/>
      <c r="M95" s="202"/>
    </row>
    <row r="96" spans="1:13" ht="40.5" x14ac:dyDescent="0.25">
      <c r="A96" s="216">
        <v>18</v>
      </c>
      <c r="B96" s="243" t="s">
        <v>317</v>
      </c>
      <c r="C96" s="244" t="s">
        <v>352</v>
      </c>
      <c r="D96" s="302" t="s">
        <v>307</v>
      </c>
      <c r="E96" s="246"/>
      <c r="F96" s="383">
        <v>0.2</v>
      </c>
      <c r="G96" s="246"/>
      <c r="H96" s="245"/>
      <c r="I96" s="246"/>
      <c r="J96" s="247"/>
      <c r="K96" s="246"/>
      <c r="L96" s="246"/>
      <c r="M96" s="246"/>
    </row>
    <row r="97" spans="1:13" x14ac:dyDescent="0.25">
      <c r="A97" s="248"/>
      <c r="B97" s="225"/>
      <c r="C97" s="249" t="s">
        <v>54</v>
      </c>
      <c r="D97" s="104" t="s">
        <v>183</v>
      </c>
      <c r="E97" s="108">
        <f>6.66*1.2*1.15</f>
        <v>9.1907999999999994</v>
      </c>
      <c r="F97" s="260">
        <f>F96*E97</f>
        <v>1.83816</v>
      </c>
      <c r="G97" s="107"/>
      <c r="H97" s="108"/>
      <c r="I97" s="108"/>
      <c r="J97" s="108"/>
      <c r="K97" s="108"/>
      <c r="L97" s="250"/>
      <c r="M97" s="105"/>
    </row>
    <row r="98" spans="1:13" x14ac:dyDescent="0.25">
      <c r="A98" s="248"/>
      <c r="B98" s="104"/>
      <c r="C98" s="249" t="s">
        <v>319</v>
      </c>
      <c r="D98" s="104" t="s">
        <v>320</v>
      </c>
      <c r="E98" s="108">
        <f>0.59*1.2</f>
        <v>0.70799999999999996</v>
      </c>
      <c r="F98" s="260">
        <f>F96*E98</f>
        <v>0.1416</v>
      </c>
      <c r="G98" s="108"/>
      <c r="H98" s="104"/>
      <c r="I98" s="108"/>
      <c r="J98" s="108"/>
      <c r="K98" s="108"/>
      <c r="L98" s="250"/>
      <c r="M98" s="105"/>
    </row>
    <row r="99" spans="1:13" x14ac:dyDescent="0.25">
      <c r="A99" s="248"/>
      <c r="B99" s="225"/>
      <c r="C99" s="249" t="s">
        <v>321</v>
      </c>
      <c r="D99" s="104" t="s">
        <v>56</v>
      </c>
      <c r="E99" s="108">
        <v>1.0149999999999999</v>
      </c>
      <c r="F99" s="260">
        <f>F96*E99</f>
        <v>0.20299999999999999</v>
      </c>
      <c r="G99" s="108"/>
      <c r="H99" s="104"/>
      <c r="I99" s="107"/>
      <c r="J99" s="108"/>
      <c r="K99" s="108"/>
      <c r="L99" s="250"/>
      <c r="M99" s="105"/>
    </row>
    <row r="100" spans="1:13" x14ac:dyDescent="0.25">
      <c r="A100" s="248"/>
      <c r="B100" s="225"/>
      <c r="C100" s="249" t="s">
        <v>322</v>
      </c>
      <c r="D100" s="104" t="s">
        <v>39</v>
      </c>
      <c r="E100" s="108">
        <v>1.6</v>
      </c>
      <c r="F100" s="260">
        <f>F96*E100</f>
        <v>0.32000000000000006</v>
      </c>
      <c r="G100" s="108"/>
      <c r="H100" s="104"/>
      <c r="I100" s="108"/>
      <c r="J100" s="108"/>
      <c r="K100" s="108"/>
      <c r="L100" s="250"/>
      <c r="M100" s="105"/>
    </row>
    <row r="101" spans="1:13" x14ac:dyDescent="0.25">
      <c r="A101" s="248"/>
      <c r="B101" s="225"/>
      <c r="C101" s="249" t="s">
        <v>323</v>
      </c>
      <c r="D101" s="104" t="s">
        <v>56</v>
      </c>
      <c r="E101" s="108">
        <v>1.83E-2</v>
      </c>
      <c r="F101" s="260">
        <f>F96*E101</f>
        <v>3.6600000000000001E-3</v>
      </c>
      <c r="G101" s="108"/>
      <c r="H101" s="104"/>
      <c r="I101" s="107"/>
      <c r="J101" s="108"/>
      <c r="K101" s="108"/>
      <c r="L101" s="250"/>
      <c r="M101" s="105"/>
    </row>
    <row r="102" spans="1:13" x14ac:dyDescent="0.25">
      <c r="A102" s="252"/>
      <c r="B102" s="253"/>
      <c r="C102" s="254" t="s">
        <v>316</v>
      </c>
      <c r="D102" s="253" t="s">
        <v>320</v>
      </c>
      <c r="E102" s="203">
        <v>0.4</v>
      </c>
      <c r="F102" s="204">
        <f>F96*E102</f>
        <v>8.0000000000000016E-2</v>
      </c>
      <c r="G102" s="203"/>
      <c r="H102" s="253"/>
      <c r="I102" s="203"/>
      <c r="J102" s="108"/>
      <c r="K102" s="203"/>
      <c r="L102" s="256"/>
      <c r="M102" s="105"/>
    </row>
    <row r="103" spans="1:13" ht="54" x14ac:dyDescent="0.25">
      <c r="A103" s="303">
        <v>19</v>
      </c>
      <c r="B103" s="304" t="s">
        <v>353</v>
      </c>
      <c r="C103" s="218" t="s">
        <v>354</v>
      </c>
      <c r="D103" s="305" t="s">
        <v>39</v>
      </c>
      <c r="E103" s="306"/>
      <c r="F103" s="141">
        <v>13.6</v>
      </c>
      <c r="G103" s="114"/>
      <c r="H103" s="305"/>
      <c r="I103" s="306"/>
      <c r="J103" s="114"/>
      <c r="K103" s="114"/>
      <c r="L103" s="114"/>
      <c r="M103" s="307"/>
    </row>
    <row r="104" spans="1:13" x14ac:dyDescent="0.25">
      <c r="A104" s="308"/>
      <c r="B104" s="309"/>
      <c r="C104" s="310" t="s">
        <v>355</v>
      </c>
      <c r="D104" s="309" t="s">
        <v>133</v>
      </c>
      <c r="E104" s="311">
        <f>0.851*1.2</f>
        <v>1.0211999999999999</v>
      </c>
      <c r="F104" s="387">
        <f>F103*E104</f>
        <v>13.888319999999998</v>
      </c>
      <c r="G104" s="106"/>
      <c r="H104" s="312"/>
      <c r="I104" s="311"/>
      <c r="J104" s="312"/>
      <c r="K104" s="105"/>
      <c r="L104" s="105"/>
      <c r="M104" s="105"/>
    </row>
    <row r="105" spans="1:13" x14ac:dyDescent="0.25">
      <c r="A105" s="308"/>
      <c r="B105" s="309"/>
      <c r="C105" s="310" t="s">
        <v>134</v>
      </c>
      <c r="D105" s="309" t="s">
        <v>43</v>
      </c>
      <c r="E105" s="313">
        <f>0.0483*1.2</f>
        <v>5.7959999999999998E-2</v>
      </c>
      <c r="F105" s="387">
        <f>F103*E105</f>
        <v>0.78825599999999996</v>
      </c>
      <c r="G105" s="105"/>
      <c r="H105" s="309"/>
      <c r="I105" s="313"/>
      <c r="J105" s="312"/>
      <c r="K105" s="105"/>
      <c r="L105" s="105"/>
      <c r="M105" s="105"/>
    </row>
    <row r="106" spans="1:13" ht="27" x14ac:dyDescent="0.25">
      <c r="A106" s="314"/>
      <c r="B106" s="312"/>
      <c r="C106" s="82" t="s">
        <v>356</v>
      </c>
      <c r="D106" s="309" t="s">
        <v>39</v>
      </c>
      <c r="E106" s="312">
        <v>1.02</v>
      </c>
      <c r="F106" s="143">
        <f>E106*F103</f>
        <v>13.872</v>
      </c>
      <c r="G106" s="105"/>
      <c r="H106" s="309"/>
      <c r="I106" s="311"/>
      <c r="J106" s="105"/>
      <c r="K106" s="105"/>
      <c r="L106" s="105"/>
      <c r="M106" s="105"/>
    </row>
    <row r="107" spans="1:13" x14ac:dyDescent="0.25">
      <c r="A107" s="314"/>
      <c r="B107" s="315"/>
      <c r="C107" s="82" t="s">
        <v>357</v>
      </c>
      <c r="D107" s="309" t="s">
        <v>93</v>
      </c>
      <c r="E107" s="312">
        <v>0.23300000000000001</v>
      </c>
      <c r="F107" s="143">
        <f>E107*F103</f>
        <v>3.1688000000000001</v>
      </c>
      <c r="G107" s="105"/>
      <c r="H107" s="309"/>
      <c r="I107" s="311"/>
      <c r="J107" s="105"/>
      <c r="K107" s="105"/>
      <c r="L107" s="105"/>
      <c r="M107" s="105"/>
    </row>
    <row r="108" spans="1:13" x14ac:dyDescent="0.25">
      <c r="A108" s="316"/>
      <c r="B108" s="317"/>
      <c r="C108" s="237" t="s">
        <v>358</v>
      </c>
      <c r="D108" s="318" t="s">
        <v>359</v>
      </c>
      <c r="E108" s="317">
        <v>1.04</v>
      </c>
      <c r="F108" s="268">
        <f>E108*F103</f>
        <v>14.144</v>
      </c>
      <c r="G108" s="319"/>
      <c r="H108" s="320"/>
      <c r="I108" s="317"/>
      <c r="J108" s="105"/>
      <c r="K108" s="319"/>
      <c r="L108" s="319"/>
      <c r="M108" s="105"/>
    </row>
    <row r="109" spans="1:13" ht="45" x14ac:dyDescent="0.25">
      <c r="A109" s="71">
        <v>20</v>
      </c>
      <c r="B109" s="744" t="s">
        <v>360</v>
      </c>
      <c r="C109" s="322" t="s">
        <v>361</v>
      </c>
      <c r="D109" s="52" t="s">
        <v>46</v>
      </c>
      <c r="E109" s="65"/>
      <c r="F109" s="53">
        <v>13.6</v>
      </c>
      <c r="G109" s="88"/>
      <c r="H109" s="270"/>
      <c r="I109" s="323"/>
      <c r="J109" s="270"/>
      <c r="K109" s="323"/>
      <c r="L109" s="270"/>
      <c r="M109" s="324"/>
    </row>
    <row r="110" spans="1:13" x14ac:dyDescent="0.25">
      <c r="A110" s="72"/>
      <c r="B110" s="745"/>
      <c r="C110" s="326" t="s">
        <v>362</v>
      </c>
      <c r="D110" s="73" t="s">
        <v>276</v>
      </c>
      <c r="E110" s="90">
        <f>0.74*1.2</f>
        <v>0.88800000000000001</v>
      </c>
      <c r="F110" s="90">
        <f>E110*F109</f>
        <v>12.0768</v>
      </c>
      <c r="G110" s="73"/>
      <c r="H110" s="90"/>
      <c r="I110" s="91"/>
      <c r="J110" s="90"/>
      <c r="K110" s="91"/>
      <c r="L110" s="90"/>
      <c r="M110" s="154"/>
    </row>
    <row r="111" spans="1:13" x14ac:dyDescent="0.25">
      <c r="A111" s="72"/>
      <c r="B111" s="745"/>
      <c r="C111" s="326" t="s">
        <v>363</v>
      </c>
      <c r="D111" s="73" t="s">
        <v>50</v>
      </c>
      <c r="E111" s="73">
        <f>0.001*1.2</f>
        <v>1.1999999999999999E-3</v>
      </c>
      <c r="F111" s="90">
        <f>E111*F109</f>
        <v>1.6319999999999998E-2</v>
      </c>
      <c r="G111" s="73"/>
      <c r="H111" s="90"/>
      <c r="I111" s="91"/>
      <c r="J111" s="90"/>
      <c r="K111" s="91"/>
      <c r="L111" s="90"/>
      <c r="M111" s="154"/>
    </row>
    <row r="112" spans="1:13" x14ac:dyDescent="0.25">
      <c r="A112" s="72"/>
      <c r="B112" s="72"/>
      <c r="C112" s="326" t="s">
        <v>364</v>
      </c>
      <c r="D112" s="73" t="s">
        <v>219</v>
      </c>
      <c r="E112" s="73">
        <v>0.24</v>
      </c>
      <c r="F112" s="90">
        <f>E112*F109</f>
        <v>3.2639999999999998</v>
      </c>
      <c r="G112" s="73"/>
      <c r="H112" s="90"/>
      <c r="I112" s="91"/>
      <c r="J112" s="154"/>
      <c r="K112" s="91"/>
      <c r="L112" s="90"/>
      <c r="M112" s="154"/>
    </row>
    <row r="113" spans="1:13" x14ac:dyDescent="0.25">
      <c r="A113" s="72"/>
      <c r="B113" s="72"/>
      <c r="C113" s="326" t="s">
        <v>365</v>
      </c>
      <c r="D113" s="73" t="s">
        <v>219</v>
      </c>
      <c r="E113" s="90">
        <f>(0.82+0.127)*0.5</f>
        <v>0.47349999999999998</v>
      </c>
      <c r="F113" s="90">
        <f>E113*F109</f>
        <v>6.4395999999999995</v>
      </c>
      <c r="G113" s="73"/>
      <c r="H113" s="90"/>
      <c r="I113" s="91"/>
      <c r="J113" s="154"/>
      <c r="K113" s="91"/>
      <c r="L113" s="90"/>
      <c r="M113" s="154"/>
    </row>
    <row r="114" spans="1:13" x14ac:dyDescent="0.25">
      <c r="A114" s="76"/>
      <c r="B114" s="76"/>
      <c r="C114" s="327" t="s">
        <v>72</v>
      </c>
      <c r="D114" s="77" t="s">
        <v>50</v>
      </c>
      <c r="E114" s="77">
        <v>1.6E-2</v>
      </c>
      <c r="F114" s="328">
        <f>E114*F109</f>
        <v>0.21759999999999999</v>
      </c>
      <c r="G114" s="77"/>
      <c r="H114" s="272"/>
      <c r="I114" s="294"/>
      <c r="J114" s="272"/>
      <c r="K114" s="294"/>
      <c r="L114" s="272"/>
      <c r="M114" s="295"/>
    </row>
    <row r="115" spans="1:13" ht="45" x14ac:dyDescent="0.25">
      <c r="A115" s="71">
        <v>21</v>
      </c>
      <c r="B115" s="744" t="s">
        <v>159</v>
      </c>
      <c r="C115" s="322" t="s">
        <v>366</v>
      </c>
      <c r="D115" s="52" t="s">
        <v>46</v>
      </c>
      <c r="E115" s="65"/>
      <c r="F115" s="53">
        <v>75</v>
      </c>
      <c r="G115" s="270"/>
      <c r="H115" s="329"/>
      <c r="I115" s="270"/>
      <c r="J115" s="329"/>
      <c r="K115" s="270"/>
      <c r="L115" s="329"/>
      <c r="M115" s="329"/>
    </row>
    <row r="116" spans="1:13" x14ac:dyDescent="0.25">
      <c r="A116" s="72"/>
      <c r="B116" s="745"/>
      <c r="C116" s="326" t="s">
        <v>61</v>
      </c>
      <c r="D116" s="73" t="s">
        <v>276</v>
      </c>
      <c r="E116" s="90">
        <f>0.68*1.2</f>
        <v>0.81600000000000006</v>
      </c>
      <c r="F116" s="90">
        <f>E116*F115</f>
        <v>61.2</v>
      </c>
      <c r="G116" s="73"/>
      <c r="H116" s="90"/>
      <c r="I116" s="91"/>
      <c r="J116" s="90"/>
      <c r="K116" s="91"/>
      <c r="L116" s="90"/>
      <c r="M116" s="90"/>
    </row>
    <row r="117" spans="1:13" x14ac:dyDescent="0.25">
      <c r="A117" s="72"/>
      <c r="B117" s="745"/>
      <c r="C117" s="326" t="s">
        <v>277</v>
      </c>
      <c r="D117" s="73" t="s">
        <v>50</v>
      </c>
      <c r="E117" s="73">
        <f>0.003*1.2</f>
        <v>3.5999999999999999E-3</v>
      </c>
      <c r="F117" s="74">
        <f>E117*F115</f>
        <v>0.27</v>
      </c>
      <c r="G117" s="73"/>
      <c r="H117" s="90"/>
      <c r="I117" s="91"/>
      <c r="J117" s="90"/>
      <c r="K117" s="91"/>
      <c r="L117" s="74"/>
      <c r="M117" s="90"/>
    </row>
    <row r="118" spans="1:13" x14ac:dyDescent="0.25">
      <c r="A118" s="72"/>
      <c r="B118" s="72"/>
      <c r="C118" s="326" t="s">
        <v>278</v>
      </c>
      <c r="D118" s="73" t="s">
        <v>219</v>
      </c>
      <c r="E118" s="73">
        <v>0.246</v>
      </c>
      <c r="F118" s="90">
        <f>E118*F115</f>
        <v>18.45</v>
      </c>
      <c r="G118" s="73"/>
      <c r="H118" s="90"/>
      <c r="I118" s="154"/>
      <c r="J118" s="90"/>
      <c r="K118" s="91"/>
      <c r="L118" s="90"/>
      <c r="M118" s="90"/>
    </row>
    <row r="119" spans="1:13" x14ac:dyDescent="0.25">
      <c r="A119" s="76"/>
      <c r="B119" s="76"/>
      <c r="C119" s="327" t="s">
        <v>64</v>
      </c>
      <c r="D119" s="77" t="s">
        <v>50</v>
      </c>
      <c r="E119" s="77">
        <v>1.9E-3</v>
      </c>
      <c r="F119" s="328">
        <f>E119*F115</f>
        <v>0.14249999999999999</v>
      </c>
      <c r="G119" s="77"/>
      <c r="H119" s="272"/>
      <c r="I119" s="294"/>
      <c r="J119" s="272"/>
      <c r="K119" s="294"/>
      <c r="L119" s="272"/>
      <c r="M119" s="272"/>
    </row>
    <row r="120" spans="1:13" x14ac:dyDescent="0.25">
      <c r="A120" s="167">
        <v>22</v>
      </c>
      <c r="B120" s="330"/>
      <c r="C120" s="169" t="s">
        <v>291</v>
      </c>
      <c r="D120" s="170"/>
      <c r="E120" s="170"/>
      <c r="F120" s="170"/>
      <c r="G120" s="170"/>
      <c r="H120" s="172"/>
      <c r="I120" s="170"/>
      <c r="J120" s="172"/>
      <c r="K120" s="170"/>
      <c r="L120" s="172"/>
      <c r="M120" s="172"/>
    </row>
    <row r="121" spans="1:13" ht="27" x14ac:dyDescent="0.25">
      <c r="A121" s="253">
        <v>23</v>
      </c>
      <c r="B121" s="170"/>
      <c r="C121" s="174" t="s">
        <v>292</v>
      </c>
      <c r="D121" s="175" t="s">
        <v>427</v>
      </c>
      <c r="E121" s="170"/>
      <c r="F121" s="170"/>
      <c r="G121" s="170"/>
      <c r="H121" s="170"/>
      <c r="I121" s="170"/>
      <c r="J121" s="170"/>
      <c r="K121" s="170"/>
      <c r="L121" s="170"/>
      <c r="M121" s="331"/>
    </row>
    <row r="122" spans="1:13" x14ac:dyDescent="0.25">
      <c r="A122" s="691">
        <v>24</v>
      </c>
      <c r="B122" s="330"/>
      <c r="C122" s="169" t="s">
        <v>367</v>
      </c>
      <c r="D122" s="178"/>
      <c r="E122" s="170"/>
      <c r="F122" s="170"/>
      <c r="G122" s="170"/>
      <c r="H122" s="170"/>
      <c r="I122" s="170"/>
      <c r="J122" s="170"/>
      <c r="K122" s="170"/>
      <c r="L122" s="170"/>
      <c r="M122" s="172"/>
    </row>
    <row r="123" spans="1:13" x14ac:dyDescent="0.25">
      <c r="A123" s="253">
        <v>25</v>
      </c>
      <c r="B123" s="167"/>
      <c r="C123" s="174" t="s">
        <v>368</v>
      </c>
      <c r="D123" s="175" t="s">
        <v>427</v>
      </c>
      <c r="E123" s="170"/>
      <c r="F123" s="170"/>
      <c r="G123" s="170"/>
      <c r="H123" s="170"/>
      <c r="I123" s="170"/>
      <c r="J123" s="170"/>
      <c r="K123" s="170"/>
      <c r="L123" s="170"/>
      <c r="M123" s="331"/>
    </row>
    <row r="124" spans="1:13" x14ac:dyDescent="0.25">
      <c r="A124" s="691">
        <v>26</v>
      </c>
      <c r="B124" s="167"/>
      <c r="C124" s="169" t="s">
        <v>293</v>
      </c>
      <c r="D124" s="180"/>
      <c r="E124" s="170"/>
      <c r="F124" s="170"/>
      <c r="G124" s="170"/>
      <c r="H124" s="170"/>
      <c r="I124" s="170"/>
      <c r="J124" s="170"/>
      <c r="K124" s="170"/>
      <c r="L124" s="170"/>
      <c r="M124" s="172"/>
    </row>
    <row r="125" spans="1:13" x14ac:dyDescent="0.25">
      <c r="A125" s="253">
        <v>27</v>
      </c>
      <c r="B125" s="167"/>
      <c r="C125" s="174" t="s">
        <v>295</v>
      </c>
      <c r="D125" s="175" t="s">
        <v>427</v>
      </c>
      <c r="E125" s="170"/>
      <c r="F125" s="170"/>
      <c r="G125" s="170"/>
      <c r="H125" s="170"/>
      <c r="I125" s="170"/>
      <c r="J125" s="170"/>
      <c r="K125" s="170"/>
      <c r="L125" s="170"/>
      <c r="M125" s="331"/>
    </row>
    <row r="126" spans="1:13" x14ac:dyDescent="0.25">
      <c r="A126" s="691">
        <v>28</v>
      </c>
      <c r="B126" s="167"/>
      <c r="C126" s="169" t="s">
        <v>296</v>
      </c>
      <c r="D126" s="170"/>
      <c r="E126" s="170"/>
      <c r="F126" s="170"/>
      <c r="G126" s="170"/>
      <c r="H126" s="170"/>
      <c r="I126" s="170"/>
      <c r="J126" s="170"/>
      <c r="K126" s="170"/>
      <c r="L126" s="170"/>
      <c r="M126" s="172"/>
    </row>
  </sheetData>
  <mergeCells count="20">
    <mergeCell ref="A1:D1"/>
    <mergeCell ref="B3:M3"/>
    <mergeCell ref="C5:L5"/>
    <mergeCell ref="A7:A8"/>
    <mergeCell ref="B7:B8"/>
    <mergeCell ref="C7:C8"/>
    <mergeCell ref="D7:D8"/>
    <mergeCell ref="E7:F7"/>
    <mergeCell ref="G7:H7"/>
    <mergeCell ref="I7:J7"/>
    <mergeCell ref="A4:M4"/>
    <mergeCell ref="B115:B117"/>
    <mergeCell ref="K7:L7"/>
    <mergeCell ref="M7:M8"/>
    <mergeCell ref="A37:A38"/>
    <mergeCell ref="B46:B49"/>
    <mergeCell ref="B50:B51"/>
    <mergeCell ref="B109:B111"/>
    <mergeCell ref="A39:A40"/>
    <mergeCell ref="B69:B71"/>
  </mergeCells>
  <pageMargins left="0.25" right="0.25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view="pageBreakPreview" topLeftCell="A82" zoomScale="90" zoomScaleNormal="100" zoomScaleSheetLayoutView="90" workbookViewId="0">
      <selection activeCell="A89" sqref="A89:XFD89"/>
    </sheetView>
  </sheetViews>
  <sheetFormatPr defaultRowHeight="15" x14ac:dyDescent="0.25"/>
  <cols>
    <col min="1" max="1" width="3.42578125" customWidth="1"/>
    <col min="2" max="2" width="8.28515625" customWidth="1"/>
    <col min="3" max="3" width="43.7109375" customWidth="1"/>
    <col min="6" max="6" width="9.140625" style="21"/>
    <col min="7" max="7" width="6.85546875" customWidth="1"/>
    <col min="9" max="9" width="8.28515625" customWidth="1"/>
    <col min="11" max="11" width="7.85546875" customWidth="1"/>
    <col min="12" max="12" width="8.5703125" customWidth="1"/>
    <col min="13" max="13" width="11.140625" customWidth="1"/>
  </cols>
  <sheetData>
    <row r="1" spans="1:13" x14ac:dyDescent="0.25">
      <c r="A1" s="762" t="s">
        <v>371</v>
      </c>
      <c r="B1" s="762"/>
      <c r="C1" s="762"/>
      <c r="D1" s="762"/>
      <c r="E1" s="762"/>
      <c r="F1" s="391"/>
      <c r="G1" s="333"/>
      <c r="H1" s="333"/>
      <c r="I1" s="333"/>
      <c r="J1" s="333"/>
    </row>
    <row r="2" spans="1:13" x14ac:dyDescent="0.25">
      <c r="C2" s="334"/>
      <c r="D2" s="333"/>
      <c r="E2" s="333"/>
      <c r="F2" s="391"/>
      <c r="G2" s="333"/>
      <c r="H2" s="333"/>
      <c r="I2" s="333"/>
      <c r="J2" s="333"/>
    </row>
    <row r="3" spans="1:13" ht="18.75" x14ac:dyDescent="0.3">
      <c r="B3" s="753" t="s">
        <v>372</v>
      </c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</row>
    <row r="4" spans="1:13" ht="36.75" customHeight="1" x14ac:dyDescent="0.25">
      <c r="A4" s="761" t="s">
        <v>421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</row>
    <row r="5" spans="1:13" x14ac:dyDescent="0.25">
      <c r="C5" s="763" t="s">
        <v>373</v>
      </c>
      <c r="D5" s="763"/>
      <c r="E5" s="763"/>
      <c r="F5" s="763"/>
      <c r="G5" s="763"/>
      <c r="H5" s="763"/>
      <c r="I5" s="763"/>
      <c r="J5" s="763"/>
      <c r="K5" s="763"/>
      <c r="L5" s="763"/>
    </row>
    <row r="6" spans="1:13" x14ac:dyDescent="0.25">
      <c r="C6" s="20"/>
    </row>
    <row r="7" spans="1:13" ht="30.75" customHeight="1" x14ac:dyDescent="0.25">
      <c r="A7" s="755" t="s">
        <v>26</v>
      </c>
      <c r="B7" s="757" t="s">
        <v>27</v>
      </c>
      <c r="C7" s="757" t="s">
        <v>28</v>
      </c>
      <c r="D7" s="757" t="s">
        <v>29</v>
      </c>
      <c r="E7" s="759" t="s">
        <v>30</v>
      </c>
      <c r="F7" s="760"/>
      <c r="G7" s="746" t="s">
        <v>31</v>
      </c>
      <c r="H7" s="747"/>
      <c r="I7" s="746" t="s">
        <v>32</v>
      </c>
      <c r="J7" s="747"/>
      <c r="K7" s="746" t="s">
        <v>33</v>
      </c>
      <c r="L7" s="747"/>
      <c r="M7" s="748" t="s">
        <v>34</v>
      </c>
    </row>
    <row r="8" spans="1:13" ht="25.5" customHeight="1" x14ac:dyDescent="0.25">
      <c r="A8" s="756"/>
      <c r="B8" s="758"/>
      <c r="C8" s="758"/>
      <c r="D8" s="758"/>
      <c r="E8" s="22" t="s">
        <v>35</v>
      </c>
      <c r="F8" s="23" t="s">
        <v>34</v>
      </c>
      <c r="G8" s="22" t="s">
        <v>35</v>
      </c>
      <c r="H8" s="22" t="s">
        <v>34</v>
      </c>
      <c r="I8" s="22" t="s">
        <v>35</v>
      </c>
      <c r="J8" s="22" t="s">
        <v>34</v>
      </c>
      <c r="K8" s="22" t="s">
        <v>35</v>
      </c>
      <c r="L8" s="22" t="s">
        <v>34</v>
      </c>
      <c r="M8" s="749"/>
    </row>
    <row r="9" spans="1:13" x14ac:dyDescent="0.25">
      <c r="A9" s="24">
        <v>1</v>
      </c>
      <c r="B9" s="22">
        <v>2</v>
      </c>
      <c r="C9" s="22">
        <v>3</v>
      </c>
      <c r="D9" s="335">
        <v>4</v>
      </c>
      <c r="E9" s="335">
        <v>5</v>
      </c>
      <c r="F9" s="392">
        <v>6</v>
      </c>
      <c r="G9" s="335">
        <v>7</v>
      </c>
      <c r="H9" s="335">
        <v>8</v>
      </c>
      <c r="I9" s="336">
        <v>9</v>
      </c>
      <c r="J9" s="335">
        <v>10</v>
      </c>
      <c r="K9" s="335">
        <v>11</v>
      </c>
      <c r="L9" s="335">
        <v>12</v>
      </c>
      <c r="M9" s="336">
        <v>13</v>
      </c>
    </row>
    <row r="10" spans="1:13" x14ac:dyDescent="0.25">
      <c r="A10" s="32"/>
      <c r="B10" s="146"/>
      <c r="C10" s="183" t="s">
        <v>396</v>
      </c>
      <c r="D10" s="146"/>
      <c r="E10" s="146"/>
      <c r="F10" s="369"/>
      <c r="G10" s="146"/>
      <c r="H10" s="146"/>
      <c r="I10" s="146"/>
      <c r="J10" s="146"/>
      <c r="K10" s="146"/>
      <c r="L10" s="146"/>
      <c r="M10" s="146"/>
    </row>
    <row r="11" spans="1:13" ht="35.25" customHeight="1" x14ac:dyDescent="0.25">
      <c r="A11" s="184">
        <v>1</v>
      </c>
      <c r="B11" s="185" t="s">
        <v>302</v>
      </c>
      <c r="C11" s="186" t="s">
        <v>303</v>
      </c>
      <c r="D11" s="159" t="s">
        <v>39</v>
      </c>
      <c r="E11" s="92"/>
      <c r="F11" s="141">
        <v>30</v>
      </c>
      <c r="G11" s="187"/>
      <c r="H11" s="188"/>
      <c r="I11" s="95"/>
      <c r="J11" s="188"/>
      <c r="K11" s="95"/>
      <c r="L11" s="188"/>
      <c r="M11" s="189"/>
    </row>
    <row r="12" spans="1:13" x14ac:dyDescent="0.25">
      <c r="A12" s="142"/>
      <c r="B12" s="142"/>
      <c r="C12" s="144" t="s">
        <v>40</v>
      </c>
      <c r="D12" s="142" t="s">
        <v>145</v>
      </c>
      <c r="E12" s="130">
        <f>0.129*1.2</f>
        <v>0.15479999999999999</v>
      </c>
      <c r="F12" s="97">
        <f>E12*F11</f>
        <v>4.6440000000000001</v>
      </c>
      <c r="G12" s="96"/>
      <c r="H12" s="97"/>
      <c r="I12" s="96"/>
      <c r="J12" s="97"/>
      <c r="K12" s="190"/>
      <c r="L12" s="191"/>
      <c r="M12" s="192"/>
    </row>
    <row r="13" spans="1:13" ht="72" customHeight="1" x14ac:dyDescent="0.25">
      <c r="A13" s="193">
        <v>2</v>
      </c>
      <c r="B13" s="194" t="s">
        <v>304</v>
      </c>
      <c r="C13" s="93" t="s">
        <v>419</v>
      </c>
      <c r="D13" s="159" t="s">
        <v>56</v>
      </c>
      <c r="E13" s="195"/>
      <c r="F13" s="383">
        <v>0.5</v>
      </c>
      <c r="G13" s="196"/>
      <c r="H13" s="196"/>
      <c r="I13" s="197"/>
      <c r="J13" s="196"/>
      <c r="K13" s="196"/>
      <c r="L13" s="196"/>
      <c r="M13" s="196"/>
    </row>
    <row r="14" spans="1:13" x14ac:dyDescent="0.25">
      <c r="A14" s="198"/>
      <c r="B14" s="199"/>
      <c r="C14" s="200" t="s">
        <v>180</v>
      </c>
      <c r="D14" s="201" t="s">
        <v>183</v>
      </c>
      <c r="E14" s="202">
        <f>3.88*1.2</f>
        <v>4.6559999999999997</v>
      </c>
      <c r="F14" s="202">
        <f>F13*E14</f>
        <v>2.3279999999999998</v>
      </c>
      <c r="G14" s="204"/>
      <c r="H14" s="202"/>
      <c r="I14" s="203"/>
      <c r="J14" s="202"/>
      <c r="K14" s="202"/>
      <c r="L14" s="202"/>
      <c r="M14" s="202"/>
    </row>
    <row r="15" spans="1:13" ht="54.75" customHeight="1" x14ac:dyDescent="0.25">
      <c r="A15" s="88">
        <v>3</v>
      </c>
      <c r="B15" s="88" t="s">
        <v>305</v>
      </c>
      <c r="C15" s="205" t="s">
        <v>306</v>
      </c>
      <c r="D15" s="206" t="s">
        <v>307</v>
      </c>
      <c r="E15" s="207"/>
      <c r="F15" s="384">
        <v>0.5</v>
      </c>
      <c r="G15" s="208"/>
      <c r="H15" s="208"/>
      <c r="I15" s="209"/>
      <c r="J15" s="208"/>
      <c r="K15" s="208"/>
      <c r="L15" s="208"/>
      <c r="M15" s="208"/>
    </row>
    <row r="16" spans="1:13" x14ac:dyDescent="0.25">
      <c r="A16" s="210"/>
      <c r="B16" s="211"/>
      <c r="C16" s="212" t="s">
        <v>308</v>
      </c>
      <c r="D16" s="75" t="s">
        <v>276</v>
      </c>
      <c r="E16" s="213">
        <f>0.993*1.2</f>
        <v>1.1916</v>
      </c>
      <c r="F16" s="213">
        <f>F15*E16</f>
        <v>0.5958</v>
      </c>
      <c r="G16" s="215"/>
      <c r="H16" s="213"/>
      <c r="I16" s="214"/>
      <c r="J16" s="213"/>
      <c r="K16" s="213"/>
      <c r="L16" s="213"/>
      <c r="M16" s="213"/>
    </row>
    <row r="17" spans="1:13" ht="40.5" x14ac:dyDescent="0.25">
      <c r="A17" s="216">
        <v>4</v>
      </c>
      <c r="B17" s="217" t="s">
        <v>309</v>
      </c>
      <c r="C17" s="218" t="s">
        <v>310</v>
      </c>
      <c r="D17" s="216" t="s">
        <v>311</v>
      </c>
      <c r="E17" s="219"/>
      <c r="F17" s="141">
        <v>0.1</v>
      </c>
      <c r="G17" s="220"/>
      <c r="H17" s="216"/>
      <c r="I17" s="219"/>
      <c r="J17" s="221"/>
      <c r="K17" s="222"/>
      <c r="L17" s="114"/>
      <c r="M17" s="223"/>
    </row>
    <row r="18" spans="1:13" x14ac:dyDescent="0.25">
      <c r="A18" s="224"/>
      <c r="B18" s="225"/>
      <c r="C18" s="226" t="s">
        <v>54</v>
      </c>
      <c r="D18" s="225" t="s">
        <v>312</v>
      </c>
      <c r="E18" s="227">
        <f>0.89*1.2</f>
        <v>1.0680000000000001</v>
      </c>
      <c r="F18" s="385">
        <f>E18*F17</f>
        <v>0.10680000000000001</v>
      </c>
      <c r="G18" s="229"/>
      <c r="H18" s="230"/>
      <c r="I18" s="227"/>
      <c r="J18" s="227"/>
      <c r="K18" s="231"/>
      <c r="L18" s="232"/>
      <c r="M18" s="105"/>
    </row>
    <row r="19" spans="1:13" x14ac:dyDescent="0.25">
      <c r="A19" s="225"/>
      <c r="B19" s="225"/>
      <c r="C19" s="82" t="s">
        <v>313</v>
      </c>
      <c r="D19" s="225" t="s">
        <v>43</v>
      </c>
      <c r="E19" s="233">
        <f>0.37*1.2</f>
        <v>0.44400000000000001</v>
      </c>
      <c r="F19" s="143">
        <f>E19*F17</f>
        <v>4.4400000000000002E-2</v>
      </c>
      <c r="G19" s="234"/>
      <c r="H19" s="225"/>
      <c r="I19" s="233"/>
      <c r="J19" s="105"/>
      <c r="K19" s="231"/>
      <c r="L19" s="105"/>
      <c r="M19" s="105"/>
    </row>
    <row r="20" spans="1:13" ht="15.75" x14ac:dyDescent="0.25">
      <c r="A20" s="224"/>
      <c r="B20" s="225"/>
      <c r="C20" s="226" t="s">
        <v>314</v>
      </c>
      <c r="D20" s="225" t="s">
        <v>315</v>
      </c>
      <c r="E20" s="227">
        <v>1.1499999999999999</v>
      </c>
      <c r="F20" s="385">
        <f>E20*F17</f>
        <v>0.11499999999999999</v>
      </c>
      <c r="G20" s="234"/>
      <c r="H20" s="225"/>
      <c r="I20" s="235"/>
      <c r="J20" s="227"/>
      <c r="K20" s="231"/>
      <c r="L20" s="231"/>
      <c r="M20" s="105"/>
    </row>
    <row r="21" spans="1:13" x14ac:dyDescent="0.25">
      <c r="A21" s="236"/>
      <c r="B21" s="236"/>
      <c r="C21" s="237" t="s">
        <v>316</v>
      </c>
      <c r="D21" s="236" t="s">
        <v>43</v>
      </c>
      <c r="E21" s="238">
        <v>0.02</v>
      </c>
      <c r="F21" s="268">
        <f>E21*F17</f>
        <v>2E-3</v>
      </c>
      <c r="G21" s="240"/>
      <c r="H21" s="236"/>
      <c r="I21" s="241"/>
      <c r="J21" s="227"/>
      <c r="K21" s="242"/>
      <c r="L21" s="242"/>
      <c r="M21" s="105"/>
    </row>
    <row r="22" spans="1:13" ht="27" x14ac:dyDescent="0.25">
      <c r="A22" s="216">
        <v>5</v>
      </c>
      <c r="B22" s="243" t="s">
        <v>317</v>
      </c>
      <c r="C22" s="244" t="s">
        <v>318</v>
      </c>
      <c r="D22" s="245" t="s">
        <v>307</v>
      </c>
      <c r="E22" s="246"/>
      <c r="F22" s="383">
        <v>0.6</v>
      </c>
      <c r="G22" s="246"/>
      <c r="H22" s="245"/>
      <c r="I22" s="246"/>
      <c r="J22" s="247"/>
      <c r="K22" s="246"/>
      <c r="L22" s="246"/>
      <c r="M22" s="246"/>
    </row>
    <row r="23" spans="1:13" x14ac:dyDescent="0.25">
      <c r="A23" s="248"/>
      <c r="B23" s="225"/>
      <c r="C23" s="249" t="s">
        <v>54</v>
      </c>
      <c r="D23" s="104" t="s">
        <v>183</v>
      </c>
      <c r="E23" s="108">
        <f>6.66*1.2*1.15</f>
        <v>9.1907999999999994</v>
      </c>
      <c r="F23" s="260">
        <f>F22*E23</f>
        <v>5.5144799999999998</v>
      </c>
      <c r="G23" s="107"/>
      <c r="H23" s="108"/>
      <c r="I23" s="108"/>
      <c r="J23" s="108"/>
      <c r="K23" s="108"/>
      <c r="L23" s="250"/>
      <c r="M23" s="105"/>
    </row>
    <row r="24" spans="1:13" x14ac:dyDescent="0.25">
      <c r="A24" s="248"/>
      <c r="B24" s="104"/>
      <c r="C24" s="249" t="s">
        <v>319</v>
      </c>
      <c r="D24" s="104" t="s">
        <v>320</v>
      </c>
      <c r="E24" s="108">
        <f>0.59*1.2</f>
        <v>0.70799999999999996</v>
      </c>
      <c r="F24" s="260">
        <f>F22*E24</f>
        <v>0.42479999999999996</v>
      </c>
      <c r="G24" s="108"/>
      <c r="H24" s="104"/>
      <c r="I24" s="108"/>
      <c r="J24" s="108"/>
      <c r="K24" s="108"/>
      <c r="L24" s="250"/>
      <c r="M24" s="105"/>
    </row>
    <row r="25" spans="1:13" x14ac:dyDescent="0.25">
      <c r="A25" s="248"/>
      <c r="B25" s="225"/>
      <c r="C25" s="249" t="s">
        <v>321</v>
      </c>
      <c r="D25" s="104" t="s">
        <v>56</v>
      </c>
      <c r="E25" s="108">
        <v>1.0149999999999999</v>
      </c>
      <c r="F25" s="260">
        <f>F22*E25</f>
        <v>0.60899999999999987</v>
      </c>
      <c r="G25" s="108"/>
      <c r="H25" s="104"/>
      <c r="I25" s="107"/>
      <c r="J25" s="108"/>
      <c r="K25" s="108"/>
      <c r="L25" s="250"/>
      <c r="M25" s="105"/>
    </row>
    <row r="26" spans="1:13" x14ac:dyDescent="0.25">
      <c r="A26" s="248"/>
      <c r="B26" s="225"/>
      <c r="C26" s="249" t="s">
        <v>322</v>
      </c>
      <c r="D26" s="104" t="s">
        <v>39</v>
      </c>
      <c r="E26" s="108">
        <v>1.6</v>
      </c>
      <c r="F26" s="260">
        <f>F22*E26</f>
        <v>0.96</v>
      </c>
      <c r="G26" s="108"/>
      <c r="H26" s="104"/>
      <c r="I26" s="108"/>
      <c r="J26" s="108"/>
      <c r="K26" s="108"/>
      <c r="L26" s="250"/>
      <c r="M26" s="105"/>
    </row>
    <row r="27" spans="1:13" x14ac:dyDescent="0.25">
      <c r="A27" s="248"/>
      <c r="B27" s="225"/>
      <c r="C27" s="251" t="s">
        <v>323</v>
      </c>
      <c r="D27" s="104" t="s">
        <v>56</v>
      </c>
      <c r="E27" s="108">
        <v>1.83E-2</v>
      </c>
      <c r="F27" s="191">
        <f>F22*E27</f>
        <v>1.098E-2</v>
      </c>
      <c r="G27" s="108"/>
      <c r="H27" s="104"/>
      <c r="I27" s="107"/>
      <c r="J27" s="108"/>
      <c r="K27" s="108"/>
      <c r="L27" s="250"/>
      <c r="M27" s="105"/>
    </row>
    <row r="28" spans="1:13" x14ac:dyDescent="0.25">
      <c r="A28" s="252"/>
      <c r="B28" s="253"/>
      <c r="C28" s="254" t="s">
        <v>316</v>
      </c>
      <c r="D28" s="253" t="s">
        <v>320</v>
      </c>
      <c r="E28" s="203">
        <v>0.4</v>
      </c>
      <c r="F28" s="204">
        <f>F22*E28</f>
        <v>0.24</v>
      </c>
      <c r="G28" s="203"/>
      <c r="H28" s="253"/>
      <c r="I28" s="203"/>
      <c r="J28" s="108"/>
      <c r="K28" s="203"/>
      <c r="L28" s="256"/>
      <c r="M28" s="105"/>
    </row>
    <row r="29" spans="1:13" ht="40.5" x14ac:dyDescent="0.25">
      <c r="A29" s="142">
        <v>6</v>
      </c>
      <c r="B29" s="261" t="s">
        <v>325</v>
      </c>
      <c r="C29" s="131" t="s">
        <v>397</v>
      </c>
      <c r="D29" s="159" t="s">
        <v>324</v>
      </c>
      <c r="E29" s="87"/>
      <c r="F29" s="713">
        <f>0.00942*20</f>
        <v>0.18839999999999998</v>
      </c>
      <c r="G29" s="95"/>
      <c r="H29" s="141"/>
      <c r="I29" s="94"/>
      <c r="J29" s="141"/>
      <c r="K29" s="95"/>
      <c r="L29" s="141"/>
      <c r="M29" s="141"/>
    </row>
    <row r="30" spans="1:13" x14ac:dyDescent="0.25">
      <c r="A30" s="142"/>
      <c r="B30" s="142"/>
      <c r="C30" s="264" t="s">
        <v>180</v>
      </c>
      <c r="D30" s="142" t="s">
        <v>103</v>
      </c>
      <c r="E30" s="97">
        <f>53.8*1.2*1.1</f>
        <v>71.015999999999991</v>
      </c>
      <c r="F30" s="143">
        <f>E30*F29</f>
        <v>13.379414399999996</v>
      </c>
      <c r="G30" s="96"/>
      <c r="H30" s="143"/>
      <c r="I30" s="265"/>
      <c r="J30" s="266"/>
      <c r="K30" s="266"/>
      <c r="L30" s="266"/>
      <c r="M30" s="260"/>
    </row>
    <row r="31" spans="1:13" x14ac:dyDescent="0.25">
      <c r="A31" s="142"/>
      <c r="B31" s="142"/>
      <c r="C31" s="264" t="s">
        <v>327</v>
      </c>
      <c r="D31" s="142" t="s">
        <v>210</v>
      </c>
      <c r="E31" s="96">
        <f>0.3*1.2</f>
        <v>0.36</v>
      </c>
      <c r="F31" s="143">
        <f>E31*F29</f>
        <v>6.7823999999999995E-2</v>
      </c>
      <c r="G31" s="96"/>
      <c r="H31" s="97"/>
      <c r="I31" s="98"/>
      <c r="J31" s="97"/>
      <c r="K31" s="98"/>
      <c r="L31" s="97"/>
      <c r="M31" s="191"/>
    </row>
    <row r="32" spans="1:13" x14ac:dyDescent="0.25">
      <c r="A32" s="142"/>
      <c r="B32" s="142"/>
      <c r="C32" s="264" t="s">
        <v>78</v>
      </c>
      <c r="D32" s="142" t="s">
        <v>43</v>
      </c>
      <c r="E32" s="96">
        <f>18.4*1.2</f>
        <v>22.08</v>
      </c>
      <c r="F32" s="143">
        <f>E32*F29</f>
        <v>4.1598719999999991</v>
      </c>
      <c r="G32" s="96"/>
      <c r="H32" s="97"/>
      <c r="I32" s="98"/>
      <c r="J32" s="97"/>
      <c r="K32" s="98"/>
      <c r="L32" s="97"/>
      <c r="M32" s="191"/>
    </row>
    <row r="33" spans="1:13" x14ac:dyDescent="0.25">
      <c r="A33" s="142"/>
      <c r="B33" s="142"/>
      <c r="C33" s="264" t="s">
        <v>328</v>
      </c>
      <c r="D33" s="142" t="s">
        <v>324</v>
      </c>
      <c r="E33" s="96">
        <v>1</v>
      </c>
      <c r="F33" s="130">
        <f>E33*F29</f>
        <v>0.18839999999999998</v>
      </c>
      <c r="G33" s="96"/>
      <c r="H33" s="97"/>
      <c r="I33" s="98"/>
      <c r="J33" s="97"/>
      <c r="K33" s="98"/>
      <c r="L33" s="97"/>
      <c r="M33" s="260"/>
    </row>
    <row r="34" spans="1:13" x14ac:dyDescent="0.25">
      <c r="A34" s="142"/>
      <c r="B34" s="142"/>
      <c r="C34" s="264" t="s">
        <v>158</v>
      </c>
      <c r="D34" s="142" t="s">
        <v>93</v>
      </c>
      <c r="E34" s="96">
        <v>24.4</v>
      </c>
      <c r="F34" s="143">
        <f>E34*F29</f>
        <v>4.5969599999999993</v>
      </c>
      <c r="G34" s="96"/>
      <c r="H34" s="97"/>
      <c r="I34" s="98"/>
      <c r="J34" s="260"/>
      <c r="K34" s="98"/>
      <c r="L34" s="97"/>
      <c r="M34" s="191"/>
    </row>
    <row r="35" spans="1:13" x14ac:dyDescent="0.25">
      <c r="A35" s="201"/>
      <c r="B35" s="201"/>
      <c r="C35" s="267" t="s">
        <v>80</v>
      </c>
      <c r="D35" s="201" t="s">
        <v>43</v>
      </c>
      <c r="E35" s="126">
        <v>2.78</v>
      </c>
      <c r="F35" s="268">
        <f>E35*F29</f>
        <v>0.52375199999999988</v>
      </c>
      <c r="G35" s="126"/>
      <c r="H35" s="99"/>
      <c r="I35" s="269"/>
      <c r="J35" s="204"/>
      <c r="K35" s="269"/>
      <c r="L35" s="99"/>
      <c r="M35" s="202"/>
    </row>
    <row r="36" spans="1:13" x14ac:dyDescent="0.25">
      <c r="A36" s="142"/>
      <c r="B36" s="142"/>
      <c r="C36" s="132" t="s">
        <v>389</v>
      </c>
      <c r="D36" s="142"/>
      <c r="E36" s="96"/>
      <c r="F36" s="143"/>
      <c r="G36" s="96"/>
      <c r="H36" s="97"/>
      <c r="I36" s="98"/>
      <c r="J36" s="260"/>
      <c r="K36" s="98"/>
      <c r="L36" s="97"/>
      <c r="M36" s="191"/>
    </row>
    <row r="37" spans="1:13" ht="27" x14ac:dyDescent="0.25">
      <c r="A37" s="750">
        <v>7</v>
      </c>
      <c r="B37" s="194" t="s">
        <v>304</v>
      </c>
      <c r="C37" s="93" t="s">
        <v>398</v>
      </c>
      <c r="D37" s="184" t="s">
        <v>56</v>
      </c>
      <c r="E37" s="195"/>
      <c r="F37" s="388">
        <v>6</v>
      </c>
      <c r="G37" s="196"/>
      <c r="H37" s="196"/>
      <c r="I37" s="197"/>
      <c r="J37" s="196"/>
      <c r="K37" s="196"/>
      <c r="L37" s="196"/>
      <c r="M37" s="196"/>
    </row>
    <row r="38" spans="1:13" x14ac:dyDescent="0.25">
      <c r="A38" s="750"/>
      <c r="B38" s="199"/>
      <c r="C38" s="200" t="s">
        <v>180</v>
      </c>
      <c r="D38" s="201" t="s">
        <v>183</v>
      </c>
      <c r="E38" s="202">
        <f>3.88*1.2</f>
        <v>4.6559999999999997</v>
      </c>
      <c r="F38" s="202">
        <f>F37*E38</f>
        <v>27.936</v>
      </c>
      <c r="G38" s="204"/>
      <c r="H38" s="202"/>
      <c r="I38" s="203"/>
      <c r="J38" s="202"/>
      <c r="K38" s="202"/>
      <c r="L38" s="202"/>
      <c r="M38" s="202"/>
    </row>
    <row r="39" spans="1:13" ht="30" x14ac:dyDescent="0.3">
      <c r="A39" s="88">
        <v>8</v>
      </c>
      <c r="B39" s="54" t="s">
        <v>369</v>
      </c>
      <c r="C39" s="389" t="s">
        <v>399</v>
      </c>
      <c r="D39" s="271" t="s">
        <v>307</v>
      </c>
      <c r="E39" s="207"/>
      <c r="F39" s="208">
        <v>6</v>
      </c>
      <c r="G39" s="339"/>
      <c r="H39" s="339"/>
      <c r="I39" s="340"/>
      <c r="J39" s="339"/>
      <c r="K39" s="339"/>
      <c r="L39" s="339"/>
      <c r="M39" s="339"/>
    </row>
    <row r="40" spans="1:13" ht="15.75" x14ac:dyDescent="0.3">
      <c r="A40" s="210"/>
      <c r="B40" s="211"/>
      <c r="C40" s="341" t="s">
        <v>308</v>
      </c>
      <c r="D40" s="342" t="s">
        <v>276</v>
      </c>
      <c r="E40" s="343">
        <f>0.993*1.2</f>
        <v>1.1916</v>
      </c>
      <c r="F40" s="343">
        <f>F39*E40</f>
        <v>7.1495999999999995</v>
      </c>
      <c r="G40" s="345"/>
      <c r="H40" s="343"/>
      <c r="I40" s="344"/>
      <c r="J40" s="343"/>
      <c r="K40" s="343"/>
      <c r="L40" s="343"/>
      <c r="M40" s="343"/>
    </row>
    <row r="41" spans="1:13" ht="32.25" customHeight="1" x14ac:dyDescent="0.25">
      <c r="A41" s="372">
        <v>9</v>
      </c>
      <c r="B41" s="217" t="s">
        <v>309</v>
      </c>
      <c r="C41" s="218" t="s">
        <v>390</v>
      </c>
      <c r="D41" s="372" t="s">
        <v>315</v>
      </c>
      <c r="E41" s="219"/>
      <c r="F41" s="390">
        <v>2</v>
      </c>
      <c r="G41" s="220"/>
      <c r="H41" s="216"/>
      <c r="I41" s="219"/>
      <c r="J41" s="221"/>
      <c r="K41" s="222"/>
      <c r="L41" s="114"/>
      <c r="M41" s="223"/>
    </row>
    <row r="42" spans="1:13" x14ac:dyDescent="0.25">
      <c r="A42" s="224"/>
      <c r="B42" s="225"/>
      <c r="C42" s="226" t="s">
        <v>54</v>
      </c>
      <c r="D42" s="225" t="s">
        <v>312</v>
      </c>
      <c r="E42" s="227">
        <f>0.89*1.2</f>
        <v>1.0680000000000001</v>
      </c>
      <c r="F42" s="385">
        <f>E42*F41</f>
        <v>2.1360000000000001</v>
      </c>
      <c r="G42" s="229"/>
      <c r="H42" s="230"/>
      <c r="I42" s="227"/>
      <c r="J42" s="227"/>
      <c r="K42" s="231"/>
      <c r="L42" s="232"/>
      <c r="M42" s="105"/>
    </row>
    <row r="43" spans="1:13" x14ac:dyDescent="0.25">
      <c r="A43" s="225"/>
      <c r="B43" s="225"/>
      <c r="C43" s="82" t="s">
        <v>313</v>
      </c>
      <c r="D43" s="225" t="s">
        <v>43</v>
      </c>
      <c r="E43" s="233">
        <f>0.37*1.2</f>
        <v>0.44400000000000001</v>
      </c>
      <c r="F43" s="143">
        <f>E43*F41</f>
        <v>0.88800000000000001</v>
      </c>
      <c r="G43" s="234"/>
      <c r="H43" s="225"/>
      <c r="I43" s="233"/>
      <c r="J43" s="105"/>
      <c r="K43" s="231"/>
      <c r="L43" s="105"/>
      <c r="M43" s="105"/>
    </row>
    <row r="44" spans="1:13" ht="15.75" x14ac:dyDescent="0.25">
      <c r="A44" s="224"/>
      <c r="B44" s="225"/>
      <c r="C44" s="226" t="s">
        <v>314</v>
      </c>
      <c r="D44" s="225" t="s">
        <v>315</v>
      </c>
      <c r="E44" s="227">
        <v>1.1499999999999999</v>
      </c>
      <c r="F44" s="385">
        <f>E44*F41</f>
        <v>2.2999999999999998</v>
      </c>
      <c r="G44" s="234"/>
      <c r="H44" s="225"/>
      <c r="I44" s="235"/>
      <c r="J44" s="227"/>
      <c r="K44" s="231"/>
      <c r="L44" s="231"/>
      <c r="M44" s="105"/>
    </row>
    <row r="45" spans="1:13" x14ac:dyDescent="0.25">
      <c r="A45" s="236"/>
      <c r="B45" s="236"/>
      <c r="C45" s="237" t="s">
        <v>316</v>
      </c>
      <c r="D45" s="236" t="s">
        <v>43</v>
      </c>
      <c r="E45" s="238">
        <v>0.02</v>
      </c>
      <c r="F45" s="268">
        <f>E45*F41</f>
        <v>0.04</v>
      </c>
      <c r="G45" s="240"/>
      <c r="H45" s="236"/>
      <c r="I45" s="241"/>
      <c r="J45" s="227"/>
      <c r="K45" s="242"/>
      <c r="L45" s="242"/>
      <c r="M45" s="105"/>
    </row>
    <row r="46" spans="1:13" ht="30" customHeight="1" x14ac:dyDescent="0.25">
      <c r="A46" s="85">
        <v>10</v>
      </c>
      <c r="B46" s="751" t="s">
        <v>329</v>
      </c>
      <c r="C46" s="37" t="s">
        <v>330</v>
      </c>
      <c r="D46" s="96" t="s">
        <v>56</v>
      </c>
      <c r="E46" s="274"/>
      <c r="F46" s="143">
        <v>2</v>
      </c>
      <c r="G46" s="95"/>
      <c r="H46" s="141"/>
      <c r="I46" s="95"/>
      <c r="J46" s="141"/>
      <c r="K46" s="95"/>
      <c r="L46" s="141"/>
      <c r="M46" s="141"/>
    </row>
    <row r="47" spans="1:13" ht="16.5" customHeight="1" x14ac:dyDescent="0.25">
      <c r="A47" s="85"/>
      <c r="B47" s="751"/>
      <c r="C47" s="40" t="s">
        <v>40</v>
      </c>
      <c r="D47" s="96" t="s">
        <v>41</v>
      </c>
      <c r="E47" s="97">
        <f>2.9*1.2</f>
        <v>3.48</v>
      </c>
      <c r="F47" s="97">
        <f>E47*F46</f>
        <v>6.96</v>
      </c>
      <c r="G47" s="96"/>
      <c r="H47" s="143"/>
      <c r="I47" s="98"/>
      <c r="J47" s="97"/>
      <c r="K47" s="98"/>
      <c r="L47" s="97"/>
      <c r="M47" s="143"/>
    </row>
    <row r="48" spans="1:13" ht="17.25" customHeight="1" x14ac:dyDescent="0.25">
      <c r="A48" s="85"/>
      <c r="B48" s="751"/>
      <c r="C48" s="40" t="s">
        <v>331</v>
      </c>
      <c r="D48" s="96" t="s">
        <v>56</v>
      </c>
      <c r="E48" s="96">
        <v>1.02</v>
      </c>
      <c r="F48" s="130">
        <f>E48*F46</f>
        <v>2.04</v>
      </c>
      <c r="G48" s="96"/>
      <c r="H48" s="97"/>
      <c r="I48" s="98"/>
      <c r="J48" s="97"/>
      <c r="K48" s="98"/>
      <c r="L48" s="97"/>
      <c r="M48" s="97"/>
    </row>
    <row r="49" spans="1:14" ht="12.75" customHeight="1" x14ac:dyDescent="0.25">
      <c r="A49" s="86"/>
      <c r="B49" s="751"/>
      <c r="C49" s="46" t="s">
        <v>80</v>
      </c>
      <c r="D49" s="126" t="s">
        <v>332</v>
      </c>
      <c r="E49" s="126">
        <v>0.88</v>
      </c>
      <c r="F49" s="275">
        <f>E49*F47</f>
        <v>6.1247999999999996</v>
      </c>
      <c r="G49" s="126"/>
      <c r="H49" s="99"/>
      <c r="I49" s="269"/>
      <c r="J49" s="99"/>
      <c r="K49" s="269"/>
      <c r="L49" s="99"/>
      <c r="M49" s="99"/>
    </row>
    <row r="50" spans="1:14" ht="31.5" customHeight="1" x14ac:dyDescent="0.25">
      <c r="A50" s="84">
        <v>11</v>
      </c>
      <c r="B50" s="752" t="s">
        <v>333</v>
      </c>
      <c r="C50" s="93" t="s">
        <v>388</v>
      </c>
      <c r="D50" s="87" t="s">
        <v>39</v>
      </c>
      <c r="E50" s="92"/>
      <c r="F50" s="390">
        <v>20</v>
      </c>
      <c r="G50" s="87"/>
      <c r="H50" s="129"/>
      <c r="I50" s="128"/>
      <c r="J50" s="129"/>
      <c r="K50" s="128"/>
      <c r="L50" s="129"/>
      <c r="M50" s="94"/>
    </row>
    <row r="51" spans="1:14" ht="16.5" customHeight="1" x14ac:dyDescent="0.25">
      <c r="A51" s="85"/>
      <c r="B51" s="751"/>
      <c r="C51" s="40" t="s">
        <v>40</v>
      </c>
      <c r="D51" s="96" t="s">
        <v>41</v>
      </c>
      <c r="E51" s="96">
        <v>1.23</v>
      </c>
      <c r="F51" s="96">
        <f>E51*F50</f>
        <v>24.6</v>
      </c>
      <c r="G51" s="96"/>
      <c r="H51" s="97"/>
      <c r="I51" s="98"/>
      <c r="J51" s="97"/>
      <c r="K51" s="98"/>
      <c r="L51" s="97"/>
      <c r="M51" s="97"/>
    </row>
    <row r="52" spans="1:14" ht="16.5" customHeight="1" x14ac:dyDescent="0.25">
      <c r="A52" s="85"/>
      <c r="B52" s="277"/>
      <c r="C52" s="40" t="s">
        <v>75</v>
      </c>
      <c r="D52" s="96" t="s">
        <v>43</v>
      </c>
      <c r="E52" s="130">
        <f>0.081*1.2</f>
        <v>9.7199999999999995E-2</v>
      </c>
      <c r="F52" s="130">
        <f>E52*F50</f>
        <v>1.944</v>
      </c>
      <c r="G52" s="96"/>
      <c r="H52" s="97"/>
      <c r="I52" s="98"/>
      <c r="J52" s="97"/>
      <c r="K52" s="98"/>
      <c r="L52" s="97"/>
      <c r="M52" s="97"/>
    </row>
    <row r="53" spans="1:14" ht="16.5" customHeight="1" x14ac:dyDescent="0.25">
      <c r="A53" s="85"/>
      <c r="B53" s="277"/>
      <c r="C53" s="40" t="s">
        <v>334</v>
      </c>
      <c r="D53" s="96" t="s">
        <v>56</v>
      </c>
      <c r="E53" s="130">
        <v>2.1899999999999999E-2</v>
      </c>
      <c r="F53" s="97">
        <f>E53*F50</f>
        <v>0.438</v>
      </c>
      <c r="G53" s="96"/>
      <c r="H53" s="97"/>
      <c r="I53" s="278"/>
      <c r="J53" s="143"/>
      <c r="K53" s="98"/>
      <c r="L53" s="97"/>
      <c r="M53" s="97"/>
    </row>
    <row r="54" spans="1:14" ht="16.5" customHeight="1" x14ac:dyDescent="0.25">
      <c r="A54" s="85"/>
      <c r="B54" s="277"/>
      <c r="C54" s="40" t="s">
        <v>335</v>
      </c>
      <c r="D54" s="96" t="s">
        <v>39</v>
      </c>
      <c r="E54" s="96">
        <v>1</v>
      </c>
      <c r="F54" s="97">
        <f>E54*F50</f>
        <v>20</v>
      </c>
      <c r="G54" s="96"/>
      <c r="H54" s="97"/>
      <c r="I54" s="279"/>
      <c r="J54" s="143"/>
      <c r="K54" s="98"/>
      <c r="L54" s="97"/>
      <c r="M54" s="97"/>
    </row>
    <row r="55" spans="1:14" ht="18" customHeight="1" x14ac:dyDescent="0.25">
      <c r="A55" s="86"/>
      <c r="B55" s="280"/>
      <c r="C55" s="46" t="s">
        <v>80</v>
      </c>
      <c r="D55" s="126" t="s">
        <v>43</v>
      </c>
      <c r="E55" s="126">
        <v>4.2599999999999999E-2</v>
      </c>
      <c r="F55" s="99">
        <f>E55*F50</f>
        <v>0.85199999999999998</v>
      </c>
      <c r="G55" s="126"/>
      <c r="H55" s="268"/>
      <c r="I55" s="269"/>
      <c r="J55" s="99"/>
      <c r="K55" s="269"/>
      <c r="L55" s="99"/>
      <c r="M55" s="99"/>
    </row>
    <row r="56" spans="1:14" ht="40.5" x14ac:dyDescent="0.25">
      <c r="A56" s="354">
        <v>12</v>
      </c>
      <c r="B56" s="355" t="s">
        <v>325</v>
      </c>
      <c r="C56" s="356" t="s">
        <v>405</v>
      </c>
      <c r="D56" s="357" t="s">
        <v>324</v>
      </c>
      <c r="E56" s="41"/>
      <c r="F56" s="711">
        <f>0.00417*71</f>
        <v>0.29607</v>
      </c>
      <c r="G56" s="115"/>
      <c r="H56" s="38"/>
      <c r="I56" s="121"/>
      <c r="J56" s="38"/>
      <c r="K56" s="115"/>
      <c r="L56" s="38"/>
      <c r="M56" s="38"/>
    </row>
    <row r="57" spans="1:14" x14ac:dyDescent="0.25">
      <c r="A57" s="89"/>
      <c r="B57" s="89"/>
      <c r="C57" s="134" t="s">
        <v>180</v>
      </c>
      <c r="D57" s="89" t="s">
        <v>103</v>
      </c>
      <c r="E57" s="135">
        <f>53.8*1.2*1.1</f>
        <v>71.015999999999991</v>
      </c>
      <c r="F57" s="161">
        <f>E57*F56</f>
        <v>21.025707119999996</v>
      </c>
      <c r="G57" s="80"/>
      <c r="H57" s="161"/>
      <c r="I57" s="358"/>
      <c r="J57" s="359"/>
      <c r="K57" s="359"/>
      <c r="L57" s="359"/>
      <c r="M57" s="123"/>
    </row>
    <row r="58" spans="1:14" x14ac:dyDescent="0.25">
      <c r="A58" s="89"/>
      <c r="B58" s="89"/>
      <c r="C58" s="134" t="s">
        <v>327</v>
      </c>
      <c r="D58" s="89" t="s">
        <v>210</v>
      </c>
      <c r="E58" s="80">
        <f>0.3*1.2</f>
        <v>0.36</v>
      </c>
      <c r="F58" s="161">
        <f>E58*F56</f>
        <v>0.10658519999999999</v>
      </c>
      <c r="G58" s="41"/>
      <c r="H58" s="42"/>
      <c r="I58" s="43"/>
      <c r="J58" s="42"/>
      <c r="K58" s="43"/>
      <c r="L58" s="42"/>
      <c r="M58" s="122"/>
    </row>
    <row r="59" spans="1:14" x14ac:dyDescent="0.25">
      <c r="A59" s="89"/>
      <c r="B59" s="89"/>
      <c r="C59" s="134" t="s">
        <v>78</v>
      </c>
      <c r="D59" s="89" t="s">
        <v>43</v>
      </c>
      <c r="E59" s="80">
        <f>18.4*1.2</f>
        <v>22.08</v>
      </c>
      <c r="F59" s="161">
        <f>E59*F56</f>
        <v>6.5372255999999993</v>
      </c>
      <c r="G59" s="41"/>
      <c r="H59" s="42"/>
      <c r="I59" s="43"/>
      <c r="J59" s="42"/>
      <c r="K59" s="43"/>
      <c r="L59" s="42"/>
      <c r="M59" s="122"/>
    </row>
    <row r="60" spans="1:14" x14ac:dyDescent="0.25">
      <c r="A60" s="89"/>
      <c r="B60" s="89"/>
      <c r="C60" s="134" t="s">
        <v>336</v>
      </c>
      <c r="D60" s="89" t="s">
        <v>324</v>
      </c>
      <c r="E60" s="80">
        <v>1</v>
      </c>
      <c r="F60" s="135">
        <f>E60*F56</f>
        <v>0.29607</v>
      </c>
      <c r="G60" s="41"/>
      <c r="H60" s="42"/>
      <c r="I60" s="43"/>
      <c r="J60" s="42"/>
      <c r="K60" s="43"/>
      <c r="L60" s="42"/>
      <c r="M60" s="123"/>
    </row>
    <row r="61" spans="1:14" x14ac:dyDescent="0.25">
      <c r="A61" s="89"/>
      <c r="B61" s="89"/>
      <c r="C61" s="134" t="s">
        <v>158</v>
      </c>
      <c r="D61" s="89" t="s">
        <v>93</v>
      </c>
      <c r="E61" s="80">
        <v>24.4</v>
      </c>
      <c r="F61" s="161">
        <f>E61*F56</f>
        <v>7.2241079999999993</v>
      </c>
      <c r="G61" s="41"/>
      <c r="H61" s="42"/>
      <c r="I61" s="43"/>
      <c r="J61" s="123"/>
      <c r="K61" s="43"/>
      <c r="L61" s="42"/>
      <c r="M61" s="122"/>
    </row>
    <row r="62" spans="1:14" x14ac:dyDescent="0.25">
      <c r="A62" s="136"/>
      <c r="B62" s="136"/>
      <c r="C62" s="137" t="s">
        <v>80</v>
      </c>
      <c r="D62" s="136" t="s">
        <v>43</v>
      </c>
      <c r="E62" s="49">
        <v>2.78</v>
      </c>
      <c r="F62" s="163">
        <f>E62*F56</f>
        <v>0.82307459999999999</v>
      </c>
      <c r="G62" s="47"/>
      <c r="H62" s="48"/>
      <c r="I62" s="50"/>
      <c r="J62" s="164"/>
      <c r="K62" s="50"/>
      <c r="L62" s="48"/>
      <c r="M62" s="165"/>
    </row>
    <row r="63" spans="1:14" s="698" customFormat="1" ht="30" x14ac:dyDescent="0.25">
      <c r="A63" s="694">
        <v>13</v>
      </c>
      <c r="B63" s="692" t="s">
        <v>406</v>
      </c>
      <c r="C63" s="283" t="s">
        <v>410</v>
      </c>
      <c r="D63" s="284" t="s">
        <v>46</v>
      </c>
      <c r="E63" s="695"/>
      <c r="F63" s="384">
        <v>25</v>
      </c>
      <c r="G63" s="696"/>
      <c r="H63" s="696"/>
      <c r="I63" s="696"/>
      <c r="J63" s="696"/>
      <c r="K63" s="696"/>
      <c r="L63" s="696"/>
      <c r="M63" s="696"/>
      <c r="N63" s="697"/>
    </row>
    <row r="64" spans="1:14" s="698" customFormat="1" x14ac:dyDescent="0.3">
      <c r="A64" s="699"/>
      <c r="B64" s="152"/>
      <c r="C64" s="153" t="s">
        <v>308</v>
      </c>
      <c r="D64" s="693" t="s">
        <v>48</v>
      </c>
      <c r="E64" s="700">
        <f>1.14*1.2</f>
        <v>1.3679999999999999</v>
      </c>
      <c r="F64" s="58">
        <f>E64*F63</f>
        <v>34.199999999999996</v>
      </c>
      <c r="G64" s="701"/>
      <c r="H64" s="58"/>
      <c r="I64" s="59"/>
      <c r="J64" s="58"/>
      <c r="K64" s="59"/>
      <c r="L64" s="58"/>
      <c r="M64" s="58"/>
      <c r="N64" s="697"/>
    </row>
    <row r="65" spans="1:18" s="698" customFormat="1" x14ac:dyDescent="0.3">
      <c r="A65" s="699"/>
      <c r="B65" s="152"/>
      <c r="C65" s="153" t="s">
        <v>256</v>
      </c>
      <c r="D65" s="693" t="s">
        <v>50</v>
      </c>
      <c r="E65" s="700">
        <f>0.124*1.2</f>
        <v>0.14879999999999999</v>
      </c>
      <c r="F65" s="58">
        <f>E65*F63</f>
        <v>3.7199999999999998</v>
      </c>
      <c r="G65" s="57"/>
      <c r="H65" s="58"/>
      <c r="I65" s="59"/>
      <c r="J65" s="58"/>
      <c r="K65" s="59"/>
      <c r="L65" s="58"/>
      <c r="M65" s="58"/>
      <c r="N65" s="697"/>
    </row>
    <row r="66" spans="1:18" s="698" customFormat="1" x14ac:dyDescent="0.3">
      <c r="A66" s="699"/>
      <c r="B66" s="152"/>
      <c r="C66" s="153" t="s">
        <v>407</v>
      </c>
      <c r="D66" s="693" t="s">
        <v>46</v>
      </c>
      <c r="E66" s="700">
        <v>1.05</v>
      </c>
      <c r="F66" s="58">
        <f>E66*F63</f>
        <v>26.25</v>
      </c>
      <c r="G66" s="57"/>
      <c r="H66" s="58"/>
      <c r="I66" s="59"/>
      <c r="J66" s="58"/>
      <c r="K66" s="59"/>
      <c r="L66" s="58"/>
      <c r="M66" s="58"/>
      <c r="N66" s="697"/>
    </row>
    <row r="67" spans="1:18" s="698" customFormat="1" x14ac:dyDescent="0.3">
      <c r="A67" s="699"/>
      <c r="B67" s="152"/>
      <c r="C67" s="153" t="s">
        <v>408</v>
      </c>
      <c r="D67" s="693" t="s">
        <v>219</v>
      </c>
      <c r="E67" s="700">
        <v>1.1000000000000001</v>
      </c>
      <c r="F67" s="58">
        <f>E67*F63</f>
        <v>27.500000000000004</v>
      </c>
      <c r="G67" s="57"/>
      <c r="H67" s="58"/>
      <c r="I67" s="59"/>
      <c r="J67" s="58"/>
      <c r="K67" s="59"/>
      <c r="L67" s="58"/>
      <c r="M67" s="58"/>
      <c r="N67" s="697"/>
    </row>
    <row r="68" spans="1:18" s="698" customFormat="1" ht="15.75" x14ac:dyDescent="0.3">
      <c r="A68" s="702"/>
      <c r="B68" s="366"/>
      <c r="C68" s="365" t="s">
        <v>83</v>
      </c>
      <c r="D68" s="76" t="s">
        <v>50</v>
      </c>
      <c r="E68" s="703">
        <v>9.2399999999999996E-2</v>
      </c>
      <c r="F68" s="62">
        <f>E68*F63</f>
        <v>2.31</v>
      </c>
      <c r="G68" s="61"/>
      <c r="H68" s="62"/>
      <c r="I68" s="70"/>
      <c r="J68" s="62"/>
      <c r="K68" s="70"/>
      <c r="L68" s="62"/>
      <c r="M68" s="58"/>
      <c r="N68" s="704"/>
      <c r="O68" s="705"/>
      <c r="P68" s="705"/>
      <c r="Q68" s="705"/>
      <c r="R68" s="705"/>
    </row>
    <row r="69" spans="1:18" ht="39" customHeight="1" x14ac:dyDescent="0.25">
      <c r="A69" s="89">
        <v>14</v>
      </c>
      <c r="B69" s="744" t="s">
        <v>415</v>
      </c>
      <c r="C69" s="706" t="s">
        <v>411</v>
      </c>
      <c r="D69" s="52" t="s">
        <v>46</v>
      </c>
      <c r="E69" s="65"/>
      <c r="F69" s="707">
        <v>25</v>
      </c>
      <c r="G69" s="88"/>
      <c r="H69" s="270"/>
      <c r="I69" s="323"/>
      <c r="J69" s="270"/>
      <c r="K69" s="323"/>
      <c r="L69" s="270"/>
      <c r="M69" s="324"/>
    </row>
    <row r="70" spans="1:18" x14ac:dyDescent="0.25">
      <c r="A70" s="89"/>
      <c r="B70" s="745"/>
      <c r="C70" s="326" t="s">
        <v>61</v>
      </c>
      <c r="D70" s="73" t="s">
        <v>276</v>
      </c>
      <c r="E70" s="90">
        <f>0.68*1.2</f>
        <v>0.81600000000000006</v>
      </c>
      <c r="F70" s="90">
        <f>E70*F69</f>
        <v>20.400000000000002</v>
      </c>
      <c r="G70" s="73"/>
      <c r="H70" s="90"/>
      <c r="I70" s="91"/>
      <c r="J70" s="90"/>
      <c r="K70" s="91"/>
      <c r="L70" s="90"/>
      <c r="M70" s="154"/>
    </row>
    <row r="71" spans="1:18" x14ac:dyDescent="0.25">
      <c r="A71" s="89"/>
      <c r="B71" s="745"/>
      <c r="C71" s="326" t="s">
        <v>277</v>
      </c>
      <c r="D71" s="73" t="s">
        <v>50</v>
      </c>
      <c r="E71" s="73">
        <f>0.0014*1.2</f>
        <v>1.6799999999999999E-3</v>
      </c>
      <c r="F71" s="90">
        <f>E71*F69</f>
        <v>4.1999999999999996E-2</v>
      </c>
      <c r="G71" s="73"/>
      <c r="H71" s="90"/>
      <c r="I71" s="91"/>
      <c r="J71" s="90"/>
      <c r="K71" s="91"/>
      <c r="L71" s="90"/>
      <c r="M71" s="154"/>
    </row>
    <row r="72" spans="1:18" x14ac:dyDescent="0.25">
      <c r="A72" s="89"/>
      <c r="B72" s="693"/>
      <c r="C72" s="326" t="s">
        <v>364</v>
      </c>
      <c r="D72" s="73" t="s">
        <v>219</v>
      </c>
      <c r="E72" s="73">
        <v>0.28899999999999998</v>
      </c>
      <c r="F72" s="90">
        <f>E72*F69</f>
        <v>7.2249999999999996</v>
      </c>
      <c r="G72" s="73"/>
      <c r="H72" s="90"/>
      <c r="I72" s="91"/>
      <c r="J72" s="154"/>
      <c r="K72" s="91"/>
      <c r="L72" s="90"/>
      <c r="M72" s="154"/>
    </row>
    <row r="73" spans="1:18" x14ac:dyDescent="0.25">
      <c r="A73" s="89"/>
      <c r="B73" s="693"/>
      <c r="C73" s="326" t="s">
        <v>365</v>
      </c>
      <c r="D73" s="73" t="s">
        <v>219</v>
      </c>
      <c r="E73" s="90">
        <f>(0.289+0.41+0.104)*0.5</f>
        <v>0.40149999999999997</v>
      </c>
      <c r="F73" s="90">
        <f>E73*F69</f>
        <v>10.0375</v>
      </c>
      <c r="G73" s="73"/>
      <c r="H73" s="90"/>
      <c r="I73" s="91"/>
      <c r="J73" s="154"/>
      <c r="K73" s="91"/>
      <c r="L73" s="90"/>
      <c r="M73" s="154"/>
    </row>
    <row r="74" spans="1:18" x14ac:dyDescent="0.25">
      <c r="A74" s="89"/>
      <c r="B74" s="76"/>
      <c r="C74" s="327" t="s">
        <v>72</v>
      </c>
      <c r="D74" s="77" t="s">
        <v>50</v>
      </c>
      <c r="E74" s="77">
        <v>7.0000000000000001E-3</v>
      </c>
      <c r="F74" s="328">
        <f>E74*F69</f>
        <v>0.17500000000000002</v>
      </c>
      <c r="G74" s="77"/>
      <c r="H74" s="272"/>
      <c r="I74" s="294"/>
      <c r="J74" s="272"/>
      <c r="K74" s="294"/>
      <c r="L74" s="272"/>
      <c r="M74" s="154"/>
    </row>
    <row r="75" spans="1:18" ht="81.75" customHeight="1" x14ac:dyDescent="0.3">
      <c r="A75" s="282">
        <v>15</v>
      </c>
      <c r="B75" s="276" t="s">
        <v>337</v>
      </c>
      <c r="C75" s="360" t="s">
        <v>338</v>
      </c>
      <c r="D75" s="361" t="s">
        <v>46</v>
      </c>
      <c r="E75" s="362"/>
      <c r="F75" s="386">
        <v>25</v>
      </c>
      <c r="G75" s="148"/>
      <c r="H75" s="149"/>
      <c r="I75" s="148"/>
      <c r="J75" s="149"/>
      <c r="K75" s="148"/>
      <c r="L75" s="149"/>
      <c r="M75" s="149"/>
    </row>
    <row r="76" spans="1:18" ht="15.75" x14ac:dyDescent="0.3">
      <c r="A76" s="287"/>
      <c r="B76" s="162"/>
      <c r="C76" s="153" t="s">
        <v>68</v>
      </c>
      <c r="D76" s="152" t="s">
        <v>46</v>
      </c>
      <c r="E76" s="152">
        <v>1</v>
      </c>
      <c r="F76" s="155">
        <f>E76*F75</f>
        <v>25</v>
      </c>
      <c r="G76" s="57"/>
      <c r="H76" s="155"/>
      <c r="I76" s="155"/>
      <c r="J76" s="155"/>
      <c r="K76" s="155"/>
      <c r="L76" s="155"/>
      <c r="M76" s="155"/>
    </row>
    <row r="77" spans="1:18" ht="15.75" x14ac:dyDescent="0.3">
      <c r="A77" s="287"/>
      <c r="B77" s="162"/>
      <c r="C77" s="153" t="s">
        <v>256</v>
      </c>
      <c r="D77" s="152" t="s">
        <v>50</v>
      </c>
      <c r="E77" s="363">
        <f>0.0264*1.2</f>
        <v>3.168E-2</v>
      </c>
      <c r="F77" s="155">
        <f>E77*F75</f>
        <v>0.79200000000000004</v>
      </c>
      <c r="G77" s="57"/>
      <c r="H77" s="58"/>
      <c r="I77" s="59"/>
      <c r="J77" s="58"/>
      <c r="K77" s="59"/>
      <c r="L77" s="58"/>
      <c r="M77" s="58"/>
    </row>
    <row r="78" spans="1:18" ht="15.75" x14ac:dyDescent="0.3">
      <c r="A78" s="287"/>
      <c r="B78" s="162"/>
      <c r="C78" s="153" t="s">
        <v>339</v>
      </c>
      <c r="D78" s="152" t="s">
        <v>46</v>
      </c>
      <c r="E78" s="152">
        <v>1.3</v>
      </c>
      <c r="F78" s="155">
        <f>E78*F75</f>
        <v>32.5</v>
      </c>
      <c r="G78" s="57"/>
      <c r="H78" s="58"/>
      <c r="I78" s="59"/>
      <c r="J78" s="155"/>
      <c r="K78" s="155"/>
      <c r="L78" s="155"/>
      <c r="M78" s="155"/>
    </row>
    <row r="79" spans="1:18" ht="30" x14ac:dyDescent="0.3">
      <c r="A79" s="287"/>
      <c r="B79" s="162"/>
      <c r="C79" s="364" t="s">
        <v>340</v>
      </c>
      <c r="D79" s="182" t="s">
        <v>219</v>
      </c>
      <c r="E79" s="182">
        <v>0.2</v>
      </c>
      <c r="F79" s="154">
        <f>E79*F75</f>
        <v>5</v>
      </c>
      <c r="G79" s="57"/>
      <c r="H79" s="58"/>
      <c r="I79" s="155"/>
      <c r="J79" s="155"/>
      <c r="K79" s="155"/>
      <c r="L79" s="155"/>
      <c r="M79" s="155"/>
    </row>
    <row r="80" spans="1:18" ht="30" x14ac:dyDescent="0.3">
      <c r="A80" s="287"/>
      <c r="B80" s="162"/>
      <c r="C80" s="364" t="s">
        <v>341</v>
      </c>
      <c r="D80" s="182" t="s">
        <v>122</v>
      </c>
      <c r="E80" s="182"/>
      <c r="F80" s="154">
        <v>7</v>
      </c>
      <c r="G80" s="57"/>
      <c r="H80" s="58"/>
      <c r="I80" s="155"/>
      <c r="J80" s="155"/>
      <c r="K80" s="155"/>
      <c r="L80" s="155"/>
      <c r="M80" s="155"/>
    </row>
    <row r="81" spans="1:13" ht="15.75" x14ac:dyDescent="0.3">
      <c r="A81" s="287"/>
      <c r="B81" s="162"/>
      <c r="C81" s="153" t="s">
        <v>342</v>
      </c>
      <c r="D81" s="152" t="s">
        <v>219</v>
      </c>
      <c r="E81" s="152">
        <v>7.9000000000000001E-2</v>
      </c>
      <c r="F81" s="155">
        <f>E81*F75</f>
        <v>1.9750000000000001</v>
      </c>
      <c r="G81" s="57"/>
      <c r="H81" s="58"/>
      <c r="I81" s="59"/>
      <c r="J81" s="58"/>
      <c r="K81" s="59"/>
      <c r="L81" s="58"/>
      <c r="M81" s="58"/>
    </row>
    <row r="82" spans="1:13" ht="15.75" x14ac:dyDescent="0.3">
      <c r="A82" s="291"/>
      <c r="B82" s="166"/>
      <c r="C82" s="365" t="s">
        <v>83</v>
      </c>
      <c r="D82" s="366" t="s">
        <v>50</v>
      </c>
      <c r="E82" s="366">
        <v>6.3600000000000004E-2</v>
      </c>
      <c r="F82" s="62">
        <f>E82*F75</f>
        <v>1.59</v>
      </c>
      <c r="G82" s="61"/>
      <c r="H82" s="62"/>
      <c r="I82" s="70"/>
      <c r="J82" s="62"/>
      <c r="K82" s="70"/>
      <c r="L82" s="62"/>
      <c r="M82" s="367"/>
    </row>
    <row r="83" spans="1:13" x14ac:dyDescent="0.25">
      <c r="A83" s="28"/>
      <c r="B83" s="146"/>
      <c r="C83" s="368" t="s">
        <v>343</v>
      </c>
      <c r="D83" s="146"/>
      <c r="E83" s="146"/>
      <c r="F83" s="369"/>
      <c r="G83" s="32"/>
      <c r="H83" s="32"/>
      <c r="I83" s="32"/>
      <c r="J83" s="36"/>
      <c r="K83" s="32"/>
      <c r="L83" s="369"/>
      <c r="M83" s="369"/>
    </row>
    <row r="84" spans="1:13" ht="30" customHeight="1" x14ac:dyDescent="0.25">
      <c r="A84" s="39">
        <v>16</v>
      </c>
      <c r="B84" s="78" t="s">
        <v>282</v>
      </c>
      <c r="C84" s="298" t="s">
        <v>344</v>
      </c>
      <c r="D84" s="138" t="s">
        <v>345</v>
      </c>
      <c r="E84" s="139"/>
      <c r="F84" s="124">
        <v>72</v>
      </c>
      <c r="G84" s="41"/>
      <c r="H84" s="42"/>
      <c r="I84" s="43"/>
      <c r="J84" s="42"/>
      <c r="K84" s="43"/>
      <c r="L84" s="42"/>
      <c r="M84" s="124"/>
    </row>
    <row r="85" spans="1:13" x14ac:dyDescent="0.25">
      <c r="A85" s="39"/>
      <c r="B85" s="78"/>
      <c r="C85" s="160" t="s">
        <v>40</v>
      </c>
      <c r="D85" s="41" t="s">
        <v>41</v>
      </c>
      <c r="E85" s="41">
        <f>0.379*1.2</f>
        <v>0.45479999999999998</v>
      </c>
      <c r="F85" s="42">
        <f>E85*F84</f>
        <v>32.745599999999996</v>
      </c>
      <c r="G85" s="80"/>
      <c r="H85" s="42"/>
      <c r="I85" s="43"/>
      <c r="J85" s="42"/>
      <c r="K85" s="43"/>
      <c r="L85" s="117"/>
      <c r="M85" s="117"/>
    </row>
    <row r="86" spans="1:13" x14ac:dyDescent="0.25">
      <c r="A86" s="39"/>
      <c r="B86" s="78"/>
      <c r="C86" s="160" t="s">
        <v>216</v>
      </c>
      <c r="D86" s="41" t="s">
        <v>43</v>
      </c>
      <c r="E86" s="41">
        <f>0.028*1.2</f>
        <v>3.3599999999999998E-2</v>
      </c>
      <c r="F86" s="116">
        <f>E86*F84</f>
        <v>2.4192</v>
      </c>
      <c r="G86" s="41"/>
      <c r="H86" s="42"/>
      <c r="I86" s="43"/>
      <c r="J86" s="42"/>
      <c r="K86" s="43"/>
      <c r="L86" s="117"/>
      <c r="M86" s="117"/>
    </row>
    <row r="87" spans="1:13" x14ac:dyDescent="0.25">
      <c r="A87" s="39"/>
      <c r="B87" s="78"/>
      <c r="C87" s="370" t="s">
        <v>346</v>
      </c>
      <c r="D87" s="41" t="s">
        <v>345</v>
      </c>
      <c r="E87" s="117">
        <v>1</v>
      </c>
      <c r="F87" s="117">
        <f>E87*F84</f>
        <v>72</v>
      </c>
      <c r="G87" s="41"/>
      <c r="H87" s="42"/>
      <c r="I87" s="43"/>
      <c r="J87" s="117"/>
      <c r="K87" s="43"/>
      <c r="L87" s="117"/>
      <c r="M87" s="117"/>
    </row>
    <row r="88" spans="1:13" x14ac:dyDescent="0.25">
      <c r="A88" s="44"/>
      <c r="B88" s="45"/>
      <c r="C88" s="371" t="s">
        <v>347</v>
      </c>
      <c r="D88" s="47" t="s">
        <v>348</v>
      </c>
      <c r="E88" s="47">
        <f>0.07</f>
        <v>7.0000000000000007E-2</v>
      </c>
      <c r="F88" s="48">
        <f>E88*F84</f>
        <v>5.0400000000000009</v>
      </c>
      <c r="G88" s="47"/>
      <c r="H88" s="48"/>
      <c r="I88" s="50"/>
      <c r="J88" s="48"/>
      <c r="K88" s="50"/>
      <c r="L88" s="48"/>
      <c r="M88" s="118"/>
    </row>
    <row r="89" spans="1:13" ht="23.25" customHeight="1" x14ac:dyDescent="0.25">
      <c r="A89" s="28"/>
      <c r="B89" s="146"/>
      <c r="C89" s="368" t="s">
        <v>349</v>
      </c>
      <c r="D89" s="146"/>
      <c r="E89" s="146"/>
      <c r="F89" s="369"/>
      <c r="G89" s="32"/>
      <c r="H89" s="32"/>
      <c r="I89" s="32"/>
      <c r="J89" s="36"/>
      <c r="K89" s="369"/>
      <c r="L89" s="369"/>
      <c r="M89" s="369"/>
    </row>
    <row r="90" spans="1:13" ht="75" customHeight="1" x14ac:dyDescent="0.25">
      <c r="A90" s="354">
        <v>17</v>
      </c>
      <c r="B90" s="261" t="s">
        <v>350</v>
      </c>
      <c r="C90" s="131" t="s">
        <v>384</v>
      </c>
      <c r="D90" s="132" t="s">
        <v>324</v>
      </c>
      <c r="E90" s="96"/>
      <c r="F90" s="281">
        <v>0.2</v>
      </c>
      <c r="G90" s="95"/>
      <c r="H90" s="141"/>
      <c r="I90" s="94"/>
      <c r="J90" s="141"/>
      <c r="K90" s="95"/>
      <c r="L90" s="141"/>
      <c r="M90" s="141"/>
    </row>
    <row r="91" spans="1:13" x14ac:dyDescent="0.25">
      <c r="A91" s="89"/>
      <c r="B91" s="89"/>
      <c r="C91" s="134" t="s">
        <v>180</v>
      </c>
      <c r="D91" s="89" t="s">
        <v>103</v>
      </c>
      <c r="E91" s="135">
        <f>62.8*1.2*1.1</f>
        <v>82.896000000000001</v>
      </c>
      <c r="F91" s="161">
        <f>E91*F90</f>
        <v>16.5792</v>
      </c>
      <c r="G91" s="80"/>
      <c r="H91" s="161"/>
      <c r="I91" s="358"/>
      <c r="J91" s="359"/>
      <c r="K91" s="359"/>
      <c r="L91" s="359"/>
      <c r="M91" s="123"/>
    </row>
    <row r="92" spans="1:13" x14ac:dyDescent="0.25">
      <c r="A92" s="89"/>
      <c r="B92" s="89"/>
      <c r="C92" s="134" t="s">
        <v>78</v>
      </c>
      <c r="D92" s="89" t="s">
        <v>43</v>
      </c>
      <c r="E92" s="80">
        <f>1*1.2</f>
        <v>1.2</v>
      </c>
      <c r="F92" s="161">
        <f>E92*F90</f>
        <v>0.24</v>
      </c>
      <c r="G92" s="41"/>
      <c r="H92" s="42"/>
      <c r="I92" s="43"/>
      <c r="J92" s="42"/>
      <c r="K92" s="43"/>
      <c r="L92" s="42"/>
      <c r="M92" s="122"/>
    </row>
    <row r="93" spans="1:13" x14ac:dyDescent="0.25">
      <c r="A93" s="89"/>
      <c r="B93" s="89"/>
      <c r="C93" s="134" t="s">
        <v>351</v>
      </c>
      <c r="D93" s="89" t="s">
        <v>324</v>
      </c>
      <c r="E93" s="80">
        <v>1</v>
      </c>
      <c r="F93" s="135">
        <f>E93*F90</f>
        <v>0.2</v>
      </c>
      <c r="G93" s="41"/>
      <c r="H93" s="42"/>
      <c r="I93" s="43"/>
      <c r="J93" s="42"/>
      <c r="K93" s="43"/>
      <c r="L93" s="42"/>
      <c r="M93" s="123"/>
    </row>
    <row r="94" spans="1:13" x14ac:dyDescent="0.25">
      <c r="A94" s="89"/>
      <c r="B94" s="89"/>
      <c r="C94" s="134" t="s">
        <v>158</v>
      </c>
      <c r="D94" s="89" t="s">
        <v>93</v>
      </c>
      <c r="E94" s="80">
        <v>1.04</v>
      </c>
      <c r="F94" s="161">
        <f>E94*F90</f>
        <v>0.20800000000000002</v>
      </c>
      <c r="G94" s="41"/>
      <c r="H94" s="42"/>
      <c r="I94" s="43"/>
      <c r="J94" s="123"/>
      <c r="K94" s="43"/>
      <c r="L94" s="42"/>
      <c r="M94" s="122"/>
    </row>
    <row r="95" spans="1:13" x14ac:dyDescent="0.25">
      <c r="A95" s="136"/>
      <c r="B95" s="136"/>
      <c r="C95" s="137" t="s">
        <v>80</v>
      </c>
      <c r="D95" s="136" t="s">
        <v>43</v>
      </c>
      <c r="E95" s="49">
        <v>2.78</v>
      </c>
      <c r="F95" s="163">
        <f>E95*F90</f>
        <v>0.55599999999999994</v>
      </c>
      <c r="G95" s="47"/>
      <c r="H95" s="48"/>
      <c r="I95" s="50"/>
      <c r="J95" s="164"/>
      <c r="K95" s="50"/>
      <c r="L95" s="48"/>
      <c r="M95" s="165"/>
    </row>
    <row r="96" spans="1:13" ht="42.75" customHeight="1" x14ac:dyDescent="0.25">
      <c r="A96" s="372">
        <v>18</v>
      </c>
      <c r="B96" s="243" t="s">
        <v>317</v>
      </c>
      <c r="C96" s="244" t="s">
        <v>352</v>
      </c>
      <c r="D96" s="245" t="s">
        <v>307</v>
      </c>
      <c r="E96" s="246"/>
      <c r="F96" s="393">
        <v>0.2</v>
      </c>
      <c r="G96" s="246"/>
      <c r="H96" s="245"/>
      <c r="I96" s="246"/>
      <c r="J96" s="247"/>
      <c r="K96" s="246"/>
      <c r="L96" s="246"/>
      <c r="M96" s="246"/>
    </row>
    <row r="97" spans="1:13" x14ac:dyDescent="0.25">
      <c r="A97" s="348"/>
      <c r="B97" s="225"/>
      <c r="C97" s="349" t="s">
        <v>54</v>
      </c>
      <c r="D97" s="101" t="s">
        <v>183</v>
      </c>
      <c r="E97" s="108">
        <f>6.66*1.2*1.15</f>
        <v>9.1907999999999994</v>
      </c>
      <c r="F97" s="260">
        <f>F96*E97</f>
        <v>1.83816</v>
      </c>
      <c r="G97" s="102"/>
      <c r="H97" s="103"/>
      <c r="I97" s="108"/>
      <c r="J97" s="108"/>
      <c r="K97" s="103"/>
      <c r="L97" s="350"/>
      <c r="M97" s="64"/>
    </row>
    <row r="98" spans="1:13" x14ac:dyDescent="0.25">
      <c r="A98" s="348"/>
      <c r="B98" s="101"/>
      <c r="C98" s="349" t="s">
        <v>319</v>
      </c>
      <c r="D98" s="101" t="s">
        <v>320</v>
      </c>
      <c r="E98" s="108">
        <f>0.59*1.2</f>
        <v>0.70799999999999996</v>
      </c>
      <c r="F98" s="260">
        <f>F96*E98</f>
        <v>0.1416</v>
      </c>
      <c r="G98" s="103"/>
      <c r="H98" s="101"/>
      <c r="I98" s="108"/>
      <c r="J98" s="108"/>
      <c r="K98" s="103"/>
      <c r="L98" s="350"/>
      <c r="M98" s="64"/>
    </row>
    <row r="99" spans="1:13" x14ac:dyDescent="0.25">
      <c r="A99" s="348"/>
      <c r="B99" s="225"/>
      <c r="C99" s="349" t="s">
        <v>321</v>
      </c>
      <c r="D99" s="101" t="s">
        <v>56</v>
      </c>
      <c r="E99" s="108">
        <v>1.0149999999999999</v>
      </c>
      <c r="F99" s="260">
        <f>F96*E99</f>
        <v>0.20299999999999999</v>
      </c>
      <c r="G99" s="108"/>
      <c r="H99" s="101"/>
      <c r="I99" s="107"/>
      <c r="J99" s="108"/>
      <c r="K99" s="103"/>
      <c r="L99" s="350"/>
      <c r="M99" s="64"/>
    </row>
    <row r="100" spans="1:13" x14ac:dyDescent="0.25">
      <c r="A100" s="348"/>
      <c r="B100" s="225"/>
      <c r="C100" s="349" t="s">
        <v>322</v>
      </c>
      <c r="D100" s="101" t="s">
        <v>39</v>
      </c>
      <c r="E100" s="108">
        <v>1.6</v>
      </c>
      <c r="F100" s="260">
        <f>F96*E100</f>
        <v>0.32000000000000006</v>
      </c>
      <c r="G100" s="108"/>
      <c r="H100" s="101"/>
      <c r="I100" s="108"/>
      <c r="J100" s="108"/>
      <c r="K100" s="103"/>
      <c r="L100" s="350"/>
      <c r="M100" s="64"/>
    </row>
    <row r="101" spans="1:13" x14ac:dyDescent="0.25">
      <c r="A101" s="348"/>
      <c r="B101" s="225"/>
      <c r="C101" s="349" t="s">
        <v>323</v>
      </c>
      <c r="D101" s="101" t="s">
        <v>56</v>
      </c>
      <c r="E101" s="108">
        <v>1.83E-2</v>
      </c>
      <c r="F101" s="260">
        <f>F96*E101</f>
        <v>3.6600000000000001E-3</v>
      </c>
      <c r="G101" s="108"/>
      <c r="H101" s="101"/>
      <c r="I101" s="107"/>
      <c r="J101" s="108"/>
      <c r="K101" s="103"/>
      <c r="L101" s="350"/>
      <c r="M101" s="64"/>
    </row>
    <row r="102" spans="1:13" x14ac:dyDescent="0.25">
      <c r="A102" s="351"/>
      <c r="B102" s="109"/>
      <c r="C102" s="352" t="s">
        <v>316</v>
      </c>
      <c r="D102" s="109" t="s">
        <v>320</v>
      </c>
      <c r="E102" s="203">
        <v>0.4</v>
      </c>
      <c r="F102" s="204">
        <f>F96*E102</f>
        <v>8.0000000000000016E-2</v>
      </c>
      <c r="G102" s="203"/>
      <c r="H102" s="109"/>
      <c r="I102" s="203"/>
      <c r="J102" s="108"/>
      <c r="K102" s="110"/>
      <c r="L102" s="353"/>
      <c r="M102" s="64"/>
    </row>
    <row r="103" spans="1:13" ht="40.5" x14ac:dyDescent="0.25">
      <c r="A103" s="303">
        <v>19</v>
      </c>
      <c r="B103" s="304" t="s">
        <v>353</v>
      </c>
      <c r="C103" s="708" t="s">
        <v>354</v>
      </c>
      <c r="D103" s="305" t="s">
        <v>39</v>
      </c>
      <c r="E103" s="306"/>
      <c r="F103" s="141">
        <v>10</v>
      </c>
      <c r="G103" s="114"/>
      <c r="H103" s="305"/>
      <c r="I103" s="306"/>
      <c r="J103" s="114"/>
      <c r="K103" s="114"/>
      <c r="L103" s="114"/>
      <c r="M103" s="307"/>
    </row>
    <row r="104" spans="1:13" x14ac:dyDescent="0.25">
      <c r="A104" s="308"/>
      <c r="B104" s="309"/>
      <c r="C104" s="310" t="s">
        <v>355</v>
      </c>
      <c r="D104" s="309" t="s">
        <v>133</v>
      </c>
      <c r="E104" s="311">
        <f>0.851*1.2</f>
        <v>1.0211999999999999</v>
      </c>
      <c r="F104" s="387">
        <f>F103*E104</f>
        <v>10.212</v>
      </c>
      <c r="G104" s="106"/>
      <c r="H104" s="312"/>
      <c r="I104" s="311"/>
      <c r="J104" s="312"/>
      <c r="K104" s="105"/>
      <c r="L104" s="105"/>
      <c r="M104" s="64"/>
    </row>
    <row r="105" spans="1:13" x14ac:dyDescent="0.25">
      <c r="A105" s="308"/>
      <c r="B105" s="309"/>
      <c r="C105" s="310" t="s">
        <v>134</v>
      </c>
      <c r="D105" s="309" t="s">
        <v>43</v>
      </c>
      <c r="E105" s="313">
        <f>0.0483*1.2</f>
        <v>5.7959999999999998E-2</v>
      </c>
      <c r="F105" s="387">
        <f>F103*E105</f>
        <v>0.5796</v>
      </c>
      <c r="G105" s="105"/>
      <c r="H105" s="309"/>
      <c r="I105" s="313"/>
      <c r="J105" s="312"/>
      <c r="K105" s="105"/>
      <c r="L105" s="105"/>
      <c r="M105" s="64"/>
    </row>
    <row r="106" spans="1:13" ht="27" x14ac:dyDescent="0.25">
      <c r="A106" s="314"/>
      <c r="B106" s="312"/>
      <c r="C106" s="119" t="s">
        <v>383</v>
      </c>
      <c r="D106" s="309" t="s">
        <v>39</v>
      </c>
      <c r="E106" s="312">
        <v>1.02</v>
      </c>
      <c r="F106" s="143">
        <f>E106*F103</f>
        <v>10.199999999999999</v>
      </c>
      <c r="G106" s="105"/>
      <c r="H106" s="309"/>
      <c r="I106" s="311"/>
      <c r="J106" s="105"/>
      <c r="K106" s="105"/>
      <c r="L106" s="105"/>
      <c r="M106" s="64"/>
    </row>
    <row r="107" spans="1:13" x14ac:dyDescent="0.25">
      <c r="A107" s="314"/>
      <c r="B107" s="315"/>
      <c r="C107" s="82" t="s">
        <v>357</v>
      </c>
      <c r="D107" s="309" t="s">
        <v>93</v>
      </c>
      <c r="E107" s="312">
        <v>0.23300000000000001</v>
      </c>
      <c r="F107" s="143">
        <f>E107*F103</f>
        <v>2.33</v>
      </c>
      <c r="G107" s="105"/>
      <c r="H107" s="309"/>
      <c r="I107" s="311"/>
      <c r="J107" s="105"/>
      <c r="K107" s="105"/>
      <c r="L107" s="105"/>
      <c r="M107" s="64"/>
    </row>
    <row r="108" spans="1:13" x14ac:dyDescent="0.25">
      <c r="A108" s="316"/>
      <c r="B108" s="317"/>
      <c r="C108" s="237" t="s">
        <v>358</v>
      </c>
      <c r="D108" s="318" t="s">
        <v>359</v>
      </c>
      <c r="E108" s="317">
        <v>1.04</v>
      </c>
      <c r="F108" s="268">
        <f>E108*F103</f>
        <v>10.4</v>
      </c>
      <c r="G108" s="319"/>
      <c r="H108" s="320"/>
      <c r="I108" s="317"/>
      <c r="J108" s="105"/>
      <c r="K108" s="319"/>
      <c r="L108" s="319"/>
      <c r="M108" s="64"/>
    </row>
    <row r="109" spans="1:13" ht="25.5" x14ac:dyDescent="0.25">
      <c r="A109" s="321">
        <v>20</v>
      </c>
      <c r="B109" s="764" t="s">
        <v>360</v>
      </c>
      <c r="C109" s="373" t="s">
        <v>361</v>
      </c>
      <c r="D109" s="52" t="s">
        <v>46</v>
      </c>
      <c r="E109" s="65"/>
      <c r="F109" s="53">
        <v>10</v>
      </c>
      <c r="G109" s="66"/>
      <c r="H109" s="55"/>
      <c r="I109" s="67"/>
      <c r="J109" s="55"/>
      <c r="K109" s="67"/>
      <c r="L109" s="55"/>
      <c r="M109" s="374"/>
    </row>
    <row r="110" spans="1:13" x14ac:dyDescent="0.25">
      <c r="A110" s="325"/>
      <c r="B110" s="765"/>
      <c r="C110" s="56" t="s">
        <v>362</v>
      </c>
      <c r="D110" s="57" t="s">
        <v>276</v>
      </c>
      <c r="E110" s="58">
        <f>0.74*1.2</f>
        <v>0.88800000000000001</v>
      </c>
      <c r="F110" s="58">
        <f>E110*F109</f>
        <v>8.8800000000000008</v>
      </c>
      <c r="G110" s="57"/>
      <c r="H110" s="58"/>
      <c r="I110" s="59"/>
      <c r="J110" s="58"/>
      <c r="K110" s="59"/>
      <c r="L110" s="58"/>
      <c r="M110" s="155"/>
    </row>
    <row r="111" spans="1:13" x14ac:dyDescent="0.25">
      <c r="A111" s="325"/>
      <c r="B111" s="765"/>
      <c r="C111" s="56" t="s">
        <v>363</v>
      </c>
      <c r="D111" s="57" t="s">
        <v>50</v>
      </c>
      <c r="E111" s="57">
        <f>0.001*1.2</f>
        <v>1.1999999999999999E-3</v>
      </c>
      <c r="F111" s="58">
        <f>E111*F109</f>
        <v>1.1999999999999999E-2</v>
      </c>
      <c r="G111" s="57"/>
      <c r="H111" s="58"/>
      <c r="I111" s="59"/>
      <c r="J111" s="58"/>
      <c r="K111" s="59"/>
      <c r="L111" s="58"/>
      <c r="M111" s="155"/>
    </row>
    <row r="112" spans="1:13" x14ac:dyDescent="0.25">
      <c r="A112" s="325"/>
      <c r="B112" s="158"/>
      <c r="C112" s="56" t="s">
        <v>364</v>
      </c>
      <c r="D112" s="57" t="s">
        <v>219</v>
      </c>
      <c r="E112" s="57">
        <v>0.24</v>
      </c>
      <c r="F112" s="58">
        <f>E112*F109</f>
        <v>2.4</v>
      </c>
      <c r="G112" s="57"/>
      <c r="H112" s="58"/>
      <c r="I112" s="59"/>
      <c r="J112" s="155"/>
      <c r="K112" s="59"/>
      <c r="L112" s="58"/>
      <c r="M112" s="155"/>
    </row>
    <row r="113" spans="1:13" x14ac:dyDescent="0.25">
      <c r="A113" s="325"/>
      <c r="B113" s="158"/>
      <c r="C113" s="56" t="s">
        <v>365</v>
      </c>
      <c r="D113" s="57" t="s">
        <v>219</v>
      </c>
      <c r="E113" s="58">
        <f>(0.82+0.127)*0.5</f>
        <v>0.47349999999999998</v>
      </c>
      <c r="F113" s="58">
        <f>E113*F109</f>
        <v>4.7349999999999994</v>
      </c>
      <c r="G113" s="57"/>
      <c r="H113" s="58"/>
      <c r="I113" s="59"/>
      <c r="J113" s="155"/>
      <c r="K113" s="59"/>
      <c r="L113" s="58"/>
      <c r="M113" s="155"/>
    </row>
    <row r="114" spans="1:13" x14ac:dyDescent="0.25">
      <c r="A114" s="76"/>
      <c r="B114" s="69"/>
      <c r="C114" s="60" t="s">
        <v>72</v>
      </c>
      <c r="D114" s="61" t="s">
        <v>50</v>
      </c>
      <c r="E114" s="61">
        <v>1.6E-2</v>
      </c>
      <c r="F114" s="150">
        <f>E114*F109</f>
        <v>0.16</v>
      </c>
      <c r="G114" s="61"/>
      <c r="H114" s="62"/>
      <c r="I114" s="70"/>
      <c r="J114" s="62"/>
      <c r="K114" s="70"/>
      <c r="L114" s="62"/>
      <c r="M114" s="367"/>
    </row>
    <row r="115" spans="1:13" ht="33" customHeight="1" x14ac:dyDescent="0.25">
      <c r="A115" s="321">
        <v>21</v>
      </c>
      <c r="B115" s="764" t="s">
        <v>159</v>
      </c>
      <c r="C115" s="147" t="s">
        <v>366</v>
      </c>
      <c r="D115" s="52" t="s">
        <v>46</v>
      </c>
      <c r="E115" s="65"/>
      <c r="F115" s="53">
        <v>60</v>
      </c>
      <c r="G115" s="55"/>
      <c r="H115" s="151"/>
      <c r="I115" s="55"/>
      <c r="J115" s="151"/>
      <c r="K115" s="55"/>
      <c r="L115" s="151"/>
      <c r="M115" s="151"/>
    </row>
    <row r="116" spans="1:13" x14ac:dyDescent="0.25">
      <c r="A116" s="158"/>
      <c r="B116" s="765"/>
      <c r="C116" s="56" t="s">
        <v>61</v>
      </c>
      <c r="D116" s="57" t="s">
        <v>276</v>
      </c>
      <c r="E116" s="58">
        <f>0.68*1.2</f>
        <v>0.81600000000000006</v>
      </c>
      <c r="F116" s="58">
        <f>E116*F115</f>
        <v>48.96</v>
      </c>
      <c r="G116" s="57"/>
      <c r="H116" s="58"/>
      <c r="I116" s="59"/>
      <c r="J116" s="58"/>
      <c r="K116" s="59"/>
      <c r="L116" s="58"/>
      <c r="M116" s="58"/>
    </row>
    <row r="117" spans="1:13" x14ac:dyDescent="0.25">
      <c r="A117" s="158"/>
      <c r="B117" s="765"/>
      <c r="C117" s="56" t="s">
        <v>277</v>
      </c>
      <c r="D117" s="57" t="s">
        <v>50</v>
      </c>
      <c r="E117" s="57">
        <f>0.003*1.2</f>
        <v>3.5999999999999999E-3</v>
      </c>
      <c r="F117" s="68">
        <f>E117*F115</f>
        <v>0.216</v>
      </c>
      <c r="G117" s="57"/>
      <c r="H117" s="58"/>
      <c r="I117" s="59"/>
      <c r="J117" s="58"/>
      <c r="K117" s="59"/>
      <c r="L117" s="68"/>
      <c r="M117" s="58"/>
    </row>
    <row r="118" spans="1:13" x14ac:dyDescent="0.25">
      <c r="A118" s="158"/>
      <c r="B118" s="158"/>
      <c r="C118" s="56" t="s">
        <v>278</v>
      </c>
      <c r="D118" s="57" t="s">
        <v>219</v>
      </c>
      <c r="E118" s="57">
        <v>0.246</v>
      </c>
      <c r="F118" s="58">
        <f>E118*F115</f>
        <v>14.76</v>
      </c>
      <c r="G118" s="57"/>
      <c r="H118" s="58"/>
      <c r="I118" s="155"/>
      <c r="J118" s="58"/>
      <c r="K118" s="59"/>
      <c r="L118" s="58"/>
      <c r="M118" s="58"/>
    </row>
    <row r="119" spans="1:13" x14ac:dyDescent="0.25">
      <c r="A119" s="69"/>
      <c r="B119" s="69"/>
      <c r="C119" s="60" t="s">
        <v>64</v>
      </c>
      <c r="D119" s="61" t="s">
        <v>50</v>
      </c>
      <c r="E119" s="61">
        <v>1.9E-3</v>
      </c>
      <c r="F119" s="150">
        <f>E119*F115</f>
        <v>0.114</v>
      </c>
      <c r="G119" s="61"/>
      <c r="H119" s="62"/>
      <c r="I119" s="70"/>
      <c r="J119" s="62"/>
      <c r="K119" s="70"/>
      <c r="L119" s="62"/>
      <c r="M119" s="62"/>
    </row>
    <row r="120" spans="1:13" x14ac:dyDescent="0.25">
      <c r="A120" s="127">
        <v>22</v>
      </c>
      <c r="B120" s="168"/>
      <c r="C120" s="169" t="s">
        <v>291</v>
      </c>
      <c r="D120" s="170"/>
      <c r="E120" s="170"/>
      <c r="F120" s="170"/>
      <c r="G120" s="170"/>
      <c r="H120" s="172"/>
      <c r="I120" s="170"/>
      <c r="J120" s="172"/>
      <c r="K120" s="170"/>
      <c r="L120" s="172"/>
      <c r="M120" s="172"/>
    </row>
    <row r="121" spans="1:13" ht="27" x14ac:dyDescent="0.25">
      <c r="A121" s="127">
        <v>23</v>
      </c>
      <c r="B121" s="173"/>
      <c r="C121" s="174" t="s">
        <v>292</v>
      </c>
      <c r="D121" s="175" t="s">
        <v>427</v>
      </c>
      <c r="E121" s="170"/>
      <c r="F121" s="170"/>
      <c r="G121" s="170"/>
      <c r="H121" s="170"/>
      <c r="I121" s="170"/>
      <c r="J121" s="170"/>
      <c r="K121" s="170"/>
      <c r="L121" s="170"/>
      <c r="M121" s="331"/>
    </row>
    <row r="122" spans="1:13" x14ac:dyDescent="0.25">
      <c r="A122" s="332">
        <v>24</v>
      </c>
      <c r="B122" s="173"/>
      <c r="C122" s="169" t="s">
        <v>367</v>
      </c>
      <c r="D122" s="178"/>
      <c r="E122" s="170"/>
      <c r="F122" s="170"/>
      <c r="G122" s="170"/>
      <c r="H122" s="170"/>
      <c r="I122" s="170"/>
      <c r="J122" s="170"/>
      <c r="K122" s="170"/>
      <c r="L122" s="170"/>
      <c r="M122" s="172"/>
    </row>
    <row r="123" spans="1:13" x14ac:dyDescent="0.25">
      <c r="A123" s="332">
        <v>25</v>
      </c>
      <c r="B123" s="259"/>
      <c r="C123" s="174" t="s">
        <v>368</v>
      </c>
      <c r="D123" s="175" t="s">
        <v>427</v>
      </c>
      <c r="E123" s="170"/>
      <c r="F123" s="170"/>
      <c r="G123" s="170"/>
      <c r="H123" s="170"/>
      <c r="I123" s="170"/>
      <c r="J123" s="170"/>
      <c r="K123" s="170"/>
      <c r="L123" s="170"/>
      <c r="M123" s="331"/>
    </row>
    <row r="124" spans="1:13" x14ac:dyDescent="0.25">
      <c r="A124" s="332">
        <v>26</v>
      </c>
      <c r="B124" s="259"/>
      <c r="C124" s="169" t="s">
        <v>293</v>
      </c>
      <c r="D124" s="180"/>
      <c r="E124" s="170"/>
      <c r="F124" s="170"/>
      <c r="G124" s="170"/>
      <c r="H124" s="170"/>
      <c r="I124" s="170"/>
      <c r="J124" s="170"/>
      <c r="K124" s="170"/>
      <c r="L124" s="170"/>
      <c r="M124" s="172"/>
    </row>
    <row r="125" spans="1:13" x14ac:dyDescent="0.25">
      <c r="A125" s="332">
        <v>27</v>
      </c>
      <c r="B125" s="259"/>
      <c r="C125" s="174" t="s">
        <v>295</v>
      </c>
      <c r="D125" s="175" t="s">
        <v>427</v>
      </c>
      <c r="E125" s="170"/>
      <c r="F125" s="170"/>
      <c r="G125" s="170"/>
      <c r="H125" s="170"/>
      <c r="I125" s="170"/>
      <c r="J125" s="170"/>
      <c r="K125" s="170"/>
      <c r="L125" s="170"/>
      <c r="M125" s="331"/>
    </row>
    <row r="126" spans="1:13" x14ac:dyDescent="0.25">
      <c r="A126" s="332">
        <v>28</v>
      </c>
      <c r="B126" s="259"/>
      <c r="C126" s="169" t="s">
        <v>296</v>
      </c>
      <c r="D126" s="170"/>
      <c r="E126" s="170"/>
      <c r="F126" s="170"/>
      <c r="G126" s="170"/>
      <c r="H126" s="170"/>
      <c r="I126" s="170"/>
      <c r="J126" s="170"/>
      <c r="K126" s="170"/>
      <c r="L126" s="170"/>
      <c r="M126" s="172"/>
    </row>
  </sheetData>
  <mergeCells count="19">
    <mergeCell ref="B115:B117"/>
    <mergeCell ref="I7:J7"/>
    <mergeCell ref="K7:L7"/>
    <mergeCell ref="M7:M8"/>
    <mergeCell ref="B109:B111"/>
    <mergeCell ref="B69:B71"/>
    <mergeCell ref="A37:A38"/>
    <mergeCell ref="B46:B49"/>
    <mergeCell ref="B50:B51"/>
    <mergeCell ref="A1:E1"/>
    <mergeCell ref="B3:M3"/>
    <mergeCell ref="C5:L5"/>
    <mergeCell ref="A7:A8"/>
    <mergeCell ref="B7:B8"/>
    <mergeCell ref="C7:C8"/>
    <mergeCell ref="D7:D8"/>
    <mergeCell ref="E7:F7"/>
    <mergeCell ref="G7:H7"/>
    <mergeCell ref="A4:M4"/>
  </mergeCells>
  <pageMargins left="0.25" right="0.25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BreakPreview" topLeftCell="A19" zoomScale="90" zoomScaleNormal="100" zoomScaleSheetLayoutView="90" workbookViewId="0">
      <selection activeCell="H43" sqref="H43"/>
    </sheetView>
  </sheetViews>
  <sheetFormatPr defaultRowHeight="15" x14ac:dyDescent="0.25"/>
  <cols>
    <col min="1" max="1" width="3.5703125" customWidth="1"/>
    <col min="2" max="2" width="9.7109375" customWidth="1"/>
    <col min="3" max="3" width="44" customWidth="1"/>
    <col min="4" max="4" width="9" customWidth="1"/>
    <col min="7" max="7" width="7.5703125" customWidth="1"/>
    <col min="8" max="8" width="9" customWidth="1"/>
    <col min="11" max="11" width="8.28515625" customWidth="1"/>
    <col min="13" max="13" width="11" customWidth="1"/>
  </cols>
  <sheetData>
    <row r="1" spans="1:13" x14ac:dyDescent="0.25">
      <c r="A1" s="762" t="s">
        <v>371</v>
      </c>
      <c r="B1" s="762"/>
      <c r="C1" s="762"/>
      <c r="D1" s="762"/>
      <c r="E1" s="762"/>
      <c r="F1" s="333"/>
      <c r="G1" s="333"/>
      <c r="H1" s="333"/>
      <c r="I1" s="333"/>
      <c r="J1" s="333"/>
    </row>
    <row r="2" spans="1:13" x14ac:dyDescent="0.25">
      <c r="C2" s="334"/>
      <c r="D2" s="333"/>
      <c r="E2" s="333"/>
      <c r="F2" s="333"/>
      <c r="G2" s="333"/>
      <c r="H2" s="333"/>
      <c r="I2" s="333"/>
      <c r="J2" s="333"/>
    </row>
    <row r="3" spans="1:13" ht="18.75" x14ac:dyDescent="0.3">
      <c r="B3" s="753" t="s">
        <v>375</v>
      </c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</row>
    <row r="4" spans="1:13" ht="16.5" x14ac:dyDescent="0.25">
      <c r="B4" s="1"/>
      <c r="C4" s="767" t="s">
        <v>424</v>
      </c>
      <c r="D4" s="767"/>
      <c r="E4" s="767"/>
      <c r="F4" s="767"/>
      <c r="G4" s="767"/>
      <c r="H4" s="767"/>
      <c r="I4" s="767"/>
      <c r="J4" s="767"/>
      <c r="K4" s="767"/>
      <c r="L4" s="767"/>
      <c r="M4" s="1"/>
    </row>
    <row r="5" spans="1:13" x14ac:dyDescent="0.25">
      <c r="B5" s="18"/>
      <c r="C5" s="768" t="s">
        <v>425</v>
      </c>
      <c r="D5" s="768"/>
      <c r="E5" s="768"/>
      <c r="F5" s="768"/>
      <c r="G5" s="768"/>
      <c r="H5" s="768"/>
      <c r="I5" s="768"/>
      <c r="J5" s="768"/>
      <c r="K5" s="768"/>
      <c r="L5" s="768"/>
      <c r="M5" s="18"/>
    </row>
    <row r="6" spans="1:13" x14ac:dyDescent="0.25">
      <c r="A6" s="733"/>
      <c r="B6" s="733"/>
      <c r="C6" s="733"/>
      <c r="D6" s="375"/>
      <c r="E6" s="375"/>
      <c r="F6" s="375"/>
      <c r="G6" s="375"/>
      <c r="H6" s="375"/>
      <c r="I6" s="375"/>
      <c r="J6" s="375"/>
      <c r="K6" s="375"/>
      <c r="L6" s="375"/>
      <c r="M6" s="375"/>
    </row>
    <row r="7" spans="1:13" ht="27.75" customHeight="1" x14ac:dyDescent="0.25">
      <c r="A7" s="755" t="s">
        <v>26</v>
      </c>
      <c r="B7" s="766" t="s">
        <v>27</v>
      </c>
      <c r="C7" s="766" t="s">
        <v>28</v>
      </c>
      <c r="D7" s="766" t="s">
        <v>29</v>
      </c>
      <c r="E7" s="772" t="s">
        <v>30</v>
      </c>
      <c r="F7" s="773"/>
      <c r="G7" s="770" t="s">
        <v>31</v>
      </c>
      <c r="H7" s="771"/>
      <c r="I7" s="770" t="s">
        <v>32</v>
      </c>
      <c r="J7" s="771"/>
      <c r="K7" s="770" t="s">
        <v>33</v>
      </c>
      <c r="L7" s="771"/>
      <c r="M7" s="769" t="s">
        <v>34</v>
      </c>
    </row>
    <row r="8" spans="1:13" ht="21" customHeight="1" x14ac:dyDescent="0.25">
      <c r="A8" s="756"/>
      <c r="B8" s="758"/>
      <c r="C8" s="758"/>
      <c r="D8" s="758"/>
      <c r="E8" s="22" t="s">
        <v>35</v>
      </c>
      <c r="F8" s="22" t="s">
        <v>34</v>
      </c>
      <c r="G8" s="22" t="s">
        <v>35</v>
      </c>
      <c r="H8" s="22" t="s">
        <v>34</v>
      </c>
      <c r="I8" s="22" t="s">
        <v>35</v>
      </c>
      <c r="J8" s="22" t="s">
        <v>34</v>
      </c>
      <c r="K8" s="22" t="s">
        <v>35</v>
      </c>
      <c r="L8" s="22" t="s">
        <v>34</v>
      </c>
      <c r="M8" s="749"/>
    </row>
    <row r="9" spans="1:13" ht="24.75" customHeight="1" x14ac:dyDescent="0.25">
      <c r="A9" s="24">
        <v>1</v>
      </c>
      <c r="B9" s="25">
        <v>2</v>
      </c>
      <c r="C9" s="25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7">
        <v>9</v>
      </c>
      <c r="J9" s="24">
        <v>10</v>
      </c>
      <c r="K9" s="24">
        <v>11</v>
      </c>
      <c r="L9" s="24">
        <v>12</v>
      </c>
      <c r="M9" s="27">
        <v>13</v>
      </c>
    </row>
    <row r="10" spans="1:13" ht="40.5" x14ac:dyDescent="0.25">
      <c r="A10" s="193">
        <v>1</v>
      </c>
      <c r="B10" s="87" t="s">
        <v>304</v>
      </c>
      <c r="C10" s="93" t="s">
        <v>385</v>
      </c>
      <c r="D10" s="159" t="s">
        <v>56</v>
      </c>
      <c r="E10" s="195"/>
      <c r="F10" s="337">
        <v>0.25</v>
      </c>
      <c r="G10" s="196"/>
      <c r="H10" s="196"/>
      <c r="I10" s="197"/>
      <c r="J10" s="196"/>
      <c r="K10" s="196"/>
      <c r="L10" s="196"/>
      <c r="M10" s="196"/>
    </row>
    <row r="11" spans="1:13" x14ac:dyDescent="0.25">
      <c r="A11" s="198"/>
      <c r="B11" s="199"/>
      <c r="C11" s="200" t="s">
        <v>180</v>
      </c>
      <c r="D11" s="201" t="s">
        <v>183</v>
      </c>
      <c r="E11" s="202">
        <f>3.88*1.2</f>
        <v>4.6559999999999997</v>
      </c>
      <c r="F11" s="203">
        <f>F10*E11</f>
        <v>1.1639999999999999</v>
      </c>
      <c r="G11" s="204"/>
      <c r="H11" s="202"/>
      <c r="I11" s="203"/>
      <c r="J11" s="202"/>
      <c r="K11" s="202"/>
      <c r="L11" s="202"/>
      <c r="M11" s="202"/>
    </row>
    <row r="12" spans="1:13" ht="30" x14ac:dyDescent="0.3">
      <c r="A12" s="88">
        <v>2</v>
      </c>
      <c r="B12" s="54" t="s">
        <v>305</v>
      </c>
      <c r="C12" s="205" t="s">
        <v>306</v>
      </c>
      <c r="D12" s="346" t="s">
        <v>307</v>
      </c>
      <c r="E12" s="347"/>
      <c r="F12" s="376">
        <f>F10</f>
        <v>0.25</v>
      </c>
      <c r="G12" s="339"/>
      <c r="H12" s="339"/>
      <c r="I12" s="340"/>
      <c r="J12" s="339"/>
      <c r="K12" s="339"/>
      <c r="L12" s="339"/>
      <c r="M12" s="339"/>
    </row>
    <row r="13" spans="1:13" ht="15.75" x14ac:dyDescent="0.3">
      <c r="A13" s="210"/>
      <c r="B13" s="211"/>
      <c r="C13" s="341" t="s">
        <v>308</v>
      </c>
      <c r="D13" s="342" t="s">
        <v>276</v>
      </c>
      <c r="E13" s="343">
        <f>0.993*1.2</f>
        <v>1.1916</v>
      </c>
      <c r="F13" s="344">
        <f>F12*E13</f>
        <v>0.2979</v>
      </c>
      <c r="G13" s="345"/>
      <c r="H13" s="343"/>
      <c r="I13" s="344"/>
      <c r="J13" s="343"/>
      <c r="K13" s="343"/>
      <c r="L13" s="343"/>
      <c r="M13" s="343"/>
    </row>
    <row r="14" spans="1:13" ht="40.5" x14ac:dyDescent="0.25">
      <c r="A14" s="372">
        <v>3</v>
      </c>
      <c r="B14" s="217" t="s">
        <v>309</v>
      </c>
      <c r="C14" s="218" t="s">
        <v>310</v>
      </c>
      <c r="D14" s="216" t="s">
        <v>311</v>
      </c>
      <c r="E14" s="219"/>
      <c r="F14" s="380">
        <v>0.05</v>
      </c>
      <c r="G14" s="220"/>
      <c r="H14" s="216"/>
      <c r="I14" s="219"/>
      <c r="J14" s="221"/>
      <c r="K14" s="222"/>
      <c r="L14" s="63"/>
      <c r="M14" s="81"/>
    </row>
    <row r="15" spans="1:13" x14ac:dyDescent="0.25">
      <c r="A15" s="225"/>
      <c r="B15" s="225"/>
      <c r="C15" s="226" t="s">
        <v>54</v>
      </c>
      <c r="D15" s="225" t="s">
        <v>312</v>
      </c>
      <c r="E15" s="227">
        <f>0.89*1.2</f>
        <v>1.0680000000000001</v>
      </c>
      <c r="F15" s="228">
        <f>E15*F14</f>
        <v>5.3400000000000003E-2</v>
      </c>
      <c r="G15" s="229"/>
      <c r="H15" s="230"/>
      <c r="I15" s="227"/>
      <c r="J15" s="227"/>
      <c r="K15" s="231"/>
      <c r="L15" s="338"/>
      <c r="M15" s="64"/>
    </row>
    <row r="16" spans="1:13" x14ac:dyDescent="0.25">
      <c r="A16" s="225"/>
      <c r="B16" s="225"/>
      <c r="C16" s="82" t="s">
        <v>313</v>
      </c>
      <c r="D16" s="225" t="s">
        <v>43</v>
      </c>
      <c r="E16" s="233">
        <f>0.37*1.2</f>
        <v>0.44400000000000001</v>
      </c>
      <c r="F16" s="106">
        <f>E16*F14</f>
        <v>2.2200000000000001E-2</v>
      </c>
      <c r="G16" s="234"/>
      <c r="H16" s="225"/>
      <c r="I16" s="233"/>
      <c r="J16" s="105"/>
      <c r="K16" s="231"/>
      <c r="L16" s="64"/>
      <c r="M16" s="64"/>
    </row>
    <row r="17" spans="1:13" ht="15.75" x14ac:dyDescent="0.25">
      <c r="A17" s="225"/>
      <c r="B17" s="225"/>
      <c r="C17" s="226" t="s">
        <v>314</v>
      </c>
      <c r="D17" s="225" t="s">
        <v>315</v>
      </c>
      <c r="E17" s="227">
        <v>1.1499999999999999</v>
      </c>
      <c r="F17" s="228">
        <f>E17*F14</f>
        <v>5.7499999999999996E-2</v>
      </c>
      <c r="G17" s="234"/>
      <c r="H17" s="225"/>
      <c r="I17" s="235"/>
      <c r="J17" s="227"/>
      <c r="K17" s="231"/>
      <c r="L17" s="231"/>
      <c r="M17" s="64"/>
    </row>
    <row r="18" spans="1:13" x14ac:dyDescent="0.25">
      <c r="A18" s="236"/>
      <c r="B18" s="236"/>
      <c r="C18" s="237" t="s">
        <v>316</v>
      </c>
      <c r="D18" s="236" t="s">
        <v>43</v>
      </c>
      <c r="E18" s="238">
        <v>0.02</v>
      </c>
      <c r="F18" s="239">
        <f>E18*F14</f>
        <v>1E-3</v>
      </c>
      <c r="G18" s="240"/>
      <c r="H18" s="236"/>
      <c r="I18" s="241"/>
      <c r="J18" s="227"/>
      <c r="K18" s="242"/>
      <c r="L18" s="242"/>
      <c r="M18" s="64"/>
    </row>
    <row r="19" spans="1:13" ht="27" x14ac:dyDescent="0.25">
      <c r="A19" s="372">
        <v>4</v>
      </c>
      <c r="B19" s="243" t="s">
        <v>317</v>
      </c>
      <c r="C19" s="244" t="s">
        <v>370</v>
      </c>
      <c r="D19" s="302" t="s">
        <v>307</v>
      </c>
      <c r="E19" s="197"/>
      <c r="F19" s="377">
        <v>0.2</v>
      </c>
      <c r="G19" s="246"/>
      <c r="H19" s="245"/>
      <c r="I19" s="246"/>
      <c r="J19" s="247"/>
      <c r="K19" s="246"/>
      <c r="L19" s="246"/>
      <c r="M19" s="246"/>
    </row>
    <row r="20" spans="1:13" x14ac:dyDescent="0.25">
      <c r="A20" s="348"/>
      <c r="B20" s="225"/>
      <c r="C20" s="349" t="s">
        <v>54</v>
      </c>
      <c r="D20" s="101" t="s">
        <v>183</v>
      </c>
      <c r="E20" s="108">
        <f>6.66*1.2*1.15</f>
        <v>9.1907999999999994</v>
      </c>
      <c r="F20" s="107">
        <f>F19*E20</f>
        <v>1.83816</v>
      </c>
      <c r="G20" s="102"/>
      <c r="H20" s="103"/>
      <c r="I20" s="108"/>
      <c r="J20" s="108"/>
      <c r="K20" s="103"/>
      <c r="L20" s="350"/>
      <c r="M20" s="64"/>
    </row>
    <row r="21" spans="1:13" x14ac:dyDescent="0.25">
      <c r="A21" s="348"/>
      <c r="B21" s="101"/>
      <c r="C21" s="349" t="s">
        <v>319</v>
      </c>
      <c r="D21" s="101" t="s">
        <v>320</v>
      </c>
      <c r="E21" s="108">
        <f>0.59*1.2</f>
        <v>0.70799999999999996</v>
      </c>
      <c r="F21" s="107">
        <f>F19*E21</f>
        <v>0.1416</v>
      </c>
      <c r="G21" s="103"/>
      <c r="H21" s="101"/>
      <c r="I21" s="108"/>
      <c r="J21" s="108"/>
      <c r="K21" s="103"/>
      <c r="L21" s="350"/>
      <c r="M21" s="64"/>
    </row>
    <row r="22" spans="1:13" x14ac:dyDescent="0.25">
      <c r="A22" s="348"/>
      <c r="B22" s="225"/>
      <c r="C22" s="349" t="s">
        <v>321</v>
      </c>
      <c r="D22" s="101" t="s">
        <v>56</v>
      </c>
      <c r="E22" s="108">
        <v>1.0149999999999999</v>
      </c>
      <c r="F22" s="107">
        <f>F19*E22</f>
        <v>0.20299999999999999</v>
      </c>
      <c r="G22" s="108"/>
      <c r="H22" s="101"/>
      <c r="I22" s="107"/>
      <c r="J22" s="108"/>
      <c r="K22" s="103"/>
      <c r="L22" s="350"/>
      <c r="M22" s="64"/>
    </row>
    <row r="23" spans="1:13" x14ac:dyDescent="0.25">
      <c r="A23" s="348"/>
      <c r="B23" s="225"/>
      <c r="C23" s="349" t="s">
        <v>322</v>
      </c>
      <c r="D23" s="101" t="s">
        <v>39</v>
      </c>
      <c r="E23" s="108">
        <v>1.6</v>
      </c>
      <c r="F23" s="107">
        <f>F19*E23</f>
        <v>0.32000000000000006</v>
      </c>
      <c r="G23" s="108"/>
      <c r="H23" s="101"/>
      <c r="I23" s="108"/>
      <c r="J23" s="108"/>
      <c r="K23" s="103"/>
      <c r="L23" s="350"/>
      <c r="M23" s="64"/>
    </row>
    <row r="24" spans="1:13" x14ac:dyDescent="0.25">
      <c r="A24" s="348"/>
      <c r="B24" s="225"/>
      <c r="C24" s="349" t="s">
        <v>323</v>
      </c>
      <c r="D24" s="101" t="s">
        <v>56</v>
      </c>
      <c r="E24" s="108">
        <v>1.83E-2</v>
      </c>
      <c r="F24" s="107">
        <f>F19*E24</f>
        <v>3.6600000000000001E-3</v>
      </c>
      <c r="G24" s="108"/>
      <c r="H24" s="101"/>
      <c r="I24" s="107"/>
      <c r="J24" s="108"/>
      <c r="K24" s="103"/>
      <c r="L24" s="350"/>
      <c r="M24" s="64"/>
    </row>
    <row r="25" spans="1:13" x14ac:dyDescent="0.25">
      <c r="A25" s="351"/>
      <c r="B25" s="109"/>
      <c r="C25" s="352" t="s">
        <v>316</v>
      </c>
      <c r="D25" s="109" t="s">
        <v>320</v>
      </c>
      <c r="E25" s="203">
        <v>0.4</v>
      </c>
      <c r="F25" s="255">
        <f>F19*E25</f>
        <v>8.0000000000000016E-2</v>
      </c>
      <c r="G25" s="203"/>
      <c r="H25" s="109"/>
      <c r="I25" s="203"/>
      <c r="J25" s="203"/>
      <c r="K25" s="110"/>
      <c r="L25" s="353"/>
      <c r="M25" s="83"/>
    </row>
    <row r="26" spans="1:13" ht="34.5" customHeight="1" x14ac:dyDescent="0.25">
      <c r="A26" s="39">
        <v>5</v>
      </c>
      <c r="B26" s="78" t="s">
        <v>374</v>
      </c>
      <c r="C26" s="298" t="s">
        <v>380</v>
      </c>
      <c r="D26" s="138" t="s">
        <v>379</v>
      </c>
      <c r="E26" s="139"/>
      <c r="F26" s="124">
        <f>F29+F30+F31</f>
        <v>25.5</v>
      </c>
      <c r="G26" s="41"/>
      <c r="H26" s="42"/>
      <c r="I26" s="43"/>
      <c r="J26" s="42"/>
      <c r="K26" s="43"/>
      <c r="L26" s="42"/>
      <c r="M26" s="124"/>
    </row>
    <row r="27" spans="1:13" ht="14.25" customHeight="1" x14ac:dyDescent="0.25">
      <c r="A27" s="39"/>
      <c r="B27" s="78"/>
      <c r="C27" s="79" t="s">
        <v>376</v>
      </c>
      <c r="D27" s="41" t="s">
        <v>41</v>
      </c>
      <c r="E27" s="42">
        <f>1.83*1.2</f>
        <v>2.1960000000000002</v>
      </c>
      <c r="F27" s="42">
        <f>E27*6</f>
        <v>13.176000000000002</v>
      </c>
      <c r="G27" s="80"/>
      <c r="H27" s="42"/>
      <c r="I27" s="43"/>
      <c r="J27" s="42"/>
      <c r="K27" s="43"/>
      <c r="L27" s="117"/>
      <c r="M27" s="117"/>
    </row>
    <row r="28" spans="1:13" x14ac:dyDescent="0.25">
      <c r="A28" s="39"/>
      <c r="B28" s="78"/>
      <c r="C28" s="79" t="s">
        <v>78</v>
      </c>
      <c r="D28" s="41" t="s">
        <v>43</v>
      </c>
      <c r="E28" s="41">
        <f>0.036*1.2</f>
        <v>4.3199999999999995E-2</v>
      </c>
      <c r="F28" s="116">
        <f>E28*F26</f>
        <v>1.1015999999999999</v>
      </c>
      <c r="G28" s="41"/>
      <c r="H28" s="42"/>
      <c r="I28" s="43"/>
      <c r="J28" s="42"/>
      <c r="K28" s="43"/>
      <c r="L28" s="117"/>
      <c r="M28" s="117"/>
    </row>
    <row r="29" spans="1:13" x14ac:dyDescent="0.25">
      <c r="A29" s="39"/>
      <c r="B29" s="78"/>
      <c r="C29" s="160" t="s">
        <v>377</v>
      </c>
      <c r="D29" s="41" t="s">
        <v>122</v>
      </c>
      <c r="E29" s="41">
        <v>1</v>
      </c>
      <c r="F29" s="42">
        <v>6</v>
      </c>
      <c r="G29" s="41"/>
      <c r="H29" s="42"/>
      <c r="I29" s="43"/>
      <c r="J29" s="42"/>
      <c r="K29" s="43"/>
      <c r="L29" s="117"/>
      <c r="M29" s="117"/>
    </row>
    <row r="30" spans="1:13" x14ac:dyDescent="0.25">
      <c r="A30" s="39"/>
      <c r="B30" s="78"/>
      <c r="C30" s="160" t="s">
        <v>386</v>
      </c>
      <c r="D30" s="41"/>
      <c r="E30" s="41"/>
      <c r="F30" s="378">
        <v>7.5</v>
      </c>
      <c r="G30" s="41"/>
      <c r="H30" s="42"/>
      <c r="I30" s="43"/>
      <c r="J30" s="42"/>
      <c r="K30" s="43"/>
      <c r="L30" s="117"/>
      <c r="M30" s="117"/>
    </row>
    <row r="31" spans="1:13" x14ac:dyDescent="0.25">
      <c r="A31" s="39"/>
      <c r="B31" s="78"/>
      <c r="C31" s="370" t="s">
        <v>378</v>
      </c>
      <c r="D31" s="41" t="s">
        <v>345</v>
      </c>
      <c r="E31" s="117"/>
      <c r="F31" s="378">
        <v>12</v>
      </c>
      <c r="G31" s="41"/>
      <c r="H31" s="42"/>
      <c r="I31" s="43"/>
      <c r="J31" s="117"/>
      <c r="K31" s="43"/>
      <c r="L31" s="117"/>
      <c r="M31" s="117"/>
    </row>
    <row r="32" spans="1:13" x14ac:dyDescent="0.25">
      <c r="A32" s="44"/>
      <c r="B32" s="45"/>
      <c r="C32" s="371" t="s">
        <v>347</v>
      </c>
      <c r="D32" s="47" t="s">
        <v>348</v>
      </c>
      <c r="E32" s="47">
        <v>0.432</v>
      </c>
      <c r="F32" s="48">
        <f>E32*F26</f>
        <v>11.016</v>
      </c>
      <c r="G32" s="47"/>
      <c r="H32" s="48"/>
      <c r="I32" s="50"/>
      <c r="J32" s="48"/>
      <c r="K32" s="50"/>
      <c r="L32" s="48"/>
      <c r="M32" s="117"/>
    </row>
    <row r="33" spans="1:13" ht="30" x14ac:dyDescent="0.25">
      <c r="A33" s="321">
        <v>6</v>
      </c>
      <c r="B33" s="764" t="s">
        <v>159</v>
      </c>
      <c r="C33" s="147" t="s">
        <v>366</v>
      </c>
      <c r="D33" s="52" t="s">
        <v>46</v>
      </c>
      <c r="E33" s="65"/>
      <c r="F33" s="379">
        <v>2.8</v>
      </c>
      <c r="G33" s="55"/>
      <c r="H33" s="151"/>
      <c r="I33" s="55"/>
      <c r="J33" s="151"/>
      <c r="K33" s="55"/>
      <c r="L33" s="151"/>
      <c r="M33" s="151"/>
    </row>
    <row r="34" spans="1:13" x14ac:dyDescent="0.25">
      <c r="A34" s="158"/>
      <c r="B34" s="765"/>
      <c r="C34" s="56" t="s">
        <v>61</v>
      </c>
      <c r="D34" s="57" t="s">
        <v>276</v>
      </c>
      <c r="E34" s="58">
        <f>0.68*1.2</f>
        <v>0.81600000000000006</v>
      </c>
      <c r="F34" s="58">
        <f>E34*F33</f>
        <v>2.2848000000000002</v>
      </c>
      <c r="G34" s="57"/>
      <c r="H34" s="58"/>
      <c r="I34" s="59"/>
      <c r="J34" s="58"/>
      <c r="K34" s="59"/>
      <c r="L34" s="58"/>
      <c r="M34" s="155"/>
    </row>
    <row r="35" spans="1:13" x14ac:dyDescent="0.25">
      <c r="A35" s="158"/>
      <c r="B35" s="765"/>
      <c r="C35" s="56" t="s">
        <v>277</v>
      </c>
      <c r="D35" s="57" t="s">
        <v>50</v>
      </c>
      <c r="E35" s="57">
        <f>0.003*1.2</f>
        <v>3.5999999999999999E-3</v>
      </c>
      <c r="F35" s="68">
        <f>E35*F33</f>
        <v>1.0079999999999999E-2</v>
      </c>
      <c r="G35" s="57"/>
      <c r="H35" s="58"/>
      <c r="I35" s="59"/>
      <c r="J35" s="58"/>
      <c r="K35" s="59"/>
      <c r="L35" s="68"/>
      <c r="M35" s="58"/>
    </row>
    <row r="36" spans="1:13" x14ac:dyDescent="0.25">
      <c r="A36" s="158"/>
      <c r="B36" s="158"/>
      <c r="C36" s="56" t="s">
        <v>278</v>
      </c>
      <c r="D36" s="57" t="s">
        <v>219</v>
      </c>
      <c r="E36" s="57">
        <v>0.246</v>
      </c>
      <c r="F36" s="58">
        <f>E36*F33</f>
        <v>0.68879999999999997</v>
      </c>
      <c r="G36" s="57"/>
      <c r="H36" s="58"/>
      <c r="I36" s="155"/>
      <c r="J36" s="58"/>
      <c r="K36" s="59"/>
      <c r="L36" s="58"/>
      <c r="M36" s="58"/>
    </row>
    <row r="37" spans="1:13" x14ac:dyDescent="0.25">
      <c r="A37" s="69"/>
      <c r="B37" s="69"/>
      <c r="C37" s="60" t="s">
        <v>64</v>
      </c>
      <c r="D37" s="61" t="s">
        <v>50</v>
      </c>
      <c r="E37" s="61">
        <v>1.9E-3</v>
      </c>
      <c r="F37" s="150">
        <f>E37*F33</f>
        <v>5.3200000000000001E-3</v>
      </c>
      <c r="G37" s="61"/>
      <c r="H37" s="62"/>
      <c r="I37" s="70"/>
      <c r="J37" s="62"/>
      <c r="K37" s="70"/>
      <c r="L37" s="62"/>
      <c r="M37" s="62"/>
    </row>
    <row r="38" spans="1:13" x14ac:dyDescent="0.25">
      <c r="A38" s="127">
        <v>7</v>
      </c>
      <c r="B38" s="168"/>
      <c r="C38" s="662" t="s">
        <v>381</v>
      </c>
      <c r="D38" s="170" t="s">
        <v>382</v>
      </c>
      <c r="E38" s="170">
        <v>1</v>
      </c>
      <c r="F38" s="171"/>
      <c r="G38" s="170"/>
      <c r="H38" s="172"/>
      <c r="I38" s="170"/>
      <c r="J38" s="172"/>
      <c r="K38" s="170"/>
      <c r="L38" s="172"/>
      <c r="M38" s="172"/>
    </row>
    <row r="39" spans="1:13" x14ac:dyDescent="0.25">
      <c r="A39" s="127">
        <v>8</v>
      </c>
      <c r="B39" s="168"/>
      <c r="C39" s="662" t="s">
        <v>401</v>
      </c>
      <c r="D39" s="170" t="s">
        <v>382</v>
      </c>
      <c r="E39" s="170">
        <v>55</v>
      </c>
      <c r="F39" s="171"/>
      <c r="G39" s="170"/>
      <c r="H39" s="172"/>
      <c r="I39" s="170"/>
      <c r="J39" s="172"/>
      <c r="K39" s="170"/>
      <c r="L39" s="172"/>
      <c r="M39" s="172"/>
    </row>
    <row r="40" spans="1:13" ht="27" x14ac:dyDescent="0.25">
      <c r="A40" s="332">
        <v>9</v>
      </c>
      <c r="B40" s="173"/>
      <c r="C40" s="174" t="s">
        <v>292</v>
      </c>
      <c r="D40" s="175" t="s">
        <v>427</v>
      </c>
      <c r="E40" s="173"/>
      <c r="F40" s="176"/>
      <c r="G40" s="173"/>
      <c r="H40" s="173"/>
      <c r="I40" s="173"/>
      <c r="J40" s="177"/>
      <c r="K40" s="173"/>
      <c r="L40" s="173"/>
      <c r="M40" s="177"/>
    </row>
    <row r="41" spans="1:13" x14ac:dyDescent="0.25">
      <c r="A41" s="332">
        <v>10</v>
      </c>
      <c r="B41" s="168"/>
      <c r="C41" s="169" t="s">
        <v>293</v>
      </c>
      <c r="D41" s="178"/>
      <c r="E41" s="173"/>
      <c r="F41" s="176"/>
      <c r="G41" s="173"/>
      <c r="H41" s="179"/>
      <c r="I41" s="173"/>
      <c r="J41" s="179"/>
      <c r="K41" s="173"/>
      <c r="L41" s="179"/>
      <c r="M41" s="179"/>
    </row>
    <row r="42" spans="1:13" ht="20.25" customHeight="1" x14ac:dyDescent="0.25">
      <c r="A42" s="332">
        <v>11</v>
      </c>
      <c r="B42" s="259"/>
      <c r="C42" s="174" t="s">
        <v>294</v>
      </c>
      <c r="D42" s="175" t="s">
        <v>427</v>
      </c>
      <c r="E42" s="173"/>
      <c r="F42" s="176"/>
      <c r="G42" s="173"/>
      <c r="H42" s="173"/>
      <c r="I42" s="173"/>
      <c r="J42" s="173"/>
      <c r="K42" s="173"/>
      <c r="L42" s="173"/>
      <c r="M42" s="177"/>
    </row>
    <row r="43" spans="1:13" x14ac:dyDescent="0.25">
      <c r="A43" s="332">
        <v>12</v>
      </c>
      <c r="B43" s="259"/>
      <c r="C43" s="169" t="s">
        <v>293</v>
      </c>
      <c r="D43" s="180"/>
      <c r="E43" s="173"/>
      <c r="F43" s="176"/>
      <c r="G43" s="173"/>
      <c r="H43" s="173"/>
      <c r="I43" s="173"/>
      <c r="J43" s="173"/>
      <c r="K43" s="173"/>
      <c r="L43" s="173"/>
      <c r="M43" s="179"/>
    </row>
    <row r="44" spans="1:13" x14ac:dyDescent="0.25">
      <c r="A44" s="332">
        <v>13</v>
      </c>
      <c r="B44" s="259"/>
      <c r="C44" s="174" t="s">
        <v>295</v>
      </c>
      <c r="D44" s="175" t="s">
        <v>427</v>
      </c>
      <c r="E44" s="173"/>
      <c r="F44" s="176"/>
      <c r="G44" s="173"/>
      <c r="H44" s="173"/>
      <c r="I44" s="173"/>
      <c r="J44" s="173"/>
      <c r="K44" s="173"/>
      <c r="L44" s="173"/>
      <c r="M44" s="177"/>
    </row>
    <row r="45" spans="1:13" x14ac:dyDescent="0.25">
      <c r="A45" s="332">
        <v>14</v>
      </c>
      <c r="B45" s="259"/>
      <c r="C45" s="169" t="s">
        <v>296</v>
      </c>
      <c r="D45" s="173"/>
      <c r="E45" s="173"/>
      <c r="F45" s="176"/>
      <c r="G45" s="173"/>
      <c r="H45" s="173"/>
      <c r="I45" s="173"/>
      <c r="J45" s="173"/>
      <c r="K45" s="173"/>
      <c r="L45" s="173"/>
      <c r="M45" s="179"/>
    </row>
  </sheetData>
  <mergeCells count="15">
    <mergeCell ref="B33:B35"/>
    <mergeCell ref="D7:D8"/>
    <mergeCell ref="E7:F7"/>
    <mergeCell ref="G7:H7"/>
    <mergeCell ref="I7:J7"/>
    <mergeCell ref="A7:A8"/>
    <mergeCell ref="B7:B8"/>
    <mergeCell ref="C7:C8"/>
    <mergeCell ref="A1:E1"/>
    <mergeCell ref="B3:M3"/>
    <mergeCell ref="C4:L4"/>
    <mergeCell ref="C5:L5"/>
    <mergeCell ref="M7:M8"/>
    <mergeCell ref="K7:L7"/>
    <mergeCell ref="A6:C6"/>
  </mergeCells>
  <pageMargins left="0.25" right="0.25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კრებსითი</vt:lpstr>
      <vt:lpstr>ადმინისტ. </vt:lpstr>
      <vt:lpstr>დიდი საპიკნიკე</vt:lpstr>
      <vt:lpstr>პატარა საპიკნიკე</vt:lpstr>
      <vt:lpstr>მოაჯირები</vt:lpstr>
      <vt:lpstr>კრებსითი!Print_Area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Ekaterine Dzneladze</cp:lastModifiedBy>
  <dcterms:created xsi:type="dcterms:W3CDTF">2020-08-22T08:07:20Z</dcterms:created>
  <dcterms:modified xsi:type="dcterms:W3CDTF">2020-09-04T07:40:10Z</dcterms:modified>
</cp:coreProperties>
</file>