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RAKLI\TENDEREBI 2013 WELI\ნინოშვლის მე-6 ჩიხი, გამსახურდიას მე-16 შეს და პირველი ჩიხი 340217 ლარი 2020 წელი\პროექტი და ხარჯ\2. კ.გამსახრდიას #16 შ\"/>
    </mc:Choice>
  </mc:AlternateContent>
  <bookViews>
    <workbookView xWindow="0" yWindow="0" windowWidth="28800" windowHeight="12228" tabRatio="708"/>
  </bookViews>
  <sheets>
    <sheet name="მიწის სამუშაოების უწყისი" sheetId="38" r:id="rId1"/>
    <sheet name="ე.შ.მოც.უწყისი" sheetId="30" state="hidden" r:id="rId2"/>
    <sheet name="არსებული ჭები" sheetId="45" r:id="rId3"/>
    <sheet name="ეზოში შესასვლელები" sheetId="42" r:id="rId4"/>
    <sheet name="სანიაღვრე არხი" sheetId="43" r:id="rId5"/>
    <sheet name="ცხაურები" sheetId="44" r:id="rId6"/>
    <sheet name="საგზ.სამოს.მოწყ.პიკ.დათვ.უწ " sheetId="41" r:id="rId7"/>
    <sheet name="კრებსითი მოცულობები" sheetId="31" r:id="rId8"/>
  </sheets>
  <definedNames>
    <definedName name="_xlnm.Print_Area" localSheetId="2">'არსებული ჭები'!$A$1:$G$14</definedName>
    <definedName name="_xlnm.Print_Area" localSheetId="1">ე.შ.მოც.უწყისი!$A$1:$N$37</definedName>
    <definedName name="_xlnm.Print_Area" localSheetId="3">'ეზოში შესასვლელები'!$A$1:$O$57</definedName>
    <definedName name="_xlnm.Print_Area" localSheetId="7">'კრებსითი მოცულობები'!$A$1:$D$48</definedName>
    <definedName name="_xlnm.Print_Area" localSheetId="6">'საგზ.სამოს.მოწყ.პიკ.დათვ.უწ '!$A$1:$N$15</definedName>
  </definedNames>
  <calcPr calcId="191029"/>
</workbook>
</file>

<file path=xl/calcChain.xml><?xml version="1.0" encoding="utf-8"?>
<calcChain xmlns="http://schemas.openxmlformats.org/spreadsheetml/2006/main">
  <c r="D21" i="31" l="1"/>
  <c r="G6" i="45" l="1"/>
  <c r="D19" i="31" l="1"/>
  <c r="J6" i="41"/>
  <c r="D18" i="31"/>
  <c r="A17" i="31"/>
  <c r="A18" i="31" s="1"/>
  <c r="A19" i="31" s="1"/>
  <c r="A20" i="31" s="1"/>
  <c r="A21" i="31" s="1"/>
  <c r="D44" i="31"/>
  <c r="F7" i="45"/>
  <c r="C6" i="45"/>
  <c r="D6" i="45" s="1"/>
  <c r="E6" i="45" s="1"/>
  <c r="F6" i="45" s="1"/>
  <c r="D45" i="31" l="1"/>
  <c r="D42" i="31"/>
  <c r="D41" i="31"/>
  <c r="D39" i="31"/>
  <c r="D38" i="31"/>
  <c r="D37" i="31"/>
  <c r="D36" i="31"/>
  <c r="D35" i="31"/>
  <c r="D34" i="31"/>
  <c r="D33" i="31"/>
  <c r="H7" i="43"/>
  <c r="I7" i="43"/>
  <c r="J7" i="43" s="1"/>
  <c r="A34" i="31"/>
  <c r="A35" i="31" s="1"/>
  <c r="A36" i="31" s="1"/>
  <c r="A37" i="31" s="1"/>
  <c r="A38" i="31" s="1"/>
  <c r="A39" i="31" s="1"/>
  <c r="D30" i="31"/>
  <c r="D29" i="31"/>
  <c r="D28" i="31"/>
  <c r="D27" i="31"/>
  <c r="D26" i="31"/>
  <c r="D25" i="31"/>
  <c r="D24" i="31"/>
  <c r="D23" i="31"/>
  <c r="J52" i="42"/>
  <c r="K52" i="42"/>
  <c r="J9" i="42"/>
  <c r="K9" i="42"/>
  <c r="J10" i="42"/>
  <c r="K10" i="42"/>
  <c r="J11" i="42"/>
  <c r="K11" i="42"/>
  <c r="J12" i="42"/>
  <c r="K12" i="42"/>
  <c r="J13" i="42"/>
  <c r="K13" i="42"/>
  <c r="J14" i="42"/>
  <c r="K14" i="42"/>
  <c r="J15" i="42"/>
  <c r="K15" i="42"/>
  <c r="J16" i="42"/>
  <c r="K16" i="42"/>
  <c r="J17" i="42"/>
  <c r="K17" i="42"/>
  <c r="J18" i="42"/>
  <c r="K18" i="42"/>
  <c r="J19" i="42"/>
  <c r="K19" i="42"/>
  <c r="J20" i="42"/>
  <c r="K20" i="42"/>
  <c r="J21" i="42"/>
  <c r="K21" i="42"/>
  <c r="J22" i="42"/>
  <c r="K22" i="42"/>
  <c r="J23" i="42"/>
  <c r="K23" i="42"/>
  <c r="J24" i="42"/>
  <c r="K24" i="42"/>
  <c r="J25" i="42"/>
  <c r="K25" i="42"/>
  <c r="J26" i="42"/>
  <c r="K26" i="42"/>
  <c r="J27" i="42"/>
  <c r="K27" i="42"/>
  <c r="J28" i="42"/>
  <c r="K28" i="42"/>
  <c r="J29" i="42"/>
  <c r="K29" i="42"/>
  <c r="J30" i="42"/>
  <c r="K30" i="42"/>
  <c r="J31" i="42"/>
  <c r="K31" i="42"/>
  <c r="J32" i="42"/>
  <c r="K32" i="42"/>
  <c r="J33" i="42"/>
  <c r="K33" i="42"/>
  <c r="J34" i="42"/>
  <c r="K34" i="42"/>
  <c r="J35" i="42"/>
  <c r="K35" i="42"/>
  <c r="J36" i="42"/>
  <c r="K36" i="42"/>
  <c r="J37" i="42"/>
  <c r="K37" i="42"/>
  <c r="J38" i="42"/>
  <c r="K38" i="42"/>
  <c r="J39" i="42"/>
  <c r="K39" i="42"/>
  <c r="J40" i="42"/>
  <c r="K40" i="42"/>
  <c r="J41" i="42"/>
  <c r="K41" i="42"/>
  <c r="J42" i="42"/>
  <c r="K42" i="42"/>
  <c r="J43" i="42"/>
  <c r="K43" i="42"/>
  <c r="J44" i="42"/>
  <c r="K44" i="42"/>
  <c r="J45" i="42"/>
  <c r="K45" i="42"/>
  <c r="J46" i="42"/>
  <c r="K46" i="42"/>
  <c r="J47" i="42"/>
  <c r="K47" i="42"/>
  <c r="J48" i="42"/>
  <c r="K48" i="42"/>
  <c r="J49" i="42"/>
  <c r="K49" i="42"/>
  <c r="J50" i="42"/>
  <c r="K50" i="42"/>
  <c r="J51" i="42"/>
  <c r="K51" i="42"/>
  <c r="K8" i="42"/>
  <c r="J8" i="42"/>
  <c r="H52" i="42"/>
  <c r="I52" i="42"/>
  <c r="H9" i="42"/>
  <c r="I9" i="42" s="1"/>
  <c r="H10" i="42"/>
  <c r="I10" i="42"/>
  <c r="H11" i="42"/>
  <c r="I11" i="42"/>
  <c r="H12" i="42"/>
  <c r="I12" i="42"/>
  <c r="H13" i="42"/>
  <c r="I13" i="42"/>
  <c r="H14" i="42"/>
  <c r="I14" i="42"/>
  <c r="H15" i="42"/>
  <c r="I15" i="42"/>
  <c r="H16" i="42"/>
  <c r="I16" i="42"/>
  <c r="H17" i="42"/>
  <c r="I17" i="42"/>
  <c r="H18" i="42"/>
  <c r="I18" i="42"/>
  <c r="H19" i="42"/>
  <c r="I19" i="42"/>
  <c r="H20" i="42"/>
  <c r="I20" i="42"/>
  <c r="H21" i="42"/>
  <c r="I21" i="42"/>
  <c r="H22" i="42"/>
  <c r="I22" i="42"/>
  <c r="H23" i="42"/>
  <c r="I23" i="42"/>
  <c r="H24" i="42"/>
  <c r="I24" i="42"/>
  <c r="H25" i="42"/>
  <c r="I25" i="42"/>
  <c r="H26" i="42"/>
  <c r="I26" i="42"/>
  <c r="H27" i="42"/>
  <c r="I27" i="42"/>
  <c r="H28" i="42"/>
  <c r="I28" i="42"/>
  <c r="H29" i="42"/>
  <c r="I29" i="42"/>
  <c r="H30" i="42"/>
  <c r="I30" i="42"/>
  <c r="H31" i="42"/>
  <c r="I31" i="42"/>
  <c r="H32" i="42"/>
  <c r="I32" i="42"/>
  <c r="H33" i="42"/>
  <c r="I33" i="42"/>
  <c r="H34" i="42"/>
  <c r="I34" i="42"/>
  <c r="H35" i="42"/>
  <c r="I35" i="42"/>
  <c r="H36" i="42"/>
  <c r="I36" i="42"/>
  <c r="H37" i="42"/>
  <c r="I37" i="42"/>
  <c r="H38" i="42"/>
  <c r="I38" i="42"/>
  <c r="H39" i="42"/>
  <c r="I39" i="42"/>
  <c r="H40" i="42"/>
  <c r="I40" i="42"/>
  <c r="H41" i="42"/>
  <c r="I41" i="42"/>
  <c r="H42" i="42"/>
  <c r="I42" i="42"/>
  <c r="H43" i="42"/>
  <c r="I43" i="42"/>
  <c r="H44" i="42"/>
  <c r="I44" i="42"/>
  <c r="H45" i="42"/>
  <c r="I45" i="42"/>
  <c r="H46" i="42"/>
  <c r="I46" i="42"/>
  <c r="H47" i="42"/>
  <c r="I47" i="42"/>
  <c r="H48" i="42"/>
  <c r="I48" i="42"/>
  <c r="H49" i="42"/>
  <c r="I49" i="42"/>
  <c r="H50" i="42"/>
  <c r="I50" i="42"/>
  <c r="H51" i="42"/>
  <c r="I51" i="42"/>
  <c r="H8" i="42"/>
  <c r="I8" i="42"/>
  <c r="G52" i="42"/>
  <c r="G51" i="42"/>
  <c r="G9" i="42"/>
  <c r="G10" i="42"/>
  <c r="G11" i="42"/>
  <c r="G12" i="42"/>
  <c r="G13" i="42"/>
  <c r="G14" i="42"/>
  <c r="G15" i="42"/>
  <c r="G16" i="42"/>
  <c r="G17" i="42"/>
  <c r="G18" i="42"/>
  <c r="G19" i="42"/>
  <c r="G20" i="42"/>
  <c r="G21" i="42"/>
  <c r="G22" i="42"/>
  <c r="G23" i="42"/>
  <c r="G24" i="42"/>
  <c r="G25" i="42"/>
  <c r="G26" i="42"/>
  <c r="G27" i="42"/>
  <c r="G28" i="42"/>
  <c r="G29" i="42"/>
  <c r="G30" i="42"/>
  <c r="G31" i="42"/>
  <c r="G32" i="42"/>
  <c r="G33" i="42"/>
  <c r="G34" i="42"/>
  <c r="G35" i="42"/>
  <c r="G36" i="42"/>
  <c r="G37" i="42"/>
  <c r="G38" i="42"/>
  <c r="G39" i="42"/>
  <c r="G40" i="42"/>
  <c r="G41" i="42"/>
  <c r="G42" i="42"/>
  <c r="G43" i="42"/>
  <c r="G44" i="42"/>
  <c r="G45" i="42"/>
  <c r="G46" i="42"/>
  <c r="G47" i="42"/>
  <c r="G48" i="42"/>
  <c r="G49" i="42"/>
  <c r="G50" i="42"/>
  <c r="G8" i="42"/>
  <c r="G7" i="42"/>
  <c r="H7" i="42"/>
  <c r="I7" i="42" s="1"/>
  <c r="J7" i="42" s="1"/>
  <c r="K7" i="42" s="1"/>
  <c r="L7" i="42" s="1"/>
  <c r="M7" i="42" s="1"/>
  <c r="N7" i="42" s="1"/>
  <c r="O7" i="42" s="1"/>
  <c r="D8" i="31"/>
  <c r="A24" i="31"/>
  <c r="A25" i="31" s="1"/>
  <c r="A26" i="31" s="1"/>
  <c r="A27" i="31" s="1"/>
  <c r="A28" i="31" s="1"/>
  <c r="A29" i="31" s="1"/>
  <c r="A30" i="31" s="1"/>
  <c r="D14" i="31"/>
  <c r="D10" i="31"/>
  <c r="A11" i="31"/>
  <c r="A12" i="31" s="1"/>
  <c r="D11" i="31"/>
  <c r="I7" i="41"/>
  <c r="J7" i="41"/>
  <c r="I6" i="41"/>
  <c r="E7" i="44"/>
  <c r="F6" i="44"/>
  <c r="F7" i="44" s="1"/>
  <c r="G9" i="43"/>
  <c r="N8" i="43"/>
  <c r="M8" i="43"/>
  <c r="L8" i="43"/>
  <c r="I8" i="43"/>
  <c r="H8" i="43"/>
  <c r="H9" i="43" s="1"/>
  <c r="B7" i="43"/>
  <c r="C7" i="43" s="1"/>
  <c r="D7" i="43" s="1"/>
  <c r="E7" i="43" s="1"/>
  <c r="F7" i="43" s="1"/>
  <c r="G7" i="43" s="1"/>
  <c r="G6" i="44" l="1"/>
  <c r="G7" i="44" s="1"/>
  <c r="K7" i="43"/>
  <c r="L7" i="43" s="1"/>
  <c r="M7" i="43" s="1"/>
  <c r="N7" i="43" s="1"/>
  <c r="N9" i="43"/>
  <c r="M9" i="43"/>
  <c r="J8" i="43"/>
  <c r="J9" i="43" s="1"/>
  <c r="L9" i="43"/>
  <c r="I9" i="43"/>
  <c r="K8" i="43" l="1"/>
  <c r="K9" i="43" s="1"/>
  <c r="M6" i="41" l="1"/>
  <c r="N6" i="41"/>
  <c r="F6" i="41"/>
  <c r="L51" i="42"/>
  <c r="M51" i="42" s="1"/>
  <c r="F51" i="42"/>
  <c r="O51" i="42" s="1"/>
  <c r="N51" i="42" s="1"/>
  <c r="L50" i="42"/>
  <c r="M50" i="42" s="1"/>
  <c r="F50" i="42"/>
  <c r="O50" i="42" s="1"/>
  <c r="N50" i="42" s="1"/>
  <c r="L49" i="42"/>
  <c r="M49" i="42" s="1"/>
  <c r="F49" i="42"/>
  <c r="O49" i="42" s="1"/>
  <c r="N49" i="42" s="1"/>
  <c r="L48" i="42"/>
  <c r="M48" i="42" s="1"/>
  <c r="F48" i="42"/>
  <c r="O48" i="42" s="1"/>
  <c r="N48" i="42" s="1"/>
  <c r="L47" i="42"/>
  <c r="M47" i="42" s="1"/>
  <c r="F47" i="42"/>
  <c r="O47" i="42" s="1"/>
  <c r="N47" i="42" s="1"/>
  <c r="L46" i="42"/>
  <c r="M46" i="42" s="1"/>
  <c r="F46" i="42"/>
  <c r="O46" i="42" s="1"/>
  <c r="N46" i="42" s="1"/>
  <c r="L45" i="42"/>
  <c r="M45" i="42" s="1"/>
  <c r="F45" i="42"/>
  <c r="O45" i="42" s="1"/>
  <c r="N45" i="42" s="1"/>
  <c r="L44" i="42"/>
  <c r="M44" i="42" s="1"/>
  <c r="F44" i="42"/>
  <c r="O44" i="42" s="1"/>
  <c r="N44" i="42" s="1"/>
  <c r="L43" i="42"/>
  <c r="M43" i="42" s="1"/>
  <c r="F43" i="42"/>
  <c r="O43" i="42" s="1"/>
  <c r="N43" i="42" s="1"/>
  <c r="L42" i="42"/>
  <c r="M42" i="42" s="1"/>
  <c r="F42" i="42"/>
  <c r="O42" i="42" s="1"/>
  <c r="N42" i="42" s="1"/>
  <c r="L41" i="42"/>
  <c r="M41" i="42" s="1"/>
  <c r="F41" i="42"/>
  <c r="O41" i="42" s="1"/>
  <c r="N41" i="42" s="1"/>
  <c r="L40" i="42"/>
  <c r="M40" i="42" s="1"/>
  <c r="F40" i="42"/>
  <c r="O40" i="42" s="1"/>
  <c r="N40" i="42" s="1"/>
  <c r="L39" i="42"/>
  <c r="M39" i="42" s="1"/>
  <c r="F39" i="42"/>
  <c r="O39" i="42" s="1"/>
  <c r="N39" i="42" s="1"/>
  <c r="L38" i="42"/>
  <c r="M38" i="42" s="1"/>
  <c r="F38" i="42"/>
  <c r="O38" i="42" s="1"/>
  <c r="N38" i="42" s="1"/>
  <c r="L37" i="42"/>
  <c r="M37" i="42" s="1"/>
  <c r="F37" i="42"/>
  <c r="O37" i="42" s="1"/>
  <c r="N37" i="42" s="1"/>
  <c r="L36" i="42"/>
  <c r="M36" i="42" s="1"/>
  <c r="F36" i="42"/>
  <c r="O36" i="42" s="1"/>
  <c r="N36" i="42" s="1"/>
  <c r="L35" i="42"/>
  <c r="M35" i="42" s="1"/>
  <c r="F35" i="42"/>
  <c r="O35" i="42" s="1"/>
  <c r="N35" i="42" s="1"/>
  <c r="M34" i="42"/>
  <c r="L34" i="42"/>
  <c r="F34" i="42"/>
  <c r="O34" i="42" s="1"/>
  <c r="N34" i="42" s="1"/>
  <c r="L33" i="42"/>
  <c r="M33" i="42" s="1"/>
  <c r="F33" i="42"/>
  <c r="O33" i="42" s="1"/>
  <c r="N33" i="42" s="1"/>
  <c r="L32" i="42"/>
  <c r="M32" i="42" s="1"/>
  <c r="F32" i="42"/>
  <c r="O32" i="42" s="1"/>
  <c r="N32" i="42" s="1"/>
  <c r="L31" i="42"/>
  <c r="M31" i="42" s="1"/>
  <c r="F31" i="42"/>
  <c r="O31" i="42" s="1"/>
  <c r="N31" i="42" s="1"/>
  <c r="L30" i="42"/>
  <c r="M30" i="42" s="1"/>
  <c r="F30" i="42"/>
  <c r="O30" i="42" s="1"/>
  <c r="N30" i="42" s="1"/>
  <c r="L29" i="42"/>
  <c r="M29" i="42" s="1"/>
  <c r="F29" i="42"/>
  <c r="O29" i="42" s="1"/>
  <c r="N29" i="42" s="1"/>
  <c r="L28" i="42"/>
  <c r="M28" i="42" s="1"/>
  <c r="F28" i="42"/>
  <c r="O28" i="42" s="1"/>
  <c r="N28" i="42" s="1"/>
  <c r="L27" i="42"/>
  <c r="M27" i="42" s="1"/>
  <c r="F27" i="42"/>
  <c r="O27" i="42" s="1"/>
  <c r="N27" i="42" s="1"/>
  <c r="L26" i="42"/>
  <c r="M26" i="42" s="1"/>
  <c r="F26" i="42"/>
  <c r="O26" i="42" s="1"/>
  <c r="N26" i="42" s="1"/>
  <c r="A25" i="42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L25" i="42"/>
  <c r="M25" i="42" s="1"/>
  <c r="F25" i="42"/>
  <c r="O25" i="42" s="1"/>
  <c r="N25" i="42" s="1"/>
  <c r="L24" i="42"/>
  <c r="M24" i="42" s="1"/>
  <c r="F24" i="42"/>
  <c r="O24" i="42" s="1"/>
  <c r="N24" i="42" s="1"/>
  <c r="L23" i="42"/>
  <c r="F23" i="42"/>
  <c r="O23" i="42" s="1"/>
  <c r="N23" i="42" s="1"/>
  <c r="L22" i="42"/>
  <c r="M22" i="42" s="1"/>
  <c r="F22" i="42"/>
  <c r="O22" i="42" s="1"/>
  <c r="N22" i="42" s="1"/>
  <c r="L21" i="42"/>
  <c r="M21" i="42" s="1"/>
  <c r="F21" i="42"/>
  <c r="O21" i="42" s="1"/>
  <c r="N21" i="42" s="1"/>
  <c r="L20" i="42"/>
  <c r="M20" i="42" s="1"/>
  <c r="F20" i="42"/>
  <c r="O20" i="42" s="1"/>
  <c r="N20" i="42" s="1"/>
  <c r="L19" i="42"/>
  <c r="F19" i="42"/>
  <c r="O19" i="42" s="1"/>
  <c r="N19" i="42" s="1"/>
  <c r="L18" i="42"/>
  <c r="M18" i="42" s="1"/>
  <c r="F18" i="42"/>
  <c r="O18" i="42" s="1"/>
  <c r="N18" i="42" s="1"/>
  <c r="L17" i="42"/>
  <c r="M17" i="42" s="1"/>
  <c r="F17" i="42"/>
  <c r="O17" i="42" s="1"/>
  <c r="N17" i="42" s="1"/>
  <c r="L16" i="42"/>
  <c r="M16" i="42" s="1"/>
  <c r="F16" i="42"/>
  <c r="O16" i="42" s="1"/>
  <c r="N16" i="42" s="1"/>
  <c r="L15" i="42"/>
  <c r="F15" i="42"/>
  <c r="O15" i="42" s="1"/>
  <c r="N15" i="42" s="1"/>
  <c r="L14" i="42"/>
  <c r="M14" i="42" s="1"/>
  <c r="F14" i="42"/>
  <c r="O14" i="42" s="1"/>
  <c r="N14" i="42" s="1"/>
  <c r="L13" i="42"/>
  <c r="M13" i="42" s="1"/>
  <c r="F13" i="42"/>
  <c r="O13" i="42" s="1"/>
  <c r="N13" i="42" s="1"/>
  <c r="L12" i="42"/>
  <c r="M12" i="42" s="1"/>
  <c r="F12" i="42"/>
  <c r="O12" i="42" s="1"/>
  <c r="N12" i="42" s="1"/>
  <c r="L11" i="42"/>
  <c r="F11" i="42"/>
  <c r="O11" i="42" s="1"/>
  <c r="N11" i="42" s="1"/>
  <c r="L10" i="42"/>
  <c r="M10" i="42" s="1"/>
  <c r="F10" i="42"/>
  <c r="O10" i="42" s="1"/>
  <c r="N10" i="42" s="1"/>
  <c r="L9" i="42"/>
  <c r="M9" i="42" s="1"/>
  <c r="F9" i="42"/>
  <c r="O9" i="42" s="1"/>
  <c r="N9" i="42" s="1"/>
  <c r="A9" i="42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L8" i="42"/>
  <c r="M8" i="42" s="1"/>
  <c r="F8" i="42"/>
  <c r="B7" i="42"/>
  <c r="C7" i="42" s="1"/>
  <c r="D7" i="42" s="1"/>
  <c r="E7" i="42" s="1"/>
  <c r="F7" i="42" s="1"/>
  <c r="F52" i="42" l="1"/>
  <c r="L52" i="42"/>
  <c r="M11" i="42"/>
  <c r="M15" i="42"/>
  <c r="O8" i="42"/>
  <c r="M19" i="42"/>
  <c r="M23" i="42"/>
  <c r="M52" i="42" l="1"/>
  <c r="O52" i="42"/>
  <c r="N8" i="42"/>
  <c r="N52" i="42" s="1"/>
  <c r="D40" i="38" l="1"/>
  <c r="C7" i="41" l="1"/>
  <c r="N7" i="41"/>
  <c r="M7" i="41"/>
  <c r="L6" i="41"/>
  <c r="L7" i="41" s="1"/>
  <c r="D6" i="41"/>
  <c r="E6" i="41" s="1"/>
  <c r="D20" i="31" l="1"/>
  <c r="G6" i="41"/>
  <c r="G7" i="41" s="1"/>
  <c r="F7" i="41"/>
  <c r="E7" i="41"/>
  <c r="D16" i="31" l="1"/>
  <c r="D17" i="31"/>
  <c r="C40" i="38"/>
  <c r="D12" i="31" l="1"/>
  <c r="D13" i="31" s="1"/>
  <c r="A13" i="31" l="1"/>
  <c r="A14" i="31" s="1"/>
  <c r="E40" i="38" l="1"/>
  <c r="A9" i="38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E28" i="30" l="1"/>
  <c r="A9" i="30" l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N8" i="30"/>
  <c r="N28" i="30" s="1"/>
  <c r="M8" i="30"/>
  <c r="M28" i="30" s="1"/>
  <c r="H8" i="30"/>
  <c r="H28" i="30" s="1"/>
  <c r="F8" i="30"/>
  <c r="J8" i="30" s="1"/>
  <c r="J28" i="30" s="1"/>
  <c r="C7" i="30"/>
  <c r="D7" i="30" s="1"/>
  <c r="E7" i="30" s="1"/>
  <c r="F7" i="30" s="1"/>
  <c r="G7" i="30" s="1"/>
  <c r="H7" i="30" s="1"/>
  <c r="I7" i="30" s="1"/>
  <c r="J7" i="30" s="1"/>
  <c r="K7" i="30" s="1"/>
  <c r="L7" i="30" s="1"/>
  <c r="M7" i="30" s="1"/>
  <c r="N7" i="30" s="1"/>
  <c r="B7" i="30"/>
  <c r="K8" i="30" l="1"/>
  <c r="K28" i="30" s="1"/>
  <c r="G8" i="30"/>
  <c r="F28" i="30"/>
  <c r="L8" i="30"/>
  <c r="L28" i="30" s="1"/>
  <c r="I8" i="30" l="1"/>
  <c r="I28" i="30" s="1"/>
  <c r="G28" i="30"/>
</calcChain>
</file>

<file path=xl/sharedStrings.xml><?xml version="1.0" encoding="utf-8"?>
<sst xmlns="http://schemas.openxmlformats.org/spreadsheetml/2006/main" count="310" uniqueCount="204">
  <si>
    <t>სამუშაოების დასახელება</t>
  </si>
  <si>
    <t>განზ</t>
  </si>
  <si>
    <t>რაოდ</t>
  </si>
  <si>
    <t>№</t>
  </si>
  <si>
    <t>ტნ</t>
  </si>
  <si>
    <t>იგივეს დამუშავება ხელით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</si>
  <si>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</si>
  <si>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გ.ნატრიაშვილი</t>
  </si>
  <si>
    <t>თავი I.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</si>
  <si>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</si>
  <si>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</si>
  <si>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საფუძვლის მოსწორება დაპროფილება</t>
  </si>
  <si>
    <r>
      <t>თხევადი ბიტუმის მოსხმა 1მ</t>
    </r>
    <r>
      <rPr>
        <vertAlign val="superscript"/>
        <sz val="10"/>
        <rFont val="Arial Cyr"/>
        <charset val="1"/>
      </rPr>
      <t>2</t>
    </r>
    <r>
      <rPr>
        <sz val="10"/>
        <rFont val="Arial Cyr"/>
        <charset val="204"/>
      </rPr>
      <t xml:space="preserve"> 600გრ</t>
    </r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</si>
  <si>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6 სმ.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</si>
  <si>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</si>
  <si>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შენიშვნა</t>
  </si>
  <si>
    <t xml:space="preserve">პკ + </t>
  </si>
  <si>
    <t>მარცხნივ</t>
  </si>
  <si>
    <t>მარჯვნივ</t>
  </si>
  <si>
    <t>სიგრძე</t>
  </si>
  <si>
    <t>მ</t>
  </si>
  <si>
    <r>
      <t>მ</t>
    </r>
    <r>
      <rPr>
        <vertAlign val="superscript"/>
        <sz val="10"/>
        <rFont val="Arial Cyr"/>
        <charset val="204"/>
      </rPr>
      <t>2</t>
    </r>
  </si>
  <si>
    <t>ადგილმდებარეობა</t>
  </si>
  <si>
    <t>1+00</t>
  </si>
  <si>
    <t>III კატეგორიის გრუნტის მოხსნა მექანიზმებით საგზაო სამოსის მოსაწყობად</t>
  </si>
  <si>
    <t>დატვირთვა ა/თვითმცლელებზე და ტრანსპორტირება 3 კმ. მანძილზე</t>
  </si>
  <si>
    <t>მიწის სამუშაოები</t>
  </si>
  <si>
    <t>საგზაო სამოსი</t>
  </si>
  <si>
    <t xml:space="preserve">გვერდულების მოწყობა ფრაქციული ღორღით 0-40 მმ. სიგანით 50 სმ. სისქით 6 სმ. </t>
  </si>
  <si>
    <t>სიგანე (გვერდულების ჩათვლით)</t>
  </si>
  <si>
    <t>ფართობი (გვერდულების ჩათვლით)</t>
  </si>
  <si>
    <t>0+00</t>
  </si>
  <si>
    <t>ჯამი:</t>
  </si>
  <si>
    <t>ქ. ხონში გურამიშვილის ქუჩის დარჩენილი მონაკვეთის გზის რეაბილიტაცია</t>
  </si>
  <si>
    <t>სიგანე</t>
  </si>
  <si>
    <r>
      <t>(მ</t>
    </r>
    <r>
      <rPr>
        <vertAlign val="superscript"/>
        <sz val="10"/>
        <rFont val="Arial Cyr"/>
      </rPr>
      <t>2</t>
    </r>
    <r>
      <rPr>
        <sz val="10"/>
        <rFont val="Arial Cyr"/>
        <charset val="204"/>
      </rPr>
      <t>)</t>
    </r>
  </si>
  <si>
    <r>
      <t>(მ</t>
    </r>
    <r>
      <rPr>
        <vertAlign val="superscript"/>
        <sz val="10"/>
        <rFont val="Arial Cyr"/>
      </rPr>
      <t>3</t>
    </r>
    <r>
      <rPr>
        <sz val="10"/>
        <rFont val="Arial Cyr"/>
        <charset val="204"/>
      </rPr>
      <t>)</t>
    </r>
  </si>
  <si>
    <t>სულ ჯამი:</t>
  </si>
  <si>
    <t>ჯამი</t>
  </si>
  <si>
    <t>ეზოებში შესასვლელების ადგილმდებარეობის და საგზაო სამოსის მოწყობის სამუშაოთა მოცულობების უწყისი</t>
  </si>
  <si>
    <t>საფუძვლის ზედა ფენის მოწყობა ფრაქციული ღორღით 0-40 მმ. სისქით 15 სმ. კ=1,26</t>
  </si>
  <si>
    <t>პკ+დან</t>
  </si>
  <si>
    <t>პკ+მდე</t>
  </si>
  <si>
    <t>miwis samuSaoebis uwyisi</t>
  </si>
  <si>
    <t xml:space="preserve">კილომეტრი / პიკტი </t>
  </si>
  <si>
    <r>
      <t>ჭრილი (მ</t>
    </r>
    <r>
      <rPr>
        <vertAlign val="superscript"/>
        <sz val="11"/>
        <rFont val="Arial Cyr"/>
        <charset val="204"/>
      </rPr>
      <t>3</t>
    </r>
    <r>
      <rPr>
        <sz val="11"/>
        <rFont val="Arial Cyr"/>
        <charset val="204"/>
      </rPr>
      <t>)</t>
    </r>
  </si>
  <si>
    <r>
      <t>ყრილი  (მ</t>
    </r>
    <r>
      <rPr>
        <vertAlign val="superscript"/>
        <sz val="11"/>
        <rFont val="Arial Cyr"/>
        <charset val="204"/>
      </rPr>
      <t>3</t>
    </r>
    <r>
      <rPr>
        <sz val="11"/>
        <rFont val="Arial Cyr"/>
        <charset val="204"/>
      </rPr>
      <t>)</t>
    </r>
  </si>
  <si>
    <t>sagzao samosis mowyobis uwyisi</t>
  </si>
  <si>
    <t>samuSaoTa moculobebis krebsiTi uwyisi</t>
  </si>
  <si>
    <t>თავი II. მიწის ვაკისი</t>
  </si>
  <si>
    <r>
      <t>მ</t>
    </r>
    <r>
      <rPr>
        <vertAlign val="superscript"/>
        <sz val="12"/>
        <color theme="1"/>
        <rFont val="Sylfaen"/>
        <family val="1"/>
        <charset val="204"/>
      </rPr>
      <t>2</t>
    </r>
  </si>
  <si>
    <r>
      <t>მ</t>
    </r>
    <r>
      <rPr>
        <vertAlign val="superscript"/>
        <sz val="12"/>
        <color theme="1"/>
        <rFont val="Sylfaen"/>
        <family val="1"/>
        <charset val="204"/>
      </rPr>
      <t>3</t>
    </r>
  </si>
  <si>
    <t>გრუნტის დამუშავება და დატვირთვა ა/თვითმცლელებზე</t>
  </si>
  <si>
    <t>გრუნტის ტრანსპორტირება 10 კმ. მანძილზე</t>
  </si>
  <si>
    <t xml:space="preserve">ტ </t>
  </si>
  <si>
    <t>მიწის ვაკისის მოსწორება დაპროფილება</t>
  </si>
  <si>
    <t xml:space="preserve">თავი III. საგზაო სამოსის მოწყობა </t>
  </si>
  <si>
    <r>
      <t>თხევადი ბიტუმის მოსხმა 1მ</t>
    </r>
    <r>
      <rPr>
        <vertAlign val="superscript"/>
        <sz val="12"/>
        <rFont val="Sylfaen"/>
        <family val="1"/>
        <charset val="204"/>
      </rPr>
      <t>2</t>
    </r>
    <r>
      <rPr>
        <sz val="12"/>
        <rFont val="Sylfaen"/>
        <family val="1"/>
        <charset val="204"/>
      </rPr>
      <t xml:space="preserve"> 600 გრ</t>
    </r>
  </si>
  <si>
    <t>ტ</t>
  </si>
  <si>
    <t>საფუძვლის მოწყობა ფრაქციული ღორღით 0-40 სისქით 15 სმ</t>
  </si>
  <si>
    <t>0+000.00</t>
  </si>
  <si>
    <t>0+020.00</t>
  </si>
  <si>
    <t>0+040.00</t>
  </si>
  <si>
    <t>0+060.00</t>
  </si>
  <si>
    <t>0+080.00</t>
  </si>
  <si>
    <t>0+100.00</t>
  </si>
  <si>
    <t>0+120.00</t>
  </si>
  <si>
    <t>0+140.00</t>
  </si>
  <si>
    <t>0+160.00</t>
  </si>
  <si>
    <t>0+180.00</t>
  </si>
  <si>
    <t>0+200.00</t>
  </si>
  <si>
    <t>0+220.00</t>
  </si>
  <si>
    <t>0+240.00</t>
  </si>
  <si>
    <t>0+260.00</t>
  </si>
  <si>
    <t>0+280.00</t>
  </si>
  <si>
    <t>0+300.00</t>
  </si>
  <si>
    <t>0+320.00</t>
  </si>
  <si>
    <t>0+340.00</t>
  </si>
  <si>
    <t>0+360.00</t>
  </si>
  <si>
    <t>0+380.00</t>
  </si>
  <si>
    <t>0+400.00</t>
  </si>
  <si>
    <t>0+420.00</t>
  </si>
  <si>
    <t>0+440.00</t>
  </si>
  <si>
    <t>0+460.00</t>
  </si>
  <si>
    <t>0+480.00</t>
  </si>
  <si>
    <t>0+500.00</t>
  </si>
  <si>
    <t>0+520.00</t>
  </si>
  <si>
    <t>0+540.00</t>
  </si>
  <si>
    <t>0+560.00</t>
  </si>
  <si>
    <t>0+580.00</t>
  </si>
  <si>
    <t>0+600.00</t>
  </si>
  <si>
    <t>0+620.00</t>
  </si>
  <si>
    <t>q. quTaisSi k. gamsaxurdias XVI SesaxvevSi s/gzis reabilitacia</t>
  </si>
  <si>
    <t>ezoSi Sesasvlelebis adgilmdebareobis da samosis mowyobis samuSaoebis uwyisi</t>
  </si>
  <si>
    <t xml:space="preserve">სიგანე </t>
  </si>
  <si>
    <t>ფართობი</t>
  </si>
  <si>
    <t xml:space="preserve">საფუძვლის მოწყობა ფრაქციული ღორღით 0-40მმ. სისქით 12 სმ. </t>
  </si>
  <si>
    <r>
      <t>თხევადი ბიტუმის მოსხმა 1მ</t>
    </r>
    <r>
      <rPr>
        <vertAlign val="superscript"/>
        <sz val="11"/>
        <rFont val="Arial Cyr"/>
        <charset val="1"/>
      </rPr>
      <t>2</t>
    </r>
    <r>
      <rPr>
        <sz val="11"/>
        <rFont val="Arial Cyr"/>
        <charset val="204"/>
      </rPr>
      <t xml:space="preserve"> 600გრ</t>
    </r>
  </si>
  <si>
    <t>საფარის მოწყობა წვრილმარცვლოვანი მკვრივი ღორღოვანი  ა/ბეტონის ცხელი ნარევით ტიპი "Б" მარკა II სისქით 5 სმ.</t>
  </si>
  <si>
    <r>
      <t>მ</t>
    </r>
    <r>
      <rPr>
        <vertAlign val="superscript"/>
        <sz val="11"/>
        <rFont val="Arial Cyr"/>
        <charset val="204"/>
      </rPr>
      <t>2</t>
    </r>
  </si>
  <si>
    <t>0+07</t>
  </si>
  <si>
    <t>0+62</t>
  </si>
  <si>
    <t>0+72</t>
  </si>
  <si>
    <t>0+87</t>
  </si>
  <si>
    <t>0+89</t>
  </si>
  <si>
    <t>1+22</t>
  </si>
  <si>
    <t>1+30</t>
  </si>
  <si>
    <t>1+32</t>
  </si>
  <si>
    <t>1+41</t>
  </si>
  <si>
    <t>1+57</t>
  </si>
  <si>
    <t>1+63</t>
  </si>
  <si>
    <t>1+78</t>
  </si>
  <si>
    <t>1+91</t>
  </si>
  <si>
    <t>1+92</t>
  </si>
  <si>
    <t>2+00</t>
  </si>
  <si>
    <t>2+06</t>
  </si>
  <si>
    <t>2+08</t>
  </si>
  <si>
    <t>2+16</t>
  </si>
  <si>
    <t>2+27</t>
  </si>
  <si>
    <t>2+87</t>
  </si>
  <si>
    <t>3+87</t>
  </si>
  <si>
    <t>2+90</t>
  </si>
  <si>
    <t>3+03</t>
  </si>
  <si>
    <t>3+27</t>
  </si>
  <si>
    <t>3+48</t>
  </si>
  <si>
    <t>3+69</t>
  </si>
  <si>
    <t>3+70</t>
  </si>
  <si>
    <t>4+10</t>
  </si>
  <si>
    <t>4+24</t>
  </si>
  <si>
    <t>5+25</t>
  </si>
  <si>
    <t>4+40</t>
  </si>
  <si>
    <t>4+46</t>
  </si>
  <si>
    <t>4+59</t>
  </si>
  <si>
    <t>4+72</t>
  </si>
  <si>
    <t>4+79</t>
  </si>
  <si>
    <t>4+22</t>
  </si>
  <si>
    <t>5+04</t>
  </si>
  <si>
    <t>5+05</t>
  </si>
  <si>
    <t>5+18</t>
  </si>
  <si>
    <t>5+58</t>
  </si>
  <si>
    <t>6+32</t>
  </si>
  <si>
    <t>ანაკრები რკ/ბეტონის სანიაღვრე არხის მოწყობის ადგილმდებარეობის და სამუშაოთა მოცულობების უწყისი</t>
  </si>
  <si>
    <t>პკ + დან</t>
  </si>
  <si>
    <t>პკ + მდე</t>
  </si>
  <si>
    <t>საპროექტო სანიაღვრე არხის სიგრძე</t>
  </si>
  <si>
    <t>ტრანსპორტირება 10 კმ მანძილზე</t>
  </si>
  <si>
    <t xml:space="preserve"> გრუნტის ტრანსპორტირება 10 კმ. მანძილზე</t>
  </si>
  <si>
    <t>ქვიშა-ხრეშოვანი  ფენის მოწყობა სანიაღვრე არხისქვეშ სისქით 10 სმ</t>
  </si>
  <si>
    <t>რკ/ბეტონის ანაკრები სანიაღვრე არხის მოწყობა შიდა კვეთის ზომით 0.4*0.4მ</t>
  </si>
  <si>
    <t>სიცარიელების შევსევა ქვიშა–ხრეშოვანი ნარევით</t>
  </si>
  <si>
    <t>გადაკვეთაზე</t>
  </si>
  <si>
    <t>გრძ/მ</t>
  </si>
  <si>
    <t>3+59</t>
  </si>
  <si>
    <t>სამუშაოს დასახელება</t>
  </si>
  <si>
    <t>ლითონის ცხაურების ადგილმდებარეობის უწყისი</t>
  </si>
  <si>
    <t>ადგილმდებარეობა     პკ+</t>
  </si>
  <si>
    <t>საპროექტო ცხაურის სიგრძე</t>
  </si>
  <si>
    <t>კუთხოვანა 70x70x5მ</t>
  </si>
  <si>
    <t>გადაკვეთა</t>
  </si>
  <si>
    <t>კგ</t>
  </si>
  <si>
    <t>საგზაო სამოსის ქვედა ფენის მოწყობა მსხვილმარცვლოვანი ფოროვან ღორღოვანი  ა/ბეტონის ცხელი ნარევით მარკა II სისქით 5 სმ.</t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</si>
  <si>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</si>
  <si>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r>
      <t>(მ</t>
    </r>
    <r>
      <rPr>
        <vertAlign val="superscript"/>
        <sz val="10"/>
        <rFont val="Arial Cyr"/>
      </rPr>
      <t>2</t>
    </r>
    <r>
      <rPr>
        <sz val="10"/>
        <rFont val="Arial Cyr"/>
        <charset val="204"/>
      </rPr>
      <t>)</t>
    </r>
  </si>
  <si>
    <r>
      <t>(მ</t>
    </r>
    <r>
      <rPr>
        <vertAlign val="superscript"/>
        <sz val="10"/>
        <rFont val="Arial Cyr"/>
      </rPr>
      <t>3</t>
    </r>
    <r>
      <rPr>
        <sz val="10"/>
        <rFont val="Arial Cyr"/>
        <charset val="204"/>
      </rPr>
      <t>)</t>
    </r>
  </si>
  <si>
    <r>
      <t>თხევადი ბიტუმის მოსხმა 1მ</t>
    </r>
    <r>
      <rPr>
        <vertAlign val="superscript"/>
        <sz val="10"/>
        <rFont val="Arial Cyr"/>
      </rPr>
      <t>2</t>
    </r>
    <r>
      <rPr>
        <sz val="10"/>
        <rFont val="Arial Cyr"/>
      </rPr>
      <t xml:space="preserve"> 300გრ</t>
    </r>
  </si>
  <si>
    <r>
      <t>თხევადი ბიტუმის მოსხმა 1მ</t>
    </r>
    <r>
      <rPr>
        <vertAlign val="superscript"/>
        <sz val="10"/>
        <rFont val="Arial Cyr"/>
      </rPr>
      <t>2</t>
    </r>
    <r>
      <rPr>
        <sz val="10"/>
        <rFont val="Arial Cyr"/>
      </rPr>
      <t xml:space="preserve"> 600 გრ</t>
    </r>
  </si>
  <si>
    <t xml:space="preserve">საფუძველი ფრაქციული ღორღი 0-40 მმ სისქით 15 სმ  კ=1,26 </t>
  </si>
  <si>
    <t>საგზაო სამოსის ზედა ფენის მოწყობა წვრილმარცვლოვანი მკვრივი ღორღოვანი  ა/ბეტონის ცხელი ნარევი ტიპი "Б" მარკა II სისქით 3 სმ</t>
  </si>
  <si>
    <t xml:space="preserve">გრუნტის დამუშავება მექანიზმებით საგზაო სამოსის მოსაწყობად </t>
  </si>
  <si>
    <t>დამუშავება და დატვირთვა ა/თვითმცლელებზე</t>
  </si>
  <si>
    <t>საფარის მოწყობა წვრილმარცვლოვანი მკვრივი ღორღოვანი  ა/ბეტონის ცხელი ნარევით ტიპი "Б" მარკა II სისქით 5</t>
  </si>
  <si>
    <t>თავი IV. ეზოში შესასვლელების მოწყობა</t>
  </si>
  <si>
    <t xml:space="preserve">გრუნტის მოჭრა მექანიზმებით </t>
  </si>
  <si>
    <t>საფუძვლის  მოწყობა ფრაქციული ღორღით 0-40 სისქით 12 სმ</t>
  </si>
  <si>
    <t>სამოსის მოწყობა</t>
  </si>
  <si>
    <t>გრუნტის მოჭრა მექანიზმებით</t>
  </si>
  <si>
    <t>თავი VII. ხელოვნური ნაგებობების მოწყობა</t>
  </si>
  <si>
    <r>
      <t>მ</t>
    </r>
    <r>
      <rPr>
        <vertAlign val="superscript"/>
        <sz val="12"/>
        <color rgb="FF000000"/>
        <rFont val="Sylfaen"/>
        <family val="1"/>
        <charset val="204"/>
      </rPr>
      <t>3</t>
    </r>
  </si>
  <si>
    <t>გრუნტის ტრანსპორტირება 10 კმ მანძილზე</t>
  </si>
  <si>
    <t>ქვიშა-ხრეშოვანი  ფენის მოწყობა სანიაღვრე არხის ქვეშ სისქით 10 სმ</t>
  </si>
  <si>
    <t xml:space="preserve">ანაკრები რკ/ბეტონის სანიაღვრე არხის მოწყობა შიდა კვეთის ზომით 0.4*0.4მ </t>
  </si>
  <si>
    <t>ლითონის ცხაურების მოწყობა</t>
  </si>
  <si>
    <t xml:space="preserve">სანიაღვრე არხზე ლითონის ცხაურების მოწყობა </t>
  </si>
  <si>
    <t>კუთხოვანა 70x70x5სმ</t>
  </si>
  <si>
    <t>გრუნტის დამუშავება ექსკავატორით</t>
  </si>
  <si>
    <t xml:space="preserve"> გრუნტის დამუშავება ექსკავატორით</t>
  </si>
  <si>
    <t>არსებული სათვალთვალო ჭების ადგილმდებარეობის უწყისი</t>
  </si>
  <si>
    <t>ჭის №</t>
  </si>
  <si>
    <t>რაოდენობა</t>
  </si>
  <si>
    <t>დასახელება</t>
  </si>
  <si>
    <t>საპროექტო გადაწყვეტა</t>
  </si>
  <si>
    <r>
      <t>ბეტონი B25 კლასის  (მ</t>
    </r>
    <r>
      <rPr>
        <vertAlign val="superscript"/>
        <sz val="10"/>
        <rFont val="Arial Cyr"/>
      </rPr>
      <t>3</t>
    </r>
    <r>
      <rPr>
        <sz val="10"/>
        <rFont val="Arial Cyr"/>
        <charset val="204"/>
      </rPr>
      <t>)</t>
    </r>
  </si>
  <si>
    <t>№1</t>
  </si>
  <si>
    <t>საკომუნიკაციო ჭა</t>
  </si>
  <si>
    <t>ც</t>
  </si>
  <si>
    <t>ბეტონი B25; F200; W6</t>
  </si>
  <si>
    <r>
      <t>მ</t>
    </r>
    <r>
      <rPr>
        <vertAlign val="superscript"/>
        <sz val="12"/>
        <color rgb="FF000000"/>
        <rFont val="Sylfaen"/>
        <family val="1"/>
      </rPr>
      <t>3</t>
    </r>
  </si>
  <si>
    <t>2. არსებული ჭების გასწორება</t>
  </si>
  <si>
    <r>
      <t>თხევადი ბიტუმის მოსხმა 1მ</t>
    </r>
    <r>
      <rPr>
        <vertAlign val="superscript"/>
        <sz val="12"/>
        <rFont val="Sylfaen"/>
        <family val="1"/>
        <charset val="204"/>
      </rPr>
      <t>2</t>
    </r>
    <r>
      <rPr>
        <sz val="12"/>
        <rFont val="Sylfaen"/>
        <family val="1"/>
        <charset val="204"/>
      </rPr>
      <t xml:space="preserve"> 300 გრ</t>
    </r>
  </si>
  <si>
    <t>საგზაო სამოსის ზედა ფენის მოწყობა წვრილმარცვლოვანი მკვრივი ღორღოვანი  ა/ბეტონის ცხელი ნარევით ტიპი "Б" მარკა II სისქით 3 სმ.</t>
  </si>
  <si>
    <t>1.  პკ 3+59 გადამკვეთი ანაკრები რკ/ბეტონის სანიაღვრე არხის მოწყობა ლითონის ცხაურით</t>
  </si>
  <si>
    <t>გვერდულების მოწყობა გზის ორივე მხარეს. ქვიშა-ხრეშოვანი ნარევით სიგანით 50 სმ. კ=1.22</t>
  </si>
  <si>
    <t>გვერდულები გზის ორივე მხარეს. ქვიშა-ხრეშოვანი ნარევით სიგანით 50 სმ.   კ=1.22</t>
  </si>
  <si>
    <t>არსებული ჭის თავის დემონტაჟი, ბეტონის მონგრევა სანგრევი ჩაქუჩებით, მონტაჟი და გასწორება საპროექტო ნიშნულზე მონოლითური B25 კლასის ბეტონით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</si>
</sst>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37">
    <font>
      <sz val="10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0"/>
      <name val="Arial Cyr"/>
      <charset val="1"/>
    </font>
    <font>
      <vertAlign val="superscript"/>
      <sz val="10"/>
      <name val="Arial Cyr"/>
    </font>
    <font>
      <b/>
      <sz val="12"/>
      <name val="Arial Cyr"/>
    </font>
    <font>
      <sz val="11"/>
      <color theme="1"/>
      <name val="Calibri"/>
      <family val="2"/>
      <charset val="204"/>
      <scheme val="minor"/>
    </font>
    <font>
      <vertAlign val="superscript"/>
      <sz val="10"/>
      <name val="Arial Cyr"/>
      <charset val="204"/>
    </font>
    <font>
      <b/>
      <sz val="12"/>
      <name val="AcadMtavr"/>
    </font>
    <font>
      <sz val="12"/>
      <name val="Arial Cyr"/>
      <charset val="204"/>
    </font>
    <font>
      <vertAlign val="superscript"/>
      <sz val="11"/>
      <name val="Arial Cyr"/>
      <charset val="204"/>
    </font>
    <font>
      <b/>
      <sz val="10"/>
      <name val="Arial Cyr"/>
      <charset val="204"/>
    </font>
    <font>
      <b/>
      <sz val="12"/>
      <color theme="1"/>
      <name val="AcadMtavr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vertAlign val="superscript"/>
      <sz val="12"/>
      <color theme="1"/>
      <name val="Sylfaen"/>
      <family val="1"/>
      <charset val="204"/>
    </font>
    <font>
      <vertAlign val="superscript"/>
      <sz val="12"/>
      <name val="Sylfaen"/>
      <family val="1"/>
      <charset val="204"/>
    </font>
    <font>
      <sz val="11"/>
      <color theme="1"/>
      <name val="AcadMtavr"/>
    </font>
    <font>
      <sz val="12"/>
      <name val="Sylfaen"/>
      <family val="1"/>
    </font>
    <font>
      <sz val="11"/>
      <name val="Verdana"/>
      <family val="2"/>
      <charset val="204"/>
    </font>
    <font>
      <b/>
      <sz val="11"/>
      <name val="Verdana"/>
      <family val="2"/>
      <charset val="204"/>
    </font>
    <font>
      <sz val="12"/>
      <color theme="1"/>
      <name val="AcadMtavr"/>
    </font>
    <font>
      <sz val="11"/>
      <name val="Arial"/>
      <family val="2"/>
      <charset val="204"/>
    </font>
    <font>
      <sz val="10"/>
      <name val="Arial Cyr"/>
    </font>
    <font>
      <vertAlign val="superscript"/>
      <sz val="11"/>
      <name val="Arial Cyr"/>
      <charset val="1"/>
    </font>
    <font>
      <b/>
      <sz val="11"/>
      <name val="Arial Cyr"/>
    </font>
    <font>
      <b/>
      <sz val="11"/>
      <name val="AcadMtavr"/>
    </font>
    <font>
      <b/>
      <sz val="10"/>
      <name val="Arial Cy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vertAlign val="superscript"/>
      <sz val="12"/>
      <color rgb="FF000000"/>
      <name val="Sylfaen"/>
      <family val="1"/>
      <charset val="204"/>
    </font>
    <font>
      <b/>
      <sz val="11"/>
      <color theme="1"/>
      <name val="AcadMtavr"/>
    </font>
    <font>
      <b/>
      <sz val="11"/>
      <color theme="1"/>
      <name val="Arial"/>
      <family val="2"/>
    </font>
    <font>
      <sz val="12"/>
      <name val="Arial"/>
      <family val="2"/>
      <charset val="204"/>
    </font>
    <font>
      <vertAlign val="superscript"/>
      <sz val="12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justify"/>
    </xf>
    <xf numFmtId="0" fontId="0" fillId="0" borderId="1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" xfId="0" applyFill="1" applyBorder="1" applyAlignment="1">
      <alignment vertical="justify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2" fontId="0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 textRotation="90" wrapText="1"/>
    </xf>
    <xf numFmtId="2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2" fontId="0" fillId="0" borderId="0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justify"/>
    </xf>
    <xf numFmtId="164" fontId="14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1" xfId="0" applyFont="1" applyFill="1" applyBorder="1" applyAlignment="1">
      <alignment horizontal="left" vertical="justify"/>
    </xf>
    <xf numFmtId="166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justify" wrapText="1"/>
    </xf>
    <xf numFmtId="0" fontId="15" fillId="2" borderId="1" xfId="0" applyFont="1" applyFill="1" applyBorder="1" applyAlignment="1">
      <alignment horizontal="center" vertical="justify"/>
    </xf>
    <xf numFmtId="0" fontId="6" fillId="0" borderId="0" xfId="0" applyFont="1"/>
    <xf numFmtId="0" fontId="10" fillId="0" borderId="0" xfId="0" applyFont="1" applyFill="1"/>
    <xf numFmtId="0" fontId="14" fillId="0" borderId="0" xfId="0" applyFont="1" applyAlignment="1">
      <alignment vertical="center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2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6" fontId="26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28" fillId="0" borderId="1" xfId="0" applyFont="1" applyBorder="1" applyAlignment="1">
      <alignment horizontal="center"/>
    </xf>
    <xf numFmtId="0" fontId="30" fillId="0" borderId="7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/>
    </xf>
    <xf numFmtId="166" fontId="28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vertical="justify"/>
    </xf>
    <xf numFmtId="164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justify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166" fontId="14" fillId="0" borderId="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2" fontId="35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3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24" fillId="0" borderId="5" xfId="0" applyNumberFormat="1" applyFont="1" applyFill="1" applyBorder="1" applyAlignment="1">
      <alignment horizontal="center" vertical="center" wrapText="1"/>
    </xf>
    <xf numFmtId="2" fontId="24" fillId="0" borderId="4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28</xdr:row>
      <xdr:rowOff>123825</xdr:rowOff>
    </xdr:from>
    <xdr:to>
      <xdr:col>7</xdr:col>
      <xdr:colOff>504825</xdr:colOff>
      <xdr:row>35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7534275"/>
          <a:ext cx="1752600" cy="1304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1276350</xdr:colOff>
      <xdr:row>0</xdr:row>
      <xdr:rowOff>0</xdr:rowOff>
    </xdr:from>
    <xdr:to>
      <xdr:col>1</xdr:col>
      <xdr:colOff>1276350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286625"/>
          <a:ext cx="1752600" cy="13049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1276350</xdr:colOff>
      <xdr:row>20</xdr:row>
      <xdr:rowOff>0</xdr:rowOff>
    </xdr:from>
    <xdr:ext cx="0" cy="956980"/>
    <xdr:pic>
      <xdr:nvPicPr>
        <xdr:cNvPr id="4" name="Picture 3">
          <a:extLst>
            <a:ext uri="{FF2B5EF4-FFF2-40B4-BE49-F238E27FC236}">
              <a16:creationId xmlns:a16="http://schemas.microsoft.com/office/drawing/2014/main" xmlns="" id="{5CB22CC9-0431-4FA1-BFF9-3D70B92B92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7860625"/>
          <a:ext cx="0" cy="95698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1276350</xdr:colOff>
      <xdr:row>20</xdr:row>
      <xdr:rowOff>0</xdr:rowOff>
    </xdr:from>
    <xdr:ext cx="0" cy="956980"/>
    <xdr:pic>
      <xdr:nvPicPr>
        <xdr:cNvPr id="5" name="Picture 4">
          <a:extLst>
            <a:ext uri="{FF2B5EF4-FFF2-40B4-BE49-F238E27FC236}">
              <a16:creationId xmlns:a16="http://schemas.microsoft.com/office/drawing/2014/main" xmlns="" id="{66996E35-692A-4C27-9C49-8A099F4968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9232225"/>
          <a:ext cx="0" cy="956980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1276350</xdr:colOff>
      <xdr:row>42</xdr:row>
      <xdr:rowOff>0</xdr:rowOff>
    </xdr:from>
    <xdr:ext cx="0" cy="956980"/>
    <xdr:pic>
      <xdr:nvPicPr>
        <xdr:cNvPr id="6" name="Picture 5">
          <a:extLst>
            <a:ext uri="{FF2B5EF4-FFF2-40B4-BE49-F238E27FC236}">
              <a16:creationId xmlns:a16="http://schemas.microsoft.com/office/drawing/2014/main" xmlns="" id="{38059395-3F8C-4CFA-A06D-7B4851E480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25803225"/>
          <a:ext cx="0" cy="95698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Normal="100" zoomScaleSheetLayoutView="100" workbookViewId="0">
      <selection activeCell="D19" sqref="D19"/>
    </sheetView>
  </sheetViews>
  <sheetFormatPr defaultColWidth="9.109375" defaultRowHeight="15"/>
  <cols>
    <col min="1" max="1" width="8.33203125" style="58" customWidth="1"/>
    <col min="2" max="2" width="30.109375" style="57" customWidth="1"/>
    <col min="3" max="3" width="26" style="59" customWidth="1"/>
    <col min="4" max="4" width="24" style="52" customWidth="1"/>
    <col min="5" max="5" width="19.33203125" style="59" customWidth="1"/>
    <col min="6" max="16384" width="9.109375" style="49"/>
  </cols>
  <sheetData>
    <row r="1" spans="1:5" ht="25.5" customHeight="1">
      <c r="A1" s="176" t="s">
        <v>92</v>
      </c>
      <c r="B1" s="176"/>
      <c r="C1" s="176"/>
      <c r="D1" s="176"/>
      <c r="E1" s="176"/>
    </row>
    <row r="2" spans="1:5" ht="15" customHeight="1">
      <c r="A2" s="176" t="s">
        <v>43</v>
      </c>
      <c r="B2" s="176"/>
      <c r="C2" s="176"/>
      <c r="D2" s="176"/>
      <c r="E2" s="176"/>
    </row>
    <row r="3" spans="1:5" ht="15.6">
      <c r="A3" s="177"/>
      <c r="B3" s="177"/>
      <c r="C3" s="177"/>
      <c r="D3" s="177"/>
      <c r="E3" s="177"/>
    </row>
    <row r="4" spans="1:5" ht="31.5" customHeight="1">
      <c r="A4" s="50"/>
      <c r="B4" s="51"/>
      <c r="C4" s="50"/>
      <c r="D4" s="50"/>
      <c r="E4" s="50"/>
    </row>
    <row r="5" spans="1:5">
      <c r="A5" s="175" t="s">
        <v>3</v>
      </c>
      <c r="B5" s="175" t="s">
        <v>44</v>
      </c>
      <c r="C5" s="175" t="s">
        <v>45</v>
      </c>
      <c r="D5" s="178" t="s">
        <v>46</v>
      </c>
      <c r="E5" s="175" t="s">
        <v>15</v>
      </c>
    </row>
    <row r="6" spans="1:5">
      <c r="A6" s="175"/>
      <c r="B6" s="175"/>
      <c r="C6" s="175"/>
      <c r="D6" s="178"/>
      <c r="E6" s="175"/>
    </row>
    <row r="7" spans="1:5" s="52" customFormat="1">
      <c r="A7" s="79">
        <v>1</v>
      </c>
      <c r="B7" s="79">
        <v>2</v>
      </c>
      <c r="C7" s="79">
        <v>4</v>
      </c>
      <c r="D7" s="79">
        <v>5</v>
      </c>
      <c r="E7" s="79">
        <v>6</v>
      </c>
    </row>
    <row r="8" spans="1:5">
      <c r="A8" s="83">
        <v>1</v>
      </c>
      <c r="B8" s="89" t="s">
        <v>60</v>
      </c>
      <c r="C8" s="88">
        <v>0</v>
      </c>
      <c r="D8" s="88"/>
      <c r="E8" s="80"/>
    </row>
    <row r="9" spans="1:5">
      <c r="A9" s="83">
        <f t="shared" ref="A9:A39" si="0">A8+1</f>
        <v>2</v>
      </c>
      <c r="B9" s="89" t="s">
        <v>61</v>
      </c>
      <c r="C9" s="88">
        <v>33.61</v>
      </c>
      <c r="D9" s="88"/>
      <c r="E9" s="80"/>
    </row>
    <row r="10" spans="1:5">
      <c r="A10" s="83">
        <f t="shared" si="0"/>
        <v>3</v>
      </c>
      <c r="B10" s="89" t="s">
        <v>62</v>
      </c>
      <c r="C10" s="88">
        <v>9.19</v>
      </c>
      <c r="D10" s="88"/>
      <c r="E10" s="80"/>
    </row>
    <row r="11" spans="1:5">
      <c r="A11" s="83">
        <f t="shared" si="0"/>
        <v>4</v>
      </c>
      <c r="B11" s="89" t="s">
        <v>63</v>
      </c>
      <c r="C11" s="88">
        <v>7.84</v>
      </c>
      <c r="D11" s="88"/>
      <c r="E11" s="80"/>
    </row>
    <row r="12" spans="1:5">
      <c r="A12" s="83">
        <f t="shared" si="0"/>
        <v>5</v>
      </c>
      <c r="B12" s="89" t="s">
        <v>64</v>
      </c>
      <c r="C12" s="88">
        <v>3.89</v>
      </c>
      <c r="D12" s="88"/>
      <c r="E12" s="80"/>
    </row>
    <row r="13" spans="1:5" s="85" customFormat="1">
      <c r="A13" s="84">
        <f t="shared" si="0"/>
        <v>6</v>
      </c>
      <c r="B13" s="89" t="s">
        <v>65</v>
      </c>
      <c r="C13" s="88">
        <v>1.75</v>
      </c>
      <c r="D13" s="88"/>
      <c r="E13" s="80"/>
    </row>
    <row r="14" spans="1:5" s="85" customFormat="1">
      <c r="A14" s="84">
        <f t="shared" si="0"/>
        <v>7</v>
      </c>
      <c r="B14" s="89" t="s">
        <v>66</v>
      </c>
      <c r="C14" s="88">
        <v>8.8000000000000007</v>
      </c>
      <c r="D14" s="88"/>
      <c r="E14" s="80"/>
    </row>
    <row r="15" spans="1:5" s="85" customFormat="1">
      <c r="A15" s="84">
        <f t="shared" si="0"/>
        <v>8</v>
      </c>
      <c r="B15" s="89" t="s">
        <v>67</v>
      </c>
      <c r="C15" s="88">
        <v>20.93</v>
      </c>
      <c r="D15" s="88"/>
      <c r="E15" s="80"/>
    </row>
    <row r="16" spans="1:5" s="85" customFormat="1">
      <c r="A16" s="84">
        <f t="shared" si="0"/>
        <v>9</v>
      </c>
      <c r="B16" s="89" t="s">
        <v>68</v>
      </c>
      <c r="C16" s="88">
        <v>28.28</v>
      </c>
      <c r="D16" s="88"/>
      <c r="E16" s="80"/>
    </row>
    <row r="17" spans="1:5" s="85" customFormat="1">
      <c r="A17" s="84">
        <f t="shared" si="0"/>
        <v>10</v>
      </c>
      <c r="B17" s="89" t="s">
        <v>69</v>
      </c>
      <c r="C17" s="88">
        <v>28.5</v>
      </c>
      <c r="D17" s="88"/>
      <c r="E17" s="80"/>
    </row>
    <row r="18" spans="1:5" s="85" customFormat="1">
      <c r="A18" s="84">
        <f t="shared" si="0"/>
        <v>11</v>
      </c>
      <c r="B18" s="89" t="s">
        <v>70</v>
      </c>
      <c r="C18" s="88">
        <v>24</v>
      </c>
      <c r="D18" s="88"/>
      <c r="E18" s="80"/>
    </row>
    <row r="19" spans="1:5" s="85" customFormat="1">
      <c r="A19" s="84">
        <f t="shared" si="0"/>
        <v>12</v>
      </c>
      <c r="B19" s="89" t="s">
        <v>71</v>
      </c>
      <c r="C19" s="88">
        <v>16.05</v>
      </c>
      <c r="D19" s="88"/>
      <c r="E19" s="80"/>
    </row>
    <row r="20" spans="1:5" s="85" customFormat="1">
      <c r="A20" s="84">
        <f t="shared" si="0"/>
        <v>13</v>
      </c>
      <c r="B20" s="89" t="s">
        <v>72</v>
      </c>
      <c r="C20" s="88">
        <v>15.79</v>
      </c>
      <c r="D20" s="88"/>
      <c r="E20" s="80"/>
    </row>
    <row r="21" spans="1:5" s="85" customFormat="1">
      <c r="A21" s="84">
        <f t="shared" si="0"/>
        <v>14</v>
      </c>
      <c r="B21" s="89" t="s">
        <v>73</v>
      </c>
      <c r="C21" s="88">
        <v>19.489999999999998</v>
      </c>
      <c r="D21" s="88"/>
      <c r="E21" s="80"/>
    </row>
    <row r="22" spans="1:5" s="85" customFormat="1">
      <c r="A22" s="84">
        <f t="shared" si="0"/>
        <v>15</v>
      </c>
      <c r="B22" s="89" t="s">
        <v>74</v>
      </c>
      <c r="C22" s="88">
        <v>22.98</v>
      </c>
      <c r="D22" s="88"/>
      <c r="E22" s="80"/>
    </row>
    <row r="23" spans="1:5" s="85" customFormat="1">
      <c r="A23" s="84">
        <f t="shared" si="0"/>
        <v>16</v>
      </c>
      <c r="B23" s="89" t="s">
        <v>75</v>
      </c>
      <c r="C23" s="88">
        <v>26.87</v>
      </c>
      <c r="D23" s="88"/>
      <c r="E23" s="80"/>
    </row>
    <row r="24" spans="1:5" s="85" customFormat="1">
      <c r="A24" s="84">
        <f t="shared" si="0"/>
        <v>17</v>
      </c>
      <c r="B24" s="89" t="s">
        <v>76</v>
      </c>
      <c r="C24" s="88">
        <v>19.05</v>
      </c>
      <c r="D24" s="88"/>
      <c r="E24" s="80"/>
    </row>
    <row r="25" spans="1:5" s="85" customFormat="1">
      <c r="A25" s="84">
        <f t="shared" si="0"/>
        <v>18</v>
      </c>
      <c r="B25" s="89" t="s">
        <v>77</v>
      </c>
      <c r="C25" s="88">
        <v>10.19</v>
      </c>
      <c r="D25" s="88"/>
      <c r="E25" s="80"/>
    </row>
    <row r="26" spans="1:5" s="85" customFormat="1">
      <c r="A26" s="84">
        <f t="shared" si="0"/>
        <v>19</v>
      </c>
      <c r="B26" s="89" t="s">
        <v>78</v>
      </c>
      <c r="C26" s="88">
        <v>9.25</v>
      </c>
      <c r="D26" s="88"/>
      <c r="E26" s="80"/>
    </row>
    <row r="27" spans="1:5" s="85" customFormat="1">
      <c r="A27" s="84">
        <f t="shared" si="0"/>
        <v>20</v>
      </c>
      <c r="B27" s="89" t="s">
        <v>79</v>
      </c>
      <c r="C27" s="88">
        <v>11.65</v>
      </c>
      <c r="D27" s="88"/>
      <c r="E27" s="80"/>
    </row>
    <row r="28" spans="1:5" s="85" customFormat="1">
      <c r="A28" s="84">
        <f t="shared" si="0"/>
        <v>21</v>
      </c>
      <c r="B28" s="89" t="s">
        <v>80</v>
      </c>
      <c r="C28" s="88">
        <v>13.01</v>
      </c>
      <c r="D28" s="88"/>
      <c r="E28" s="80"/>
    </row>
    <row r="29" spans="1:5" s="85" customFormat="1">
      <c r="A29" s="84">
        <f t="shared" si="0"/>
        <v>22</v>
      </c>
      <c r="B29" s="89" t="s">
        <v>81</v>
      </c>
      <c r="C29" s="88">
        <v>10.5</v>
      </c>
      <c r="D29" s="88"/>
      <c r="E29" s="80"/>
    </row>
    <row r="30" spans="1:5" s="85" customFormat="1">
      <c r="A30" s="84">
        <f t="shared" si="0"/>
        <v>23</v>
      </c>
      <c r="B30" s="89" t="s">
        <v>82</v>
      </c>
      <c r="C30" s="88">
        <v>4.74</v>
      </c>
      <c r="D30" s="88"/>
      <c r="E30" s="80"/>
    </row>
    <row r="31" spans="1:5" s="85" customFormat="1">
      <c r="A31" s="84">
        <f t="shared" si="0"/>
        <v>24</v>
      </c>
      <c r="B31" s="89" t="s">
        <v>83</v>
      </c>
      <c r="C31" s="88">
        <v>2.2200000000000002</v>
      </c>
      <c r="D31" s="88"/>
      <c r="E31" s="80"/>
    </row>
    <row r="32" spans="1:5" s="85" customFormat="1">
      <c r="A32" s="84">
        <f t="shared" si="0"/>
        <v>25</v>
      </c>
      <c r="B32" s="89" t="s">
        <v>84</v>
      </c>
      <c r="C32" s="88">
        <v>4.3899999999999997</v>
      </c>
      <c r="D32" s="88"/>
      <c r="E32" s="80"/>
    </row>
    <row r="33" spans="1:5" s="85" customFormat="1">
      <c r="A33" s="84">
        <f t="shared" si="0"/>
        <v>26</v>
      </c>
      <c r="B33" s="89" t="s">
        <v>85</v>
      </c>
      <c r="C33" s="88">
        <v>4.28</v>
      </c>
      <c r="D33" s="88"/>
      <c r="E33" s="80"/>
    </row>
    <row r="34" spans="1:5" s="85" customFormat="1">
      <c r="A34" s="84">
        <f t="shared" si="0"/>
        <v>27</v>
      </c>
      <c r="B34" s="89" t="s">
        <v>86</v>
      </c>
      <c r="C34" s="88">
        <v>8.11</v>
      </c>
      <c r="D34" s="88"/>
      <c r="E34" s="80"/>
    </row>
    <row r="35" spans="1:5" s="85" customFormat="1">
      <c r="A35" s="84">
        <f t="shared" si="0"/>
        <v>28</v>
      </c>
      <c r="B35" s="89" t="s">
        <v>87</v>
      </c>
      <c r="C35" s="88">
        <v>16.170000000000002</v>
      </c>
      <c r="D35" s="88"/>
      <c r="E35" s="80"/>
    </row>
    <row r="36" spans="1:5" s="85" customFormat="1">
      <c r="A36" s="84">
        <f t="shared" si="0"/>
        <v>29</v>
      </c>
      <c r="B36" s="89" t="s">
        <v>88</v>
      </c>
      <c r="C36" s="88">
        <v>16.489999999999998</v>
      </c>
      <c r="D36" s="88"/>
      <c r="E36" s="80"/>
    </row>
    <row r="37" spans="1:5" s="85" customFormat="1">
      <c r="A37" s="84">
        <f t="shared" si="0"/>
        <v>30</v>
      </c>
      <c r="B37" s="89" t="s">
        <v>89</v>
      </c>
      <c r="C37" s="88">
        <v>16.18</v>
      </c>
      <c r="D37" s="88"/>
      <c r="E37" s="80"/>
    </row>
    <row r="38" spans="1:5" s="85" customFormat="1">
      <c r="A38" s="84">
        <f t="shared" si="0"/>
        <v>31</v>
      </c>
      <c r="B38" s="89" t="s">
        <v>90</v>
      </c>
      <c r="C38" s="88">
        <v>17</v>
      </c>
      <c r="D38" s="88"/>
      <c r="E38" s="80"/>
    </row>
    <row r="39" spans="1:5" s="85" customFormat="1">
      <c r="A39" s="84">
        <f t="shared" si="0"/>
        <v>32</v>
      </c>
      <c r="B39" s="89" t="s">
        <v>91</v>
      </c>
      <c r="C39" s="88">
        <v>8.75</v>
      </c>
      <c r="D39" s="88"/>
      <c r="E39" s="80"/>
    </row>
    <row r="40" spans="1:5" s="53" customFormat="1" ht="13.8">
      <c r="A40" s="79"/>
      <c r="B40" s="81" t="s">
        <v>38</v>
      </c>
      <c r="C40" s="82">
        <f>SUM(C8:C39)</f>
        <v>439.95</v>
      </c>
      <c r="D40" s="82">
        <f>SUM(D8:D39)</f>
        <v>0</v>
      </c>
      <c r="E40" s="82">
        <f>SUM(E8:E12)</f>
        <v>0</v>
      </c>
    </row>
    <row r="41" spans="1:5" s="57" customFormat="1">
      <c r="A41" s="54"/>
      <c r="B41" s="55"/>
      <c r="C41" s="56"/>
      <c r="D41" s="56"/>
      <c r="E41" s="56"/>
    </row>
    <row r="42" spans="1:5" s="57" customFormat="1">
      <c r="A42" s="54"/>
      <c r="B42" s="55"/>
      <c r="C42" s="56"/>
      <c r="D42" s="56"/>
      <c r="E42" s="56"/>
    </row>
    <row r="43" spans="1:5" s="57" customFormat="1">
      <c r="A43" s="54"/>
      <c r="B43" s="55"/>
      <c r="C43" s="56"/>
      <c r="D43" s="56"/>
      <c r="E43" s="56"/>
    </row>
    <row r="44" spans="1:5" s="57" customFormat="1">
      <c r="A44" s="54"/>
      <c r="B44" s="55"/>
      <c r="C44" s="56"/>
      <c r="D44" s="56"/>
      <c r="E44" s="56"/>
    </row>
    <row r="45" spans="1:5" s="57" customFormat="1">
      <c r="A45" s="54"/>
      <c r="B45" s="55"/>
      <c r="C45" s="56"/>
      <c r="D45" s="56"/>
      <c r="E45" s="56"/>
    </row>
    <row r="46" spans="1:5" s="57" customFormat="1">
      <c r="A46" s="54"/>
      <c r="B46" s="55"/>
      <c r="C46" s="56"/>
      <c r="D46" s="56"/>
      <c r="E46" s="56"/>
    </row>
    <row r="47" spans="1:5" s="57" customFormat="1">
      <c r="A47" s="54"/>
      <c r="B47" s="55"/>
      <c r="C47" s="56"/>
      <c r="D47" s="56"/>
      <c r="E47" s="56"/>
    </row>
    <row r="48" spans="1:5" s="57" customFormat="1">
      <c r="A48" s="54"/>
      <c r="B48" s="55"/>
      <c r="C48" s="56"/>
      <c r="D48" s="56"/>
      <c r="E48" s="56"/>
    </row>
    <row r="49" spans="1:5" s="57" customFormat="1">
      <c r="A49" s="54"/>
      <c r="B49" s="55"/>
      <c r="C49" s="56"/>
      <c r="D49" s="56"/>
      <c r="E49" s="56"/>
    </row>
    <row r="50" spans="1:5" s="57" customFormat="1">
      <c r="A50" s="54"/>
      <c r="B50" s="55"/>
      <c r="C50" s="56"/>
      <c r="D50" s="56"/>
      <c r="E50" s="56"/>
    </row>
    <row r="51" spans="1:5" s="57" customFormat="1">
      <c r="A51" s="54"/>
      <c r="B51" s="55"/>
      <c r="C51" s="56"/>
      <c r="D51" s="56"/>
      <c r="E51" s="56"/>
    </row>
  </sheetData>
  <mergeCells count="8">
    <mergeCell ref="E5:E6"/>
    <mergeCell ref="A1:E1"/>
    <mergeCell ref="A2:E2"/>
    <mergeCell ref="A3:E3"/>
    <mergeCell ref="A5:A6"/>
    <mergeCell ref="B5:B6"/>
    <mergeCell ref="C5:C6"/>
    <mergeCell ref="D5:D6"/>
  </mergeCells>
  <pageMargins left="0.7" right="0.7" top="0.75" bottom="0.75" header="0.3" footer="0.3"/>
  <pageSetup paperSize="9" scale="8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SheetLayoutView="100" workbookViewId="0">
      <selection activeCell="H5" sqref="H5"/>
    </sheetView>
  </sheetViews>
  <sheetFormatPr defaultColWidth="9.109375" defaultRowHeight="13.2"/>
  <cols>
    <col min="1" max="1" width="4.109375" style="1" customWidth="1"/>
    <col min="2" max="3" width="11" style="1" customWidth="1"/>
    <col min="4" max="6" width="5.5546875" style="1" customWidth="1"/>
    <col min="7" max="7" width="8.5546875" style="1" customWidth="1"/>
    <col min="8" max="12" width="7.88671875" style="1" customWidth="1"/>
    <col min="13" max="13" width="10.5546875" style="1" bestFit="1" customWidth="1"/>
    <col min="14" max="14" width="7.88671875" style="1" customWidth="1"/>
    <col min="15" max="16384" width="9.109375" style="1"/>
  </cols>
  <sheetData>
    <row r="1" spans="1:14" ht="15.75" customHeight="1">
      <c r="A1" s="183" t="s">
        <v>33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30" customHeight="1">
      <c r="A2" s="183" t="s">
        <v>39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4.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5.75" customHeight="1">
      <c r="A4" s="184" t="s">
        <v>3</v>
      </c>
      <c r="B4" s="185" t="s">
        <v>22</v>
      </c>
      <c r="C4" s="185"/>
      <c r="D4" s="186" t="s">
        <v>29</v>
      </c>
      <c r="E4" s="186" t="s">
        <v>19</v>
      </c>
      <c r="F4" s="186" t="s">
        <v>30</v>
      </c>
      <c r="G4" s="180" t="s">
        <v>26</v>
      </c>
      <c r="H4" s="181"/>
      <c r="I4" s="181"/>
      <c r="J4" s="182"/>
      <c r="K4" s="180" t="s">
        <v>27</v>
      </c>
      <c r="L4" s="181"/>
      <c r="M4" s="181"/>
      <c r="N4" s="182"/>
    </row>
    <row r="5" spans="1:14" ht="216.75" customHeight="1">
      <c r="A5" s="184"/>
      <c r="B5" s="33" t="s">
        <v>16</v>
      </c>
      <c r="C5" s="13" t="s">
        <v>16</v>
      </c>
      <c r="D5" s="187"/>
      <c r="E5" s="187"/>
      <c r="F5" s="187"/>
      <c r="G5" s="26" t="s">
        <v>24</v>
      </c>
      <c r="H5" s="24" t="s">
        <v>5</v>
      </c>
      <c r="I5" s="26" t="s">
        <v>25</v>
      </c>
      <c r="J5" s="25" t="s">
        <v>11</v>
      </c>
      <c r="K5" s="26" t="s">
        <v>40</v>
      </c>
      <c r="L5" s="23" t="s">
        <v>12</v>
      </c>
      <c r="M5" s="35" t="s">
        <v>13</v>
      </c>
      <c r="N5" s="26" t="s">
        <v>28</v>
      </c>
    </row>
    <row r="6" spans="1:14" s="9" customFormat="1" ht="20.25" customHeight="1">
      <c r="A6" s="184"/>
      <c r="B6" s="22" t="s">
        <v>17</v>
      </c>
      <c r="C6" s="12" t="s">
        <v>18</v>
      </c>
      <c r="D6" s="31" t="s">
        <v>20</v>
      </c>
      <c r="E6" s="31" t="s">
        <v>20</v>
      </c>
      <c r="F6" s="31" t="s">
        <v>21</v>
      </c>
      <c r="G6" s="18" t="s">
        <v>6</v>
      </c>
      <c r="H6" s="18" t="s">
        <v>6</v>
      </c>
      <c r="I6" s="12" t="s">
        <v>4</v>
      </c>
      <c r="J6" s="12" t="s">
        <v>14</v>
      </c>
      <c r="K6" s="18" t="s">
        <v>6</v>
      </c>
      <c r="L6" s="12" t="s">
        <v>14</v>
      </c>
      <c r="M6" s="18" t="s">
        <v>6</v>
      </c>
      <c r="N6" s="18" t="s">
        <v>6</v>
      </c>
    </row>
    <row r="7" spans="1:14" s="9" customFormat="1">
      <c r="A7" s="13">
        <v>1</v>
      </c>
      <c r="B7" s="27">
        <f>A7+1</f>
        <v>2</v>
      </c>
      <c r="C7" s="27">
        <f t="shared" ref="C7:N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si="0"/>
        <v>7</v>
      </c>
      <c r="H7" s="27">
        <f t="shared" si="0"/>
        <v>8</v>
      </c>
      <c r="I7" s="27">
        <f t="shared" si="0"/>
        <v>9</v>
      </c>
      <c r="J7" s="27">
        <f t="shared" si="0"/>
        <v>10</v>
      </c>
      <c r="K7" s="27">
        <f>J7+1</f>
        <v>11</v>
      </c>
      <c r="L7" s="27">
        <f t="shared" si="0"/>
        <v>12</v>
      </c>
      <c r="M7" s="27">
        <f t="shared" si="0"/>
        <v>13</v>
      </c>
      <c r="N7" s="27">
        <f t="shared" si="0"/>
        <v>14</v>
      </c>
    </row>
    <row r="8" spans="1:14" s="2" customFormat="1">
      <c r="A8" s="17">
        <v>1</v>
      </c>
      <c r="B8" s="27"/>
      <c r="C8" s="28" t="s">
        <v>23</v>
      </c>
      <c r="D8" s="36">
        <v>5.5</v>
      </c>
      <c r="E8" s="4">
        <v>10</v>
      </c>
      <c r="F8" s="4">
        <f>E8*D8</f>
        <v>55</v>
      </c>
      <c r="G8" s="29">
        <f>F8*0.15*0.9</f>
        <v>7.4249999999999998</v>
      </c>
      <c r="H8" s="29">
        <f>F8*0.15*0.1</f>
        <v>0.82500000000000007</v>
      </c>
      <c r="I8" s="32">
        <f>(G8+H8)*1.8</f>
        <v>14.85</v>
      </c>
      <c r="J8" s="29">
        <f>F8</f>
        <v>55</v>
      </c>
      <c r="K8" s="32">
        <f>J8*0.15*1.26</f>
        <v>10.395</v>
      </c>
      <c r="L8" s="30">
        <f>M8*0.0006</f>
        <v>2.6999999999999996E-2</v>
      </c>
      <c r="M8" s="32">
        <f>(D8-1)*E8</f>
        <v>45</v>
      </c>
      <c r="N8" s="32">
        <f>E8*1*0.06*1.26</f>
        <v>0.75600000000000001</v>
      </c>
    </row>
    <row r="9" spans="1:14" s="2" customFormat="1">
      <c r="A9" s="17">
        <f>A8+1</f>
        <v>2</v>
      </c>
      <c r="B9" s="8"/>
      <c r="C9" s="12"/>
      <c r="D9" s="12"/>
      <c r="E9" s="4"/>
      <c r="F9" s="4"/>
      <c r="G9" s="29"/>
      <c r="H9" s="29"/>
      <c r="I9" s="32"/>
      <c r="J9" s="29"/>
      <c r="K9" s="32"/>
      <c r="L9" s="32"/>
      <c r="M9" s="32"/>
      <c r="N9" s="32"/>
    </row>
    <row r="10" spans="1:14" s="2" customFormat="1">
      <c r="A10" s="17">
        <f t="shared" ref="A10:A27" si="1">A9+1</f>
        <v>3</v>
      </c>
      <c r="B10" s="8"/>
      <c r="C10" s="12"/>
      <c r="D10" s="12"/>
      <c r="E10" s="16"/>
      <c r="F10" s="16"/>
      <c r="G10" s="32"/>
      <c r="H10" s="32"/>
      <c r="I10" s="32"/>
      <c r="J10" s="32"/>
      <c r="K10" s="32"/>
      <c r="L10" s="32"/>
      <c r="M10" s="32"/>
      <c r="N10" s="32"/>
    </row>
    <row r="11" spans="1:14" s="2" customFormat="1">
      <c r="A11" s="17">
        <f t="shared" si="1"/>
        <v>4</v>
      </c>
      <c r="B11" s="8"/>
      <c r="C11" s="12"/>
      <c r="D11" s="12"/>
      <c r="E11" s="16"/>
      <c r="F11" s="16"/>
      <c r="G11" s="32"/>
      <c r="H11" s="32"/>
      <c r="I11" s="32"/>
      <c r="J11" s="32"/>
      <c r="K11" s="32"/>
      <c r="L11" s="32"/>
      <c r="M11" s="32"/>
      <c r="N11" s="32"/>
    </row>
    <row r="12" spans="1:14" s="2" customFormat="1">
      <c r="A12" s="17">
        <f t="shared" si="1"/>
        <v>5</v>
      </c>
      <c r="B12" s="15"/>
      <c r="C12" s="13"/>
      <c r="D12" s="13"/>
      <c r="E12" s="16"/>
      <c r="F12" s="16"/>
      <c r="G12" s="32"/>
      <c r="H12" s="32"/>
      <c r="I12" s="32"/>
      <c r="J12" s="32"/>
      <c r="K12" s="32"/>
      <c r="L12" s="32"/>
      <c r="M12" s="32"/>
      <c r="N12" s="32"/>
    </row>
    <row r="13" spans="1:14" s="2" customFormat="1">
      <c r="A13" s="17">
        <f t="shared" si="1"/>
        <v>6</v>
      </c>
      <c r="B13" s="15"/>
      <c r="C13" s="13"/>
      <c r="D13" s="13"/>
      <c r="E13" s="16"/>
      <c r="F13" s="16"/>
      <c r="G13" s="32"/>
      <c r="H13" s="32"/>
      <c r="I13" s="32"/>
      <c r="J13" s="32"/>
      <c r="K13" s="32"/>
      <c r="L13" s="32"/>
      <c r="M13" s="32"/>
      <c r="N13" s="32"/>
    </row>
    <row r="14" spans="1:14" s="2" customFormat="1">
      <c r="A14" s="17">
        <f t="shared" si="1"/>
        <v>7</v>
      </c>
      <c r="B14" s="15"/>
      <c r="C14" s="13"/>
      <c r="D14" s="13"/>
      <c r="E14" s="16"/>
      <c r="F14" s="16"/>
      <c r="G14" s="32"/>
      <c r="H14" s="32"/>
      <c r="I14" s="32"/>
      <c r="J14" s="32"/>
      <c r="K14" s="32"/>
      <c r="L14" s="32"/>
      <c r="M14" s="32"/>
      <c r="N14" s="32"/>
    </row>
    <row r="15" spans="1:14" s="2" customFormat="1">
      <c r="A15" s="17">
        <f t="shared" si="1"/>
        <v>8</v>
      </c>
      <c r="B15" s="8"/>
      <c r="C15" s="13"/>
      <c r="D15" s="13"/>
      <c r="E15" s="16"/>
      <c r="F15" s="16"/>
      <c r="G15" s="32"/>
      <c r="H15" s="32"/>
      <c r="I15" s="32"/>
      <c r="J15" s="32"/>
      <c r="K15" s="32"/>
      <c r="L15" s="32"/>
      <c r="M15" s="32"/>
      <c r="N15" s="32"/>
    </row>
    <row r="16" spans="1:14" s="2" customFormat="1">
      <c r="A16" s="17">
        <f t="shared" si="1"/>
        <v>9</v>
      </c>
      <c r="B16" s="15"/>
      <c r="C16" s="13"/>
      <c r="D16" s="13"/>
      <c r="E16" s="16"/>
      <c r="F16" s="16"/>
      <c r="G16" s="19"/>
      <c r="H16" s="19"/>
      <c r="I16" s="19"/>
      <c r="J16" s="19"/>
      <c r="K16" s="19"/>
      <c r="L16" s="19"/>
      <c r="M16" s="19"/>
      <c r="N16" s="19"/>
    </row>
    <row r="17" spans="1:14" s="2" customFormat="1">
      <c r="A17" s="17">
        <f t="shared" si="1"/>
        <v>10</v>
      </c>
      <c r="B17" s="14"/>
      <c r="C17" s="13"/>
      <c r="D17" s="13"/>
      <c r="E17" s="3"/>
      <c r="F17" s="3"/>
      <c r="G17" s="19"/>
      <c r="H17" s="19"/>
      <c r="I17" s="19"/>
      <c r="J17" s="19"/>
      <c r="K17" s="19"/>
      <c r="L17" s="19"/>
      <c r="M17" s="19"/>
      <c r="N17" s="19"/>
    </row>
    <row r="18" spans="1:14">
      <c r="A18" s="17">
        <f t="shared" si="1"/>
        <v>11</v>
      </c>
      <c r="B18" s="8"/>
      <c r="C18" s="18"/>
      <c r="D18" s="18"/>
      <c r="E18" s="4"/>
      <c r="F18" s="4"/>
      <c r="G18" s="20"/>
      <c r="H18" s="20"/>
      <c r="I18" s="20"/>
      <c r="J18" s="20"/>
      <c r="K18" s="20"/>
      <c r="L18" s="20"/>
      <c r="M18" s="20"/>
      <c r="N18" s="20"/>
    </row>
    <row r="19" spans="1:14">
      <c r="A19" s="17">
        <f t="shared" si="1"/>
        <v>12</v>
      </c>
      <c r="B19" s="7"/>
      <c r="C19" s="18"/>
      <c r="D19" s="18"/>
      <c r="E19" s="4"/>
      <c r="F19" s="4"/>
      <c r="G19" s="20"/>
      <c r="H19" s="20"/>
      <c r="I19" s="20"/>
      <c r="J19" s="20"/>
      <c r="K19" s="20"/>
      <c r="L19" s="20"/>
      <c r="M19" s="20"/>
      <c r="N19" s="20"/>
    </row>
    <row r="20" spans="1:14">
      <c r="A20" s="17">
        <f t="shared" si="1"/>
        <v>13</v>
      </c>
      <c r="B20" s="8"/>
      <c r="C20" s="18"/>
      <c r="D20" s="18"/>
      <c r="E20" s="4"/>
      <c r="F20" s="4"/>
      <c r="G20" s="20"/>
      <c r="H20" s="20"/>
      <c r="I20" s="20"/>
      <c r="J20" s="20"/>
      <c r="K20" s="20"/>
      <c r="L20" s="20"/>
      <c r="M20" s="20"/>
      <c r="N20" s="20"/>
    </row>
    <row r="21" spans="1:14">
      <c r="A21" s="17">
        <f t="shared" si="1"/>
        <v>14</v>
      </c>
      <c r="B21" s="11"/>
      <c r="C21" s="18"/>
      <c r="D21" s="18"/>
      <c r="E21" s="4"/>
      <c r="F21" s="4"/>
      <c r="G21" s="21"/>
      <c r="H21" s="20"/>
      <c r="I21" s="20"/>
      <c r="J21" s="20"/>
      <c r="K21" s="20"/>
      <c r="L21" s="20"/>
      <c r="M21" s="20"/>
      <c r="N21" s="20"/>
    </row>
    <row r="22" spans="1:14">
      <c r="A22" s="17">
        <f t="shared" si="1"/>
        <v>15</v>
      </c>
      <c r="B22" s="6"/>
      <c r="C22" s="18"/>
      <c r="D22" s="18"/>
      <c r="E22" s="4"/>
      <c r="F22" s="4"/>
      <c r="G22" s="20"/>
      <c r="H22" s="20"/>
      <c r="I22" s="20"/>
      <c r="J22" s="20"/>
      <c r="K22" s="20"/>
      <c r="L22" s="20"/>
      <c r="M22" s="20"/>
      <c r="N22" s="20"/>
    </row>
    <row r="23" spans="1:14">
      <c r="A23" s="17">
        <f t="shared" si="1"/>
        <v>16</v>
      </c>
      <c r="B23" s="6"/>
      <c r="C23" s="18"/>
      <c r="D23" s="18"/>
      <c r="E23" s="4"/>
      <c r="F23" s="4"/>
      <c r="G23" s="20"/>
      <c r="H23" s="20"/>
      <c r="I23" s="20"/>
      <c r="J23" s="20"/>
      <c r="K23" s="20"/>
      <c r="L23" s="20"/>
      <c r="M23" s="20"/>
      <c r="N23" s="20"/>
    </row>
    <row r="24" spans="1:14">
      <c r="A24" s="17">
        <f t="shared" si="1"/>
        <v>17</v>
      </c>
      <c r="B24" s="6"/>
      <c r="C24" s="12"/>
      <c r="D24" s="12"/>
      <c r="E24" s="4"/>
      <c r="F24" s="4"/>
      <c r="G24" s="20"/>
      <c r="H24" s="20"/>
      <c r="I24" s="20"/>
      <c r="J24" s="20"/>
      <c r="K24" s="20"/>
      <c r="L24" s="20"/>
      <c r="M24" s="20"/>
      <c r="N24" s="20"/>
    </row>
    <row r="25" spans="1:14">
      <c r="A25" s="17">
        <f t="shared" si="1"/>
        <v>18</v>
      </c>
      <c r="B25" s="5"/>
      <c r="C25" s="17"/>
      <c r="D25" s="17"/>
      <c r="E25" s="4"/>
      <c r="F25" s="4"/>
      <c r="G25" s="20"/>
      <c r="H25" s="20"/>
      <c r="I25" s="20"/>
      <c r="J25" s="20"/>
      <c r="K25" s="20"/>
      <c r="L25" s="20"/>
      <c r="M25" s="20"/>
      <c r="N25" s="20"/>
    </row>
    <row r="26" spans="1:14">
      <c r="A26" s="17">
        <f t="shared" si="1"/>
        <v>19</v>
      </c>
      <c r="B26" s="7"/>
      <c r="C26" s="18"/>
      <c r="D26" s="18"/>
      <c r="E26" s="4"/>
      <c r="F26" s="4"/>
      <c r="G26" s="20"/>
      <c r="H26" s="20"/>
      <c r="I26" s="20"/>
      <c r="J26" s="20"/>
      <c r="K26" s="20"/>
      <c r="L26" s="20"/>
      <c r="M26" s="20"/>
      <c r="N26" s="20"/>
    </row>
    <row r="27" spans="1:14">
      <c r="A27" s="17">
        <f t="shared" si="1"/>
        <v>20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>
      <c r="A28" s="179" t="s">
        <v>32</v>
      </c>
      <c r="B28" s="179"/>
      <c r="C28" s="179"/>
      <c r="D28" s="41"/>
      <c r="E28" s="3">
        <f t="shared" ref="E28:N28" si="2">SUM(E8:E27)</f>
        <v>10</v>
      </c>
      <c r="F28" s="3">
        <f t="shared" si="2"/>
        <v>55</v>
      </c>
      <c r="G28" s="3">
        <f t="shared" si="2"/>
        <v>7.4249999999999998</v>
      </c>
      <c r="H28" s="3">
        <f t="shared" si="2"/>
        <v>0.82500000000000007</v>
      </c>
      <c r="I28" s="3">
        <f t="shared" si="2"/>
        <v>14.85</v>
      </c>
      <c r="J28" s="3">
        <f t="shared" si="2"/>
        <v>55</v>
      </c>
      <c r="K28" s="3">
        <f t="shared" si="2"/>
        <v>10.395</v>
      </c>
      <c r="L28" s="3">
        <f t="shared" si="2"/>
        <v>2.6999999999999996E-2</v>
      </c>
      <c r="M28" s="3">
        <f t="shared" si="2"/>
        <v>45</v>
      </c>
      <c r="N28" s="3">
        <f t="shared" si="2"/>
        <v>0.75600000000000001</v>
      </c>
    </row>
    <row r="29" spans="1:14">
      <c r="A29" s="42"/>
      <c r="B29" s="42"/>
      <c r="C29" s="42"/>
      <c r="D29" s="43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1" spans="1:14">
      <c r="J31" s="10" t="s">
        <v>7</v>
      </c>
    </row>
    <row r="33" ht="25.5" customHeight="1"/>
  </sheetData>
  <mergeCells count="10">
    <mergeCell ref="A28:C28"/>
    <mergeCell ref="K4:N4"/>
    <mergeCell ref="A1:N1"/>
    <mergeCell ref="A2:N2"/>
    <mergeCell ref="A4:A6"/>
    <mergeCell ref="B4:C4"/>
    <mergeCell ref="D4:D5"/>
    <mergeCell ref="E4:E5"/>
    <mergeCell ref="F4:F5"/>
    <mergeCell ref="G4:J4"/>
  </mergeCells>
  <pageMargins left="0.7" right="0.7" top="0.75" bottom="0.75" header="0.3" footer="0.3"/>
  <pageSetup paperSize="9" scale="80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zoomScaleNormal="100" zoomScaleSheetLayoutView="115" workbookViewId="0">
      <selection activeCell="E7" sqref="E7"/>
    </sheetView>
  </sheetViews>
  <sheetFormatPr defaultColWidth="9.109375" defaultRowHeight="13.2"/>
  <cols>
    <col min="1" max="1" width="5.109375" style="1" customWidth="1"/>
    <col min="2" max="2" width="6.6640625" style="1" customWidth="1"/>
    <col min="3" max="3" width="11.88671875" style="1" customWidth="1"/>
    <col min="4" max="4" width="17.88671875" style="1" customWidth="1"/>
    <col min="5" max="5" width="81.5546875" style="1" customWidth="1"/>
    <col min="6" max="6" width="14.109375" style="1" customWidth="1"/>
    <col min="7" max="7" width="8.88671875" style="1" customWidth="1"/>
    <col min="8" max="16384" width="9.109375" style="1"/>
  </cols>
  <sheetData>
    <row r="1" spans="1:7" ht="15">
      <c r="A1" s="188" t="s">
        <v>92</v>
      </c>
      <c r="B1" s="188"/>
      <c r="C1" s="188"/>
      <c r="D1" s="188"/>
      <c r="E1" s="188"/>
      <c r="F1" s="188"/>
      <c r="G1" s="188"/>
    </row>
    <row r="2" spans="1:7" ht="13.8">
      <c r="A2" s="189" t="s">
        <v>186</v>
      </c>
      <c r="B2" s="189"/>
      <c r="C2" s="189"/>
      <c r="D2" s="189"/>
      <c r="E2" s="189"/>
      <c r="F2" s="189"/>
      <c r="G2" s="189"/>
    </row>
    <row r="3" spans="1:7" ht="14.4">
      <c r="A3" s="93"/>
      <c r="B3" s="93"/>
      <c r="C3" s="93"/>
      <c r="D3" s="93"/>
      <c r="E3" s="93"/>
      <c r="F3" s="93"/>
      <c r="G3" s="93"/>
    </row>
    <row r="4" spans="1:7" ht="32.25" customHeight="1">
      <c r="A4" s="184" t="s">
        <v>3</v>
      </c>
      <c r="B4" s="190" t="s">
        <v>187</v>
      </c>
      <c r="C4" s="192" t="s">
        <v>188</v>
      </c>
      <c r="D4" s="194" t="s">
        <v>189</v>
      </c>
      <c r="E4" s="194" t="s">
        <v>190</v>
      </c>
      <c r="F4" s="194" t="s">
        <v>191</v>
      </c>
      <c r="G4" s="196" t="s">
        <v>15</v>
      </c>
    </row>
    <row r="5" spans="1:7" ht="32.25" customHeight="1">
      <c r="A5" s="184"/>
      <c r="B5" s="191"/>
      <c r="C5" s="193"/>
      <c r="D5" s="195"/>
      <c r="E5" s="195"/>
      <c r="F5" s="195"/>
      <c r="G5" s="197"/>
    </row>
    <row r="6" spans="1:7" s="9" customFormat="1">
      <c r="A6" s="94">
        <v>1</v>
      </c>
      <c r="B6" s="162"/>
      <c r="C6" s="27">
        <f>A6+1</f>
        <v>2</v>
      </c>
      <c r="D6" s="27">
        <f t="shared" ref="D6:G6" si="0">C6+1</f>
        <v>3</v>
      </c>
      <c r="E6" s="27">
        <f t="shared" si="0"/>
        <v>4</v>
      </c>
      <c r="F6" s="27">
        <f t="shared" si="0"/>
        <v>5</v>
      </c>
      <c r="G6" s="27">
        <f t="shared" si="0"/>
        <v>6</v>
      </c>
    </row>
    <row r="7" spans="1:7" s="2" customFormat="1" ht="26.4">
      <c r="A7" s="95">
        <v>1</v>
      </c>
      <c r="B7" s="95" t="s">
        <v>192</v>
      </c>
      <c r="C7" s="22">
        <v>3</v>
      </c>
      <c r="D7" s="163" t="s">
        <v>193</v>
      </c>
      <c r="E7" s="163" t="s">
        <v>203</v>
      </c>
      <c r="F7" s="163">
        <f>C7*0.2</f>
        <v>0.60000000000000009</v>
      </c>
      <c r="G7" s="19"/>
    </row>
    <row r="8" spans="1:7" s="2" customFormat="1">
      <c r="A8" s="164"/>
      <c r="B8" s="164"/>
      <c r="C8" s="165"/>
      <c r="D8" s="166"/>
      <c r="E8" s="166"/>
      <c r="F8" s="166"/>
      <c r="G8" s="16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Normal="100" zoomScaleSheetLayoutView="100" workbookViewId="0">
      <selection activeCell="M48" sqref="M48"/>
    </sheetView>
  </sheetViews>
  <sheetFormatPr defaultColWidth="9.109375" defaultRowHeight="13.8"/>
  <cols>
    <col min="1" max="1" width="4.33203125" style="101" customWidth="1"/>
    <col min="2" max="2" width="10.33203125" style="101" bestFit="1" customWidth="1"/>
    <col min="3" max="3" width="10.44140625" style="101" bestFit="1" customWidth="1"/>
    <col min="4" max="4" width="8.109375" style="101" customWidth="1"/>
    <col min="5" max="5" width="6" style="101" customWidth="1"/>
    <col min="6" max="11" width="7.88671875" style="101" customWidth="1"/>
    <col min="12" max="12" width="9.109375" style="101"/>
    <col min="13" max="14" width="7.5546875" style="101" customWidth="1"/>
    <col min="15" max="15" width="11.109375" style="101" customWidth="1"/>
    <col min="16" max="16" width="7.33203125" style="101" customWidth="1"/>
    <col min="17" max="17" width="7" style="101" customWidth="1"/>
    <col min="18" max="18" width="7.6640625" style="101" customWidth="1"/>
    <col min="19" max="19" width="6.109375" style="101" customWidth="1"/>
    <col min="20" max="20" width="7.88671875" style="101" customWidth="1"/>
    <col min="21" max="16384" width="9.109375" style="101"/>
  </cols>
  <sheetData>
    <row r="1" spans="1:21" ht="39" customHeight="1">
      <c r="A1" s="199" t="s">
        <v>92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00"/>
      <c r="Q1" s="100"/>
      <c r="R1" s="100"/>
      <c r="S1" s="100"/>
      <c r="T1" s="100"/>
      <c r="U1" s="100"/>
    </row>
    <row r="2" spans="1:21" ht="33.75" customHeight="1">
      <c r="A2" s="199" t="s">
        <v>93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00"/>
      <c r="Q2" s="100"/>
      <c r="R2" s="100"/>
      <c r="S2" s="100"/>
      <c r="T2" s="100"/>
      <c r="U2" s="100"/>
    </row>
    <row r="3" spans="1:21" ht="14.4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21">
      <c r="A4" s="178" t="s">
        <v>3</v>
      </c>
      <c r="B4" s="178" t="s">
        <v>22</v>
      </c>
      <c r="C4" s="178"/>
      <c r="D4" s="200" t="s">
        <v>94</v>
      </c>
      <c r="E4" s="200" t="s">
        <v>19</v>
      </c>
      <c r="F4" s="200" t="s">
        <v>95</v>
      </c>
      <c r="G4" s="175" t="s">
        <v>26</v>
      </c>
      <c r="H4" s="175"/>
      <c r="I4" s="175"/>
      <c r="J4" s="175"/>
      <c r="K4" s="175"/>
      <c r="L4" s="201" t="s">
        <v>174</v>
      </c>
      <c r="M4" s="201"/>
      <c r="N4" s="201"/>
      <c r="O4" s="201"/>
    </row>
    <row r="5" spans="1:21" ht="310.2">
      <c r="A5" s="178"/>
      <c r="B5" s="90" t="s">
        <v>16</v>
      </c>
      <c r="C5" s="91" t="s">
        <v>16</v>
      </c>
      <c r="D5" s="200"/>
      <c r="E5" s="200"/>
      <c r="F5" s="200"/>
      <c r="G5" s="147" t="s">
        <v>175</v>
      </c>
      <c r="H5" s="147" t="s">
        <v>5</v>
      </c>
      <c r="I5" s="147" t="s">
        <v>169</v>
      </c>
      <c r="J5" s="147" t="s">
        <v>145</v>
      </c>
      <c r="K5" s="147" t="s">
        <v>55</v>
      </c>
      <c r="L5" s="202" t="s">
        <v>96</v>
      </c>
      <c r="M5" s="202"/>
      <c r="N5" s="103" t="s">
        <v>97</v>
      </c>
      <c r="O5" s="102" t="s">
        <v>98</v>
      </c>
    </row>
    <row r="6" spans="1:21" ht="16.2">
      <c r="A6" s="178"/>
      <c r="B6" s="104" t="s">
        <v>17</v>
      </c>
      <c r="C6" s="105" t="s">
        <v>18</v>
      </c>
      <c r="D6" s="90" t="s">
        <v>20</v>
      </c>
      <c r="E6" s="90" t="s">
        <v>20</v>
      </c>
      <c r="F6" s="90" t="s">
        <v>99</v>
      </c>
      <c r="G6" s="105" t="s">
        <v>6</v>
      </c>
      <c r="H6" s="105" t="s">
        <v>6</v>
      </c>
      <c r="I6" s="105" t="s">
        <v>6</v>
      </c>
      <c r="J6" s="90" t="s">
        <v>58</v>
      </c>
      <c r="K6" s="105" t="s">
        <v>14</v>
      </c>
      <c r="L6" s="105" t="s">
        <v>14</v>
      </c>
      <c r="M6" s="105" t="s">
        <v>6</v>
      </c>
      <c r="N6" s="105" t="s">
        <v>58</v>
      </c>
      <c r="O6" s="105" t="s">
        <v>14</v>
      </c>
    </row>
    <row r="7" spans="1:21">
      <c r="A7" s="91">
        <v>1</v>
      </c>
      <c r="B7" s="106">
        <f>A7+1</f>
        <v>2</v>
      </c>
      <c r="C7" s="106">
        <f t="shared" ref="C7:F7" si="0">B7+1</f>
        <v>3</v>
      </c>
      <c r="D7" s="106">
        <f>C7+1</f>
        <v>4</v>
      </c>
      <c r="E7" s="106">
        <f t="shared" si="0"/>
        <v>5</v>
      </c>
      <c r="F7" s="106">
        <f t="shared" si="0"/>
        <v>6</v>
      </c>
      <c r="G7" s="106">
        <f t="shared" ref="G7" si="1">F7+1</f>
        <v>7</v>
      </c>
      <c r="H7" s="106">
        <f t="shared" ref="H7" si="2">G7+1</f>
        <v>8</v>
      </c>
      <c r="I7" s="106">
        <f t="shared" ref="I7" si="3">H7+1</f>
        <v>9</v>
      </c>
      <c r="J7" s="106">
        <f t="shared" ref="J7" si="4">I7+1</f>
        <v>10</v>
      </c>
      <c r="K7" s="106">
        <f t="shared" ref="K7" si="5">J7+1</f>
        <v>11</v>
      </c>
      <c r="L7" s="106">
        <f t="shared" ref="L7" si="6">K7+1</f>
        <v>12</v>
      </c>
      <c r="M7" s="106">
        <f t="shared" ref="M7" si="7">L7+1</f>
        <v>13</v>
      </c>
      <c r="N7" s="106">
        <f t="shared" ref="N7" si="8">M7+1</f>
        <v>14</v>
      </c>
      <c r="O7" s="106">
        <f t="shared" ref="O7" si="9">N7+1</f>
        <v>15</v>
      </c>
    </row>
    <row r="8" spans="1:21">
      <c r="A8" s="91">
        <v>1</v>
      </c>
      <c r="B8" s="106"/>
      <c r="C8" s="106" t="s">
        <v>100</v>
      </c>
      <c r="D8" s="107">
        <v>3</v>
      </c>
      <c r="E8" s="108">
        <v>3.1</v>
      </c>
      <c r="F8" s="109">
        <f>E8*D8</f>
        <v>9.3000000000000007</v>
      </c>
      <c r="G8" s="109">
        <f>F8*0.2*0.9</f>
        <v>1.6740000000000004</v>
      </c>
      <c r="H8" s="109">
        <f>F8*0.2*0.1</f>
        <v>0.18600000000000005</v>
      </c>
      <c r="I8" s="109">
        <f>H8+G8</f>
        <v>1.8600000000000003</v>
      </c>
      <c r="J8" s="109">
        <f>I8*1.85</f>
        <v>3.4410000000000007</v>
      </c>
      <c r="K8" s="109">
        <f>F8</f>
        <v>9.3000000000000007</v>
      </c>
      <c r="L8" s="110">
        <f t="shared" ref="L8:L51" si="10">D8*E8</f>
        <v>9.3000000000000007</v>
      </c>
      <c r="M8" s="111">
        <f>L8*0.12</f>
        <v>1.1160000000000001</v>
      </c>
      <c r="N8" s="112">
        <f>O8*0.0006</f>
        <v>5.5799999999999999E-3</v>
      </c>
      <c r="O8" s="113">
        <f t="shared" ref="O8:O51" si="11">F8</f>
        <v>9.3000000000000007</v>
      </c>
    </row>
    <row r="9" spans="1:21">
      <c r="A9" s="91">
        <f>A8+1</f>
        <v>2</v>
      </c>
      <c r="B9" s="106"/>
      <c r="C9" s="106" t="s">
        <v>101</v>
      </c>
      <c r="D9" s="107">
        <v>1</v>
      </c>
      <c r="E9" s="108">
        <v>1.5</v>
      </c>
      <c r="F9" s="109">
        <f t="shared" ref="F9:F25" si="12">E9*D9</f>
        <v>1.5</v>
      </c>
      <c r="G9" s="109">
        <f t="shared" ref="G9:G50" si="13">F9*0.2*0.9</f>
        <v>0.27000000000000007</v>
      </c>
      <c r="H9" s="109">
        <f t="shared" ref="H9:H51" si="14">F9*0.2*0.1</f>
        <v>3.0000000000000006E-2</v>
      </c>
      <c r="I9" s="109">
        <f t="shared" ref="I9:I51" si="15">H9+G9</f>
        <v>0.3000000000000001</v>
      </c>
      <c r="J9" s="109">
        <f t="shared" ref="J9:J51" si="16">I9*1.85</f>
        <v>0.55500000000000016</v>
      </c>
      <c r="K9" s="109">
        <f t="shared" ref="K9:K51" si="17">F9</f>
        <v>1.5</v>
      </c>
      <c r="L9" s="110">
        <f t="shared" si="10"/>
        <v>1.5</v>
      </c>
      <c r="M9" s="111">
        <f t="shared" ref="M9:M25" si="18">L9*0.12</f>
        <v>0.18</v>
      </c>
      <c r="N9" s="112">
        <f t="shared" ref="N9:N25" si="19">O9*0.0006</f>
        <v>8.9999999999999998E-4</v>
      </c>
      <c r="O9" s="113">
        <f t="shared" si="11"/>
        <v>1.5</v>
      </c>
    </row>
    <row r="10" spans="1:21">
      <c r="A10" s="91">
        <f t="shared" ref="A10:A51" si="20">A9+1</f>
        <v>3</v>
      </c>
      <c r="B10" s="106"/>
      <c r="C10" s="106" t="s">
        <v>102</v>
      </c>
      <c r="D10" s="107">
        <v>1.4</v>
      </c>
      <c r="E10" s="108">
        <v>3.8</v>
      </c>
      <c r="F10" s="109">
        <f t="shared" si="12"/>
        <v>5.3199999999999994</v>
      </c>
      <c r="G10" s="109">
        <f t="shared" si="13"/>
        <v>0.9575999999999999</v>
      </c>
      <c r="H10" s="109">
        <f t="shared" si="14"/>
        <v>0.10639999999999999</v>
      </c>
      <c r="I10" s="109">
        <f t="shared" si="15"/>
        <v>1.0639999999999998</v>
      </c>
      <c r="J10" s="109">
        <f t="shared" si="16"/>
        <v>1.9683999999999997</v>
      </c>
      <c r="K10" s="109">
        <f t="shared" si="17"/>
        <v>5.3199999999999994</v>
      </c>
      <c r="L10" s="110">
        <f t="shared" si="10"/>
        <v>5.3199999999999994</v>
      </c>
      <c r="M10" s="111">
        <f t="shared" si="18"/>
        <v>0.63839999999999986</v>
      </c>
      <c r="N10" s="112">
        <f t="shared" si="19"/>
        <v>3.1919999999999995E-3</v>
      </c>
      <c r="O10" s="113">
        <f t="shared" si="11"/>
        <v>5.3199999999999994</v>
      </c>
    </row>
    <row r="11" spans="1:21">
      <c r="A11" s="91">
        <f t="shared" si="20"/>
        <v>4</v>
      </c>
      <c r="B11" s="106"/>
      <c r="C11" s="106" t="s">
        <v>103</v>
      </c>
      <c r="D11" s="107">
        <v>3</v>
      </c>
      <c r="E11" s="108">
        <v>4.9000000000000004</v>
      </c>
      <c r="F11" s="109">
        <f t="shared" si="12"/>
        <v>14.700000000000001</v>
      </c>
      <c r="G11" s="109">
        <f t="shared" si="13"/>
        <v>2.6460000000000004</v>
      </c>
      <c r="H11" s="109">
        <f t="shared" si="14"/>
        <v>0.29400000000000004</v>
      </c>
      <c r="I11" s="109">
        <f t="shared" si="15"/>
        <v>2.9400000000000004</v>
      </c>
      <c r="J11" s="109">
        <f t="shared" si="16"/>
        <v>5.4390000000000009</v>
      </c>
      <c r="K11" s="109">
        <f t="shared" si="17"/>
        <v>14.700000000000001</v>
      </c>
      <c r="L11" s="110">
        <f t="shared" si="10"/>
        <v>14.700000000000001</v>
      </c>
      <c r="M11" s="111">
        <f t="shared" si="18"/>
        <v>1.764</v>
      </c>
      <c r="N11" s="112">
        <f t="shared" si="19"/>
        <v>8.8199999999999997E-3</v>
      </c>
      <c r="O11" s="113">
        <f t="shared" si="11"/>
        <v>14.700000000000001</v>
      </c>
    </row>
    <row r="12" spans="1:21">
      <c r="A12" s="91">
        <f t="shared" si="20"/>
        <v>5</v>
      </c>
      <c r="B12" s="106" t="s">
        <v>104</v>
      </c>
      <c r="C12" s="106"/>
      <c r="D12" s="107">
        <v>3</v>
      </c>
      <c r="E12" s="108">
        <v>3.8</v>
      </c>
      <c r="F12" s="109">
        <f t="shared" si="12"/>
        <v>11.399999999999999</v>
      </c>
      <c r="G12" s="109">
        <f t="shared" si="13"/>
        <v>2.052</v>
      </c>
      <c r="H12" s="109">
        <f t="shared" si="14"/>
        <v>0.22799999999999998</v>
      </c>
      <c r="I12" s="109">
        <f t="shared" si="15"/>
        <v>2.2800000000000002</v>
      </c>
      <c r="J12" s="109">
        <f t="shared" si="16"/>
        <v>4.2180000000000009</v>
      </c>
      <c r="K12" s="109">
        <f t="shared" si="17"/>
        <v>11.399999999999999</v>
      </c>
      <c r="L12" s="110">
        <f t="shared" si="10"/>
        <v>11.399999999999999</v>
      </c>
      <c r="M12" s="111">
        <f t="shared" si="18"/>
        <v>1.3679999999999999</v>
      </c>
      <c r="N12" s="112">
        <f t="shared" si="19"/>
        <v>6.8399999999999989E-3</v>
      </c>
      <c r="O12" s="113">
        <f t="shared" si="11"/>
        <v>11.399999999999999</v>
      </c>
    </row>
    <row r="13" spans="1:21">
      <c r="A13" s="91">
        <f t="shared" si="20"/>
        <v>6</v>
      </c>
      <c r="B13" s="106"/>
      <c r="C13" s="106" t="s">
        <v>105</v>
      </c>
      <c r="D13" s="107">
        <v>3.4</v>
      </c>
      <c r="E13" s="108">
        <v>3.8</v>
      </c>
      <c r="F13" s="109">
        <f t="shared" si="12"/>
        <v>12.92</v>
      </c>
      <c r="G13" s="109">
        <f t="shared" si="13"/>
        <v>2.3256000000000001</v>
      </c>
      <c r="H13" s="109">
        <f t="shared" si="14"/>
        <v>0.25840000000000002</v>
      </c>
      <c r="I13" s="109">
        <f t="shared" si="15"/>
        <v>2.5840000000000001</v>
      </c>
      <c r="J13" s="109">
        <f t="shared" si="16"/>
        <v>4.7804000000000002</v>
      </c>
      <c r="K13" s="109">
        <f t="shared" si="17"/>
        <v>12.92</v>
      </c>
      <c r="L13" s="110">
        <f t="shared" si="10"/>
        <v>12.92</v>
      </c>
      <c r="M13" s="111">
        <f t="shared" si="18"/>
        <v>1.5504</v>
      </c>
      <c r="N13" s="112">
        <f t="shared" si="19"/>
        <v>7.7519999999999993E-3</v>
      </c>
      <c r="O13" s="113">
        <f t="shared" si="11"/>
        <v>12.92</v>
      </c>
    </row>
    <row r="14" spans="1:21">
      <c r="A14" s="91">
        <f t="shared" si="20"/>
        <v>7</v>
      </c>
      <c r="B14" s="106" t="s">
        <v>106</v>
      </c>
      <c r="C14" s="106"/>
      <c r="D14" s="108">
        <v>2.2000000000000002</v>
      </c>
      <c r="E14" s="109">
        <v>4</v>
      </c>
      <c r="F14" s="109">
        <f t="shared" si="12"/>
        <v>8.8000000000000007</v>
      </c>
      <c r="G14" s="109">
        <f t="shared" si="13"/>
        <v>1.5840000000000003</v>
      </c>
      <c r="H14" s="109">
        <f t="shared" si="14"/>
        <v>0.17600000000000005</v>
      </c>
      <c r="I14" s="109">
        <f t="shared" si="15"/>
        <v>1.7600000000000002</v>
      </c>
      <c r="J14" s="109">
        <f t="shared" si="16"/>
        <v>3.2560000000000007</v>
      </c>
      <c r="K14" s="109">
        <f t="shared" si="17"/>
        <v>8.8000000000000007</v>
      </c>
      <c r="L14" s="110">
        <f t="shared" si="10"/>
        <v>8.8000000000000007</v>
      </c>
      <c r="M14" s="111">
        <f t="shared" si="18"/>
        <v>1.056</v>
      </c>
      <c r="N14" s="112">
        <f t="shared" si="19"/>
        <v>5.28E-3</v>
      </c>
      <c r="O14" s="113">
        <f t="shared" si="11"/>
        <v>8.8000000000000007</v>
      </c>
    </row>
    <row r="15" spans="1:21">
      <c r="A15" s="91">
        <f t="shared" si="20"/>
        <v>8</v>
      </c>
      <c r="B15" s="106"/>
      <c r="C15" s="106" t="s">
        <v>107</v>
      </c>
      <c r="D15" s="107">
        <v>3.3</v>
      </c>
      <c r="E15" s="108">
        <v>5.0999999999999996</v>
      </c>
      <c r="F15" s="109">
        <f t="shared" si="12"/>
        <v>16.829999999999998</v>
      </c>
      <c r="G15" s="109">
        <f t="shared" si="13"/>
        <v>3.0293999999999999</v>
      </c>
      <c r="H15" s="109">
        <f t="shared" si="14"/>
        <v>0.33660000000000001</v>
      </c>
      <c r="I15" s="109">
        <f t="shared" si="15"/>
        <v>3.3659999999999997</v>
      </c>
      <c r="J15" s="109">
        <f t="shared" si="16"/>
        <v>6.2271000000000001</v>
      </c>
      <c r="K15" s="109">
        <f t="shared" si="17"/>
        <v>16.829999999999998</v>
      </c>
      <c r="L15" s="110">
        <f t="shared" si="10"/>
        <v>16.829999999999998</v>
      </c>
      <c r="M15" s="111">
        <f t="shared" si="18"/>
        <v>2.0195999999999996</v>
      </c>
      <c r="N15" s="112">
        <f t="shared" si="19"/>
        <v>1.0097999999999998E-2</v>
      </c>
      <c r="O15" s="113">
        <f t="shared" si="11"/>
        <v>16.829999999999998</v>
      </c>
    </row>
    <row r="16" spans="1:21">
      <c r="A16" s="91">
        <f t="shared" si="20"/>
        <v>9</v>
      </c>
      <c r="B16" s="106" t="s">
        <v>108</v>
      </c>
      <c r="C16" s="106"/>
      <c r="D16" s="107">
        <v>2.7</v>
      </c>
      <c r="E16" s="108">
        <v>4.7</v>
      </c>
      <c r="F16" s="109">
        <f t="shared" si="12"/>
        <v>12.690000000000001</v>
      </c>
      <c r="G16" s="109">
        <f t="shared" si="13"/>
        <v>2.2842000000000002</v>
      </c>
      <c r="H16" s="109">
        <f t="shared" si="14"/>
        <v>0.25380000000000003</v>
      </c>
      <c r="I16" s="109">
        <f t="shared" si="15"/>
        <v>2.5380000000000003</v>
      </c>
      <c r="J16" s="109">
        <f t="shared" si="16"/>
        <v>4.6953000000000005</v>
      </c>
      <c r="K16" s="109">
        <f t="shared" si="17"/>
        <v>12.690000000000001</v>
      </c>
      <c r="L16" s="110">
        <f t="shared" si="10"/>
        <v>12.690000000000001</v>
      </c>
      <c r="M16" s="111">
        <f t="shared" si="18"/>
        <v>1.5228000000000002</v>
      </c>
      <c r="N16" s="112">
        <f t="shared" si="19"/>
        <v>7.6140000000000001E-3</v>
      </c>
      <c r="O16" s="113">
        <f t="shared" si="11"/>
        <v>12.690000000000001</v>
      </c>
    </row>
    <row r="17" spans="1:15">
      <c r="A17" s="91">
        <f t="shared" si="20"/>
        <v>10</v>
      </c>
      <c r="B17" s="106"/>
      <c r="C17" s="106" t="s">
        <v>109</v>
      </c>
      <c r="D17" s="107">
        <v>3</v>
      </c>
      <c r="E17" s="108">
        <v>4.2</v>
      </c>
      <c r="F17" s="109">
        <f t="shared" si="12"/>
        <v>12.600000000000001</v>
      </c>
      <c r="G17" s="109">
        <f t="shared" si="13"/>
        <v>2.2680000000000007</v>
      </c>
      <c r="H17" s="109">
        <f t="shared" si="14"/>
        <v>0.25200000000000006</v>
      </c>
      <c r="I17" s="109">
        <f t="shared" si="15"/>
        <v>2.5200000000000009</v>
      </c>
      <c r="J17" s="109">
        <f t="shared" si="16"/>
        <v>4.6620000000000017</v>
      </c>
      <c r="K17" s="109">
        <f t="shared" si="17"/>
        <v>12.600000000000001</v>
      </c>
      <c r="L17" s="110">
        <f t="shared" si="10"/>
        <v>12.600000000000001</v>
      </c>
      <c r="M17" s="111">
        <f t="shared" si="18"/>
        <v>1.512</v>
      </c>
      <c r="N17" s="112">
        <f t="shared" si="19"/>
        <v>7.5599999999999999E-3</v>
      </c>
      <c r="O17" s="113">
        <f t="shared" si="11"/>
        <v>12.600000000000001</v>
      </c>
    </row>
    <row r="18" spans="1:15">
      <c r="A18" s="91">
        <f t="shared" si="20"/>
        <v>11</v>
      </c>
      <c r="B18" s="106"/>
      <c r="C18" s="106" t="s">
        <v>110</v>
      </c>
      <c r="D18" s="107">
        <v>3.2</v>
      </c>
      <c r="E18" s="108">
        <v>4.5</v>
      </c>
      <c r="F18" s="109">
        <f t="shared" si="12"/>
        <v>14.4</v>
      </c>
      <c r="G18" s="109">
        <f t="shared" si="13"/>
        <v>2.5920000000000005</v>
      </c>
      <c r="H18" s="109">
        <f t="shared" si="14"/>
        <v>0.28800000000000003</v>
      </c>
      <c r="I18" s="109">
        <f t="shared" si="15"/>
        <v>2.8800000000000008</v>
      </c>
      <c r="J18" s="109">
        <f t="shared" si="16"/>
        <v>5.3280000000000021</v>
      </c>
      <c r="K18" s="109">
        <f t="shared" si="17"/>
        <v>14.4</v>
      </c>
      <c r="L18" s="110">
        <f t="shared" si="10"/>
        <v>14.4</v>
      </c>
      <c r="M18" s="111">
        <f t="shared" si="18"/>
        <v>1.728</v>
      </c>
      <c r="N18" s="112">
        <f t="shared" si="19"/>
        <v>8.6400000000000001E-3</v>
      </c>
      <c r="O18" s="113">
        <f t="shared" si="11"/>
        <v>14.4</v>
      </c>
    </row>
    <row r="19" spans="1:15">
      <c r="A19" s="91">
        <f t="shared" si="20"/>
        <v>12</v>
      </c>
      <c r="B19" s="106"/>
      <c r="C19" s="106" t="s">
        <v>111</v>
      </c>
      <c r="D19" s="107">
        <v>1.3</v>
      </c>
      <c r="E19" s="108">
        <v>2.6</v>
      </c>
      <c r="F19" s="109">
        <f t="shared" si="12"/>
        <v>3.3800000000000003</v>
      </c>
      <c r="G19" s="109">
        <f t="shared" si="13"/>
        <v>0.60840000000000016</v>
      </c>
      <c r="H19" s="109">
        <f t="shared" si="14"/>
        <v>6.7600000000000021E-2</v>
      </c>
      <c r="I19" s="109">
        <f t="shared" si="15"/>
        <v>0.67600000000000016</v>
      </c>
      <c r="J19" s="109">
        <f t="shared" si="16"/>
        <v>1.2506000000000004</v>
      </c>
      <c r="K19" s="109">
        <f t="shared" si="17"/>
        <v>3.3800000000000003</v>
      </c>
      <c r="L19" s="110">
        <f t="shared" si="10"/>
        <v>3.3800000000000003</v>
      </c>
      <c r="M19" s="111">
        <f t="shared" si="18"/>
        <v>0.40560000000000002</v>
      </c>
      <c r="N19" s="112">
        <f t="shared" si="19"/>
        <v>2.0279999999999999E-3</v>
      </c>
      <c r="O19" s="113">
        <f t="shared" si="11"/>
        <v>3.3800000000000003</v>
      </c>
    </row>
    <row r="20" spans="1:15">
      <c r="A20" s="91">
        <f t="shared" si="20"/>
        <v>13</v>
      </c>
      <c r="B20" s="106" t="s">
        <v>112</v>
      </c>
      <c r="C20" s="106"/>
      <c r="D20" s="107">
        <v>2.2999999999999998</v>
      </c>
      <c r="E20" s="108">
        <v>4.5</v>
      </c>
      <c r="F20" s="109">
        <f t="shared" si="12"/>
        <v>10.35</v>
      </c>
      <c r="G20" s="109">
        <f t="shared" si="13"/>
        <v>1.863</v>
      </c>
      <c r="H20" s="109">
        <f t="shared" si="14"/>
        <v>0.20699999999999999</v>
      </c>
      <c r="I20" s="109">
        <f t="shared" si="15"/>
        <v>2.0699999999999998</v>
      </c>
      <c r="J20" s="109">
        <f t="shared" si="16"/>
        <v>3.8294999999999999</v>
      </c>
      <c r="K20" s="109">
        <f t="shared" si="17"/>
        <v>10.35</v>
      </c>
      <c r="L20" s="110">
        <f t="shared" si="10"/>
        <v>10.35</v>
      </c>
      <c r="M20" s="111">
        <f t="shared" si="18"/>
        <v>1.242</v>
      </c>
      <c r="N20" s="112">
        <f t="shared" si="19"/>
        <v>6.2099999999999994E-3</v>
      </c>
      <c r="O20" s="113">
        <f t="shared" si="11"/>
        <v>10.35</v>
      </c>
    </row>
    <row r="21" spans="1:15">
      <c r="A21" s="91">
        <f t="shared" si="20"/>
        <v>14</v>
      </c>
      <c r="B21" s="106"/>
      <c r="C21" s="106" t="s">
        <v>113</v>
      </c>
      <c r="D21" s="107">
        <v>2.8</v>
      </c>
      <c r="E21" s="108">
        <v>4.2</v>
      </c>
      <c r="F21" s="109">
        <f t="shared" si="12"/>
        <v>11.76</v>
      </c>
      <c r="G21" s="109">
        <f t="shared" si="13"/>
        <v>2.1168</v>
      </c>
      <c r="H21" s="109">
        <f t="shared" si="14"/>
        <v>0.23519999999999999</v>
      </c>
      <c r="I21" s="109">
        <f t="shared" si="15"/>
        <v>2.3519999999999999</v>
      </c>
      <c r="J21" s="109">
        <f t="shared" si="16"/>
        <v>4.3512000000000004</v>
      </c>
      <c r="K21" s="109">
        <f t="shared" si="17"/>
        <v>11.76</v>
      </c>
      <c r="L21" s="110">
        <f t="shared" si="10"/>
        <v>11.76</v>
      </c>
      <c r="M21" s="111">
        <f t="shared" si="18"/>
        <v>1.4112</v>
      </c>
      <c r="N21" s="112">
        <f t="shared" si="19"/>
        <v>7.0559999999999989E-3</v>
      </c>
      <c r="O21" s="113">
        <f t="shared" si="11"/>
        <v>11.76</v>
      </c>
    </row>
    <row r="22" spans="1:15">
      <c r="A22" s="91">
        <f t="shared" si="20"/>
        <v>15</v>
      </c>
      <c r="B22" s="106" t="s">
        <v>114</v>
      </c>
      <c r="C22" s="106"/>
      <c r="D22" s="107">
        <v>1.2</v>
      </c>
      <c r="E22" s="108">
        <v>3.3</v>
      </c>
      <c r="F22" s="109">
        <f t="shared" si="12"/>
        <v>3.9599999999999995</v>
      </c>
      <c r="G22" s="109">
        <f t="shared" si="13"/>
        <v>0.71279999999999999</v>
      </c>
      <c r="H22" s="109">
        <f t="shared" si="14"/>
        <v>7.9199999999999993E-2</v>
      </c>
      <c r="I22" s="109">
        <f t="shared" si="15"/>
        <v>0.79200000000000004</v>
      </c>
      <c r="J22" s="109">
        <f t="shared" si="16"/>
        <v>1.4652000000000001</v>
      </c>
      <c r="K22" s="109">
        <f t="shared" si="17"/>
        <v>3.9599999999999995</v>
      </c>
      <c r="L22" s="110">
        <f t="shared" si="10"/>
        <v>3.9599999999999995</v>
      </c>
      <c r="M22" s="111">
        <f t="shared" si="18"/>
        <v>0.4751999999999999</v>
      </c>
      <c r="N22" s="112">
        <f t="shared" si="19"/>
        <v>2.3759999999999996E-3</v>
      </c>
      <c r="O22" s="113">
        <f t="shared" si="11"/>
        <v>3.9599999999999995</v>
      </c>
    </row>
    <row r="23" spans="1:15">
      <c r="A23" s="91">
        <f t="shared" si="20"/>
        <v>16</v>
      </c>
      <c r="B23" s="106" t="s">
        <v>115</v>
      </c>
      <c r="C23" s="106"/>
      <c r="D23" s="107">
        <v>2.2999999999999998</v>
      </c>
      <c r="E23" s="108">
        <v>3.1</v>
      </c>
      <c r="F23" s="109">
        <f t="shared" si="12"/>
        <v>7.13</v>
      </c>
      <c r="G23" s="109">
        <f t="shared" si="13"/>
        <v>1.2834000000000001</v>
      </c>
      <c r="H23" s="109">
        <f t="shared" si="14"/>
        <v>0.14260000000000003</v>
      </c>
      <c r="I23" s="109">
        <f t="shared" si="15"/>
        <v>1.4260000000000002</v>
      </c>
      <c r="J23" s="109">
        <f t="shared" si="16"/>
        <v>2.6381000000000006</v>
      </c>
      <c r="K23" s="109">
        <f t="shared" si="17"/>
        <v>7.13</v>
      </c>
      <c r="L23" s="110">
        <f t="shared" si="10"/>
        <v>7.13</v>
      </c>
      <c r="M23" s="111">
        <f t="shared" si="18"/>
        <v>0.85559999999999992</v>
      </c>
      <c r="N23" s="112">
        <f t="shared" si="19"/>
        <v>4.2779999999999997E-3</v>
      </c>
      <c r="O23" s="113">
        <f t="shared" si="11"/>
        <v>7.13</v>
      </c>
    </row>
    <row r="24" spans="1:15">
      <c r="A24" s="91">
        <f t="shared" si="20"/>
        <v>17</v>
      </c>
      <c r="B24" s="106"/>
      <c r="C24" s="106" t="s">
        <v>116</v>
      </c>
      <c r="D24" s="107">
        <v>2.8</v>
      </c>
      <c r="E24" s="108">
        <v>4.8</v>
      </c>
      <c r="F24" s="109">
        <f t="shared" si="12"/>
        <v>13.44</v>
      </c>
      <c r="G24" s="109">
        <f t="shared" si="13"/>
        <v>2.4192</v>
      </c>
      <c r="H24" s="109">
        <f t="shared" si="14"/>
        <v>0.26880000000000004</v>
      </c>
      <c r="I24" s="109">
        <f t="shared" si="15"/>
        <v>2.6880000000000002</v>
      </c>
      <c r="J24" s="109">
        <f t="shared" si="16"/>
        <v>4.9728000000000003</v>
      </c>
      <c r="K24" s="109">
        <f t="shared" si="17"/>
        <v>13.44</v>
      </c>
      <c r="L24" s="110">
        <f t="shared" si="10"/>
        <v>13.44</v>
      </c>
      <c r="M24" s="111">
        <f t="shared" si="18"/>
        <v>1.6127999999999998</v>
      </c>
      <c r="N24" s="112">
        <f t="shared" si="19"/>
        <v>8.0639999999999983E-3</v>
      </c>
      <c r="O24" s="113">
        <f t="shared" si="11"/>
        <v>13.44</v>
      </c>
    </row>
    <row r="25" spans="1:15">
      <c r="A25" s="91">
        <f t="shared" si="20"/>
        <v>18</v>
      </c>
      <c r="B25" s="106" t="s">
        <v>117</v>
      </c>
      <c r="C25" s="106"/>
      <c r="D25" s="107">
        <v>3</v>
      </c>
      <c r="E25" s="108">
        <v>4.2</v>
      </c>
      <c r="F25" s="109">
        <f t="shared" si="12"/>
        <v>12.600000000000001</v>
      </c>
      <c r="G25" s="109">
        <f t="shared" si="13"/>
        <v>2.2680000000000007</v>
      </c>
      <c r="H25" s="109">
        <f t="shared" si="14"/>
        <v>0.25200000000000006</v>
      </c>
      <c r="I25" s="109">
        <f t="shared" si="15"/>
        <v>2.5200000000000009</v>
      </c>
      <c r="J25" s="109">
        <f t="shared" si="16"/>
        <v>4.6620000000000017</v>
      </c>
      <c r="K25" s="109">
        <f t="shared" si="17"/>
        <v>12.600000000000001</v>
      </c>
      <c r="L25" s="110">
        <f t="shared" si="10"/>
        <v>12.600000000000001</v>
      </c>
      <c r="M25" s="111">
        <f t="shared" si="18"/>
        <v>1.512</v>
      </c>
      <c r="N25" s="112">
        <f t="shared" si="19"/>
        <v>7.5599999999999999E-3</v>
      </c>
      <c r="O25" s="113">
        <f t="shared" si="11"/>
        <v>12.600000000000001</v>
      </c>
    </row>
    <row r="26" spans="1:15">
      <c r="A26" s="91">
        <f t="shared" si="20"/>
        <v>19</v>
      </c>
      <c r="B26" s="106"/>
      <c r="C26" s="106" t="s">
        <v>118</v>
      </c>
      <c r="D26" s="107">
        <v>3.6</v>
      </c>
      <c r="E26" s="108">
        <v>3.6</v>
      </c>
      <c r="F26" s="109">
        <f>E26*D26</f>
        <v>12.96</v>
      </c>
      <c r="G26" s="109">
        <f t="shared" si="13"/>
        <v>2.3328000000000007</v>
      </c>
      <c r="H26" s="109">
        <f t="shared" si="14"/>
        <v>0.25920000000000004</v>
      </c>
      <c r="I26" s="109">
        <f t="shared" si="15"/>
        <v>2.5920000000000005</v>
      </c>
      <c r="J26" s="109">
        <f t="shared" si="16"/>
        <v>4.7952000000000012</v>
      </c>
      <c r="K26" s="109">
        <f t="shared" si="17"/>
        <v>12.96</v>
      </c>
      <c r="L26" s="110">
        <f t="shared" si="10"/>
        <v>12.96</v>
      </c>
      <c r="M26" s="111">
        <f>L26*0.12</f>
        <v>1.5552000000000001</v>
      </c>
      <c r="N26" s="112">
        <f>O26*0.0006</f>
        <v>7.7759999999999999E-3</v>
      </c>
      <c r="O26" s="113">
        <f t="shared" si="11"/>
        <v>12.96</v>
      </c>
    </row>
    <row r="27" spans="1:15">
      <c r="A27" s="91">
        <f t="shared" si="20"/>
        <v>20</v>
      </c>
      <c r="B27" s="106"/>
      <c r="C27" s="106">
        <v>2.38</v>
      </c>
      <c r="D27" s="107">
        <v>4</v>
      </c>
      <c r="E27" s="108">
        <v>4.2</v>
      </c>
      <c r="F27" s="109">
        <f t="shared" ref="F27:F43" si="21">E27*D27</f>
        <v>16.8</v>
      </c>
      <c r="G27" s="109">
        <f t="shared" si="13"/>
        <v>3.0240000000000005</v>
      </c>
      <c r="H27" s="109">
        <f t="shared" si="14"/>
        <v>0.33600000000000008</v>
      </c>
      <c r="I27" s="109">
        <f t="shared" si="15"/>
        <v>3.3600000000000003</v>
      </c>
      <c r="J27" s="109">
        <f t="shared" si="16"/>
        <v>6.2160000000000011</v>
      </c>
      <c r="K27" s="109">
        <f t="shared" si="17"/>
        <v>16.8</v>
      </c>
      <c r="L27" s="110">
        <f t="shared" si="10"/>
        <v>16.8</v>
      </c>
      <c r="M27" s="111">
        <f t="shared" ref="M27:M43" si="22">L27*0.12</f>
        <v>2.016</v>
      </c>
      <c r="N27" s="112">
        <f t="shared" ref="N27:N43" si="23">O27*0.0006</f>
        <v>1.0079999999999999E-2</v>
      </c>
      <c r="O27" s="113">
        <f t="shared" si="11"/>
        <v>16.8</v>
      </c>
    </row>
    <row r="28" spans="1:15">
      <c r="A28" s="91">
        <f t="shared" si="20"/>
        <v>21</v>
      </c>
      <c r="B28" s="106"/>
      <c r="C28" s="106">
        <v>2.56</v>
      </c>
      <c r="D28" s="107">
        <v>3.6</v>
      </c>
      <c r="E28" s="108">
        <v>4.8</v>
      </c>
      <c r="F28" s="109">
        <f t="shared" si="21"/>
        <v>17.28</v>
      </c>
      <c r="G28" s="109">
        <f t="shared" si="13"/>
        <v>3.1104000000000003</v>
      </c>
      <c r="H28" s="109">
        <f t="shared" si="14"/>
        <v>0.34560000000000007</v>
      </c>
      <c r="I28" s="109">
        <f t="shared" si="15"/>
        <v>3.4560000000000004</v>
      </c>
      <c r="J28" s="109">
        <f t="shared" si="16"/>
        <v>6.3936000000000011</v>
      </c>
      <c r="K28" s="109">
        <f t="shared" si="17"/>
        <v>17.28</v>
      </c>
      <c r="L28" s="110">
        <f t="shared" si="10"/>
        <v>17.28</v>
      </c>
      <c r="M28" s="111">
        <f t="shared" si="22"/>
        <v>2.0735999999999999</v>
      </c>
      <c r="N28" s="112">
        <f t="shared" si="23"/>
        <v>1.0368E-2</v>
      </c>
      <c r="O28" s="113">
        <f t="shared" si="11"/>
        <v>17.28</v>
      </c>
    </row>
    <row r="29" spans="1:15">
      <c r="A29" s="91">
        <f t="shared" si="20"/>
        <v>22</v>
      </c>
      <c r="B29" s="106" t="s">
        <v>119</v>
      </c>
      <c r="C29" s="106"/>
      <c r="D29" s="107">
        <v>4.0999999999999996</v>
      </c>
      <c r="E29" s="108">
        <v>4.0999999999999996</v>
      </c>
      <c r="F29" s="109">
        <f t="shared" si="21"/>
        <v>16.809999999999999</v>
      </c>
      <c r="G29" s="109">
        <f t="shared" si="13"/>
        <v>3.0258000000000003</v>
      </c>
      <c r="H29" s="109">
        <f t="shared" si="14"/>
        <v>0.33620000000000005</v>
      </c>
      <c r="I29" s="109">
        <f t="shared" si="15"/>
        <v>3.3620000000000001</v>
      </c>
      <c r="J29" s="109">
        <f t="shared" si="16"/>
        <v>6.2197000000000005</v>
      </c>
      <c r="K29" s="109">
        <f t="shared" si="17"/>
        <v>16.809999999999999</v>
      </c>
      <c r="L29" s="110">
        <f t="shared" si="10"/>
        <v>16.809999999999999</v>
      </c>
      <c r="M29" s="111">
        <f t="shared" si="22"/>
        <v>2.0171999999999999</v>
      </c>
      <c r="N29" s="112">
        <f t="shared" si="23"/>
        <v>1.0085999999999998E-2</v>
      </c>
      <c r="O29" s="113">
        <f t="shared" si="11"/>
        <v>16.809999999999999</v>
      </c>
    </row>
    <row r="30" spans="1:15">
      <c r="A30" s="91">
        <f t="shared" si="20"/>
        <v>23</v>
      </c>
      <c r="B30" s="106"/>
      <c r="C30" s="106" t="s">
        <v>121</v>
      </c>
      <c r="D30" s="107">
        <v>1.2</v>
      </c>
      <c r="E30" s="108">
        <v>4.3</v>
      </c>
      <c r="F30" s="109">
        <f t="shared" si="21"/>
        <v>5.1599999999999993</v>
      </c>
      <c r="G30" s="109">
        <f t="shared" si="13"/>
        <v>0.92879999999999985</v>
      </c>
      <c r="H30" s="109">
        <f t="shared" si="14"/>
        <v>0.10319999999999999</v>
      </c>
      <c r="I30" s="109">
        <f t="shared" si="15"/>
        <v>1.0319999999999998</v>
      </c>
      <c r="J30" s="109">
        <f t="shared" si="16"/>
        <v>1.9091999999999998</v>
      </c>
      <c r="K30" s="109">
        <f t="shared" si="17"/>
        <v>5.1599999999999993</v>
      </c>
      <c r="L30" s="110">
        <f t="shared" si="10"/>
        <v>5.1599999999999993</v>
      </c>
      <c r="M30" s="111">
        <f t="shared" si="22"/>
        <v>0.61919999999999986</v>
      </c>
      <c r="N30" s="112">
        <f t="shared" si="23"/>
        <v>3.0959999999999994E-3</v>
      </c>
      <c r="O30" s="113">
        <f t="shared" si="11"/>
        <v>5.1599999999999993</v>
      </c>
    </row>
    <row r="31" spans="1:15">
      <c r="A31" s="91">
        <f t="shared" si="20"/>
        <v>24</v>
      </c>
      <c r="B31" s="106" t="s">
        <v>122</v>
      </c>
      <c r="C31" s="106"/>
      <c r="D31" s="107">
        <v>3</v>
      </c>
      <c r="E31" s="108">
        <v>4</v>
      </c>
      <c r="F31" s="109">
        <f t="shared" si="21"/>
        <v>12</v>
      </c>
      <c r="G31" s="109">
        <f t="shared" si="13"/>
        <v>2.1600000000000006</v>
      </c>
      <c r="H31" s="109">
        <f t="shared" si="14"/>
        <v>0.24000000000000005</v>
      </c>
      <c r="I31" s="109">
        <f t="shared" si="15"/>
        <v>2.4000000000000008</v>
      </c>
      <c r="J31" s="109">
        <f t="shared" si="16"/>
        <v>4.4400000000000013</v>
      </c>
      <c r="K31" s="109">
        <f t="shared" si="17"/>
        <v>12</v>
      </c>
      <c r="L31" s="110">
        <f t="shared" si="10"/>
        <v>12</v>
      </c>
      <c r="M31" s="111">
        <f t="shared" si="22"/>
        <v>1.44</v>
      </c>
      <c r="N31" s="112">
        <f t="shared" si="23"/>
        <v>7.1999999999999998E-3</v>
      </c>
      <c r="O31" s="113">
        <f t="shared" si="11"/>
        <v>12</v>
      </c>
    </row>
    <row r="32" spans="1:15">
      <c r="A32" s="91">
        <f t="shared" si="20"/>
        <v>25</v>
      </c>
      <c r="B32" s="106" t="s">
        <v>123</v>
      </c>
      <c r="C32" s="106"/>
      <c r="D32" s="107">
        <v>1.6</v>
      </c>
      <c r="E32" s="108">
        <v>5</v>
      </c>
      <c r="F32" s="109">
        <f t="shared" si="21"/>
        <v>8</v>
      </c>
      <c r="G32" s="109">
        <f t="shared" si="13"/>
        <v>1.4400000000000002</v>
      </c>
      <c r="H32" s="109">
        <f t="shared" si="14"/>
        <v>0.16000000000000003</v>
      </c>
      <c r="I32" s="109">
        <f t="shared" si="15"/>
        <v>1.6</v>
      </c>
      <c r="J32" s="109">
        <f t="shared" si="16"/>
        <v>2.9600000000000004</v>
      </c>
      <c r="K32" s="109">
        <f t="shared" si="17"/>
        <v>8</v>
      </c>
      <c r="L32" s="110">
        <f t="shared" si="10"/>
        <v>8</v>
      </c>
      <c r="M32" s="111">
        <f t="shared" si="22"/>
        <v>0.96</v>
      </c>
      <c r="N32" s="112">
        <f t="shared" si="23"/>
        <v>4.7999999999999996E-3</v>
      </c>
      <c r="O32" s="113">
        <f t="shared" si="11"/>
        <v>8</v>
      </c>
    </row>
    <row r="33" spans="1:15">
      <c r="A33" s="91">
        <f t="shared" si="20"/>
        <v>26</v>
      </c>
      <c r="B33" s="106" t="s">
        <v>124</v>
      </c>
      <c r="C33" s="106"/>
      <c r="D33" s="107">
        <v>2.1</v>
      </c>
      <c r="E33" s="108">
        <v>4.4000000000000004</v>
      </c>
      <c r="F33" s="109">
        <f t="shared" si="21"/>
        <v>9.240000000000002</v>
      </c>
      <c r="G33" s="109">
        <f t="shared" si="13"/>
        <v>1.6632000000000005</v>
      </c>
      <c r="H33" s="109">
        <f t="shared" si="14"/>
        <v>0.18480000000000008</v>
      </c>
      <c r="I33" s="109">
        <f t="shared" si="15"/>
        <v>1.8480000000000005</v>
      </c>
      <c r="J33" s="109">
        <f t="shared" si="16"/>
        <v>3.4188000000000009</v>
      </c>
      <c r="K33" s="109">
        <f t="shared" si="17"/>
        <v>9.240000000000002</v>
      </c>
      <c r="L33" s="110">
        <f t="shared" si="10"/>
        <v>9.240000000000002</v>
      </c>
      <c r="M33" s="111">
        <f t="shared" si="22"/>
        <v>1.1088000000000002</v>
      </c>
      <c r="N33" s="112">
        <f t="shared" si="23"/>
        <v>5.5440000000000003E-3</v>
      </c>
      <c r="O33" s="113">
        <f t="shared" si="11"/>
        <v>9.240000000000002</v>
      </c>
    </row>
    <row r="34" spans="1:15">
      <c r="A34" s="91">
        <f t="shared" si="20"/>
        <v>27</v>
      </c>
      <c r="B34" s="106"/>
      <c r="C34" s="106" t="s">
        <v>125</v>
      </c>
      <c r="D34" s="107">
        <v>3.7</v>
      </c>
      <c r="E34" s="108">
        <v>4.5</v>
      </c>
      <c r="F34" s="109">
        <f t="shared" si="21"/>
        <v>16.650000000000002</v>
      </c>
      <c r="G34" s="109">
        <f t="shared" si="13"/>
        <v>2.9970000000000003</v>
      </c>
      <c r="H34" s="109">
        <f t="shared" si="14"/>
        <v>0.33300000000000007</v>
      </c>
      <c r="I34" s="109">
        <f t="shared" si="15"/>
        <v>3.3300000000000005</v>
      </c>
      <c r="J34" s="109">
        <f t="shared" si="16"/>
        <v>6.1605000000000016</v>
      </c>
      <c r="K34" s="109">
        <f t="shared" si="17"/>
        <v>16.650000000000002</v>
      </c>
      <c r="L34" s="110">
        <f t="shared" si="10"/>
        <v>16.650000000000002</v>
      </c>
      <c r="M34" s="111">
        <f t="shared" si="22"/>
        <v>1.9980000000000002</v>
      </c>
      <c r="N34" s="112">
        <f t="shared" si="23"/>
        <v>9.9900000000000006E-3</v>
      </c>
      <c r="O34" s="113">
        <f t="shared" si="11"/>
        <v>16.650000000000002</v>
      </c>
    </row>
    <row r="35" spans="1:15">
      <c r="A35" s="91">
        <f t="shared" si="20"/>
        <v>28</v>
      </c>
      <c r="B35" s="106" t="s">
        <v>126</v>
      </c>
      <c r="C35" s="106"/>
      <c r="D35" s="107">
        <v>2.2999999999999998</v>
      </c>
      <c r="E35" s="108">
        <v>4.8</v>
      </c>
      <c r="F35" s="109">
        <f t="shared" si="21"/>
        <v>11.04</v>
      </c>
      <c r="G35" s="109">
        <f t="shared" si="13"/>
        <v>1.9871999999999999</v>
      </c>
      <c r="H35" s="109">
        <f t="shared" si="14"/>
        <v>0.2208</v>
      </c>
      <c r="I35" s="109">
        <f t="shared" si="15"/>
        <v>2.2079999999999997</v>
      </c>
      <c r="J35" s="109">
        <f t="shared" si="16"/>
        <v>4.0847999999999995</v>
      </c>
      <c r="K35" s="109">
        <f t="shared" si="17"/>
        <v>11.04</v>
      </c>
      <c r="L35" s="110">
        <f t="shared" si="10"/>
        <v>11.04</v>
      </c>
      <c r="M35" s="111">
        <f t="shared" si="22"/>
        <v>1.3247999999999998</v>
      </c>
      <c r="N35" s="112">
        <f t="shared" si="23"/>
        <v>6.6239999999999988E-3</v>
      </c>
      <c r="O35" s="113">
        <f t="shared" si="11"/>
        <v>11.04</v>
      </c>
    </row>
    <row r="36" spans="1:15">
      <c r="A36" s="91">
        <f t="shared" si="20"/>
        <v>29</v>
      </c>
      <c r="B36" s="106"/>
      <c r="C36" s="106" t="s">
        <v>120</v>
      </c>
      <c r="D36" s="107">
        <v>2.2000000000000002</v>
      </c>
      <c r="E36" s="108">
        <v>4.2</v>
      </c>
      <c r="F36" s="109">
        <f t="shared" si="21"/>
        <v>9.240000000000002</v>
      </c>
      <c r="G36" s="109">
        <f t="shared" si="13"/>
        <v>1.6632000000000005</v>
      </c>
      <c r="H36" s="109">
        <f t="shared" si="14"/>
        <v>0.18480000000000008</v>
      </c>
      <c r="I36" s="109">
        <f t="shared" si="15"/>
        <v>1.8480000000000005</v>
      </c>
      <c r="J36" s="109">
        <f t="shared" si="16"/>
        <v>3.4188000000000009</v>
      </c>
      <c r="K36" s="109">
        <f t="shared" si="17"/>
        <v>9.240000000000002</v>
      </c>
      <c r="L36" s="110">
        <f t="shared" si="10"/>
        <v>9.240000000000002</v>
      </c>
      <c r="M36" s="111">
        <f t="shared" si="22"/>
        <v>1.1088000000000002</v>
      </c>
      <c r="N36" s="112">
        <f t="shared" si="23"/>
        <v>5.5440000000000003E-3</v>
      </c>
      <c r="O36" s="113">
        <f t="shared" si="11"/>
        <v>9.240000000000002</v>
      </c>
    </row>
    <row r="37" spans="1:15">
      <c r="A37" s="91">
        <f t="shared" si="20"/>
        <v>30</v>
      </c>
      <c r="B37" s="106" t="s">
        <v>127</v>
      </c>
      <c r="C37" s="106"/>
      <c r="D37" s="107">
        <v>2.7</v>
      </c>
      <c r="E37" s="108">
        <v>5.4</v>
      </c>
      <c r="F37" s="109">
        <f t="shared" si="21"/>
        <v>14.580000000000002</v>
      </c>
      <c r="G37" s="109">
        <f t="shared" si="13"/>
        <v>2.6244000000000005</v>
      </c>
      <c r="H37" s="109">
        <f t="shared" si="14"/>
        <v>0.29160000000000003</v>
      </c>
      <c r="I37" s="109">
        <f t="shared" si="15"/>
        <v>2.9160000000000004</v>
      </c>
      <c r="J37" s="109">
        <f t="shared" si="16"/>
        <v>5.3946000000000005</v>
      </c>
      <c r="K37" s="109">
        <f t="shared" si="17"/>
        <v>14.580000000000002</v>
      </c>
      <c r="L37" s="110">
        <f t="shared" si="10"/>
        <v>14.580000000000002</v>
      </c>
      <c r="M37" s="111">
        <f t="shared" si="22"/>
        <v>1.7496000000000003</v>
      </c>
      <c r="N37" s="112">
        <f t="shared" si="23"/>
        <v>8.7480000000000006E-3</v>
      </c>
      <c r="O37" s="113">
        <f t="shared" si="11"/>
        <v>14.580000000000002</v>
      </c>
    </row>
    <row r="38" spans="1:15">
      <c r="A38" s="91">
        <f t="shared" si="20"/>
        <v>31</v>
      </c>
      <c r="B38" s="106" t="s">
        <v>128</v>
      </c>
      <c r="C38" s="106"/>
      <c r="D38" s="107">
        <v>3.5</v>
      </c>
      <c r="E38" s="108">
        <v>4.5999999999999996</v>
      </c>
      <c r="F38" s="109">
        <f t="shared" si="21"/>
        <v>16.099999999999998</v>
      </c>
      <c r="G38" s="109">
        <f t="shared" si="13"/>
        <v>2.8979999999999997</v>
      </c>
      <c r="H38" s="109">
        <f t="shared" si="14"/>
        <v>0.32200000000000001</v>
      </c>
      <c r="I38" s="109">
        <f t="shared" si="15"/>
        <v>3.2199999999999998</v>
      </c>
      <c r="J38" s="109">
        <f t="shared" si="16"/>
        <v>5.9569999999999999</v>
      </c>
      <c r="K38" s="109">
        <f t="shared" si="17"/>
        <v>16.099999999999998</v>
      </c>
      <c r="L38" s="110">
        <f t="shared" si="10"/>
        <v>16.099999999999998</v>
      </c>
      <c r="M38" s="111">
        <f t="shared" si="22"/>
        <v>1.9319999999999997</v>
      </c>
      <c r="N38" s="112">
        <f t="shared" si="23"/>
        <v>9.6599999999999984E-3</v>
      </c>
      <c r="O38" s="113">
        <f t="shared" si="11"/>
        <v>16.099999999999998</v>
      </c>
    </row>
    <row r="39" spans="1:15">
      <c r="A39" s="91">
        <f t="shared" si="20"/>
        <v>32</v>
      </c>
      <c r="B39" s="106"/>
      <c r="C39" s="106" t="s">
        <v>129</v>
      </c>
      <c r="D39" s="107">
        <v>2.2000000000000002</v>
      </c>
      <c r="E39" s="108">
        <v>4</v>
      </c>
      <c r="F39" s="109">
        <f t="shared" si="21"/>
        <v>8.8000000000000007</v>
      </c>
      <c r="G39" s="109">
        <f t="shared" si="13"/>
        <v>1.5840000000000003</v>
      </c>
      <c r="H39" s="109">
        <f t="shared" si="14"/>
        <v>0.17600000000000005</v>
      </c>
      <c r="I39" s="109">
        <f t="shared" si="15"/>
        <v>1.7600000000000002</v>
      </c>
      <c r="J39" s="109">
        <f t="shared" si="16"/>
        <v>3.2560000000000007</v>
      </c>
      <c r="K39" s="109">
        <f t="shared" si="17"/>
        <v>8.8000000000000007</v>
      </c>
      <c r="L39" s="110">
        <f t="shared" si="10"/>
        <v>8.8000000000000007</v>
      </c>
      <c r="M39" s="111">
        <f t="shared" si="22"/>
        <v>1.056</v>
      </c>
      <c r="N39" s="112">
        <f t="shared" si="23"/>
        <v>5.28E-3</v>
      </c>
      <c r="O39" s="113">
        <f t="shared" si="11"/>
        <v>8.8000000000000007</v>
      </c>
    </row>
    <row r="40" spans="1:15">
      <c r="A40" s="91">
        <f t="shared" si="20"/>
        <v>33</v>
      </c>
      <c r="B40" s="106"/>
      <c r="C40" s="106" t="s">
        <v>130</v>
      </c>
      <c r="D40" s="107">
        <v>2.6</v>
      </c>
      <c r="E40" s="108">
        <v>4.5999999999999996</v>
      </c>
      <c r="F40" s="109">
        <f t="shared" si="21"/>
        <v>11.959999999999999</v>
      </c>
      <c r="G40" s="109">
        <f t="shared" si="13"/>
        <v>2.1528</v>
      </c>
      <c r="H40" s="109">
        <f t="shared" si="14"/>
        <v>0.2392</v>
      </c>
      <c r="I40" s="109">
        <f t="shared" si="15"/>
        <v>2.3919999999999999</v>
      </c>
      <c r="J40" s="109">
        <f t="shared" si="16"/>
        <v>4.4252000000000002</v>
      </c>
      <c r="K40" s="109">
        <f t="shared" si="17"/>
        <v>11.959999999999999</v>
      </c>
      <c r="L40" s="110">
        <f t="shared" si="10"/>
        <v>11.959999999999999</v>
      </c>
      <c r="M40" s="111">
        <f t="shared" si="22"/>
        <v>1.4351999999999998</v>
      </c>
      <c r="N40" s="112">
        <f t="shared" si="23"/>
        <v>7.1759999999999992E-3</v>
      </c>
      <c r="O40" s="113">
        <f t="shared" si="11"/>
        <v>11.959999999999999</v>
      </c>
    </row>
    <row r="41" spans="1:15">
      <c r="A41" s="91">
        <f t="shared" si="20"/>
        <v>34</v>
      </c>
      <c r="B41" s="106" t="s">
        <v>131</v>
      </c>
      <c r="C41" s="106"/>
      <c r="D41" s="107">
        <v>3.3</v>
      </c>
      <c r="E41" s="108">
        <v>5.7</v>
      </c>
      <c r="F41" s="109">
        <f t="shared" si="21"/>
        <v>18.809999999999999</v>
      </c>
      <c r="G41" s="109">
        <f t="shared" si="13"/>
        <v>3.3858000000000001</v>
      </c>
      <c r="H41" s="109">
        <f t="shared" si="14"/>
        <v>0.37620000000000003</v>
      </c>
      <c r="I41" s="109">
        <f t="shared" si="15"/>
        <v>3.762</v>
      </c>
      <c r="J41" s="109">
        <f t="shared" si="16"/>
        <v>6.9597000000000007</v>
      </c>
      <c r="K41" s="109">
        <f t="shared" si="17"/>
        <v>18.809999999999999</v>
      </c>
      <c r="L41" s="110">
        <f t="shared" si="10"/>
        <v>18.809999999999999</v>
      </c>
      <c r="M41" s="111">
        <f t="shared" si="22"/>
        <v>2.2571999999999997</v>
      </c>
      <c r="N41" s="112">
        <f t="shared" si="23"/>
        <v>1.1285999999999997E-2</v>
      </c>
      <c r="O41" s="113">
        <f t="shared" si="11"/>
        <v>18.809999999999999</v>
      </c>
    </row>
    <row r="42" spans="1:15">
      <c r="A42" s="91">
        <f t="shared" si="20"/>
        <v>35</v>
      </c>
      <c r="B42" s="106" t="s">
        <v>132</v>
      </c>
      <c r="C42" s="106"/>
      <c r="D42" s="107">
        <v>4.3</v>
      </c>
      <c r="E42" s="108">
        <v>5.4</v>
      </c>
      <c r="F42" s="109">
        <f t="shared" si="21"/>
        <v>23.22</v>
      </c>
      <c r="G42" s="109">
        <f t="shared" si="13"/>
        <v>4.1796000000000006</v>
      </c>
      <c r="H42" s="109">
        <f t="shared" si="14"/>
        <v>0.46440000000000003</v>
      </c>
      <c r="I42" s="109">
        <f t="shared" si="15"/>
        <v>4.644000000000001</v>
      </c>
      <c r="J42" s="109">
        <f t="shared" si="16"/>
        <v>8.5914000000000019</v>
      </c>
      <c r="K42" s="109">
        <f t="shared" si="17"/>
        <v>23.22</v>
      </c>
      <c r="L42" s="110">
        <f t="shared" si="10"/>
        <v>23.22</v>
      </c>
      <c r="M42" s="111">
        <f t="shared" si="22"/>
        <v>2.7863999999999995</v>
      </c>
      <c r="N42" s="112">
        <f t="shared" si="23"/>
        <v>1.3931999999999998E-2</v>
      </c>
      <c r="O42" s="113">
        <f t="shared" si="11"/>
        <v>23.22</v>
      </c>
    </row>
    <row r="43" spans="1:15">
      <c r="A43" s="91">
        <f t="shared" si="20"/>
        <v>36</v>
      </c>
      <c r="B43" s="106"/>
      <c r="C43" s="106" t="s">
        <v>133</v>
      </c>
      <c r="D43" s="107">
        <v>1</v>
      </c>
      <c r="E43" s="108">
        <v>4</v>
      </c>
      <c r="F43" s="109">
        <f t="shared" si="21"/>
        <v>4</v>
      </c>
      <c r="G43" s="109">
        <f t="shared" si="13"/>
        <v>0.72000000000000008</v>
      </c>
      <c r="H43" s="109">
        <f t="shared" si="14"/>
        <v>8.0000000000000016E-2</v>
      </c>
      <c r="I43" s="109">
        <f t="shared" si="15"/>
        <v>0.8</v>
      </c>
      <c r="J43" s="109">
        <f t="shared" si="16"/>
        <v>1.4800000000000002</v>
      </c>
      <c r="K43" s="109">
        <f t="shared" si="17"/>
        <v>4</v>
      </c>
      <c r="L43" s="110">
        <f t="shared" si="10"/>
        <v>4</v>
      </c>
      <c r="M43" s="111">
        <f t="shared" si="22"/>
        <v>0.48</v>
      </c>
      <c r="N43" s="112">
        <f t="shared" si="23"/>
        <v>2.3999999999999998E-3</v>
      </c>
      <c r="O43" s="113">
        <f t="shared" si="11"/>
        <v>4</v>
      </c>
    </row>
    <row r="44" spans="1:15">
      <c r="A44" s="91">
        <f t="shared" si="20"/>
        <v>37</v>
      </c>
      <c r="B44" s="106"/>
      <c r="C44" s="106" t="s">
        <v>134</v>
      </c>
      <c r="D44" s="107">
        <v>2.6</v>
      </c>
      <c r="E44" s="108">
        <v>5</v>
      </c>
      <c r="F44" s="109">
        <f>E44*D44</f>
        <v>13</v>
      </c>
      <c r="G44" s="109">
        <f t="shared" si="13"/>
        <v>2.3400000000000003</v>
      </c>
      <c r="H44" s="109">
        <f t="shared" si="14"/>
        <v>0.26</v>
      </c>
      <c r="I44" s="109">
        <f t="shared" si="15"/>
        <v>2.6000000000000005</v>
      </c>
      <c r="J44" s="109">
        <f t="shared" si="16"/>
        <v>4.8100000000000014</v>
      </c>
      <c r="K44" s="109">
        <f t="shared" si="17"/>
        <v>13</v>
      </c>
      <c r="L44" s="110">
        <f t="shared" si="10"/>
        <v>13</v>
      </c>
      <c r="M44" s="111">
        <f>L44*0.12</f>
        <v>1.56</v>
      </c>
      <c r="N44" s="112">
        <f>O44*0.0006</f>
        <v>7.7999999999999996E-3</v>
      </c>
      <c r="O44" s="113">
        <f t="shared" si="11"/>
        <v>13</v>
      </c>
    </row>
    <row r="45" spans="1:15">
      <c r="A45" s="91">
        <f t="shared" si="20"/>
        <v>38</v>
      </c>
      <c r="B45" s="106" t="s">
        <v>135</v>
      </c>
      <c r="C45" s="106"/>
      <c r="D45" s="107">
        <v>4.0999999999999996</v>
      </c>
      <c r="E45" s="108">
        <v>4.9000000000000004</v>
      </c>
      <c r="F45" s="109">
        <f t="shared" ref="F45:F51" si="24">E45*D45</f>
        <v>20.09</v>
      </c>
      <c r="G45" s="109">
        <f t="shared" si="13"/>
        <v>3.6162000000000001</v>
      </c>
      <c r="H45" s="109">
        <f t="shared" si="14"/>
        <v>0.40179999999999999</v>
      </c>
      <c r="I45" s="109">
        <f t="shared" si="15"/>
        <v>4.0179999999999998</v>
      </c>
      <c r="J45" s="109">
        <f t="shared" si="16"/>
        <v>7.4333</v>
      </c>
      <c r="K45" s="109">
        <f t="shared" si="17"/>
        <v>20.09</v>
      </c>
      <c r="L45" s="110">
        <f t="shared" si="10"/>
        <v>20.09</v>
      </c>
      <c r="M45" s="111">
        <f t="shared" ref="M45:M51" si="25">L45*0.12</f>
        <v>2.4108000000000001</v>
      </c>
      <c r="N45" s="112">
        <f t="shared" ref="N45:N51" si="26">O45*0.0006</f>
        <v>1.2053999999999999E-2</v>
      </c>
      <c r="O45" s="113">
        <f t="shared" si="11"/>
        <v>20.09</v>
      </c>
    </row>
    <row r="46" spans="1:15">
      <c r="A46" s="91">
        <f t="shared" si="20"/>
        <v>39</v>
      </c>
      <c r="B46" s="106"/>
      <c r="C46" s="106" t="s">
        <v>136</v>
      </c>
      <c r="D46" s="107">
        <v>3.1</v>
      </c>
      <c r="E46" s="108">
        <v>4.4000000000000004</v>
      </c>
      <c r="F46" s="109">
        <f t="shared" si="24"/>
        <v>13.640000000000002</v>
      </c>
      <c r="G46" s="109">
        <f t="shared" si="13"/>
        <v>2.4552000000000005</v>
      </c>
      <c r="H46" s="109">
        <f t="shared" si="14"/>
        <v>0.2728000000000001</v>
      </c>
      <c r="I46" s="109">
        <f t="shared" si="15"/>
        <v>2.7280000000000006</v>
      </c>
      <c r="J46" s="109">
        <f t="shared" si="16"/>
        <v>5.0468000000000011</v>
      </c>
      <c r="K46" s="109">
        <f t="shared" si="17"/>
        <v>13.640000000000002</v>
      </c>
      <c r="L46" s="110">
        <f t="shared" si="10"/>
        <v>13.640000000000002</v>
      </c>
      <c r="M46" s="111">
        <f t="shared" si="25"/>
        <v>1.6368000000000003</v>
      </c>
      <c r="N46" s="112">
        <f t="shared" si="26"/>
        <v>8.1840000000000003E-3</v>
      </c>
      <c r="O46" s="113">
        <f t="shared" si="11"/>
        <v>13.640000000000002</v>
      </c>
    </row>
    <row r="47" spans="1:15">
      <c r="A47" s="91">
        <f t="shared" si="20"/>
        <v>40</v>
      </c>
      <c r="B47" s="106" t="s">
        <v>137</v>
      </c>
      <c r="C47" s="106"/>
      <c r="D47" s="107">
        <v>3.1</v>
      </c>
      <c r="E47" s="108">
        <v>4.5999999999999996</v>
      </c>
      <c r="F47" s="109">
        <f t="shared" si="24"/>
        <v>14.26</v>
      </c>
      <c r="G47" s="109">
        <f t="shared" si="13"/>
        <v>2.5668000000000002</v>
      </c>
      <c r="H47" s="109">
        <f t="shared" si="14"/>
        <v>0.28520000000000006</v>
      </c>
      <c r="I47" s="109">
        <f t="shared" si="15"/>
        <v>2.8520000000000003</v>
      </c>
      <c r="J47" s="109">
        <f t="shared" si="16"/>
        <v>5.2762000000000011</v>
      </c>
      <c r="K47" s="109">
        <f t="shared" si="17"/>
        <v>14.26</v>
      </c>
      <c r="L47" s="110">
        <f t="shared" si="10"/>
        <v>14.26</v>
      </c>
      <c r="M47" s="111">
        <f t="shared" si="25"/>
        <v>1.7111999999999998</v>
      </c>
      <c r="N47" s="112">
        <f t="shared" si="26"/>
        <v>8.5559999999999994E-3</v>
      </c>
      <c r="O47" s="113">
        <f t="shared" si="11"/>
        <v>14.26</v>
      </c>
    </row>
    <row r="48" spans="1:15">
      <c r="A48" s="91">
        <f t="shared" si="20"/>
        <v>41</v>
      </c>
      <c r="B48" s="106" t="s">
        <v>138</v>
      </c>
      <c r="C48" s="106"/>
      <c r="D48" s="107">
        <v>2.4</v>
      </c>
      <c r="E48" s="108">
        <v>3.4</v>
      </c>
      <c r="F48" s="109">
        <f t="shared" si="24"/>
        <v>8.16</v>
      </c>
      <c r="G48" s="109">
        <f t="shared" si="13"/>
        <v>1.4688000000000001</v>
      </c>
      <c r="H48" s="109">
        <f t="shared" si="14"/>
        <v>0.16320000000000001</v>
      </c>
      <c r="I48" s="109">
        <f t="shared" si="15"/>
        <v>1.6320000000000001</v>
      </c>
      <c r="J48" s="109">
        <f t="shared" si="16"/>
        <v>3.0192000000000005</v>
      </c>
      <c r="K48" s="109">
        <f t="shared" si="17"/>
        <v>8.16</v>
      </c>
      <c r="L48" s="110">
        <f t="shared" si="10"/>
        <v>8.16</v>
      </c>
      <c r="M48" s="111">
        <f t="shared" si="25"/>
        <v>0.97919999999999996</v>
      </c>
      <c r="N48" s="112">
        <f t="shared" si="26"/>
        <v>4.8959999999999993E-3</v>
      </c>
      <c r="O48" s="113">
        <f t="shared" si="11"/>
        <v>8.16</v>
      </c>
    </row>
    <row r="49" spans="1:15">
      <c r="A49" s="91">
        <f t="shared" si="20"/>
        <v>42</v>
      </c>
      <c r="B49" s="106"/>
      <c r="C49" s="106" t="s">
        <v>129</v>
      </c>
      <c r="D49" s="107">
        <v>3.1</v>
      </c>
      <c r="E49" s="108">
        <v>4.9000000000000004</v>
      </c>
      <c r="F49" s="109">
        <f t="shared" si="24"/>
        <v>15.190000000000001</v>
      </c>
      <c r="G49" s="109">
        <f t="shared" si="13"/>
        <v>2.7342000000000004</v>
      </c>
      <c r="H49" s="109">
        <f t="shared" si="14"/>
        <v>0.30380000000000007</v>
      </c>
      <c r="I49" s="109">
        <f t="shared" si="15"/>
        <v>3.0380000000000003</v>
      </c>
      <c r="J49" s="109">
        <f t="shared" si="16"/>
        <v>5.6203000000000012</v>
      </c>
      <c r="K49" s="109">
        <f t="shared" si="17"/>
        <v>15.190000000000001</v>
      </c>
      <c r="L49" s="110">
        <f t="shared" si="10"/>
        <v>15.190000000000001</v>
      </c>
      <c r="M49" s="111">
        <f t="shared" si="25"/>
        <v>1.8228</v>
      </c>
      <c r="N49" s="112">
        <f t="shared" si="26"/>
        <v>9.1140000000000006E-3</v>
      </c>
      <c r="O49" s="113">
        <f t="shared" si="11"/>
        <v>15.190000000000001</v>
      </c>
    </row>
    <row r="50" spans="1:15">
      <c r="A50" s="91">
        <f t="shared" si="20"/>
        <v>43</v>
      </c>
      <c r="B50" s="106" t="s">
        <v>129</v>
      </c>
      <c r="C50" s="106"/>
      <c r="D50" s="107">
        <v>1.5</v>
      </c>
      <c r="E50" s="108">
        <v>4.0999999999999996</v>
      </c>
      <c r="F50" s="109">
        <f t="shared" si="24"/>
        <v>6.1499999999999995</v>
      </c>
      <c r="G50" s="109">
        <f t="shared" si="13"/>
        <v>1.107</v>
      </c>
      <c r="H50" s="109">
        <f t="shared" si="14"/>
        <v>0.123</v>
      </c>
      <c r="I50" s="109">
        <f t="shared" si="15"/>
        <v>1.23</v>
      </c>
      <c r="J50" s="109">
        <f t="shared" si="16"/>
        <v>2.2755000000000001</v>
      </c>
      <c r="K50" s="109">
        <f t="shared" si="17"/>
        <v>6.1499999999999995</v>
      </c>
      <c r="L50" s="110">
        <f t="shared" si="10"/>
        <v>6.1499999999999995</v>
      </c>
      <c r="M50" s="111">
        <f t="shared" si="25"/>
        <v>0.73799999999999988</v>
      </c>
      <c r="N50" s="112">
        <f t="shared" si="26"/>
        <v>3.6899999999999993E-3</v>
      </c>
      <c r="O50" s="113">
        <f t="shared" si="11"/>
        <v>6.1499999999999995</v>
      </c>
    </row>
    <row r="51" spans="1:15">
      <c r="A51" s="91">
        <f t="shared" si="20"/>
        <v>44</v>
      </c>
      <c r="B51" s="106" t="s">
        <v>139</v>
      </c>
      <c r="C51" s="106"/>
      <c r="D51" s="107">
        <v>3.1</v>
      </c>
      <c r="E51" s="108">
        <v>3.9</v>
      </c>
      <c r="F51" s="109">
        <f t="shared" si="24"/>
        <v>12.09</v>
      </c>
      <c r="G51" s="109">
        <f>F51*0.2*0.9</f>
        <v>2.1762000000000001</v>
      </c>
      <c r="H51" s="109">
        <f t="shared" si="14"/>
        <v>0.24180000000000001</v>
      </c>
      <c r="I51" s="109">
        <f t="shared" si="15"/>
        <v>2.4180000000000001</v>
      </c>
      <c r="J51" s="109">
        <f t="shared" si="16"/>
        <v>4.4733000000000001</v>
      </c>
      <c r="K51" s="109">
        <f t="shared" si="17"/>
        <v>12.09</v>
      </c>
      <c r="L51" s="110">
        <f t="shared" si="10"/>
        <v>12.09</v>
      </c>
      <c r="M51" s="111">
        <f t="shared" si="25"/>
        <v>1.4507999999999999</v>
      </c>
      <c r="N51" s="112">
        <f t="shared" si="26"/>
        <v>7.2539999999999992E-3</v>
      </c>
      <c r="O51" s="113">
        <f t="shared" si="11"/>
        <v>12.09</v>
      </c>
    </row>
    <row r="52" spans="1:15">
      <c r="A52" s="114"/>
      <c r="B52" s="198" t="s">
        <v>32</v>
      </c>
      <c r="C52" s="198"/>
      <c r="D52" s="115"/>
      <c r="E52" s="115"/>
      <c r="F52" s="116">
        <f>SUM(F8:F51)</f>
        <v>518.30999999999995</v>
      </c>
      <c r="G52" s="116">
        <f>SUM(G8:G51)</f>
        <v>93.295800000000042</v>
      </c>
      <c r="H52" s="116">
        <f t="shared" ref="H52:I52" si="27">SUM(H8:H51)</f>
        <v>10.366199999999999</v>
      </c>
      <c r="I52" s="116">
        <f t="shared" si="27"/>
        <v>103.66200000000001</v>
      </c>
      <c r="J52" s="116">
        <f t="shared" ref="J52" si="28">SUM(J8:J51)</f>
        <v>191.7747</v>
      </c>
      <c r="K52" s="116">
        <f t="shared" ref="K52" si="29">SUM(K8:K51)</f>
        <v>518.30999999999995</v>
      </c>
      <c r="L52" s="116">
        <f>SUM(L8:L51)</f>
        <v>518.30999999999995</v>
      </c>
      <c r="M52" s="116">
        <f>SUM(M8:M51)</f>
        <v>62.197199999999995</v>
      </c>
      <c r="N52" s="117">
        <f>SUM(N8:N51)</f>
        <v>0.31098599999999998</v>
      </c>
      <c r="O52" s="116">
        <f>SUM(O8:O51)</f>
        <v>518.30999999999995</v>
      </c>
    </row>
  </sheetData>
  <mergeCells count="11">
    <mergeCell ref="B52:C52"/>
    <mergeCell ref="G4:K4"/>
    <mergeCell ref="A1:O1"/>
    <mergeCell ref="A2:O2"/>
    <mergeCell ref="A4:A6"/>
    <mergeCell ref="B4:C4"/>
    <mergeCell ref="D4:D5"/>
    <mergeCell ref="E4:E5"/>
    <mergeCell ref="F4:F5"/>
    <mergeCell ref="L4:O4"/>
    <mergeCell ref="L5:M5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Normal="100" workbookViewId="0">
      <selection activeCell="M5" sqref="M5"/>
    </sheetView>
  </sheetViews>
  <sheetFormatPr defaultRowHeight="13.2"/>
  <cols>
    <col min="1" max="1" width="5.33203125" customWidth="1"/>
    <col min="2" max="3" width="6.109375" customWidth="1"/>
    <col min="4" max="4" width="7.109375" customWidth="1"/>
    <col min="5" max="6" width="6" customWidth="1"/>
    <col min="7" max="14" width="7.6640625" customWidth="1"/>
  </cols>
  <sheetData>
    <row r="1" spans="1:14" ht="15">
      <c r="A1" s="207" t="s">
        <v>92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15">
      <c r="A2" s="207" t="s">
        <v>141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4" ht="14.4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1"/>
      <c r="M3" s="1"/>
      <c r="N3" s="1"/>
    </row>
    <row r="4" spans="1:14" ht="12.75" customHeight="1">
      <c r="A4" s="208" t="s">
        <v>3</v>
      </c>
      <c r="B4" s="209" t="s">
        <v>22</v>
      </c>
      <c r="C4" s="209"/>
      <c r="D4" s="209"/>
      <c r="E4" s="209"/>
      <c r="F4" s="209"/>
      <c r="G4" s="203" t="s">
        <v>153</v>
      </c>
      <c r="H4" s="204"/>
      <c r="I4" s="204"/>
      <c r="J4" s="204"/>
      <c r="K4" s="204"/>
      <c r="L4" s="204"/>
      <c r="M4" s="204"/>
      <c r="N4" s="205"/>
    </row>
    <row r="5" spans="1:14" ht="191.4">
      <c r="A5" s="208"/>
      <c r="B5" s="33" t="s">
        <v>142</v>
      </c>
      <c r="C5" s="33" t="s">
        <v>143</v>
      </c>
      <c r="D5" s="33"/>
      <c r="E5" s="33" t="s">
        <v>142</v>
      </c>
      <c r="F5" s="33" t="s">
        <v>143</v>
      </c>
      <c r="G5" s="118" t="s">
        <v>144</v>
      </c>
      <c r="H5" s="26" t="s">
        <v>185</v>
      </c>
      <c r="I5" s="26" t="s">
        <v>5</v>
      </c>
      <c r="J5" s="26" t="s">
        <v>52</v>
      </c>
      <c r="K5" s="26" t="s">
        <v>146</v>
      </c>
      <c r="L5" s="26" t="s">
        <v>147</v>
      </c>
      <c r="M5" s="118" t="s">
        <v>148</v>
      </c>
      <c r="N5" s="26" t="s">
        <v>149</v>
      </c>
    </row>
    <row r="6" spans="1:14" ht="26.4">
      <c r="A6" s="208"/>
      <c r="B6" s="180" t="s">
        <v>17</v>
      </c>
      <c r="C6" s="182"/>
      <c r="D6" s="92" t="s">
        <v>150</v>
      </c>
      <c r="E6" s="210" t="s">
        <v>18</v>
      </c>
      <c r="F6" s="211"/>
      <c r="G6" s="119" t="s">
        <v>151</v>
      </c>
      <c r="H6" s="120" t="s">
        <v>6</v>
      </c>
      <c r="I6" s="120" t="s">
        <v>6</v>
      </c>
      <c r="J6" s="120" t="s">
        <v>6</v>
      </c>
      <c r="K6" s="119" t="s">
        <v>4</v>
      </c>
      <c r="L6" s="119" t="s">
        <v>6</v>
      </c>
      <c r="M6" s="119" t="s">
        <v>151</v>
      </c>
      <c r="N6" s="120" t="s">
        <v>6</v>
      </c>
    </row>
    <row r="7" spans="1:14">
      <c r="A7" s="94">
        <v>1</v>
      </c>
      <c r="B7" s="27">
        <f>A7+1</f>
        <v>2</v>
      </c>
      <c r="C7" s="27">
        <f t="shared" ref="C7:N7" si="0">B7+1</f>
        <v>3</v>
      </c>
      <c r="D7" s="27">
        <f t="shared" si="0"/>
        <v>4</v>
      </c>
      <c r="E7" s="27">
        <f t="shared" si="0"/>
        <v>5</v>
      </c>
      <c r="F7" s="27">
        <f t="shared" si="0"/>
        <v>6</v>
      </c>
      <c r="G7" s="27">
        <f t="shared" si="0"/>
        <v>7</v>
      </c>
      <c r="H7" s="27">
        <f t="shared" ref="H7" si="1">G7+1</f>
        <v>8</v>
      </c>
      <c r="I7" s="27">
        <f t="shared" ref="I7" si="2">H7+1</f>
        <v>9</v>
      </c>
      <c r="J7" s="27">
        <f t="shared" ref="J7" si="3">I7+1</f>
        <v>10</v>
      </c>
      <c r="K7" s="27">
        <f t="shared" si="0"/>
        <v>11</v>
      </c>
      <c r="L7" s="27">
        <f t="shared" si="0"/>
        <v>12</v>
      </c>
      <c r="M7" s="27">
        <f t="shared" si="0"/>
        <v>13</v>
      </c>
      <c r="N7" s="27">
        <f t="shared" si="0"/>
        <v>14</v>
      </c>
    </row>
    <row r="8" spans="1:14">
      <c r="A8" s="95">
        <v>1</v>
      </c>
      <c r="B8" s="94"/>
      <c r="C8" s="94"/>
      <c r="D8" s="94" t="s">
        <v>152</v>
      </c>
      <c r="E8" s="22"/>
      <c r="F8" s="27"/>
      <c r="G8" s="121">
        <v>8</v>
      </c>
      <c r="H8" s="122">
        <f>G8*0.8*0.6*0.9</f>
        <v>3.456</v>
      </c>
      <c r="I8" s="122">
        <f>G8*0.8*0.6*0.1</f>
        <v>0.38400000000000001</v>
      </c>
      <c r="J8" s="122">
        <f t="shared" ref="J8" si="4">I8+H8</f>
        <v>3.84</v>
      </c>
      <c r="K8" s="123">
        <f t="shared" ref="K8" si="5">J8*1.8</f>
        <v>6.9119999999999999</v>
      </c>
      <c r="L8" s="124">
        <f>G8*0.6*0.1</f>
        <v>0.48</v>
      </c>
      <c r="M8" s="124">
        <f>G8</f>
        <v>8</v>
      </c>
      <c r="N8" s="124">
        <f>G8*0.12</f>
        <v>0.96</v>
      </c>
    </row>
    <row r="9" spans="1:14" s="126" customFormat="1">
      <c r="A9" s="206" t="s">
        <v>32</v>
      </c>
      <c r="B9" s="206"/>
      <c r="C9" s="206"/>
      <c r="D9" s="206"/>
      <c r="E9" s="206"/>
      <c r="F9" s="206"/>
      <c r="G9" s="125">
        <f t="shared" ref="G9:N9" si="6">SUM(G8:G8)</f>
        <v>8</v>
      </c>
      <c r="H9" s="125">
        <f t="shared" si="6"/>
        <v>3.456</v>
      </c>
      <c r="I9" s="125">
        <f t="shared" si="6"/>
        <v>0.38400000000000001</v>
      </c>
      <c r="J9" s="125">
        <f t="shared" si="6"/>
        <v>3.84</v>
      </c>
      <c r="K9" s="125">
        <f t="shared" si="6"/>
        <v>6.9119999999999999</v>
      </c>
      <c r="L9" s="125">
        <f t="shared" si="6"/>
        <v>0.48</v>
      </c>
      <c r="M9" s="125">
        <f t="shared" si="6"/>
        <v>8</v>
      </c>
      <c r="N9" s="125">
        <f t="shared" si="6"/>
        <v>0.96</v>
      </c>
    </row>
  </sheetData>
  <mergeCells count="8">
    <mergeCell ref="G4:N4"/>
    <mergeCell ref="A9:F9"/>
    <mergeCell ref="A1:N1"/>
    <mergeCell ref="A2:N2"/>
    <mergeCell ref="A4:A6"/>
    <mergeCell ref="B4:F4"/>
    <mergeCell ref="B6:C6"/>
    <mergeCell ref="E6:F6"/>
  </mergeCells>
  <pageMargins left="0.46875" right="0.27083333333333331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F4" sqref="F4:G4"/>
    </sheetView>
  </sheetViews>
  <sheetFormatPr defaultRowHeight="13.2"/>
  <cols>
    <col min="1" max="1" width="5.6640625" customWidth="1"/>
    <col min="2" max="5" width="14.6640625" customWidth="1"/>
    <col min="6" max="7" width="14" customWidth="1"/>
  </cols>
  <sheetData>
    <row r="1" spans="1:7" ht="16.2">
      <c r="A1" s="212" t="s">
        <v>92</v>
      </c>
      <c r="B1" s="212"/>
      <c r="C1" s="212"/>
      <c r="D1" s="212"/>
      <c r="E1" s="212"/>
      <c r="F1" s="212"/>
      <c r="G1" s="212"/>
    </row>
    <row r="2" spans="1:7" ht="15.6">
      <c r="A2" s="213" t="s">
        <v>154</v>
      </c>
      <c r="B2" s="213"/>
      <c r="C2" s="213"/>
      <c r="D2" s="213"/>
      <c r="E2" s="213"/>
      <c r="F2" s="213"/>
      <c r="G2" s="213"/>
    </row>
    <row r="3" spans="1:7" ht="21.75" customHeight="1">
      <c r="A3" s="128"/>
      <c r="B3" s="128"/>
      <c r="C3" s="128"/>
      <c r="D3" s="128"/>
      <c r="E3" s="128"/>
      <c r="F3" s="128"/>
      <c r="G3" s="128"/>
    </row>
    <row r="4" spans="1:7" ht="91.2">
      <c r="A4" s="185" t="s">
        <v>3</v>
      </c>
      <c r="B4" s="129" t="s">
        <v>155</v>
      </c>
      <c r="C4" s="129"/>
      <c r="D4" s="130" t="s">
        <v>155</v>
      </c>
      <c r="E4" s="130" t="s">
        <v>156</v>
      </c>
      <c r="F4" s="214" t="s">
        <v>157</v>
      </c>
      <c r="G4" s="214"/>
    </row>
    <row r="5" spans="1:7">
      <c r="A5" s="185"/>
      <c r="B5" s="131" t="s">
        <v>17</v>
      </c>
      <c r="C5" s="131" t="s">
        <v>158</v>
      </c>
      <c r="D5" s="120" t="s">
        <v>18</v>
      </c>
      <c r="E5" s="4" t="s">
        <v>20</v>
      </c>
      <c r="F5" s="95" t="s">
        <v>151</v>
      </c>
      <c r="G5" s="94" t="s">
        <v>159</v>
      </c>
    </row>
    <row r="6" spans="1:7">
      <c r="A6" s="132">
        <v>1</v>
      </c>
      <c r="B6" s="22"/>
      <c r="C6" s="27" t="s">
        <v>152</v>
      </c>
      <c r="D6" s="97"/>
      <c r="E6" s="133">
        <v>8</v>
      </c>
      <c r="F6" s="124">
        <f>E6*5.8</f>
        <v>46.4</v>
      </c>
      <c r="G6" s="124">
        <f>F6*5.38</f>
        <v>249.63199999999998</v>
      </c>
    </row>
    <row r="7" spans="1:7" s="126" customFormat="1">
      <c r="A7" s="215" t="s">
        <v>32</v>
      </c>
      <c r="B7" s="216"/>
      <c r="C7" s="134"/>
      <c r="D7" s="127"/>
      <c r="E7" s="135">
        <f>SUM(E6:E6)</f>
        <v>8</v>
      </c>
      <c r="F7" s="135">
        <f>SUM(F6:F6)</f>
        <v>46.4</v>
      </c>
      <c r="G7" s="135">
        <f>SUM(G6:G6)</f>
        <v>249.63199999999998</v>
      </c>
    </row>
  </sheetData>
  <mergeCells count="5">
    <mergeCell ref="A1:G1"/>
    <mergeCell ref="A2:G2"/>
    <mergeCell ref="A4:A5"/>
    <mergeCell ref="F4:G4"/>
    <mergeCell ref="A7:B7"/>
  </mergeCells>
  <pageMargins left="0.7" right="0.7" top="0.75" bottom="0.75" header="0.3" footer="0.3"/>
  <pageSetup paperSize="9" scale="95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Normal="100" zoomScaleSheetLayoutView="100" workbookViewId="0">
      <selection activeCell="O6" sqref="O6"/>
    </sheetView>
  </sheetViews>
  <sheetFormatPr defaultColWidth="9.109375" defaultRowHeight="13.2"/>
  <cols>
    <col min="1" max="2" width="7.6640625" style="86" customWidth="1"/>
    <col min="3" max="3" width="8.5546875" style="86" customWidth="1"/>
    <col min="4" max="6" width="7.44140625" style="37" customWidth="1"/>
    <col min="7" max="7" width="19" style="87" customWidth="1"/>
    <col min="8" max="9" width="10.33203125" style="98" customWidth="1"/>
    <col min="10" max="10" width="17.6640625" style="98" bestFit="1" customWidth="1"/>
    <col min="11" max="12" width="11.44140625" style="87" customWidth="1"/>
    <col min="13" max="13" width="10.5546875" style="37" customWidth="1"/>
    <col min="14" max="14" width="10" style="37" customWidth="1"/>
    <col min="15" max="16384" width="9.109375" style="37"/>
  </cols>
  <sheetData>
    <row r="1" spans="1:17" ht="31.5" customHeight="1">
      <c r="A1" s="221" t="s">
        <v>92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7" ht="14.25" customHeight="1">
      <c r="A2" s="221" t="s">
        <v>47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38"/>
      <c r="P2" s="38"/>
      <c r="Q2" s="38"/>
    </row>
    <row r="3" spans="1:17" ht="15.75" customHeight="1"/>
    <row r="4" spans="1:17" ht="116.25" customHeight="1">
      <c r="A4" s="222" t="s">
        <v>41</v>
      </c>
      <c r="B4" s="222" t="s">
        <v>42</v>
      </c>
      <c r="C4" s="48" t="s">
        <v>19</v>
      </c>
      <c r="D4" s="224" t="s">
        <v>166</v>
      </c>
      <c r="E4" s="225"/>
      <c r="F4" s="226"/>
      <c r="G4" s="136" t="s">
        <v>165</v>
      </c>
      <c r="H4" s="229" t="s">
        <v>160</v>
      </c>
      <c r="I4" s="230"/>
      <c r="J4" s="137" t="s">
        <v>164</v>
      </c>
      <c r="K4" s="227" t="s">
        <v>167</v>
      </c>
      <c r="L4" s="228"/>
      <c r="M4" s="227" t="s">
        <v>202</v>
      </c>
      <c r="N4" s="228"/>
    </row>
    <row r="5" spans="1:17" ht="15.6">
      <c r="A5" s="223"/>
      <c r="B5" s="223"/>
      <c r="C5" s="45" t="s">
        <v>20</v>
      </c>
      <c r="D5" s="39" t="s">
        <v>34</v>
      </c>
      <c r="E5" s="48" t="s">
        <v>35</v>
      </c>
      <c r="F5" s="39" t="s">
        <v>36</v>
      </c>
      <c r="G5" s="39" t="s">
        <v>58</v>
      </c>
      <c r="H5" s="4" t="s">
        <v>34</v>
      </c>
      <c r="I5" s="18" t="s">
        <v>161</v>
      </c>
      <c r="J5" s="18" t="s">
        <v>58</v>
      </c>
      <c r="K5" s="4" t="s">
        <v>34</v>
      </c>
      <c r="L5" s="18" t="s">
        <v>162</v>
      </c>
      <c r="M5" s="18" t="s">
        <v>162</v>
      </c>
      <c r="N5" s="4" t="s">
        <v>163</v>
      </c>
    </row>
    <row r="6" spans="1:17">
      <c r="A6" s="48" t="s">
        <v>31</v>
      </c>
      <c r="B6" s="48" t="s">
        <v>140</v>
      </c>
      <c r="C6" s="60">
        <v>632</v>
      </c>
      <c r="D6" s="39">
        <f>K6+0.4</f>
        <v>4.9000000000000004</v>
      </c>
      <c r="E6" s="45">
        <f>D6*C6</f>
        <v>3096.8</v>
      </c>
      <c r="F6" s="45">
        <f>E6*0.15*1.26</f>
        <v>585.29520000000002</v>
      </c>
      <c r="G6" s="61">
        <f>L6*0.0006</f>
        <v>1.7063999999999999</v>
      </c>
      <c r="H6" s="4">
        <v>4.5</v>
      </c>
      <c r="I6" s="141">
        <f>H6*C6</f>
        <v>2844</v>
      </c>
      <c r="J6" s="173">
        <f>I6*0.0003</f>
        <v>0.85319999999999996</v>
      </c>
      <c r="K6" s="4">
        <v>4.5</v>
      </c>
      <c r="L6" s="133">
        <f>K6*C6</f>
        <v>2844</v>
      </c>
      <c r="M6" s="133">
        <f>(C6-200)*0.5*2</f>
        <v>432</v>
      </c>
      <c r="N6" s="133">
        <f>M6*0.28</f>
        <v>120.96000000000001</v>
      </c>
    </row>
    <row r="7" spans="1:17" s="40" customFormat="1">
      <c r="A7" s="217" t="s">
        <v>37</v>
      </c>
      <c r="B7" s="218"/>
      <c r="C7" s="135">
        <f>C6</f>
        <v>632</v>
      </c>
      <c r="D7" s="138"/>
      <c r="E7" s="140">
        <f t="shared" ref="E7:J7" si="0">SUM(E6:E6)</f>
        <v>3096.8</v>
      </c>
      <c r="F7" s="140">
        <f t="shared" si="0"/>
        <v>585.29520000000002</v>
      </c>
      <c r="G7" s="139">
        <f t="shared" si="0"/>
        <v>1.7063999999999999</v>
      </c>
      <c r="H7" s="138"/>
      <c r="I7" s="135">
        <f t="shared" si="0"/>
        <v>2844</v>
      </c>
      <c r="J7" s="139">
        <f t="shared" si="0"/>
        <v>0.85319999999999996</v>
      </c>
      <c r="K7" s="138"/>
      <c r="L7" s="135">
        <f>SUM(L6:L6)</f>
        <v>2844</v>
      </c>
      <c r="M7" s="135">
        <f>SUM(M6:M6)</f>
        <v>432</v>
      </c>
      <c r="N7" s="135">
        <f>SUM(N6:N6)</f>
        <v>120.96000000000001</v>
      </c>
    </row>
    <row r="8" spans="1:17" s="40" customFormat="1">
      <c r="A8" s="46"/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7" ht="24.75" customHeight="1">
      <c r="A9" s="96"/>
      <c r="B9" s="96"/>
      <c r="C9" s="40"/>
      <c r="G9" s="98"/>
      <c r="K9" s="98"/>
      <c r="L9" s="98"/>
      <c r="N9" s="96"/>
    </row>
    <row r="10" spans="1:17">
      <c r="C10" s="40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1:17">
      <c r="C11" s="40"/>
      <c r="D11" s="40"/>
      <c r="E11" s="40"/>
      <c r="F11" s="40"/>
    </row>
    <row r="12" spans="1:17" s="40" customFormat="1">
      <c r="A12" s="86"/>
      <c r="B12" s="86"/>
      <c r="G12" s="87"/>
      <c r="H12" s="98"/>
      <c r="I12" s="98"/>
      <c r="J12" s="98"/>
      <c r="K12" s="87"/>
      <c r="L12" s="87"/>
    </row>
    <row r="13" spans="1:17">
      <c r="C13" s="40"/>
    </row>
    <row r="14" spans="1:17">
      <c r="C14" s="40"/>
    </row>
    <row r="15" spans="1:17">
      <c r="C15" s="40"/>
    </row>
    <row r="16" spans="1:17">
      <c r="C16" s="40"/>
    </row>
    <row r="17" spans="3:12">
      <c r="C17" s="40"/>
    </row>
    <row r="18" spans="3:12">
      <c r="C18" s="40"/>
    </row>
    <row r="19" spans="3:12">
      <c r="C19" s="40"/>
    </row>
    <row r="20" spans="3:12">
      <c r="C20" s="40"/>
    </row>
    <row r="21" spans="3:12">
      <c r="C21" s="40"/>
    </row>
    <row r="22" spans="3:12">
      <c r="C22" s="40"/>
    </row>
    <row r="23" spans="3:12">
      <c r="C23" s="40"/>
    </row>
    <row r="24" spans="3:12">
      <c r="C24" s="40"/>
    </row>
    <row r="25" spans="3:12">
      <c r="C25" s="40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3:12">
      <c r="C26" s="40"/>
    </row>
    <row r="27" spans="3:12">
      <c r="C27" s="40"/>
    </row>
    <row r="28" spans="3:12">
      <c r="C28" s="40"/>
    </row>
    <row r="29" spans="3:12">
      <c r="C29" s="40"/>
    </row>
    <row r="30" spans="3:12">
      <c r="C30" s="40"/>
    </row>
    <row r="31" spans="3:12">
      <c r="C31" s="40"/>
    </row>
    <row r="32" spans="3:12">
      <c r="C32" s="40"/>
    </row>
    <row r="33" spans="3:3">
      <c r="C33" s="220"/>
    </row>
    <row r="34" spans="3:3">
      <c r="C34" s="220"/>
    </row>
    <row r="35" spans="3:3">
      <c r="C35" s="220"/>
    </row>
    <row r="36" spans="3:3">
      <c r="C36" s="220"/>
    </row>
  </sheetData>
  <mergeCells count="13">
    <mergeCell ref="A1:N1"/>
    <mergeCell ref="A2:N2"/>
    <mergeCell ref="A4:A5"/>
    <mergeCell ref="B4:B5"/>
    <mergeCell ref="D4:F4"/>
    <mergeCell ref="K4:L4"/>
    <mergeCell ref="M4:N4"/>
    <mergeCell ref="H4:I4"/>
    <mergeCell ref="A7:B7"/>
    <mergeCell ref="D10:L10"/>
    <mergeCell ref="D25:L25"/>
    <mergeCell ref="C33:C34"/>
    <mergeCell ref="C35:C36"/>
  </mergeCells>
  <pageMargins left="0.44791666666666669" right="0.22916666666666666" top="0.75" bottom="0.75" header="0.3" footer="0.3"/>
  <pageSetup paperSize="9" scale="97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5"/>
  <sheetViews>
    <sheetView zoomScaleNormal="100" zoomScaleSheetLayoutView="100" zoomScalePageLayoutView="85" workbookViewId="0">
      <selection activeCell="B9" sqref="B9"/>
    </sheetView>
  </sheetViews>
  <sheetFormatPr defaultColWidth="9.109375" defaultRowHeight="16.2"/>
  <cols>
    <col min="1" max="1" width="4.109375" style="49" customWidth="1"/>
    <col min="2" max="2" width="74.5546875" style="49" customWidth="1"/>
    <col min="3" max="3" width="8.33203125" style="58" customWidth="1"/>
    <col min="4" max="4" width="9.6640625" style="76" customWidth="1"/>
    <col min="5" max="5" width="11" style="49" bestFit="1" customWidth="1"/>
    <col min="6" max="16384" width="9.109375" style="49"/>
  </cols>
  <sheetData>
    <row r="1" spans="1:4" ht="40.5" customHeight="1">
      <c r="A1" s="199" t="s">
        <v>92</v>
      </c>
      <c r="B1" s="199"/>
      <c r="C1" s="199"/>
      <c r="D1" s="199"/>
    </row>
    <row r="2" spans="1:4" ht="20.25" customHeight="1">
      <c r="A2" s="231" t="s">
        <v>48</v>
      </c>
      <c r="B2" s="231"/>
      <c r="C2" s="231"/>
      <c r="D2" s="231"/>
    </row>
    <row r="3" spans="1:4">
      <c r="A3" s="52"/>
      <c r="B3" s="58"/>
      <c r="C3" s="52"/>
      <c r="D3" s="62"/>
    </row>
    <row r="4" spans="1:4" ht="15">
      <c r="A4" s="232" t="s">
        <v>3</v>
      </c>
      <c r="B4" s="232" t="s">
        <v>0</v>
      </c>
      <c r="C4" s="232" t="s">
        <v>1</v>
      </c>
      <c r="D4" s="232" t="s">
        <v>2</v>
      </c>
    </row>
    <row r="5" spans="1:4" s="58" customFormat="1" ht="15">
      <c r="A5" s="232"/>
      <c r="B5" s="232"/>
      <c r="C5" s="232"/>
      <c r="D5" s="232"/>
    </row>
    <row r="6" spans="1:4" s="58" customFormat="1">
      <c r="A6" s="63">
        <v>1</v>
      </c>
      <c r="B6" s="63">
        <v>2</v>
      </c>
      <c r="C6" s="63">
        <v>3</v>
      </c>
      <c r="D6" s="63">
        <v>4</v>
      </c>
    </row>
    <row r="7" spans="1:4" s="67" customFormat="1">
      <c r="A7" s="64"/>
      <c r="B7" s="65" t="s">
        <v>8</v>
      </c>
      <c r="C7" s="64"/>
      <c r="D7" s="66"/>
    </row>
    <row r="8" spans="1:4" s="58" customFormat="1">
      <c r="A8" s="63">
        <v>1</v>
      </c>
      <c r="B8" s="68" t="s">
        <v>9</v>
      </c>
      <c r="C8" s="63" t="s">
        <v>10</v>
      </c>
      <c r="D8" s="66">
        <f>'საგზ.სამოს.მოწყ.პიკ.დათვ.უწ '!C7/1000</f>
        <v>0.63200000000000001</v>
      </c>
    </row>
    <row r="9" spans="1:4" s="58" customFormat="1">
      <c r="A9" s="63"/>
      <c r="B9" s="65" t="s">
        <v>49</v>
      </c>
      <c r="C9" s="63"/>
      <c r="D9" s="66"/>
    </row>
    <row r="10" spans="1:4" s="58" customFormat="1" ht="18.600000000000001">
      <c r="A10" s="63">
        <v>1</v>
      </c>
      <c r="B10" s="71" t="s">
        <v>168</v>
      </c>
      <c r="C10" s="63" t="s">
        <v>51</v>
      </c>
      <c r="D10" s="70">
        <f>'მიწის სამუშაოების უწყისი'!C40*0.95</f>
        <v>417.95249999999999</v>
      </c>
    </row>
    <row r="11" spans="1:4" s="58" customFormat="1" ht="18.600000000000001">
      <c r="A11" s="63">
        <f>A10+1</f>
        <v>2</v>
      </c>
      <c r="B11" s="72" t="s">
        <v>5</v>
      </c>
      <c r="C11" s="63" t="s">
        <v>51</v>
      </c>
      <c r="D11" s="70">
        <f>'მიწის სამუშაოების უწყისი'!C40*0.05</f>
        <v>21.997500000000002</v>
      </c>
    </row>
    <row r="12" spans="1:4" s="58" customFormat="1" ht="18.600000000000001">
      <c r="A12" s="63">
        <f>A11+1</f>
        <v>3</v>
      </c>
      <c r="B12" s="72" t="s">
        <v>52</v>
      </c>
      <c r="C12" s="63" t="s">
        <v>51</v>
      </c>
      <c r="D12" s="70">
        <f>D11+D10</f>
        <v>439.95</v>
      </c>
    </row>
    <row r="13" spans="1:4" s="58" customFormat="1">
      <c r="A13" s="63">
        <f t="shared" ref="A13:A14" si="0">A12+1</f>
        <v>4</v>
      </c>
      <c r="B13" s="72" t="s">
        <v>53</v>
      </c>
      <c r="C13" s="63" t="s">
        <v>54</v>
      </c>
      <c r="D13" s="70">
        <f>D12*1.85</f>
        <v>813.90750000000003</v>
      </c>
    </row>
    <row r="14" spans="1:4" s="58" customFormat="1" ht="18.600000000000001">
      <c r="A14" s="63">
        <f t="shared" si="0"/>
        <v>5</v>
      </c>
      <c r="B14" s="72" t="s">
        <v>55</v>
      </c>
      <c r="C14" s="63" t="s">
        <v>50</v>
      </c>
      <c r="D14" s="70">
        <f>'საგზ.სამოს.მოწყ.პიკ.დათვ.უწ '!M7+'საგზ.სამოს.მოწყ.პიკ.დათვ.უწ '!L7</f>
        <v>3276</v>
      </c>
    </row>
    <row r="15" spans="1:4" s="74" customFormat="1">
      <c r="A15" s="64"/>
      <c r="B15" s="73" t="s">
        <v>56</v>
      </c>
      <c r="C15" s="64"/>
      <c r="D15" s="64"/>
    </row>
    <row r="16" spans="1:4" s="75" customFormat="1" ht="18.600000000000001">
      <c r="A16" s="63">
        <v>1</v>
      </c>
      <c r="B16" s="72" t="s">
        <v>59</v>
      </c>
      <c r="C16" s="63" t="s">
        <v>50</v>
      </c>
      <c r="D16" s="70">
        <f>'საგზ.სამოს.მოწყ.პიკ.დათვ.უწ '!E7</f>
        <v>3096.8</v>
      </c>
    </row>
    <row r="17" spans="1:4" s="75" customFormat="1" ht="18.600000000000001">
      <c r="A17" s="63">
        <f>A16+1</f>
        <v>2</v>
      </c>
      <c r="B17" s="71" t="s">
        <v>57</v>
      </c>
      <c r="C17" s="63" t="s">
        <v>54</v>
      </c>
      <c r="D17" s="66">
        <f>'საგზ.სამოს.მოწყ.პიკ.დათვ.უწ '!G7</f>
        <v>1.7063999999999999</v>
      </c>
    </row>
    <row r="18" spans="1:4" s="75" customFormat="1" ht="32.4">
      <c r="A18" s="99">
        <f t="shared" ref="A18:A21" si="1">A17+1</f>
        <v>3</v>
      </c>
      <c r="B18" s="71" t="s">
        <v>160</v>
      </c>
      <c r="C18" s="99" t="s">
        <v>50</v>
      </c>
      <c r="D18" s="69">
        <f>'საგზ.სამოს.მოწყ.პიკ.დათვ.უწ '!I7</f>
        <v>2844</v>
      </c>
    </row>
    <row r="19" spans="1:4" s="75" customFormat="1" ht="18.600000000000001">
      <c r="A19" s="99">
        <f t="shared" si="1"/>
        <v>4</v>
      </c>
      <c r="B19" s="71" t="s">
        <v>198</v>
      </c>
      <c r="C19" s="99" t="s">
        <v>54</v>
      </c>
      <c r="D19" s="66">
        <f>'საგზ.სამოს.მოწყ.პიკ.დათვ.უწ '!J7</f>
        <v>0.85319999999999996</v>
      </c>
    </row>
    <row r="20" spans="1:4" s="75" customFormat="1" ht="32.4">
      <c r="A20" s="99">
        <f t="shared" si="1"/>
        <v>5</v>
      </c>
      <c r="B20" s="71" t="s">
        <v>199</v>
      </c>
      <c r="C20" s="63" t="s">
        <v>50</v>
      </c>
      <c r="D20" s="69">
        <f>'საგზ.სამოს.მოწყ.პიკ.დათვ.უწ '!L7</f>
        <v>2844</v>
      </c>
    </row>
    <row r="21" spans="1:4" ht="32.4">
      <c r="A21" s="99">
        <f t="shared" si="1"/>
        <v>6</v>
      </c>
      <c r="B21" s="77" t="s">
        <v>201</v>
      </c>
      <c r="C21" s="174" t="s">
        <v>50</v>
      </c>
      <c r="D21" s="142">
        <f>'საგზ.სამოს.მოწყ.პიკ.დათვ.უწ '!M7</f>
        <v>432</v>
      </c>
    </row>
    <row r="22" spans="1:4" s="85" customFormat="1">
      <c r="A22" s="99"/>
      <c r="B22" s="73" t="s">
        <v>171</v>
      </c>
      <c r="C22" s="99"/>
      <c r="D22" s="143"/>
    </row>
    <row r="23" spans="1:4" s="85" customFormat="1" ht="18.600000000000001">
      <c r="A23" s="99">
        <v>1</v>
      </c>
      <c r="B23" s="71" t="s">
        <v>172</v>
      </c>
      <c r="C23" s="99" t="s">
        <v>51</v>
      </c>
      <c r="D23" s="144">
        <f>'ეზოში შესასვლელები'!G52</f>
        <v>93.295800000000042</v>
      </c>
    </row>
    <row r="24" spans="1:4" s="85" customFormat="1" ht="18.600000000000001">
      <c r="A24" s="99">
        <f>A23+1</f>
        <v>2</v>
      </c>
      <c r="B24" s="72" t="s">
        <v>5</v>
      </c>
      <c r="C24" s="99" t="s">
        <v>51</v>
      </c>
      <c r="D24" s="144">
        <f>'ეზოში შესასვლელები'!H52</f>
        <v>10.366199999999999</v>
      </c>
    </row>
    <row r="25" spans="1:4" s="85" customFormat="1" ht="18.600000000000001">
      <c r="A25" s="99">
        <f t="shared" ref="A25:A30" si="2">A24+1</f>
        <v>3</v>
      </c>
      <c r="B25" s="145" t="s">
        <v>169</v>
      </c>
      <c r="C25" s="99" t="s">
        <v>51</v>
      </c>
      <c r="D25" s="70">
        <f>'ეზოში შესასვლელები'!I52</f>
        <v>103.66200000000001</v>
      </c>
    </row>
    <row r="26" spans="1:4" s="85" customFormat="1">
      <c r="A26" s="99">
        <f t="shared" si="2"/>
        <v>4</v>
      </c>
      <c r="B26" s="145" t="s">
        <v>145</v>
      </c>
      <c r="C26" s="99" t="s">
        <v>58</v>
      </c>
      <c r="D26" s="70">
        <f>'ეზოში შესასვლელები'!J52</f>
        <v>191.7747</v>
      </c>
    </row>
    <row r="27" spans="1:4" s="85" customFormat="1" ht="18.600000000000001">
      <c r="A27" s="99">
        <f t="shared" si="2"/>
        <v>5</v>
      </c>
      <c r="B27" s="72" t="s">
        <v>55</v>
      </c>
      <c r="C27" s="99" t="s">
        <v>50</v>
      </c>
      <c r="D27" s="144">
        <f>'ეზოში შესასვლელები'!K52</f>
        <v>518.30999999999995</v>
      </c>
    </row>
    <row r="28" spans="1:4" s="85" customFormat="1" ht="18.600000000000001">
      <c r="A28" s="99">
        <f t="shared" si="2"/>
        <v>6</v>
      </c>
      <c r="B28" s="72" t="s">
        <v>173</v>
      </c>
      <c r="C28" s="99" t="s">
        <v>50</v>
      </c>
      <c r="D28" s="144">
        <f>'ეზოში შესასვლელები'!L52</f>
        <v>518.30999999999995</v>
      </c>
    </row>
    <row r="29" spans="1:4" s="85" customFormat="1" ht="18.600000000000001">
      <c r="A29" s="99">
        <f t="shared" si="2"/>
        <v>7</v>
      </c>
      <c r="B29" s="71" t="s">
        <v>57</v>
      </c>
      <c r="C29" s="99" t="s">
        <v>54</v>
      </c>
      <c r="D29" s="146">
        <f>'ეზოში შესასვლელები'!N52</f>
        <v>0.31098599999999998</v>
      </c>
    </row>
    <row r="30" spans="1:4" s="85" customFormat="1" ht="32.4">
      <c r="A30" s="99">
        <f t="shared" si="2"/>
        <v>8</v>
      </c>
      <c r="B30" s="71" t="s">
        <v>170</v>
      </c>
      <c r="C30" s="99" t="s">
        <v>50</v>
      </c>
      <c r="D30" s="144">
        <f>'ეზოში შესასვლელები'!O52</f>
        <v>518.30999999999995</v>
      </c>
    </row>
    <row r="31" spans="1:4">
      <c r="A31" s="64"/>
      <c r="B31" s="65" t="s">
        <v>176</v>
      </c>
      <c r="C31" s="64"/>
      <c r="D31" s="148"/>
    </row>
    <row r="32" spans="1:4" ht="32.4">
      <c r="A32" s="149"/>
      <c r="B32" s="150" t="s">
        <v>200</v>
      </c>
      <c r="C32" s="151"/>
      <c r="D32" s="148"/>
    </row>
    <row r="33" spans="1:4" ht="18.600000000000001">
      <c r="A33" s="99">
        <v>1</v>
      </c>
      <c r="B33" s="154" t="s">
        <v>184</v>
      </c>
      <c r="C33" s="153" t="s">
        <v>177</v>
      </c>
      <c r="D33" s="69">
        <f>'სანიაღვრე არხი'!H9</f>
        <v>3.456</v>
      </c>
    </row>
    <row r="34" spans="1:4" ht="18.600000000000001">
      <c r="A34" s="99">
        <f t="shared" ref="A34:A39" si="3">A33+1</f>
        <v>2</v>
      </c>
      <c r="B34" s="154" t="s">
        <v>5</v>
      </c>
      <c r="C34" s="153" t="s">
        <v>177</v>
      </c>
      <c r="D34" s="69">
        <f>'სანიაღვრე არხი'!I9</f>
        <v>0.38400000000000001</v>
      </c>
    </row>
    <row r="35" spans="1:4" ht="18.600000000000001">
      <c r="A35" s="99">
        <f t="shared" si="3"/>
        <v>3</v>
      </c>
      <c r="B35" s="154" t="s">
        <v>52</v>
      </c>
      <c r="C35" s="153" t="s">
        <v>177</v>
      </c>
      <c r="D35" s="69">
        <f>'სანიაღვრე არხი'!J9</f>
        <v>3.84</v>
      </c>
    </row>
    <row r="36" spans="1:4">
      <c r="A36" s="99">
        <f t="shared" si="3"/>
        <v>4</v>
      </c>
      <c r="B36" s="154" t="s">
        <v>178</v>
      </c>
      <c r="C36" s="153" t="s">
        <v>58</v>
      </c>
      <c r="D36" s="69">
        <f>'სანიაღვრე არხი'!K9</f>
        <v>6.9119999999999999</v>
      </c>
    </row>
    <row r="37" spans="1:4" ht="18.600000000000001">
      <c r="A37" s="99">
        <f t="shared" si="3"/>
        <v>5</v>
      </c>
      <c r="B37" s="155" t="s">
        <v>179</v>
      </c>
      <c r="C37" s="153" t="s">
        <v>177</v>
      </c>
      <c r="D37" s="69">
        <f>'სანიაღვრე არხი'!L9</f>
        <v>0.48</v>
      </c>
    </row>
    <row r="38" spans="1:4" ht="30">
      <c r="A38" s="99">
        <f t="shared" si="3"/>
        <v>6</v>
      </c>
      <c r="B38" s="155" t="s">
        <v>180</v>
      </c>
      <c r="C38" s="153" t="s">
        <v>151</v>
      </c>
      <c r="D38" s="69">
        <f>'სანიაღვრე არხი'!M9</f>
        <v>8</v>
      </c>
    </row>
    <row r="39" spans="1:4" ht="18.600000000000001">
      <c r="A39" s="99">
        <f t="shared" si="3"/>
        <v>7</v>
      </c>
      <c r="B39" s="155" t="s">
        <v>149</v>
      </c>
      <c r="C39" s="153" t="s">
        <v>177</v>
      </c>
      <c r="D39" s="69">
        <f>'სანიაღვრე არხი'!N9</f>
        <v>0.96</v>
      </c>
    </row>
    <row r="40" spans="1:4">
      <c r="A40" s="149"/>
      <c r="B40" s="156" t="s">
        <v>181</v>
      </c>
      <c r="C40" s="156"/>
      <c r="D40" s="161"/>
    </row>
    <row r="41" spans="1:4">
      <c r="A41" s="152">
        <v>1</v>
      </c>
      <c r="B41" s="157" t="s">
        <v>182</v>
      </c>
      <c r="C41" s="151" t="s">
        <v>20</v>
      </c>
      <c r="D41" s="158">
        <f>ცხაურები!E7</f>
        <v>8</v>
      </c>
    </row>
    <row r="42" spans="1:4">
      <c r="A42" s="159">
        <v>2</v>
      </c>
      <c r="B42" s="154" t="s">
        <v>183</v>
      </c>
      <c r="C42" s="153" t="s">
        <v>20</v>
      </c>
      <c r="D42" s="160">
        <f>ცხაურები!F7</f>
        <v>46.4</v>
      </c>
    </row>
    <row r="43" spans="1:4">
      <c r="A43" s="167"/>
      <c r="B43" s="168" t="s">
        <v>197</v>
      </c>
      <c r="C43" s="169"/>
      <c r="D43" s="170"/>
    </row>
    <row r="44" spans="1:4" ht="48.6">
      <c r="A44" s="78">
        <v>1</v>
      </c>
      <c r="B44" s="171" t="s">
        <v>203</v>
      </c>
      <c r="C44" s="78" t="s">
        <v>194</v>
      </c>
      <c r="D44" s="142">
        <f>'არსებული ჭები'!C7</f>
        <v>3</v>
      </c>
    </row>
    <row r="45" spans="1:4" ht="18.600000000000001">
      <c r="A45" s="78"/>
      <c r="B45" s="171" t="s">
        <v>195</v>
      </c>
      <c r="C45" s="172" t="s">
        <v>196</v>
      </c>
      <c r="D45" s="142">
        <f>'არსებული ჭები'!F7</f>
        <v>0.60000000000000009</v>
      </c>
    </row>
  </sheetData>
  <mergeCells count="6">
    <mergeCell ref="A1:D1"/>
    <mergeCell ref="A2:D2"/>
    <mergeCell ref="A4:A5"/>
    <mergeCell ref="B4:B5"/>
    <mergeCell ref="C4:C5"/>
    <mergeCell ref="D4:D5"/>
  </mergeCells>
  <pageMargins left="0.39632352941176469" right="0.21838235294117647" top="0.75" bottom="0.28308823529411764" header="0.3" footer="0.3"/>
  <pageSetup paperSize="9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მიწის სამუშაოების უწყისი</vt:lpstr>
      <vt:lpstr>ე.შ.მოც.უწყისი</vt:lpstr>
      <vt:lpstr>არსებული ჭები</vt:lpstr>
      <vt:lpstr>ეზოში შესასვლელები</vt:lpstr>
      <vt:lpstr>სანიაღვრე არხი</vt:lpstr>
      <vt:lpstr>ცხაურები</vt:lpstr>
      <vt:lpstr>საგზ.სამოს.მოწყ.პიკ.დათვ.უწ </vt:lpstr>
      <vt:lpstr>კრებსითი მოცულობები</vt:lpstr>
      <vt:lpstr>'არსებული ჭები'!Print_Area</vt:lpstr>
      <vt:lpstr>ე.შ.მოც.უწყისი!Print_Area</vt:lpstr>
      <vt:lpstr>'ეზოში შესასვლელები'!Print_Area</vt:lpstr>
      <vt:lpstr>'კრებსითი მოცულობები'!Print_Area</vt:lpstr>
      <vt:lpstr>'საგზ.სამოს.მოწყ.პიკ.დათვ.უწ '!Print_Area</vt:lpstr>
    </vt:vector>
  </TitlesOfParts>
  <Company>Топоматик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Евсюков</dc:creator>
  <cp:lastModifiedBy>Irakli Adeishvili</cp:lastModifiedBy>
  <cp:lastPrinted>2020-06-21T08:08:38Z</cp:lastPrinted>
  <dcterms:created xsi:type="dcterms:W3CDTF">2004-01-01T02:48:21Z</dcterms:created>
  <dcterms:modified xsi:type="dcterms:W3CDTF">2020-08-25T07:08:24Z</dcterms:modified>
</cp:coreProperties>
</file>