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.kvirkashvili\Desktop\შპს სანდო ხარჯთაღრიცხვები-რკ.ბეტონის გზები - 21.08.2020\7. სოფ. ჩხუტელში- ასფალტირებული ცენტრალური გზიდან საჯარო სკოლის მიმართულებით\"/>
    </mc:Choice>
  </mc:AlternateContent>
  <bookViews>
    <workbookView xWindow="15" yWindow="15" windowWidth="19935" windowHeight="15210" firstSheet="13" activeTab="14"/>
  </bookViews>
  <sheets>
    <sheet name="1. რეპერების დამაგრების უწყისი" sheetId="37" r:id="rId1"/>
    <sheet name="2. ტრასის დაკვალვა" sheetId="33" r:id="rId2"/>
    <sheet name="3. ჰორიზონტალური მრუდები" sheetId="36" r:id="rId3"/>
    <sheet name="4. მიწის სამუშაოები" sheetId="38" r:id="rId4"/>
    <sheet name="5. ფართის პიკეტური დათვლის უწყი" sheetId="31" r:id="rId5"/>
    <sheet name="6. საგზაო სამოსის მოწყობის უწყი" sheetId="15" r:id="rId6"/>
    <sheet name="7. ხელ. ნაგებობ. ძირ. გზაზე" sheetId="34" r:id="rId7"/>
    <sheet name="8.  მილები ძირ. გზაზე სამუშაოებ" sheetId="35" r:id="rId8"/>
    <sheet name="9. მიერთებების დათვლის უწყისი" sheetId="11" r:id="rId9"/>
    <sheet name="10. მიერთებების სამუშაოების უწყ" sheetId="20" r:id="rId10"/>
    <sheet name="11. შესასვლ. ადგილმდება" sheetId="39" r:id="rId11"/>
    <sheet name="12. შესასვლელ. სამუშაოე" sheetId="40" r:id="rId12"/>
    <sheet name="13. ხელ. ნაგებ. მიერთ.-შესასვ." sheetId="43" r:id="rId13"/>
    <sheet name="14. კრებსითი უწყისი" sheetId="23" r:id="rId14"/>
    <sheet name="15. ძირითადი მასალების ამონაკრ" sheetId="30" r:id="rId15"/>
  </sheets>
  <definedNames>
    <definedName name="_xlnm._FilterDatabase" localSheetId="6" hidden="1">'7. ხელ. ნაგებობ. ძირ. გზაზე'!#REF!</definedName>
    <definedName name="_Hlk519364167" localSheetId="7">'8.  მილები ძირ. გზაზე სამუშაოებ'!#REF!</definedName>
    <definedName name="_xlnm.Print_Titles" localSheetId="0">'1. რეპერების დამაგრების უწყისი'!$4:$4</definedName>
    <definedName name="_xlnm.Print_Titles" localSheetId="9">'10. მიერთებების სამუშაოების უწყ'!$3:$3</definedName>
    <definedName name="_xlnm.Print_Titles" localSheetId="10">'11. შესასვლ. ადგილმდება'!$4:$4</definedName>
    <definedName name="_xlnm.Print_Titles" localSheetId="11">'12. შესასვლელ. სამუშაოე'!$3:$3</definedName>
    <definedName name="_xlnm.Print_Titles" localSheetId="12">'13. ხელ. ნაგებ. მიერთ.-შესასვ.'!$4:$4</definedName>
    <definedName name="_xlnm.Print_Titles" localSheetId="13">'14. კრებსითი უწყისი'!$3:$3</definedName>
    <definedName name="_xlnm.Print_Titles" localSheetId="14">'15. ძირითადი მასალების ამონაკრ'!$3:$3</definedName>
    <definedName name="_xlnm.Print_Titles" localSheetId="1">'2. ტრასის დაკვალვა'!$5:$5</definedName>
    <definedName name="_xlnm.Print_Titles" localSheetId="2">'3. ჰორიზონტალური მრუდები'!$4:$4</definedName>
    <definedName name="_xlnm.Print_Titles" localSheetId="3">'4. მიწის სამუშაოები'!$3:$3</definedName>
    <definedName name="_xlnm.Print_Titles" localSheetId="4">'5. ფართის პიკეტური დათვლის უწყი'!$5:$5</definedName>
    <definedName name="_xlnm.Print_Titles" localSheetId="5">'6. საგზაო სამოსის მოწყობის უწყი'!$3:$3</definedName>
    <definedName name="_xlnm.Print_Titles" localSheetId="6">'7. ხელ. ნაგებობ. ძირ. გზაზე'!$4:$4</definedName>
    <definedName name="_xlnm.Print_Titles" localSheetId="7">'8.  მილები ძირ. გზაზე სამუშაოებ'!$4:$4</definedName>
    <definedName name="_xlnm.Print_Titles" localSheetId="8">'9. მიერთებების დათვლის უწყისი'!$4:$4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3" l="1"/>
  <c r="C54" i="23" l="1"/>
  <c r="B54" i="23"/>
  <c r="A54" i="23"/>
  <c r="C53" i="23"/>
  <c r="B53" i="23"/>
  <c r="A53" i="23"/>
  <c r="F8" i="39"/>
  <c r="F7" i="39"/>
  <c r="F6" i="39"/>
  <c r="F11" i="39"/>
  <c r="F10" i="39"/>
  <c r="F9" i="39"/>
  <c r="F14" i="39"/>
  <c r="F13" i="39"/>
  <c r="F12" i="39"/>
  <c r="F17" i="39"/>
  <c r="F16" i="39"/>
  <c r="F15" i="39"/>
  <c r="F20" i="39"/>
  <c r="F19" i="39"/>
  <c r="F18" i="39"/>
  <c r="F23" i="39"/>
  <c r="F22" i="39"/>
  <c r="F21" i="39"/>
  <c r="F26" i="39"/>
  <c r="F25" i="39"/>
  <c r="F24" i="39"/>
  <c r="F29" i="39"/>
  <c r="F28" i="39"/>
  <c r="F27" i="39"/>
  <c r="F32" i="39"/>
  <c r="F31" i="39"/>
  <c r="F30" i="39"/>
  <c r="D11" i="20"/>
  <c r="D12" i="20" s="1"/>
  <c r="D54" i="23" s="1"/>
  <c r="F6" i="11"/>
  <c r="D15" i="11"/>
  <c r="F12" i="11"/>
  <c r="F11" i="11"/>
  <c r="F9" i="11"/>
  <c r="F8" i="11"/>
  <c r="F7" i="11"/>
  <c r="F10" i="11"/>
  <c r="F5" i="11"/>
  <c r="D53" i="23" l="1"/>
  <c r="F11" i="15"/>
  <c r="K8" i="31"/>
  <c r="H10" i="31"/>
  <c r="I10" i="31"/>
  <c r="J11" i="31"/>
  <c r="K11" i="31"/>
  <c r="H12" i="31"/>
  <c r="K12" i="31"/>
  <c r="H13" i="31"/>
  <c r="H14" i="31"/>
  <c r="J14" i="31"/>
  <c r="K14" i="31"/>
  <c r="I17" i="31"/>
  <c r="J17" i="31"/>
  <c r="K17" i="31"/>
  <c r="H18" i="31"/>
  <c r="K18" i="31"/>
  <c r="H19" i="31"/>
  <c r="I19" i="31"/>
  <c r="J19" i="31"/>
  <c r="J20" i="31"/>
  <c r="K20" i="31"/>
  <c r="I23" i="31"/>
  <c r="J23" i="31"/>
  <c r="K23" i="31"/>
  <c r="H24" i="31"/>
  <c r="K24" i="31"/>
  <c r="H25" i="31"/>
  <c r="I25" i="31"/>
  <c r="J25" i="31"/>
  <c r="J26" i="31"/>
  <c r="K26" i="31"/>
  <c r="I29" i="31"/>
  <c r="J29" i="31"/>
  <c r="K29" i="31"/>
  <c r="H30" i="31"/>
  <c r="K30" i="31"/>
  <c r="H31" i="31"/>
  <c r="I31" i="31"/>
  <c r="J31" i="31"/>
  <c r="J32" i="31"/>
  <c r="K32" i="31"/>
  <c r="I35" i="31"/>
  <c r="J35" i="31"/>
  <c r="K35" i="31"/>
  <c r="H36" i="31"/>
  <c r="K36" i="31"/>
  <c r="H37" i="31"/>
  <c r="I37" i="31"/>
  <c r="J37" i="31"/>
  <c r="J38" i="31"/>
  <c r="K38" i="31"/>
  <c r="I41" i="31"/>
  <c r="J41" i="31"/>
  <c r="K41" i="31"/>
  <c r="H42" i="31"/>
  <c r="K42" i="31"/>
  <c r="H43" i="31"/>
  <c r="I43" i="31"/>
  <c r="J43" i="31"/>
  <c r="J44" i="31"/>
  <c r="K44" i="31"/>
  <c r="I47" i="31"/>
  <c r="J47" i="31"/>
  <c r="K47" i="31"/>
  <c r="H48" i="31"/>
  <c r="K48" i="31"/>
  <c r="H49" i="31"/>
  <c r="I49" i="31"/>
  <c r="J49" i="31"/>
  <c r="J50" i="31"/>
  <c r="K50" i="31"/>
  <c r="I53" i="31"/>
  <c r="J53" i="31"/>
  <c r="K53" i="31"/>
  <c r="H54" i="31"/>
  <c r="K54" i="31"/>
  <c r="C8" i="31"/>
  <c r="I8" i="31" s="1"/>
  <c r="C9" i="31"/>
  <c r="H9" i="31" s="1"/>
  <c r="C10" i="31"/>
  <c r="J10" i="31" s="1"/>
  <c r="C11" i="31"/>
  <c r="H11" i="31" s="1"/>
  <c r="C12" i="31"/>
  <c r="I12" i="31" s="1"/>
  <c r="C13" i="31"/>
  <c r="J13" i="31" s="1"/>
  <c r="C15" i="31"/>
  <c r="H15" i="31" s="1"/>
  <c r="C16" i="31"/>
  <c r="J16" i="31" s="1"/>
  <c r="C17" i="31"/>
  <c r="H17" i="31" s="1"/>
  <c r="C18" i="31"/>
  <c r="I18" i="31" s="1"/>
  <c r="C19" i="31"/>
  <c r="K19" i="31" s="1"/>
  <c r="C20" i="31"/>
  <c r="H20" i="31" s="1"/>
  <c r="C21" i="31"/>
  <c r="H21" i="31" s="1"/>
  <c r="C22" i="31"/>
  <c r="J22" i="31" s="1"/>
  <c r="C23" i="31"/>
  <c r="H23" i="31" s="1"/>
  <c r="C24" i="31"/>
  <c r="I24" i="31" s="1"/>
  <c r="C25" i="31"/>
  <c r="K25" i="31" s="1"/>
  <c r="C26" i="31"/>
  <c r="H26" i="31" s="1"/>
  <c r="C27" i="31"/>
  <c r="H27" i="31" s="1"/>
  <c r="C28" i="31"/>
  <c r="J28" i="31" s="1"/>
  <c r="C29" i="31"/>
  <c r="H29" i="31" s="1"/>
  <c r="C30" i="31"/>
  <c r="I30" i="31" s="1"/>
  <c r="C31" i="31"/>
  <c r="K31" i="31" s="1"/>
  <c r="C32" i="31"/>
  <c r="H32" i="31" s="1"/>
  <c r="C33" i="31"/>
  <c r="H33" i="31" s="1"/>
  <c r="C34" i="31"/>
  <c r="J34" i="31" s="1"/>
  <c r="C35" i="31"/>
  <c r="H35" i="31" s="1"/>
  <c r="C36" i="31"/>
  <c r="I36" i="31" s="1"/>
  <c r="C37" i="31"/>
  <c r="K37" i="31" s="1"/>
  <c r="C38" i="31"/>
  <c r="H38" i="31" s="1"/>
  <c r="C39" i="31"/>
  <c r="H39" i="31" s="1"/>
  <c r="C40" i="31"/>
  <c r="J40" i="31" s="1"/>
  <c r="C41" i="31"/>
  <c r="H41" i="31" s="1"/>
  <c r="C42" i="31"/>
  <c r="I42" i="31" s="1"/>
  <c r="C43" i="31"/>
  <c r="K43" i="31" s="1"/>
  <c r="C44" i="31"/>
  <c r="I44" i="31" s="1"/>
  <c r="C45" i="31"/>
  <c r="H45" i="31" s="1"/>
  <c r="C46" i="31"/>
  <c r="J46" i="31" s="1"/>
  <c r="C47" i="31"/>
  <c r="H47" i="31" s="1"/>
  <c r="C48" i="31"/>
  <c r="I48" i="31" s="1"/>
  <c r="C49" i="31"/>
  <c r="K49" i="31" s="1"/>
  <c r="C50" i="31"/>
  <c r="H50" i="31" s="1"/>
  <c r="C51" i="31"/>
  <c r="H51" i="31" s="1"/>
  <c r="C52" i="31"/>
  <c r="J52" i="31" s="1"/>
  <c r="C53" i="31"/>
  <c r="H53" i="31" s="1"/>
  <c r="C54" i="31"/>
  <c r="I54" i="31" s="1"/>
  <c r="E16" i="31"/>
  <c r="E14" i="31"/>
  <c r="E13" i="31"/>
  <c r="I14" i="31" s="1"/>
  <c r="E11" i="31"/>
  <c r="E6" i="31"/>
  <c r="E7" i="31"/>
  <c r="E8" i="31"/>
  <c r="E9" i="31"/>
  <c r="E10" i="31"/>
  <c r="I11" i="31" s="1"/>
  <c r="E12" i="31"/>
  <c r="I13" i="31" s="1"/>
  <c r="E15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B51" i="36"/>
  <c r="L50" i="36"/>
  <c r="I49" i="36"/>
  <c r="L48" i="36"/>
  <c r="I47" i="36"/>
  <c r="L46" i="36"/>
  <c r="I45" i="36"/>
  <c r="L44" i="36"/>
  <c r="I43" i="36"/>
  <c r="L42" i="36"/>
  <c r="I41" i="36"/>
  <c r="L40" i="36"/>
  <c r="I39" i="36"/>
  <c r="L38" i="36"/>
  <c r="I37" i="36"/>
  <c r="L36" i="36"/>
  <c r="I35" i="36"/>
  <c r="L34" i="36"/>
  <c r="I33" i="36"/>
  <c r="L32" i="36"/>
  <c r="I31" i="36"/>
  <c r="L30" i="36"/>
  <c r="I29" i="36"/>
  <c r="L28" i="36"/>
  <c r="I27" i="36"/>
  <c r="L26" i="36"/>
  <c r="I25" i="36"/>
  <c r="L24" i="36"/>
  <c r="I23" i="36"/>
  <c r="L22" i="36"/>
  <c r="I21" i="36"/>
  <c r="L20" i="36"/>
  <c r="I19" i="36"/>
  <c r="L18" i="36"/>
  <c r="I17" i="36"/>
  <c r="L16" i="36"/>
  <c r="I15" i="36"/>
  <c r="L14" i="36"/>
  <c r="I13" i="36"/>
  <c r="L12" i="36"/>
  <c r="I11" i="36"/>
  <c r="L10" i="36"/>
  <c r="I9" i="36"/>
  <c r="L8" i="36"/>
  <c r="I7" i="36"/>
  <c r="L6" i="36"/>
  <c r="I46" i="31" l="1"/>
  <c r="I16" i="31"/>
  <c r="H34" i="31"/>
  <c r="H16" i="31"/>
  <c r="I50" i="31"/>
  <c r="K45" i="31"/>
  <c r="I38" i="31"/>
  <c r="I32" i="31"/>
  <c r="K27" i="31"/>
  <c r="I26" i="31"/>
  <c r="K21" i="31"/>
  <c r="I20" i="31"/>
  <c r="K15" i="31"/>
  <c r="K9" i="31"/>
  <c r="J54" i="31"/>
  <c r="J51" i="31"/>
  <c r="J48" i="31"/>
  <c r="J45" i="31"/>
  <c r="H44" i="31"/>
  <c r="J42" i="31"/>
  <c r="J39" i="31"/>
  <c r="J36" i="31"/>
  <c r="J33" i="31"/>
  <c r="J30" i="31"/>
  <c r="J27" i="31"/>
  <c r="J24" i="31"/>
  <c r="J21" i="31"/>
  <c r="J18" i="31"/>
  <c r="J15" i="31"/>
  <c r="J12" i="31"/>
  <c r="J9" i="31"/>
  <c r="H8" i="31"/>
  <c r="I40" i="31"/>
  <c r="I22" i="31"/>
  <c r="H28" i="31"/>
  <c r="J8" i="31"/>
  <c r="K51" i="31"/>
  <c r="K39" i="31"/>
  <c r="K33" i="31"/>
  <c r="K52" i="31"/>
  <c r="I51" i="31"/>
  <c r="K46" i="31"/>
  <c r="I45" i="31"/>
  <c r="K40" i="31"/>
  <c r="I39" i="31"/>
  <c r="K34" i="31"/>
  <c r="I33" i="31"/>
  <c r="K28" i="31"/>
  <c r="I27" i="31"/>
  <c r="K22" i="31"/>
  <c r="I21" i="31"/>
  <c r="K16" i="31"/>
  <c r="I15" i="31"/>
  <c r="K13" i="31"/>
  <c r="K10" i="31"/>
  <c r="I9" i="31"/>
  <c r="I52" i="31"/>
  <c r="I34" i="31"/>
  <c r="I28" i="31"/>
  <c r="H52" i="31"/>
  <c r="H46" i="31"/>
  <c r="H40" i="31"/>
  <c r="H22" i="31"/>
  <c r="C32" i="23"/>
  <c r="B32" i="23"/>
  <c r="A32" i="23"/>
  <c r="C31" i="23"/>
  <c r="B31" i="23"/>
  <c r="A31" i="23"/>
  <c r="D30" i="23"/>
  <c r="C30" i="23"/>
  <c r="B30" i="23"/>
  <c r="A30" i="23"/>
  <c r="C29" i="23"/>
  <c r="B29" i="23"/>
  <c r="A29" i="23"/>
  <c r="D28" i="23"/>
  <c r="C28" i="23"/>
  <c r="B28" i="23"/>
  <c r="A28" i="23"/>
  <c r="C27" i="23"/>
  <c r="B27" i="23"/>
  <c r="A27" i="23"/>
  <c r="C26" i="23"/>
  <c r="B26" i="23"/>
  <c r="A26" i="23"/>
  <c r="C25" i="23"/>
  <c r="B25" i="23"/>
  <c r="A25" i="23"/>
  <c r="C24" i="23"/>
  <c r="B24" i="23"/>
  <c r="A24" i="23"/>
  <c r="C23" i="23"/>
  <c r="B23" i="23"/>
  <c r="A23" i="23"/>
  <c r="D22" i="23"/>
  <c r="E15" i="35"/>
  <c r="D32" i="23" s="1"/>
  <c r="D14" i="35"/>
  <c r="E14" i="35" s="1"/>
  <c r="D31" i="23" s="1"/>
  <c r="E13" i="35"/>
  <c r="E12" i="35"/>
  <c r="D29" i="23" s="1"/>
  <c r="E11" i="35"/>
  <c r="E10" i="35"/>
  <c r="D27" i="23" s="1"/>
  <c r="E9" i="35"/>
  <c r="D26" i="23" s="1"/>
  <c r="E8" i="35"/>
  <c r="D25" i="23" s="1"/>
  <c r="E7" i="35"/>
  <c r="D24" i="23" s="1"/>
  <c r="E6" i="35"/>
  <c r="D23" i="23" s="1"/>
  <c r="E5" i="35"/>
  <c r="C62" i="23" l="1"/>
  <c r="B62" i="23"/>
  <c r="A62" i="23"/>
  <c r="F33" i="39" l="1"/>
  <c r="F34" i="39"/>
  <c r="F35" i="39"/>
  <c r="F5" i="39"/>
  <c r="D13" i="20"/>
  <c r="C42" i="23"/>
  <c r="B42" i="23"/>
  <c r="A42" i="23"/>
  <c r="C41" i="23"/>
  <c r="B41" i="23"/>
  <c r="A41" i="23"/>
  <c r="C40" i="23"/>
  <c r="B40" i="23"/>
  <c r="A40" i="23"/>
  <c r="C39" i="23"/>
  <c r="B39" i="23"/>
  <c r="A39" i="23"/>
  <c r="C38" i="23"/>
  <c r="B38" i="23"/>
  <c r="A38" i="23"/>
  <c r="C37" i="23"/>
  <c r="B37" i="23"/>
  <c r="A37" i="23"/>
  <c r="D41" i="23"/>
  <c r="F12" i="15"/>
  <c r="D42" i="23" s="1"/>
  <c r="F38" i="39" l="1"/>
  <c r="D7" i="40" s="1"/>
  <c r="D9" i="40" s="1"/>
  <c r="D62" i="23" s="1"/>
  <c r="D8" i="40" l="1"/>
  <c r="D13" i="23" l="1"/>
  <c r="D11" i="23"/>
  <c r="D10" i="23"/>
  <c r="A58" i="23" l="1"/>
  <c r="B58" i="23"/>
  <c r="C58" i="23"/>
  <c r="A59" i="23"/>
  <c r="B59" i="23"/>
  <c r="C59" i="23"/>
  <c r="A60" i="23"/>
  <c r="B60" i="23"/>
  <c r="C60" i="23"/>
  <c r="A61" i="23"/>
  <c r="B61" i="23"/>
  <c r="C61" i="23"/>
  <c r="B57" i="23"/>
  <c r="C57" i="23"/>
  <c r="A57" i="23"/>
  <c r="C52" i="23" l="1"/>
  <c r="B52" i="23"/>
  <c r="A52" i="23"/>
  <c r="C51" i="23"/>
  <c r="B51" i="23"/>
  <c r="A51" i="23"/>
  <c r="D18" i="23"/>
  <c r="D16" i="23"/>
  <c r="D15" i="23"/>
  <c r="D17" i="23" l="1"/>
  <c r="C7" i="31" l="1"/>
  <c r="C55" i="31" s="1"/>
  <c r="A50" i="23" l="1"/>
  <c r="A55" i="23"/>
  <c r="C50" i="23"/>
  <c r="B50" i="23"/>
  <c r="B22" i="23" l="1"/>
  <c r="C22" i="23"/>
  <c r="A22" i="23"/>
  <c r="C55" i="23" l="1"/>
  <c r="B55" i="23"/>
  <c r="D55" i="23"/>
  <c r="H7" i="31" l="1"/>
  <c r="H55" i="31" s="1"/>
  <c r="J7" i="31"/>
  <c r="J55" i="31" s="1"/>
  <c r="K7" i="31"/>
  <c r="K55" i="31" s="1"/>
  <c r="I7" i="31"/>
  <c r="I55" i="31" s="1"/>
  <c r="D5" i="23"/>
  <c r="F7" i="15" l="1"/>
  <c r="F13" i="15"/>
  <c r="F5" i="15"/>
  <c r="F6" i="15"/>
  <c r="F10" i="15" l="1"/>
  <c r="D40" i="23" s="1"/>
  <c r="F9" i="15"/>
  <c r="D39" i="23" s="1"/>
  <c r="D37" i="23"/>
  <c r="F8" i="15"/>
  <c r="D38" i="23" s="1"/>
  <c r="D19" i="23"/>
  <c r="A35" i="23" l="1"/>
  <c r="B35" i="23"/>
  <c r="C35" i="23"/>
  <c r="A36" i="23"/>
  <c r="B36" i="23"/>
  <c r="C36" i="23"/>
  <c r="A43" i="23"/>
  <c r="B43" i="23"/>
  <c r="C43" i="23"/>
  <c r="B34" i="23"/>
  <c r="A47" i="23"/>
  <c r="B47" i="23"/>
  <c r="C47" i="23"/>
  <c r="A48" i="23"/>
  <c r="B48" i="23"/>
  <c r="C48" i="23"/>
  <c r="A49" i="23"/>
  <c r="B49" i="23"/>
  <c r="C49" i="23"/>
  <c r="C46" i="23"/>
  <c r="B46" i="23"/>
  <c r="A46" i="23"/>
  <c r="D35" i="23" l="1"/>
  <c r="D43" i="23" l="1"/>
  <c r="D36" i="23"/>
  <c r="D5" i="40" l="1"/>
  <c r="D58" i="23" s="1"/>
  <c r="D6" i="40" l="1"/>
  <c r="D4" i="40"/>
  <c r="D57" i="23" s="1"/>
  <c r="D61" i="23"/>
  <c r="D60" i="23" l="1"/>
  <c r="D59" i="23"/>
  <c r="F15" i="11"/>
  <c r="D6" i="20" s="1"/>
  <c r="D48" i="23" s="1"/>
  <c r="D4" i="20" l="1"/>
  <c r="D46" i="23" s="1"/>
  <c r="D5" i="20"/>
  <c r="D47" i="23" s="1"/>
  <c r="D7" i="20"/>
  <c r="D8" i="20" l="1"/>
  <c r="D50" i="23" s="1"/>
  <c r="D9" i="20"/>
  <c r="D51" i="23" s="1"/>
  <c r="D49" i="23"/>
  <c r="D10" i="20"/>
  <c r="D52" i="23" s="1"/>
</calcChain>
</file>

<file path=xl/sharedStrings.xml><?xml version="1.0" encoding="utf-8"?>
<sst xmlns="http://schemas.openxmlformats.org/spreadsheetml/2006/main" count="454" uniqueCount="245">
  <si>
    <t>X</t>
  </si>
  <si>
    <t>Y</t>
  </si>
  <si>
    <t>Z</t>
  </si>
  <si>
    <t>N</t>
  </si>
  <si>
    <t>პიკეტი</t>
  </si>
  <si>
    <t>მანძლი ღერძიდან
მ</t>
  </si>
  <si>
    <t>დამაგრებული</t>
  </si>
  <si>
    <t>კოორდინატები</t>
  </si>
  <si>
    <t>დამაგრების სქემა</t>
  </si>
  <si>
    <t>რეპერების დამაგრების უწყისი</t>
  </si>
  <si>
    <t>მიწის სამუშაოების პიკეტური დათვლის უწყისი</t>
  </si>
  <si>
    <t>ჭრილის ფართობი (მ²)</t>
  </si>
  <si>
    <t>ჭრილის მოცულობა (მ³)</t>
  </si>
  <si>
    <t>ჯამი ჭრილის მოცულობა (მ³)</t>
  </si>
  <si>
    <t>მრუდის ელემენტები</t>
  </si>
  <si>
    <t>UTM კოორდინატები</t>
  </si>
  <si>
    <t>მარცხნივ</t>
  </si>
  <si>
    <t>მარჯვნივ</t>
  </si>
  <si>
    <t>R</t>
  </si>
  <si>
    <t>T</t>
  </si>
  <si>
    <t>K</t>
  </si>
  <si>
    <t>Б</t>
  </si>
  <si>
    <t>Д</t>
  </si>
  <si>
    <t>წ.მ.დ.</t>
  </si>
  <si>
    <t>წ.მ.ბ</t>
  </si>
  <si>
    <t>კწ1</t>
  </si>
  <si>
    <t>კწ2</t>
  </si>
  <si>
    <t>კწ3</t>
  </si>
  <si>
    <t>კწ4</t>
  </si>
  <si>
    <t>კწ5</t>
  </si>
  <si>
    <t>კწ6</t>
  </si>
  <si>
    <t>კწ7</t>
  </si>
  <si>
    <t>კწ8</t>
  </si>
  <si>
    <t>სიგანე
მ</t>
  </si>
  <si>
    <t>სიგრძე
მ</t>
  </si>
  <si>
    <t>ჯამი</t>
  </si>
  <si>
    <t>პკ-დან
პკ-მდე</t>
  </si>
  <si>
    <t>სამუშაოების ჩამონათვალი</t>
  </si>
  <si>
    <t>გრძ.მ</t>
  </si>
  <si>
    <t>მ³</t>
  </si>
  <si>
    <t>მ²</t>
  </si>
  <si>
    <t>ტ</t>
  </si>
  <si>
    <t>განზ.</t>
  </si>
  <si>
    <t>რაოდ.</t>
  </si>
  <si>
    <t>საგზაო სამოსის მოწყობის უწყისი</t>
  </si>
  <si>
    <t>სულ</t>
  </si>
  <si>
    <t>შენიშვნა</t>
  </si>
  <si>
    <t>ც</t>
  </si>
  <si>
    <t>მიერთებები</t>
  </si>
  <si>
    <t>ადგილმდებარეობა</t>
  </si>
  <si>
    <t>არსებული საფარის მდგომარეობა</t>
  </si>
  <si>
    <t>ხრეშოვანი</t>
  </si>
  <si>
    <t>მიერთებების ადგილმდებარეობის და ფართის დათვლის უწყისი</t>
  </si>
  <si>
    <r>
      <rPr>
        <b/>
        <sz val="11"/>
        <color theme="1"/>
        <rFont val="Sylfaen"/>
        <family val="1"/>
      </rPr>
      <t>შენიშვნა:</t>
    </r>
    <r>
      <rPr>
        <sz val="11"/>
        <color theme="1"/>
        <rFont val="Sylfaen"/>
        <family val="1"/>
      </rPr>
      <t xml:space="preserve"> მიერთების ფართში გათვალისწინებულია მიერთების ყელის გაგანიერება.</t>
    </r>
  </si>
  <si>
    <t>ფართი
მ²</t>
  </si>
  <si>
    <t>სულ ფართი</t>
  </si>
  <si>
    <t>გათიხიანებული და ტექნოგენური ხრეშოვანი სავალი ნაწილის ზედა ფენის მოხსნა  ბულდოზერით, დატვირთვა ექსკავატორით (V-0.25 მ³)  ა/თვითმცლელებზე და გატანა ნაყარში</t>
  </si>
  <si>
    <t>"------"</t>
  </si>
  <si>
    <t>სამუშაოთა მოცულობების კრებსითი უწყისი</t>
  </si>
  <si>
    <t>თავი I. მოსამზადებელი სამუშაოები</t>
  </si>
  <si>
    <t>თავი II. მიწის ვაკისი</t>
  </si>
  <si>
    <t>თავი III. ხელოვნური ნაგებობები</t>
  </si>
  <si>
    <t>თავი IV. საგზაო სამოსი</t>
  </si>
  <si>
    <t>თავი V. გზის კუთვნილება და მოწყობილობა</t>
  </si>
  <si>
    <t>ც / მ²</t>
  </si>
  <si>
    <t>ტიპი I</t>
  </si>
  <si>
    <t>ტრასის აღდგენა და დამაგრება</t>
  </si>
  <si>
    <t>კმ</t>
  </si>
  <si>
    <t>მექანიზმით მიუდგომელ ადგილებში იგივეს დამუშავება ხელით ა/თვითმცლელზე დატვირთვით 10%</t>
  </si>
  <si>
    <t>მოჭრილი ზედაპირის მოშანდაკება მექანიზმით</t>
  </si>
  <si>
    <t>გადასაკვეთი წყალსადინარის სახეობა</t>
  </si>
  <si>
    <t>არსებული ნაგებობები</t>
  </si>
  <si>
    <t>ნაგებობის სახეობა</t>
  </si>
  <si>
    <t>ხვრეტი
მმ</t>
  </si>
  <si>
    <t>ნაგებობების
მდგომარეობა</t>
  </si>
  <si>
    <t>ჩასატარებელი სამუშაოები</t>
  </si>
  <si>
    <t>საპროექტო ნაგებობები</t>
  </si>
  <si>
    <t>ლითონის მრგვალი მილი</t>
  </si>
  <si>
    <t>კიუვეტის წგ</t>
  </si>
  <si>
    <t>არადამაკმაყოფილებელი</t>
  </si>
  <si>
    <t>რაოდენობა</t>
  </si>
  <si>
    <t>ახალი მილების მოწყობა</t>
  </si>
  <si>
    <t xml:space="preserve"> მასალის დასახელება</t>
  </si>
  <si>
    <t xml:space="preserve">ძირითადი  მასალების  ამონაკრები </t>
  </si>
  <si>
    <t>ქვიშახრეშოვანი ნარევი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</si>
  <si>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</si>
  <si>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ფრაქციული ღორღი 0-40მმ</t>
  </si>
  <si>
    <t xml:space="preserve">ბეტონი მ-350 B25 F200 W6 </t>
  </si>
  <si>
    <t>კგ</t>
  </si>
  <si>
    <t>წყალი</t>
  </si>
  <si>
    <t>მიერთებების მოწყობის სამუშაოების დათვლის უწყისი</t>
  </si>
  <si>
    <r>
      <rPr>
        <b/>
        <sz val="11"/>
        <color theme="1"/>
        <rFont val="Sylfaen"/>
        <family val="1"/>
      </rPr>
      <t>შენიშვნა:</t>
    </r>
    <r>
      <rPr>
        <sz val="11"/>
        <color theme="1"/>
        <rFont val="Sylfaen"/>
        <family val="1"/>
      </rPr>
      <t xml:space="preserve"> მოცულობებში გათვალიწინებულია კოეფიციენტები.</t>
    </r>
  </si>
  <si>
    <t>საგზაო სამოსის ფართის პიკეტური დათვლის უწყისი</t>
  </si>
  <si>
    <t>მანძილი, მ</t>
  </si>
  <si>
    <t>სიგანე, მ</t>
  </si>
  <si>
    <t>ფართი, მ²</t>
  </si>
  <si>
    <t>სავალი ნაწილი</t>
  </si>
  <si>
    <t>საფუძვლის ფენა</t>
  </si>
  <si>
    <t>გვერდული</t>
  </si>
  <si>
    <t>ჰორიზონტალური მოხვევის კუთხეების, მრუდებისა და სწორების უწყისი</t>
  </si>
  <si>
    <t>ტ.დ.</t>
  </si>
  <si>
    <t>ტ.ბ.</t>
  </si>
  <si>
    <t>კწ9</t>
  </si>
  <si>
    <t>კწ10</t>
  </si>
  <si>
    <t>დატვირთული მასის გატანა</t>
  </si>
  <si>
    <t>ტრასის ზედაპირის პროექციის დაკვალვის უწყისი</t>
  </si>
  <si>
    <t>საფარის ზედა ფენის კოორდინატები</t>
  </si>
  <si>
    <t>მარცხენა ნაწიბური</t>
  </si>
  <si>
    <t>ღერძი</t>
  </si>
  <si>
    <t>მარჯვენა ნაწიბური</t>
  </si>
  <si>
    <t>მანძილი ღერძიდან, მ</t>
  </si>
  <si>
    <r>
      <rPr>
        <b/>
        <sz val="11"/>
        <color theme="1"/>
        <rFont val="Sylfaen"/>
        <family val="1"/>
      </rPr>
      <t xml:space="preserve">შენიშვნა:
</t>
    </r>
    <r>
      <rPr>
        <sz val="11"/>
        <color theme="1"/>
        <rFont val="Sylfaen"/>
        <family val="1"/>
      </rPr>
      <t>1. რეპერები, რომლებიც ექცევა სამშენებლო მოედნის ფარგლებში გატანილი იქნას მშენებლობის დაწყების წინ.</t>
    </r>
  </si>
  <si>
    <t>ყალიბის ფარი</t>
  </si>
  <si>
    <r>
      <t>მ</t>
    </r>
    <r>
      <rPr>
        <sz val="11"/>
        <color theme="1"/>
        <rFont val="Calibri"/>
        <family val="2"/>
      </rPr>
      <t>²</t>
    </r>
  </si>
  <si>
    <t>ძირითად გზაზე ახალი მილების მოწყობის სამუშაოების მოცულობების დათვლის უწყისი</t>
  </si>
  <si>
    <t>ძირითად გზაზე არსებული და საპროექტო ხელოვნური ნაგებობების უწყისი</t>
  </si>
  <si>
    <t>ს1</t>
  </si>
  <si>
    <t>ს2</t>
  </si>
  <si>
    <t>ს3</t>
  </si>
  <si>
    <t>ს4</t>
  </si>
  <si>
    <t>ს5</t>
  </si>
  <si>
    <t>ს6</t>
  </si>
  <si>
    <t>ს7</t>
  </si>
  <si>
    <t>ს8</t>
  </si>
  <si>
    <t>ს9</t>
  </si>
  <si>
    <t>ს10</t>
  </si>
  <si>
    <t>ს11</t>
  </si>
  <si>
    <t>კუთხის წვეროს ადგილმდებარეობა</t>
  </si>
  <si>
    <t>მანძილი კუთხის წვეროებს შორის</t>
  </si>
  <si>
    <t>სწორის სიგრძე</t>
  </si>
  <si>
    <t>RP-1</t>
  </si>
  <si>
    <t>RP-2</t>
  </si>
  <si>
    <t>ყრილის ფართობი (მ²)</t>
  </si>
  <si>
    <t>ყრილის მოცულობა (მ³)</t>
  </si>
  <si>
    <t>ჯამი ყრილის მოცულობა (მ³)</t>
  </si>
  <si>
    <t>საფუძვლის მოწყობა ფრაქციული ღორღით 0-40მმ  სისქით 12სმ. კ-1.26</t>
  </si>
  <si>
    <t>შესასვლელების ადგილმდებარეობის და ფართის დათვლის უწყისი</t>
  </si>
  <si>
    <t xml:space="preserve"> შესასვლელების მოწყობის სამუშაოების დათვლის უწყისი</t>
  </si>
  <si>
    <t>საფუძვლის მოწყობა ფრაქციული ღორღით 0-40მმ  სისქით 12სმ კ-1.26</t>
  </si>
  <si>
    <t>დემონტაჟი</t>
  </si>
  <si>
    <t>ა/ბეტონში ჩასობილ დუბელის ლურსმანზე</t>
  </si>
  <si>
    <t>ყრილის მოწყობა  ქვიშახრეშოვანი ნარევით</t>
  </si>
  <si>
    <t>ეზოებში შესასვლელები</t>
  </si>
  <si>
    <t>ბოძების გადატანა</t>
  </si>
  <si>
    <t>სიპ კაბელის დემონტაჟი</t>
  </si>
  <si>
    <t>სიპ კაბელის მონტაჟი</t>
  </si>
  <si>
    <t>არსებული ელ. ბოძის დემონტაჟი, მისი შემდგომი ახალ ადგილზე მონტაჟის მიზნით</t>
  </si>
  <si>
    <t>ელ.ბოძის მონტაჟი ახალ ადგილზე</t>
  </si>
  <si>
    <t>შემასწორებელი ფენის მოწყობა ქვიშახრეშოვანი ნარევით კ-1.22</t>
  </si>
  <si>
    <r>
      <rPr>
        <b/>
        <sz val="11"/>
        <color theme="1"/>
        <rFont val="Sylfaen"/>
        <family val="1"/>
      </rPr>
      <t xml:space="preserve">შენიშვნა:
</t>
    </r>
    <r>
      <rPr>
        <sz val="11"/>
        <color theme="1"/>
        <rFont val="Sylfaen"/>
        <family val="1"/>
      </rPr>
      <t>1.  ფართში გათვალისწინებულია ტრასის დასაწყისში ყელის გაგანიერება.</t>
    </r>
  </si>
  <si>
    <t>დამაკმაყოფილებელი</t>
  </si>
  <si>
    <t xml:space="preserve">სავალი ნაწილის საფარის მოწყობა მონოლითური ბეტონით მ-350 B25 F200 W6 სისქით 16სმ </t>
  </si>
  <si>
    <t>ბეტონი B25 F200 W6</t>
  </si>
  <si>
    <t>არმატურა Ф6</t>
  </si>
  <si>
    <t>ზედაპირის დამუშავება დისპერსიული მასალით (თხევადი პარაფინი ან ანალოგი) ორჯერ (0.4კგ/მ²)</t>
  </si>
  <si>
    <t>განივი ტემპერატურული ნაკერების მოწყობა ყოველ 5 მეტრში</t>
  </si>
  <si>
    <t>ბიტუმ–პოლიმერული ნარევი</t>
  </si>
  <si>
    <t>გვერდულების მოწყობა ქვიშახრეშოვანი ნარევით  საშ. სისქით 28 სმ. (ფრაქცია 0-70მმ) შემდგომში სატკეპნით შემკვრივება</t>
  </si>
  <si>
    <t>გვერდულების მოწყობა ქვიშა–ხრეშოვანი ნარევით სიგანით 50სმ საშ. სისქით 28 სმ. (ფრაქცია 0-70მმ) შემდგომში სატკეპნით შემკვრივება</t>
  </si>
  <si>
    <t xml:space="preserve">სავალი ნაწილის საფარის მოწყობა მონოლითური ბეტონით მ-350 B25 F200 W6 სისქით 12სმ </t>
  </si>
  <si>
    <t>ზედაპირის დამუშავება დისპერსიული მასალით (თხევადი პარაფინი ან ანალოგი) ორჯერ (0.4კგ/მ2)</t>
  </si>
  <si>
    <t>ბეტონის ღარი ცხაურით</t>
  </si>
  <si>
    <t>რკ. ბეტონის მრგვალი მილი</t>
  </si>
  <si>
    <t>III-კატ. გრუნტის დამუშავება მილისა და სათავისების მოსაწყობად ექსკ. V-0.25 მ³ გვერდზე გადაყრით 90%</t>
  </si>
  <si>
    <t>იგივე ხელით 10%</t>
  </si>
  <si>
    <t>ქვიშა-ხრეშოვანი ბალიში პორტალური კედლებისა და მილის ქვეშ  h-10სმ</t>
  </si>
  <si>
    <t>მილისა და პორტალური კედლების შეღებვა გარედან ბიტუმით 2-ჯერ</t>
  </si>
  <si>
    <t>სათავისების პორტალური  კედლის ბეტონი</t>
  </si>
  <si>
    <t xml:space="preserve">ფუნდამენტი  B25 F200 W6 </t>
  </si>
  <si>
    <t xml:space="preserve">ტანი  B25 F200 W6 </t>
  </si>
  <si>
    <t>გრუნტის უკუჩაყრა მილზე და სათავისების ირგვლივ ხელით</t>
  </si>
  <si>
    <t>ზედმეტი გრუნტის დატვირთვა ექსკავატორით (V-0.25 მ3)  ა/თვითმცლელებზე და გატანა ნაყარში</t>
  </si>
  <si>
    <t>1°46'28"</t>
  </si>
  <si>
    <t>19°00'15"</t>
  </si>
  <si>
    <t>14°12'22"</t>
  </si>
  <si>
    <t>3°41'01"</t>
  </si>
  <si>
    <t>5°40'05"</t>
  </si>
  <si>
    <t>66°54'47"</t>
  </si>
  <si>
    <t>21°52'14"</t>
  </si>
  <si>
    <t>11°21'38"</t>
  </si>
  <si>
    <t>5°54'19"</t>
  </si>
  <si>
    <t>93°58'10"</t>
  </si>
  <si>
    <t>კწ11</t>
  </si>
  <si>
    <t>82°41'20"</t>
  </si>
  <si>
    <t>ს12</t>
  </si>
  <si>
    <t>კწ12</t>
  </si>
  <si>
    <t>4°11'42"</t>
  </si>
  <si>
    <t>ს13</t>
  </si>
  <si>
    <t>კწ13</t>
  </si>
  <si>
    <t>1°35'34"</t>
  </si>
  <si>
    <t>ს14</t>
  </si>
  <si>
    <t>კწ14</t>
  </si>
  <si>
    <t>2°39'44"</t>
  </si>
  <si>
    <t>ს15</t>
  </si>
  <si>
    <t>კწ15</t>
  </si>
  <si>
    <t>2°54'59"</t>
  </si>
  <si>
    <t>ს16</t>
  </si>
  <si>
    <t>კწ16</t>
  </si>
  <si>
    <t>21°34'41"</t>
  </si>
  <si>
    <t>ს17</t>
  </si>
  <si>
    <t>კწ17</t>
  </si>
  <si>
    <t>11°06'06"</t>
  </si>
  <si>
    <t>ს18</t>
  </si>
  <si>
    <t>კწ18</t>
  </si>
  <si>
    <t>2°10'56"</t>
  </si>
  <si>
    <t>ს19</t>
  </si>
  <si>
    <t>კწ19</t>
  </si>
  <si>
    <t>0°34'40"</t>
  </si>
  <si>
    <t>ს20</t>
  </si>
  <si>
    <t>კწ20</t>
  </si>
  <si>
    <t>6°54'59"</t>
  </si>
  <si>
    <t>ს21</t>
  </si>
  <si>
    <t>კწ21</t>
  </si>
  <si>
    <t>5°08'27"</t>
  </si>
  <si>
    <t>ს22</t>
  </si>
  <si>
    <t>კწ22</t>
  </si>
  <si>
    <t>2°47'02"</t>
  </si>
  <si>
    <t>ს23</t>
  </si>
  <si>
    <t>0+00 - 1+07
1+18 -8+65</t>
  </si>
  <si>
    <t>მდინარე</t>
  </si>
  <si>
    <t>1+07 - 1+18</t>
  </si>
  <si>
    <t>ხიდი</t>
  </si>
  <si>
    <t>ბეტონის ღარი ფილით</t>
  </si>
  <si>
    <t>1000X800</t>
  </si>
  <si>
    <t>ფილების დამატება</t>
  </si>
  <si>
    <t>400X400</t>
  </si>
  <si>
    <t>ამოწევა</t>
  </si>
  <si>
    <t>მიერთებებზე / შესასვლელებზე არსებული და საპროექტო ხელოვნური ნაგებობების უწყისი</t>
  </si>
  <si>
    <t>მრგვალი მილი</t>
  </si>
  <si>
    <t>8 / 332</t>
  </si>
  <si>
    <t>31/ 212</t>
  </si>
  <si>
    <t>არსებული ცხაურების მოყვანა საპროექტო ნიშნულამდე</t>
  </si>
  <si>
    <t xml:space="preserve">ბეტონი  B25 F200 W6 </t>
  </si>
  <si>
    <t>სავალ ნაწილზე არსებული ტალახნარევი ხრეშოვანი  საფარის აღება და გრუნტის სანიაღვრეების გაწმენდა მექანიზმით  მისი ა/თვითმცლელზე დატვირთვით 90%</t>
  </si>
  <si>
    <t>რკინაბეტონის მრგვალი მილის ჩადება d=400მმ</t>
  </si>
  <si>
    <t>არსებული მილების დემონტაჟი, გატანა და დასაწყობება</t>
  </si>
  <si>
    <t>პკ3+08-ზე ბეტონის ღარზე ფილების (1.3X0.5მ) დამატება</t>
  </si>
  <si>
    <t>ფილა 1.3X0.5მ</t>
  </si>
  <si>
    <t>6 ცალი</t>
  </si>
  <si>
    <t>რკინაბეტონის მილი დ-400</t>
  </si>
  <si>
    <t>ბიტუმის მასტიკა</t>
  </si>
  <si>
    <t xml:space="preserve">ხის მასალა </t>
  </si>
  <si>
    <t>არმატურა  Ф-6  AI</t>
  </si>
  <si>
    <t>ბიტუმ-პოლიმერული ნარევი</t>
  </si>
  <si>
    <t>თხევადი პარაფინი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</si>
</sst>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0\+00.00"/>
    <numFmt numFmtId="166" formatCode="#0\+00"/>
    <numFmt numFmtId="167" formatCode="#0\+00;#0\-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</font>
    <font>
      <i/>
      <sz val="11"/>
      <color theme="1"/>
      <name val="Sylfaen"/>
      <family val="1"/>
    </font>
    <font>
      <sz val="12"/>
      <color theme="1"/>
      <name val="Calibri"/>
      <family val="2"/>
      <scheme val="minor"/>
    </font>
    <font>
      <b/>
      <i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b/>
      <u/>
      <sz val="12"/>
      <name val="Sylfaen"/>
      <family val="1"/>
    </font>
    <font>
      <b/>
      <u/>
      <sz val="12"/>
      <color theme="1"/>
      <name val="Sylfaen"/>
      <family val="1"/>
    </font>
    <font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2"/>
      <name val="Calibri"/>
      <family val="2"/>
      <charset val="1"/>
      <scheme val="minor"/>
    </font>
    <font>
      <i/>
      <sz val="12"/>
      <color theme="1"/>
      <name val="Sylfaen"/>
      <family val="1"/>
    </font>
    <font>
      <b/>
      <sz val="11"/>
      <color theme="1"/>
      <name val="Calibri"/>
      <family val="2"/>
      <charset val="1"/>
      <scheme val="minor"/>
    </font>
    <font>
      <b/>
      <sz val="12"/>
      <name val="Calibri"/>
      <family val="2"/>
      <charset val="204"/>
      <scheme val="minor"/>
    </font>
    <font>
      <b/>
      <sz val="11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name val="Calibri"/>
      <family val="2"/>
      <scheme val="minor"/>
    </font>
    <font>
      <sz val="11"/>
      <name val="AcadNusx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0"/>
      <name val="Sylfaen"/>
      <family val="1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5">
    <xf numFmtId="0" fontId="0" fillId="0" borderId="0" xfId="0"/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12" fillId="0" borderId="0" xfId="0" applyFont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2" fontId="14" fillId="0" borderId="1" xfId="1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right" vertical="center"/>
    </xf>
    <xf numFmtId="0" fontId="15" fillId="0" borderId="4" xfId="1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right" vertical="center"/>
    </xf>
    <xf numFmtId="0" fontId="18" fillId="0" borderId="1" xfId="1" applyFont="1" applyBorder="1" applyAlignment="1">
      <alignment horizontal="center"/>
    </xf>
    <xf numFmtId="0" fontId="19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2" fontId="13" fillId="0" borderId="1" xfId="1" applyNumberFormat="1" applyFont="1" applyBorder="1" applyAlignment="1">
      <alignment horizontal="center" vertical="center"/>
    </xf>
    <xf numFmtId="0" fontId="22" fillId="0" borderId="1" xfId="1" applyFont="1" applyBorder="1"/>
    <xf numFmtId="0" fontId="23" fillId="0" borderId="1" xfId="1" applyFont="1" applyBorder="1" applyAlignment="1">
      <alignment horizontal="right" vertical="center"/>
    </xf>
    <xf numFmtId="0" fontId="2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1" applyFont="1" applyBorder="1" applyAlignment="1">
      <alignment horizontal="right" vertical="center"/>
    </xf>
    <xf numFmtId="0" fontId="25" fillId="0" borderId="1" xfId="1" applyFont="1" applyBorder="1" applyAlignment="1">
      <alignment horizontal="center" vertical="center"/>
    </xf>
    <xf numFmtId="49" fontId="25" fillId="0" borderId="1" xfId="1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2" fontId="14" fillId="0" borderId="1" xfId="1" applyNumberFormat="1" applyFont="1" applyBorder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2" fontId="25" fillId="0" borderId="1" xfId="1" applyNumberFormat="1" applyFont="1" applyBorder="1" applyAlignment="1">
      <alignment vertical="center"/>
    </xf>
    <xf numFmtId="1" fontId="0" fillId="0" borderId="0" xfId="0" applyNumberFormat="1"/>
    <xf numFmtId="1" fontId="0" fillId="0" borderId="1" xfId="0" applyNumberFormat="1" applyBorder="1"/>
    <xf numFmtId="0" fontId="27" fillId="0" borderId="0" xfId="0" applyFont="1"/>
    <xf numFmtId="0" fontId="27" fillId="0" borderId="0" xfId="0" applyFont="1" applyAlignment="1">
      <alignment wrapText="1"/>
    </xf>
    <xf numFmtId="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1" xfId="0" applyFont="1" applyBorder="1" applyAlignment="1">
      <alignment horizontal="right" vertical="center"/>
    </xf>
    <xf numFmtId="2" fontId="27" fillId="0" borderId="1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/>
    </xf>
    <xf numFmtId="165" fontId="0" fillId="0" borderId="1" xfId="0" applyNumberForma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 wrapText="1"/>
    </xf>
    <xf numFmtId="166" fontId="18" fillId="0" borderId="1" xfId="1" applyNumberFormat="1" applyFont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2" fontId="0" fillId="0" borderId="0" xfId="0" applyNumberFormat="1"/>
    <xf numFmtId="0" fontId="7" fillId="0" borderId="1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/>
    </xf>
    <xf numFmtId="2" fontId="0" fillId="0" borderId="1" xfId="0" applyNumberFormat="1" applyBorder="1"/>
    <xf numFmtId="165" fontId="0" fillId="0" borderId="0" xfId="0" applyNumberFormat="1"/>
    <xf numFmtId="0" fontId="14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horizontal="right" vertical="center"/>
    </xf>
    <xf numFmtId="2" fontId="27" fillId="0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/>
    <xf numFmtId="166" fontId="27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4" fillId="0" borderId="1" xfId="1" applyNumberFormat="1" applyFont="1" applyBorder="1" applyAlignment="1">
      <alignment vertical="center"/>
    </xf>
    <xf numFmtId="2" fontId="14" fillId="0" borderId="1" xfId="1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19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right" vertical="center"/>
    </xf>
    <xf numFmtId="0" fontId="20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right" vertical="center"/>
    </xf>
    <xf numFmtId="2" fontId="23" fillId="0" borderId="1" xfId="1" applyNumberFormat="1" applyFont="1" applyFill="1" applyBorder="1" applyAlignment="1">
      <alignment horizontal="right" vertical="center"/>
    </xf>
    <xf numFmtId="0" fontId="24" fillId="0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14" fillId="0" borderId="10" xfId="1" applyFont="1" applyBorder="1" applyAlignment="1">
      <alignment horizontal="center" vertical="center"/>
    </xf>
    <xf numFmtId="2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35" fillId="0" borderId="7" xfId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7" xfId="1" applyNumberFormat="1" applyFont="1" applyBorder="1" applyAlignment="1">
      <alignment horizontal="right" vertical="center"/>
    </xf>
    <xf numFmtId="0" fontId="35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6" fontId="27" fillId="0" borderId="1" xfId="0" applyNumberFormat="1" applyFont="1" applyBorder="1" applyAlignment="1">
      <alignment horizontal="right" vertical="center"/>
    </xf>
    <xf numFmtId="1" fontId="2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29" fillId="0" borderId="1" xfId="0" applyFont="1" applyFill="1" applyBorder="1"/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/>
    </xf>
    <xf numFmtId="0" fontId="14" fillId="0" borderId="4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0" fontId="13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5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4</xdr:row>
      <xdr:rowOff>95250</xdr:rowOff>
    </xdr:from>
    <xdr:ext cx="1079989" cy="961464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71725"/>
          <a:ext cx="1079989" cy="961464"/>
        </a:xfrm>
        <a:prstGeom prst="rect">
          <a:avLst/>
        </a:prstGeom>
      </xdr:spPr>
    </xdr:pic>
    <xdr:clientData/>
  </xdr:oneCellAnchor>
  <xdr:oneCellAnchor>
    <xdr:from>
      <xdr:col>7</xdr:col>
      <xdr:colOff>123825</xdr:colOff>
      <xdr:row>7</xdr:row>
      <xdr:rowOff>114300</xdr:rowOff>
    </xdr:from>
    <xdr:ext cx="1070209" cy="904874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533775"/>
          <a:ext cx="1070209" cy="904874"/>
        </a:xfrm>
        <a:prstGeom prst="rect">
          <a:avLst/>
        </a:prstGeom>
      </xdr:spPr>
    </xdr:pic>
    <xdr:clientData/>
  </xdr:oneCellAnchor>
  <xdr:oneCellAnchor>
    <xdr:from>
      <xdr:col>7</xdr:col>
      <xdr:colOff>123825</xdr:colOff>
      <xdr:row>4</xdr:row>
      <xdr:rowOff>114300</xdr:rowOff>
    </xdr:from>
    <xdr:ext cx="1070209" cy="904874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390775"/>
          <a:ext cx="1070209" cy="904874"/>
        </a:xfrm>
        <a:prstGeom prst="rect">
          <a:avLst/>
        </a:prstGeom>
      </xdr:spPr>
    </xdr:pic>
    <xdr:clientData/>
  </xdr:oneCellAnchor>
  <xdr:oneCellAnchor>
    <xdr:from>
      <xdr:col>7</xdr:col>
      <xdr:colOff>123825</xdr:colOff>
      <xdr:row>7</xdr:row>
      <xdr:rowOff>95250</xdr:rowOff>
    </xdr:from>
    <xdr:ext cx="1079989" cy="961464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514725"/>
          <a:ext cx="1079989" cy="9614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"/>
  <sheetViews>
    <sheetView topLeftCell="A10" workbookViewId="0">
      <selection sqref="A1:H1"/>
    </sheetView>
  </sheetViews>
  <sheetFormatPr defaultRowHeight="15" x14ac:dyDescent="0.25"/>
  <cols>
    <col min="1" max="1" width="7" customWidth="1"/>
    <col min="2" max="2" width="7.7109375" bestFit="1" customWidth="1"/>
    <col min="3" max="3" width="10" bestFit="1" customWidth="1"/>
    <col min="4" max="4" width="10.140625" bestFit="1" customWidth="1"/>
    <col min="5" max="5" width="15.42578125" bestFit="1" customWidth="1"/>
    <col min="6" max="6" width="6.5703125" customWidth="1"/>
    <col min="7" max="7" width="13.140625" bestFit="1" customWidth="1"/>
    <col min="8" max="8" width="19.42578125" customWidth="1"/>
  </cols>
  <sheetData>
    <row r="1" spans="1:8" s="19" customFormat="1" ht="30" customHeight="1" x14ac:dyDescent="0.25">
      <c r="A1" s="187" t="s">
        <v>9</v>
      </c>
      <c r="B1" s="187"/>
      <c r="C1" s="187"/>
      <c r="D1" s="187"/>
      <c r="E1" s="187"/>
      <c r="F1" s="187"/>
      <c r="G1" s="187"/>
      <c r="H1" s="187"/>
    </row>
    <row r="2" spans="1:8" s="19" customFormat="1" ht="29.25" customHeight="1" x14ac:dyDescent="0.25">
      <c r="A2" s="188" t="s">
        <v>3</v>
      </c>
      <c r="B2" s="188" t="s">
        <v>4</v>
      </c>
      <c r="C2" s="189" t="s">
        <v>5</v>
      </c>
      <c r="D2" s="189"/>
      <c r="E2" s="188" t="s">
        <v>6</v>
      </c>
      <c r="F2" s="188" t="s">
        <v>7</v>
      </c>
      <c r="G2" s="188"/>
      <c r="H2" s="188" t="s">
        <v>8</v>
      </c>
    </row>
    <row r="3" spans="1:8" s="19" customFormat="1" x14ac:dyDescent="0.25">
      <c r="A3" s="188"/>
      <c r="B3" s="188"/>
      <c r="C3" s="105" t="s">
        <v>16</v>
      </c>
      <c r="D3" s="105" t="s">
        <v>17</v>
      </c>
      <c r="E3" s="188"/>
      <c r="F3" s="188"/>
      <c r="G3" s="188"/>
      <c r="H3" s="188"/>
    </row>
    <row r="4" spans="1:8" s="19" customFormat="1" x14ac:dyDescent="0.25">
      <c r="A4" s="47">
        <v>1</v>
      </c>
      <c r="B4" s="47">
        <v>2</v>
      </c>
      <c r="C4" s="47"/>
      <c r="D4" s="47"/>
      <c r="E4" s="47"/>
      <c r="F4" s="184">
        <v>6</v>
      </c>
      <c r="G4" s="185"/>
      <c r="H4" s="47">
        <v>7</v>
      </c>
    </row>
    <row r="5" spans="1:8" ht="30" customHeight="1" x14ac:dyDescent="0.25">
      <c r="A5" s="180" t="s">
        <v>130</v>
      </c>
      <c r="B5" s="181">
        <v>-1</v>
      </c>
      <c r="C5" s="182">
        <v>3.2</v>
      </c>
      <c r="D5" s="182"/>
      <c r="E5" s="186" t="s">
        <v>140</v>
      </c>
      <c r="F5" s="2" t="s">
        <v>0</v>
      </c>
      <c r="G5" s="1">
        <v>318157.51400000002</v>
      </c>
      <c r="H5" s="179"/>
    </row>
    <row r="6" spans="1:8" ht="30" customHeight="1" x14ac:dyDescent="0.25">
      <c r="A6" s="180"/>
      <c r="B6" s="181"/>
      <c r="C6" s="182"/>
      <c r="D6" s="182"/>
      <c r="E6" s="186"/>
      <c r="F6" s="2" t="s">
        <v>1</v>
      </c>
      <c r="G6" s="1">
        <v>4723743.6330000004</v>
      </c>
      <c r="H6" s="179"/>
    </row>
    <row r="7" spans="1:8" ht="30" customHeight="1" x14ac:dyDescent="0.25">
      <c r="A7" s="180"/>
      <c r="B7" s="181"/>
      <c r="C7" s="182"/>
      <c r="D7" s="182"/>
      <c r="E7" s="186"/>
      <c r="F7" s="2" t="s">
        <v>2</v>
      </c>
      <c r="G7" s="1">
        <v>505.60399999999998</v>
      </c>
      <c r="H7" s="179"/>
    </row>
    <row r="8" spans="1:8" ht="30" customHeight="1" x14ac:dyDescent="0.25">
      <c r="A8" s="180" t="s">
        <v>131</v>
      </c>
      <c r="B8" s="181">
        <v>0.04</v>
      </c>
      <c r="C8" s="182"/>
      <c r="D8" s="182">
        <v>21.38</v>
      </c>
      <c r="E8" s="183" t="s">
        <v>140</v>
      </c>
      <c r="F8" s="2" t="s">
        <v>0</v>
      </c>
      <c r="G8" s="1">
        <v>318156.29300000001</v>
      </c>
      <c r="H8" s="179"/>
    </row>
    <row r="9" spans="1:8" ht="30" customHeight="1" x14ac:dyDescent="0.25">
      <c r="A9" s="180"/>
      <c r="B9" s="181"/>
      <c r="C9" s="182"/>
      <c r="D9" s="182"/>
      <c r="E9" s="183"/>
      <c r="F9" s="2" t="s">
        <v>1</v>
      </c>
      <c r="G9" s="1">
        <v>4723768.659</v>
      </c>
      <c r="H9" s="179"/>
    </row>
    <row r="10" spans="1:8" ht="30" customHeight="1" x14ac:dyDescent="0.25">
      <c r="A10" s="180"/>
      <c r="B10" s="181"/>
      <c r="C10" s="182"/>
      <c r="D10" s="182"/>
      <c r="E10" s="183"/>
      <c r="F10" s="2" t="s">
        <v>2</v>
      </c>
      <c r="G10" s="1">
        <v>505.08100000000002</v>
      </c>
      <c r="H10" s="179"/>
    </row>
    <row r="13" spans="1:8" ht="60" customHeight="1" x14ac:dyDescent="0.25">
      <c r="A13" s="178" t="s">
        <v>111</v>
      </c>
      <c r="B13" s="178"/>
      <c r="C13" s="178"/>
      <c r="D13" s="178"/>
      <c r="E13" s="178"/>
      <c r="F13" s="178"/>
      <c r="G13" s="178"/>
      <c r="H13" s="178"/>
    </row>
  </sheetData>
  <mergeCells count="21">
    <mergeCell ref="A1:H1"/>
    <mergeCell ref="A2:A3"/>
    <mergeCell ref="B2:B3"/>
    <mergeCell ref="C2:D2"/>
    <mergeCell ref="E2:E3"/>
    <mergeCell ref="F2:G3"/>
    <mergeCell ref="H2:H3"/>
    <mergeCell ref="F4:G4"/>
    <mergeCell ref="A5:A7"/>
    <mergeCell ref="B5:B7"/>
    <mergeCell ref="C5:C7"/>
    <mergeCell ref="D5:D7"/>
    <mergeCell ref="E5:E7"/>
    <mergeCell ref="A13:H13"/>
    <mergeCell ref="H5:H7"/>
    <mergeCell ref="A8:A10"/>
    <mergeCell ref="B8:B10"/>
    <mergeCell ref="C8:C10"/>
    <mergeCell ref="D8:D10"/>
    <mergeCell ref="E8:E10"/>
    <mergeCell ref="H8:H10"/>
  </mergeCells>
  <pageMargins left="0.7" right="0.2" top="0.5" bottom="0.2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workbookViewId="0">
      <selection sqref="A1:H1"/>
    </sheetView>
  </sheetViews>
  <sheetFormatPr defaultRowHeight="15" x14ac:dyDescent="0.25"/>
  <cols>
    <col min="1" max="1" width="3" bestFit="1" customWidth="1"/>
    <col min="2" max="2" width="70" customWidth="1"/>
    <col min="3" max="4" width="8.5703125" customWidth="1"/>
  </cols>
  <sheetData>
    <row r="1" spans="1:4" s="19" customFormat="1" ht="30" customHeight="1" x14ac:dyDescent="0.25">
      <c r="A1" s="203" t="s">
        <v>90</v>
      </c>
      <c r="B1" s="203"/>
      <c r="C1" s="203"/>
      <c r="D1" s="203"/>
    </row>
    <row r="2" spans="1:4" s="19" customFormat="1" x14ac:dyDescent="0.25">
      <c r="A2" s="17" t="s">
        <v>3</v>
      </c>
      <c r="B2" s="17" t="s">
        <v>37</v>
      </c>
      <c r="C2" s="17" t="s">
        <v>42</v>
      </c>
      <c r="D2" s="17" t="s">
        <v>43</v>
      </c>
    </row>
    <row r="3" spans="1:4" x14ac:dyDescent="0.25">
      <c r="A3" s="47">
        <v>1</v>
      </c>
      <c r="B3" s="47">
        <v>2</v>
      </c>
      <c r="C3" s="48">
        <v>3</v>
      </c>
      <c r="D3" s="48">
        <v>4</v>
      </c>
    </row>
    <row r="4" spans="1:4" ht="45" x14ac:dyDescent="0.25">
      <c r="A4" s="22">
        <v>1</v>
      </c>
      <c r="B4" s="24" t="s">
        <v>56</v>
      </c>
      <c r="C4" s="22" t="s">
        <v>39</v>
      </c>
      <c r="D4" s="25">
        <f>'9. მიერთებების დათვლის უწყისი'!$F$15*0.15</f>
        <v>49.8</v>
      </c>
    </row>
    <row r="5" spans="1:4" x14ac:dyDescent="0.25">
      <c r="A5" s="22">
        <v>2</v>
      </c>
      <c r="B5" s="24" t="s">
        <v>148</v>
      </c>
      <c r="C5" s="22" t="s">
        <v>39</v>
      </c>
      <c r="D5" s="25">
        <f>'9. მიერთებების დათვლის უწყისი'!$F$15*0.15*1.08</f>
        <v>53.783999999999999</v>
      </c>
    </row>
    <row r="6" spans="1:4" x14ac:dyDescent="0.25">
      <c r="A6" s="133">
        <v>3</v>
      </c>
      <c r="B6" s="26" t="s">
        <v>135</v>
      </c>
      <c r="C6" s="27" t="s">
        <v>40</v>
      </c>
      <c r="D6" s="28">
        <f>'9. მიერთებების დათვლის უწყისი'!$F$15*1.08</f>
        <v>358.56</v>
      </c>
    </row>
    <row r="7" spans="1:4" ht="30" x14ac:dyDescent="0.25">
      <c r="A7" s="204">
        <v>4</v>
      </c>
      <c r="B7" s="26" t="s">
        <v>151</v>
      </c>
      <c r="C7" s="144" t="s">
        <v>40</v>
      </c>
      <c r="D7" s="28">
        <f>'9. მიერთებების დათვლის უწყისი'!F15</f>
        <v>332</v>
      </c>
    </row>
    <row r="8" spans="1:4" x14ac:dyDescent="0.25">
      <c r="A8" s="205"/>
      <c r="B8" s="145" t="s">
        <v>152</v>
      </c>
      <c r="C8" s="146" t="s">
        <v>39</v>
      </c>
      <c r="D8" s="147">
        <f>D7*0.16</f>
        <v>53.120000000000005</v>
      </c>
    </row>
    <row r="9" spans="1:4" x14ac:dyDescent="0.25">
      <c r="A9" s="205"/>
      <c r="B9" s="145" t="s">
        <v>153</v>
      </c>
      <c r="C9" s="148" t="s">
        <v>41</v>
      </c>
      <c r="D9" s="147">
        <f>D7*2.462/1000</f>
        <v>0.817384</v>
      </c>
    </row>
    <row r="10" spans="1:4" ht="30" x14ac:dyDescent="0.25">
      <c r="A10" s="206"/>
      <c r="B10" s="145" t="s">
        <v>154</v>
      </c>
      <c r="C10" s="148" t="s">
        <v>41</v>
      </c>
      <c r="D10" s="147">
        <f>D7*0.4/1000</f>
        <v>0.1328</v>
      </c>
    </row>
    <row r="11" spans="1:4" x14ac:dyDescent="0.25">
      <c r="A11" s="204">
        <v>5</v>
      </c>
      <c r="B11" s="29" t="s">
        <v>155</v>
      </c>
      <c r="C11" s="27" t="s">
        <v>38</v>
      </c>
      <c r="D11" s="28">
        <f>4.5+4.5+3+4+3</f>
        <v>19</v>
      </c>
    </row>
    <row r="12" spans="1:4" x14ac:dyDescent="0.25">
      <c r="A12" s="206"/>
      <c r="B12" s="149" t="s">
        <v>156</v>
      </c>
      <c r="C12" s="150" t="s">
        <v>41</v>
      </c>
      <c r="D12" s="151">
        <f>D11*0.0013</f>
        <v>2.47E-2</v>
      </c>
    </row>
    <row r="13" spans="1:4" ht="30" x14ac:dyDescent="0.25">
      <c r="A13" s="133">
        <v>6</v>
      </c>
      <c r="B13" s="24" t="s">
        <v>158</v>
      </c>
      <c r="C13" s="91" t="s">
        <v>39</v>
      </c>
      <c r="D13" s="25">
        <f>'9. მიერთებების დათვლის უწყისი'!$D$15*1*0.28</f>
        <v>18.200000000000003</v>
      </c>
    </row>
  </sheetData>
  <mergeCells count="3">
    <mergeCell ref="A1:D1"/>
    <mergeCell ref="A7:A10"/>
    <mergeCell ref="A11:A12"/>
  </mergeCells>
  <conditionalFormatting sqref="B6">
    <cfRule type="cellIs" dxfId="46" priority="16" stopIfTrue="1" operator="equal">
      <formula>8223.307275</formula>
    </cfRule>
  </conditionalFormatting>
  <conditionalFormatting sqref="B7:C7 B9:C10 B8">
    <cfRule type="cellIs" dxfId="45" priority="6" stopIfTrue="1" operator="equal">
      <formula>8223.307275</formula>
    </cfRule>
  </conditionalFormatting>
  <conditionalFormatting sqref="B12">
    <cfRule type="cellIs" dxfId="44" priority="1" stopIfTrue="1" operator="equal">
      <formula>8223.307275</formula>
    </cfRule>
  </conditionalFormatting>
  <conditionalFormatting sqref="B11">
    <cfRule type="cellIs" dxfId="43" priority="2" stopIfTrue="1" operator="equal">
      <formula>8223.307275</formula>
    </cfRule>
  </conditionalFormatting>
  <pageMargins left="0.7" right="0.7" top="0.5" bottom="0.2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topLeftCell="A28" workbookViewId="0">
      <selection sqref="A1:H1"/>
    </sheetView>
  </sheetViews>
  <sheetFormatPr defaultRowHeight="15" x14ac:dyDescent="0.25"/>
  <cols>
    <col min="1" max="1" width="3.140625" bestFit="1" customWidth="1"/>
    <col min="2" max="3" width="14.28515625" customWidth="1"/>
    <col min="4" max="5" width="11.42578125" customWidth="1"/>
    <col min="6" max="6" width="14.28515625" customWidth="1"/>
    <col min="7" max="7" width="21.42578125" customWidth="1"/>
  </cols>
  <sheetData>
    <row r="1" spans="1:7" ht="30" customHeight="1" x14ac:dyDescent="0.25">
      <c r="A1" s="191" t="s">
        <v>136</v>
      </c>
      <c r="B1" s="222"/>
      <c r="C1" s="222"/>
      <c r="D1" s="222"/>
      <c r="E1" s="222"/>
      <c r="F1" s="222"/>
      <c r="G1" s="222"/>
    </row>
    <row r="2" spans="1:7" x14ac:dyDescent="0.25">
      <c r="A2" s="221" t="s">
        <v>3</v>
      </c>
      <c r="B2" s="221" t="s">
        <v>49</v>
      </c>
      <c r="C2" s="221"/>
      <c r="D2" s="223" t="s">
        <v>34</v>
      </c>
      <c r="E2" s="223" t="s">
        <v>33</v>
      </c>
      <c r="F2" s="223" t="s">
        <v>54</v>
      </c>
      <c r="G2" s="223" t="s">
        <v>50</v>
      </c>
    </row>
    <row r="3" spans="1:7" x14ac:dyDescent="0.25">
      <c r="A3" s="221"/>
      <c r="B3" s="121" t="s">
        <v>16</v>
      </c>
      <c r="C3" s="121" t="s">
        <v>17</v>
      </c>
      <c r="D3" s="223"/>
      <c r="E3" s="223"/>
      <c r="F3" s="223"/>
      <c r="G3" s="223"/>
    </row>
    <row r="4" spans="1:7" x14ac:dyDescent="0.25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</row>
    <row r="5" spans="1:7" ht="15.75" x14ac:dyDescent="0.25">
      <c r="A5" s="122">
        <v>1</v>
      </c>
      <c r="B5" s="80"/>
      <c r="C5" s="123">
        <v>48</v>
      </c>
      <c r="D5" s="114">
        <v>2</v>
      </c>
      <c r="E5" s="114">
        <v>4</v>
      </c>
      <c r="F5" s="114">
        <f>D5*E5</f>
        <v>8</v>
      </c>
      <c r="G5" s="124" t="s">
        <v>51</v>
      </c>
    </row>
    <row r="6" spans="1:7" ht="15.75" x14ac:dyDescent="0.25">
      <c r="A6" s="122">
        <v>2</v>
      </c>
      <c r="B6" s="80"/>
      <c r="C6" s="123">
        <v>59</v>
      </c>
      <c r="D6" s="114">
        <v>2</v>
      </c>
      <c r="E6" s="114">
        <v>4</v>
      </c>
      <c r="F6" s="114">
        <f t="shared" ref="F6:F8" si="0">D6*E6</f>
        <v>8</v>
      </c>
      <c r="G6" s="124" t="s">
        <v>57</v>
      </c>
    </row>
    <row r="7" spans="1:7" ht="15.75" x14ac:dyDescent="0.25">
      <c r="A7" s="122">
        <v>3</v>
      </c>
      <c r="B7" s="80"/>
      <c r="C7" s="123">
        <v>95</v>
      </c>
      <c r="D7" s="114">
        <v>2</v>
      </c>
      <c r="E7" s="114">
        <v>1</v>
      </c>
      <c r="F7" s="114">
        <f t="shared" si="0"/>
        <v>2</v>
      </c>
      <c r="G7" s="124" t="s">
        <v>57</v>
      </c>
    </row>
    <row r="8" spans="1:7" ht="15.75" x14ac:dyDescent="0.25">
      <c r="A8" s="122">
        <v>4</v>
      </c>
      <c r="B8" s="80">
        <v>134</v>
      </c>
      <c r="C8" s="135"/>
      <c r="D8" s="114">
        <v>2</v>
      </c>
      <c r="E8" s="114">
        <v>4</v>
      </c>
      <c r="F8" s="114">
        <f t="shared" si="0"/>
        <v>8</v>
      </c>
      <c r="G8" s="124" t="s">
        <v>57</v>
      </c>
    </row>
    <row r="9" spans="1:7" ht="15.75" x14ac:dyDescent="0.25">
      <c r="A9" s="122">
        <v>5</v>
      </c>
      <c r="B9" s="80"/>
      <c r="C9" s="123">
        <v>134</v>
      </c>
      <c r="D9" s="114">
        <v>2</v>
      </c>
      <c r="E9" s="114">
        <v>1</v>
      </c>
      <c r="F9" s="114">
        <f t="shared" ref="F9:F11" si="1">D9*E9</f>
        <v>2</v>
      </c>
      <c r="G9" s="124" t="s">
        <v>57</v>
      </c>
    </row>
    <row r="10" spans="1:7" ht="15.75" x14ac:dyDescent="0.25">
      <c r="A10" s="122">
        <v>6</v>
      </c>
      <c r="B10" s="80">
        <v>145</v>
      </c>
      <c r="C10" s="123"/>
      <c r="D10" s="114">
        <v>2</v>
      </c>
      <c r="E10" s="114">
        <v>4</v>
      </c>
      <c r="F10" s="114">
        <f t="shared" si="1"/>
        <v>8</v>
      </c>
      <c r="G10" s="124" t="s">
        <v>57</v>
      </c>
    </row>
    <row r="11" spans="1:7" ht="15.75" x14ac:dyDescent="0.25">
      <c r="A11" s="122">
        <v>7</v>
      </c>
      <c r="B11" s="80"/>
      <c r="C11" s="135">
        <v>174</v>
      </c>
      <c r="D11" s="114">
        <v>2</v>
      </c>
      <c r="E11" s="114">
        <v>4</v>
      </c>
      <c r="F11" s="114">
        <f t="shared" si="1"/>
        <v>8</v>
      </c>
      <c r="G11" s="124" t="s">
        <v>57</v>
      </c>
    </row>
    <row r="12" spans="1:7" ht="15.75" x14ac:dyDescent="0.25">
      <c r="A12" s="122">
        <v>8</v>
      </c>
      <c r="B12" s="80"/>
      <c r="C12" s="123">
        <v>215</v>
      </c>
      <c r="D12" s="114">
        <v>2</v>
      </c>
      <c r="E12" s="114">
        <v>4</v>
      </c>
      <c r="F12" s="114">
        <f t="shared" ref="F12:F14" si="2">D12*E12</f>
        <v>8</v>
      </c>
      <c r="G12" s="124" t="s">
        <v>57</v>
      </c>
    </row>
    <row r="13" spans="1:7" ht="15.75" x14ac:dyDescent="0.25">
      <c r="A13" s="122">
        <v>9</v>
      </c>
      <c r="B13" s="80"/>
      <c r="C13" s="123">
        <v>233</v>
      </c>
      <c r="D13" s="114">
        <v>2</v>
      </c>
      <c r="E13" s="114">
        <v>4</v>
      </c>
      <c r="F13" s="114">
        <f t="shared" si="2"/>
        <v>8</v>
      </c>
      <c r="G13" s="124" t="s">
        <v>57</v>
      </c>
    </row>
    <row r="14" spans="1:7" ht="15.75" x14ac:dyDescent="0.25">
      <c r="A14" s="122">
        <v>10</v>
      </c>
      <c r="B14" s="80"/>
      <c r="C14" s="135">
        <v>330</v>
      </c>
      <c r="D14" s="114">
        <v>2</v>
      </c>
      <c r="E14" s="114">
        <v>4</v>
      </c>
      <c r="F14" s="114">
        <f t="shared" si="2"/>
        <v>8</v>
      </c>
      <c r="G14" s="124" t="s">
        <v>57</v>
      </c>
    </row>
    <row r="15" spans="1:7" ht="15.75" x14ac:dyDescent="0.25">
      <c r="A15" s="122">
        <v>11</v>
      </c>
      <c r="B15" s="80">
        <v>343</v>
      </c>
      <c r="C15" s="123"/>
      <c r="D15" s="114">
        <v>2</v>
      </c>
      <c r="E15" s="114">
        <v>4</v>
      </c>
      <c r="F15" s="114">
        <f t="shared" ref="F15:F17" si="3">D15*E15</f>
        <v>8</v>
      </c>
      <c r="G15" s="124" t="s">
        <v>57</v>
      </c>
    </row>
    <row r="16" spans="1:7" ht="15.75" x14ac:dyDescent="0.25">
      <c r="A16" s="122">
        <v>12</v>
      </c>
      <c r="B16" s="80"/>
      <c r="C16" s="123">
        <v>354</v>
      </c>
      <c r="D16" s="114">
        <v>2</v>
      </c>
      <c r="E16" s="114">
        <v>4</v>
      </c>
      <c r="F16" s="114">
        <f t="shared" si="3"/>
        <v>8</v>
      </c>
      <c r="G16" s="124" t="s">
        <v>57</v>
      </c>
    </row>
    <row r="17" spans="1:7" ht="15.75" x14ac:dyDescent="0.25">
      <c r="A17" s="122">
        <v>13</v>
      </c>
      <c r="B17" s="80">
        <v>362</v>
      </c>
      <c r="C17" s="135"/>
      <c r="D17" s="114">
        <v>2</v>
      </c>
      <c r="E17" s="114">
        <v>4</v>
      </c>
      <c r="F17" s="114">
        <f t="shared" si="3"/>
        <v>8</v>
      </c>
      <c r="G17" s="124" t="s">
        <v>57</v>
      </c>
    </row>
    <row r="18" spans="1:7" ht="15.75" x14ac:dyDescent="0.25">
      <c r="A18" s="122">
        <v>14</v>
      </c>
      <c r="B18" s="80">
        <v>387</v>
      </c>
      <c r="C18" s="123"/>
      <c r="D18" s="114">
        <v>2</v>
      </c>
      <c r="E18" s="114">
        <v>4</v>
      </c>
      <c r="F18" s="114">
        <f t="shared" ref="F18:F20" si="4">D18*E18</f>
        <v>8</v>
      </c>
      <c r="G18" s="124" t="s">
        <v>57</v>
      </c>
    </row>
    <row r="19" spans="1:7" ht="15.75" x14ac:dyDescent="0.25">
      <c r="A19" s="122">
        <v>15</v>
      </c>
      <c r="B19" s="80"/>
      <c r="C19" s="123">
        <v>390</v>
      </c>
      <c r="D19" s="114">
        <v>2</v>
      </c>
      <c r="E19" s="114">
        <v>4</v>
      </c>
      <c r="F19" s="114">
        <f t="shared" si="4"/>
        <v>8</v>
      </c>
      <c r="G19" s="124" t="s">
        <v>57</v>
      </c>
    </row>
    <row r="20" spans="1:7" ht="15.75" x14ac:dyDescent="0.25">
      <c r="A20" s="122">
        <v>16</v>
      </c>
      <c r="B20" s="80">
        <v>418</v>
      </c>
      <c r="C20" s="135"/>
      <c r="D20" s="114">
        <v>2</v>
      </c>
      <c r="E20" s="114">
        <v>1</v>
      </c>
      <c r="F20" s="114">
        <f t="shared" si="4"/>
        <v>2</v>
      </c>
      <c r="G20" s="124" t="s">
        <v>57</v>
      </c>
    </row>
    <row r="21" spans="1:7" ht="15.75" x14ac:dyDescent="0.25">
      <c r="A21" s="122">
        <v>17</v>
      </c>
      <c r="B21" s="80">
        <v>428</v>
      </c>
      <c r="C21" s="123"/>
      <c r="D21" s="114">
        <v>2</v>
      </c>
      <c r="E21" s="114">
        <v>1</v>
      </c>
      <c r="F21" s="114">
        <f t="shared" ref="F21:F23" si="5">D21*E21</f>
        <v>2</v>
      </c>
      <c r="G21" s="124" t="s">
        <v>57</v>
      </c>
    </row>
    <row r="22" spans="1:7" ht="15.75" x14ac:dyDescent="0.25">
      <c r="A22" s="122">
        <v>18</v>
      </c>
      <c r="B22" s="80"/>
      <c r="C22" s="123">
        <v>496</v>
      </c>
      <c r="D22" s="114">
        <v>2</v>
      </c>
      <c r="E22" s="114">
        <v>4</v>
      </c>
      <c r="F22" s="114">
        <f t="shared" si="5"/>
        <v>8</v>
      </c>
      <c r="G22" s="124" t="s">
        <v>57</v>
      </c>
    </row>
    <row r="23" spans="1:7" ht="15.75" x14ac:dyDescent="0.25">
      <c r="A23" s="122">
        <v>19</v>
      </c>
      <c r="B23" s="80"/>
      <c r="C23" s="135">
        <v>525</v>
      </c>
      <c r="D23" s="114">
        <v>2</v>
      </c>
      <c r="E23" s="114">
        <v>4</v>
      </c>
      <c r="F23" s="114">
        <f t="shared" si="5"/>
        <v>8</v>
      </c>
      <c r="G23" s="124" t="s">
        <v>57</v>
      </c>
    </row>
    <row r="24" spans="1:7" ht="15.75" x14ac:dyDescent="0.25">
      <c r="A24" s="122">
        <v>20</v>
      </c>
      <c r="B24" s="80"/>
      <c r="C24" s="123">
        <v>545</v>
      </c>
      <c r="D24" s="114">
        <v>2</v>
      </c>
      <c r="E24" s="114">
        <v>1</v>
      </c>
      <c r="F24" s="114">
        <f t="shared" ref="F24:F26" si="6">D24*E24</f>
        <v>2</v>
      </c>
      <c r="G24" s="124" t="s">
        <v>57</v>
      </c>
    </row>
    <row r="25" spans="1:7" ht="15.75" x14ac:dyDescent="0.25">
      <c r="A25" s="122">
        <v>21</v>
      </c>
      <c r="B25" s="80"/>
      <c r="C25" s="123">
        <v>578</v>
      </c>
      <c r="D25" s="114">
        <v>2</v>
      </c>
      <c r="E25" s="114">
        <v>4</v>
      </c>
      <c r="F25" s="114">
        <f t="shared" si="6"/>
        <v>8</v>
      </c>
      <c r="G25" s="124" t="s">
        <v>57</v>
      </c>
    </row>
    <row r="26" spans="1:7" ht="15.75" x14ac:dyDescent="0.25">
      <c r="A26" s="122">
        <v>22</v>
      </c>
      <c r="B26" s="80"/>
      <c r="C26" s="135">
        <v>607</v>
      </c>
      <c r="D26" s="114">
        <v>2</v>
      </c>
      <c r="E26" s="114">
        <v>4</v>
      </c>
      <c r="F26" s="114">
        <f t="shared" si="6"/>
        <v>8</v>
      </c>
      <c r="G26" s="124" t="s">
        <v>57</v>
      </c>
    </row>
    <row r="27" spans="1:7" ht="15.75" x14ac:dyDescent="0.25">
      <c r="A27" s="122">
        <v>23</v>
      </c>
      <c r="B27" s="80">
        <v>655</v>
      </c>
      <c r="C27" s="123"/>
      <c r="D27" s="114">
        <v>2</v>
      </c>
      <c r="E27" s="114">
        <v>4</v>
      </c>
      <c r="F27" s="114">
        <f t="shared" ref="F27:F29" si="7">D27*E27</f>
        <v>8</v>
      </c>
      <c r="G27" s="124" t="s">
        <v>57</v>
      </c>
    </row>
    <row r="28" spans="1:7" ht="15.75" x14ac:dyDescent="0.25">
      <c r="A28" s="122">
        <v>24</v>
      </c>
      <c r="B28" s="80"/>
      <c r="C28" s="123">
        <v>690</v>
      </c>
      <c r="D28" s="114">
        <v>2</v>
      </c>
      <c r="E28" s="114">
        <v>4</v>
      </c>
      <c r="F28" s="114">
        <f t="shared" si="7"/>
        <v>8</v>
      </c>
      <c r="G28" s="124" t="s">
        <v>57</v>
      </c>
    </row>
    <row r="29" spans="1:7" ht="15.75" x14ac:dyDescent="0.25">
      <c r="A29" s="122">
        <v>25</v>
      </c>
      <c r="B29" s="80"/>
      <c r="C29" s="135">
        <v>736</v>
      </c>
      <c r="D29" s="114">
        <v>2</v>
      </c>
      <c r="E29" s="114">
        <v>4</v>
      </c>
      <c r="F29" s="114">
        <f t="shared" si="7"/>
        <v>8</v>
      </c>
      <c r="G29" s="124" t="s">
        <v>57</v>
      </c>
    </row>
    <row r="30" spans="1:7" ht="15.75" x14ac:dyDescent="0.25">
      <c r="A30" s="122">
        <v>26</v>
      </c>
      <c r="B30" s="80"/>
      <c r="C30" s="123">
        <v>741</v>
      </c>
      <c r="D30" s="114">
        <v>2</v>
      </c>
      <c r="E30" s="114">
        <v>4</v>
      </c>
      <c r="F30" s="114">
        <f t="shared" ref="F30:F32" si="8">D30*E30</f>
        <v>8</v>
      </c>
      <c r="G30" s="124" t="s">
        <v>57</v>
      </c>
    </row>
    <row r="31" spans="1:7" ht="15.75" x14ac:dyDescent="0.25">
      <c r="A31" s="122">
        <v>27</v>
      </c>
      <c r="B31" s="80">
        <v>765</v>
      </c>
      <c r="C31" s="123"/>
      <c r="D31" s="114">
        <v>2</v>
      </c>
      <c r="E31" s="114">
        <v>4</v>
      </c>
      <c r="F31" s="114">
        <f t="shared" si="8"/>
        <v>8</v>
      </c>
      <c r="G31" s="124" t="s">
        <v>57</v>
      </c>
    </row>
    <row r="32" spans="1:7" ht="15.75" x14ac:dyDescent="0.25">
      <c r="A32" s="122">
        <v>28</v>
      </c>
      <c r="B32" s="80"/>
      <c r="C32" s="135">
        <v>775</v>
      </c>
      <c r="D32" s="114">
        <v>2</v>
      </c>
      <c r="E32" s="114">
        <v>4</v>
      </c>
      <c r="F32" s="114">
        <f t="shared" si="8"/>
        <v>8</v>
      </c>
      <c r="G32" s="124" t="s">
        <v>57</v>
      </c>
    </row>
    <row r="33" spans="1:7" ht="15.75" x14ac:dyDescent="0.25">
      <c r="A33" s="122">
        <v>29</v>
      </c>
      <c r="B33" s="80">
        <v>777</v>
      </c>
      <c r="C33" s="123"/>
      <c r="D33" s="114">
        <v>2</v>
      </c>
      <c r="E33" s="114">
        <v>4</v>
      </c>
      <c r="F33" s="114">
        <f t="shared" ref="F33:F35" si="9">D33*E33</f>
        <v>8</v>
      </c>
      <c r="G33" s="124" t="s">
        <v>57</v>
      </c>
    </row>
    <row r="34" spans="1:7" ht="15.75" x14ac:dyDescent="0.25">
      <c r="A34" s="122">
        <v>30</v>
      </c>
      <c r="B34" s="80"/>
      <c r="C34" s="123">
        <v>809</v>
      </c>
      <c r="D34" s="114">
        <v>2</v>
      </c>
      <c r="E34" s="114">
        <v>4</v>
      </c>
      <c r="F34" s="114">
        <f t="shared" si="9"/>
        <v>8</v>
      </c>
      <c r="G34" s="124" t="s">
        <v>57</v>
      </c>
    </row>
    <row r="35" spans="1:7" ht="15.75" x14ac:dyDescent="0.25">
      <c r="A35" s="122">
        <v>31</v>
      </c>
      <c r="B35" s="80">
        <v>854</v>
      </c>
      <c r="C35" s="135"/>
      <c r="D35" s="114">
        <v>2</v>
      </c>
      <c r="E35" s="114">
        <v>1</v>
      </c>
      <c r="F35" s="114">
        <f t="shared" si="9"/>
        <v>2</v>
      </c>
      <c r="G35" s="124" t="s">
        <v>57</v>
      </c>
    </row>
    <row r="36" spans="1:7" ht="15.75" x14ac:dyDescent="0.25">
      <c r="A36" s="122"/>
      <c r="B36" s="38"/>
      <c r="C36" s="125"/>
      <c r="D36" s="126"/>
      <c r="E36" s="126"/>
      <c r="F36" s="126"/>
      <c r="G36" s="127"/>
    </row>
    <row r="37" spans="1:7" ht="15.75" x14ac:dyDescent="0.25">
      <c r="A37" s="122"/>
      <c r="B37" s="38"/>
      <c r="C37" s="125"/>
      <c r="D37" s="126"/>
      <c r="E37" s="126"/>
      <c r="F37" s="126"/>
      <c r="G37" s="127"/>
    </row>
    <row r="38" spans="1:7" ht="15.75" x14ac:dyDescent="0.25">
      <c r="A38" s="33"/>
      <c r="B38" s="43" t="s">
        <v>55</v>
      </c>
      <c r="C38" s="128"/>
      <c r="D38" s="129"/>
      <c r="E38" s="129"/>
      <c r="F38" s="130">
        <f>ROUND(SUM(F5:F37),0)</f>
        <v>212</v>
      </c>
      <c r="G38" s="131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9"/>
  <sheetViews>
    <sheetView topLeftCell="A13" workbookViewId="0">
      <selection sqref="A1:H1"/>
    </sheetView>
  </sheetViews>
  <sheetFormatPr defaultRowHeight="15" x14ac:dyDescent="0.25"/>
  <cols>
    <col min="1" max="1" width="3" bestFit="1" customWidth="1"/>
    <col min="2" max="2" width="70" customWidth="1"/>
    <col min="3" max="4" width="8.5703125" customWidth="1"/>
  </cols>
  <sheetData>
    <row r="1" spans="1:4" s="19" customFormat="1" ht="30" customHeight="1" x14ac:dyDescent="0.25">
      <c r="A1" s="203" t="s">
        <v>137</v>
      </c>
      <c r="B1" s="203"/>
      <c r="C1" s="203"/>
      <c r="D1" s="203"/>
    </row>
    <row r="2" spans="1:4" s="19" customFormat="1" x14ac:dyDescent="0.25">
      <c r="A2" s="115" t="s">
        <v>3</v>
      </c>
      <c r="B2" s="115" t="s">
        <v>37</v>
      </c>
      <c r="C2" s="115" t="s">
        <v>42</v>
      </c>
      <c r="D2" s="115" t="s">
        <v>43</v>
      </c>
    </row>
    <row r="3" spans="1:4" x14ac:dyDescent="0.25">
      <c r="A3" s="47">
        <v>1</v>
      </c>
      <c r="B3" s="47">
        <v>2</v>
      </c>
      <c r="C3" s="48">
        <v>3</v>
      </c>
      <c r="D3" s="48">
        <v>4</v>
      </c>
    </row>
    <row r="4" spans="1:4" ht="45" x14ac:dyDescent="0.25">
      <c r="A4" s="117">
        <v>1</v>
      </c>
      <c r="B4" s="24" t="s">
        <v>56</v>
      </c>
      <c r="C4" s="117" t="s">
        <v>39</v>
      </c>
      <c r="D4" s="107">
        <f>'11. შესასვლ. ადგილმდება'!$F$38*0.27</f>
        <v>57.24</v>
      </c>
    </row>
    <row r="5" spans="1:4" x14ac:dyDescent="0.25">
      <c r="A5" s="118">
        <v>2</v>
      </c>
      <c r="B5" s="24" t="s">
        <v>148</v>
      </c>
      <c r="C5" s="117" t="s">
        <v>39</v>
      </c>
      <c r="D5" s="107">
        <f>'11. შესასვლ. ადგილმდება'!$F$38*0.1</f>
        <v>21.200000000000003</v>
      </c>
    </row>
    <row r="6" spans="1:4" x14ac:dyDescent="0.25">
      <c r="A6" s="118">
        <v>3</v>
      </c>
      <c r="B6" s="120" t="s">
        <v>138</v>
      </c>
      <c r="C6" s="35" t="s">
        <v>40</v>
      </c>
      <c r="D6" s="107">
        <f>'11. შესასვლ. ადგილმდება'!$F$38</f>
        <v>212</v>
      </c>
    </row>
    <row r="7" spans="1:4" ht="30" x14ac:dyDescent="0.25">
      <c r="A7" s="224">
        <v>4</v>
      </c>
      <c r="B7" s="26" t="s">
        <v>159</v>
      </c>
      <c r="C7" s="27" t="s">
        <v>40</v>
      </c>
      <c r="D7" s="28">
        <f>'11. შესასვლ. ადგილმდება'!$F$38</f>
        <v>212</v>
      </c>
    </row>
    <row r="8" spans="1:4" x14ac:dyDescent="0.25">
      <c r="A8" s="224"/>
      <c r="B8" s="145" t="s">
        <v>152</v>
      </c>
      <c r="C8" s="141" t="s">
        <v>39</v>
      </c>
      <c r="D8" s="147">
        <f>D7*0.12</f>
        <v>25.439999999999998</v>
      </c>
    </row>
    <row r="9" spans="1:4" ht="30" x14ac:dyDescent="0.25">
      <c r="A9" s="224"/>
      <c r="B9" s="152" t="s">
        <v>160</v>
      </c>
      <c r="C9" s="153" t="s">
        <v>41</v>
      </c>
      <c r="D9" s="151">
        <f>D7*0.4/1000</f>
        <v>8.4800000000000014E-2</v>
      </c>
    </row>
  </sheetData>
  <mergeCells count="2">
    <mergeCell ref="A1:D1"/>
    <mergeCell ref="A7:A9"/>
  </mergeCells>
  <conditionalFormatting sqref="B6">
    <cfRule type="cellIs" dxfId="42" priority="2" stopIfTrue="1" operator="equal">
      <formula>8223.307275</formula>
    </cfRule>
  </conditionalFormatting>
  <conditionalFormatting sqref="B7:C7 B8 B9:C9">
    <cfRule type="cellIs" dxfId="41" priority="1" stopIfTrue="1" operator="equal">
      <formula>8223.307275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"/>
  <sheetViews>
    <sheetView workbookViewId="0">
      <selection sqref="A1:L1"/>
    </sheetView>
  </sheetViews>
  <sheetFormatPr defaultRowHeight="12.75" x14ac:dyDescent="0.2"/>
  <cols>
    <col min="1" max="1" width="3" style="67" bestFit="1" customWidth="1"/>
    <col min="2" max="2" width="7" style="63" customWidth="1"/>
    <col min="3" max="3" width="15" style="61" customWidth="1"/>
    <col min="4" max="4" width="14.28515625" style="61" customWidth="1"/>
    <col min="5" max="5" width="8.5703125" style="66" customWidth="1"/>
    <col min="6" max="6" width="8.5703125" style="62" customWidth="1"/>
    <col min="7" max="8" width="14.28515625" style="61" customWidth="1"/>
    <col min="9" max="9" width="14.28515625" style="60" customWidth="1"/>
    <col min="10" max="11" width="8.5703125" style="60" customWidth="1"/>
    <col min="12" max="12" width="10" style="60" customWidth="1"/>
    <col min="13" max="16384" width="9.140625" style="60"/>
  </cols>
  <sheetData>
    <row r="1" spans="1:12" s="19" customFormat="1" ht="30" customHeight="1" x14ac:dyDescent="0.25">
      <c r="A1" s="210" t="s">
        <v>227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x14ac:dyDescent="0.2">
      <c r="A2" s="211" t="s">
        <v>3</v>
      </c>
      <c r="B2" s="211" t="s">
        <v>4</v>
      </c>
      <c r="C2" s="211" t="s">
        <v>70</v>
      </c>
      <c r="D2" s="212" t="s">
        <v>71</v>
      </c>
      <c r="E2" s="212"/>
      <c r="F2" s="212"/>
      <c r="G2" s="212"/>
      <c r="H2" s="212"/>
      <c r="I2" s="212" t="s">
        <v>76</v>
      </c>
      <c r="J2" s="212"/>
      <c r="K2" s="212"/>
      <c r="L2" s="211" t="s">
        <v>46</v>
      </c>
    </row>
    <row r="3" spans="1:12" s="61" customFormat="1" ht="30" x14ac:dyDescent="0.2">
      <c r="A3" s="211"/>
      <c r="B3" s="211"/>
      <c r="C3" s="211"/>
      <c r="D3" s="157" t="s">
        <v>72</v>
      </c>
      <c r="E3" s="157" t="s">
        <v>73</v>
      </c>
      <c r="F3" s="157" t="s">
        <v>34</v>
      </c>
      <c r="G3" s="157" t="s">
        <v>74</v>
      </c>
      <c r="H3" s="157" t="s">
        <v>75</v>
      </c>
      <c r="I3" s="157" t="s">
        <v>72</v>
      </c>
      <c r="J3" s="157" t="s">
        <v>73</v>
      </c>
      <c r="K3" s="157" t="s">
        <v>34</v>
      </c>
      <c r="L3" s="211"/>
    </row>
    <row r="4" spans="1:12" customFormat="1" ht="15" x14ac:dyDescent="0.2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7">
        <v>12</v>
      </c>
    </row>
    <row r="5" spans="1:12" ht="25.5" x14ac:dyDescent="0.2">
      <c r="A5" s="158">
        <v>1</v>
      </c>
      <c r="B5" s="165">
        <v>390</v>
      </c>
      <c r="C5" s="154" t="s">
        <v>78</v>
      </c>
      <c r="D5" s="154" t="s">
        <v>228</v>
      </c>
      <c r="E5" s="166">
        <v>250</v>
      </c>
      <c r="F5" s="65">
        <v>4.5999999999999996</v>
      </c>
      <c r="G5" s="154" t="s">
        <v>150</v>
      </c>
      <c r="H5" s="154"/>
      <c r="I5" s="154"/>
      <c r="J5" s="166"/>
      <c r="K5" s="65"/>
      <c r="L5" s="167"/>
    </row>
    <row r="6" spans="1:12" s="101" customFormat="1" ht="25.5" x14ac:dyDescent="0.2">
      <c r="A6" s="96">
        <v>2</v>
      </c>
      <c r="B6" s="102">
        <v>392</v>
      </c>
      <c r="C6" s="97" t="s">
        <v>78</v>
      </c>
      <c r="D6" s="97" t="s">
        <v>161</v>
      </c>
      <c r="E6" s="98" t="s">
        <v>225</v>
      </c>
      <c r="F6" s="99">
        <v>10</v>
      </c>
      <c r="G6" s="97" t="s">
        <v>150</v>
      </c>
      <c r="H6" s="97"/>
      <c r="I6" s="97"/>
      <c r="J6" s="98"/>
      <c r="K6" s="99"/>
      <c r="L6" s="100"/>
    </row>
  </sheetData>
  <mergeCells count="7">
    <mergeCell ref="A1:L1"/>
    <mergeCell ref="A2:A3"/>
    <mergeCell ref="B2:B3"/>
    <mergeCell ref="C2:C3"/>
    <mergeCell ref="D2:H2"/>
    <mergeCell ref="I2:K2"/>
    <mergeCell ref="L2:L3"/>
  </mergeCells>
  <pageMargins left="0.5" right="0.5" top="0.75" bottom="0.2" header="0.3" footer="0.3"/>
  <pageSetup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2"/>
  <sheetViews>
    <sheetView topLeftCell="A49" workbookViewId="0">
      <selection activeCell="B15" sqref="B15"/>
    </sheetView>
  </sheetViews>
  <sheetFormatPr defaultRowHeight="15" x14ac:dyDescent="0.25"/>
  <cols>
    <col min="1" max="1" width="3" style="7" bestFit="1" customWidth="1"/>
    <col min="2" max="2" width="70" style="54" customWidth="1"/>
    <col min="3" max="3" width="8.5703125" style="7" customWidth="1"/>
    <col min="4" max="4" width="8.5703125" style="49" customWidth="1"/>
  </cols>
  <sheetData>
    <row r="1" spans="1:9" s="19" customFormat="1" ht="30" customHeight="1" x14ac:dyDescent="0.25">
      <c r="A1" s="203" t="s">
        <v>58</v>
      </c>
      <c r="B1" s="203"/>
      <c r="C1" s="203"/>
      <c r="D1" s="203"/>
    </row>
    <row r="2" spans="1:9" s="19" customFormat="1" x14ac:dyDescent="0.25">
      <c r="A2" s="132" t="s">
        <v>3</v>
      </c>
      <c r="B2" s="132" t="s">
        <v>37</v>
      </c>
      <c r="C2" s="132" t="s">
        <v>42</v>
      </c>
      <c r="D2" s="132" t="s">
        <v>43</v>
      </c>
    </row>
    <row r="3" spans="1:9" x14ac:dyDescent="0.25">
      <c r="A3" s="53">
        <v>1</v>
      </c>
      <c r="B3" s="53">
        <v>2</v>
      </c>
      <c r="C3" s="48">
        <v>3</v>
      </c>
      <c r="D3" s="48">
        <v>4</v>
      </c>
    </row>
    <row r="4" spans="1:9" x14ac:dyDescent="0.25">
      <c r="A4" s="136"/>
      <c r="B4" s="137" t="s">
        <v>59</v>
      </c>
      <c r="C4" s="136"/>
      <c r="D4" s="46"/>
    </row>
    <row r="5" spans="1:9" x14ac:dyDescent="0.25">
      <c r="A5" s="136">
        <v>1</v>
      </c>
      <c r="B5" s="56" t="s">
        <v>66</v>
      </c>
      <c r="C5" s="136" t="s">
        <v>67</v>
      </c>
      <c r="D5" s="106">
        <f>'5. ფართის პიკეტური დათვლის უწყი'!C55/1000</f>
        <v>0.85377000000000003</v>
      </c>
      <c r="I5" s="101"/>
    </row>
    <row r="6" spans="1:9" x14ac:dyDescent="0.25">
      <c r="A6" s="143">
        <v>2</v>
      </c>
      <c r="B6" s="56" t="s">
        <v>236</v>
      </c>
      <c r="C6" s="143" t="s">
        <v>47</v>
      </c>
      <c r="D6" s="55">
        <v>12</v>
      </c>
    </row>
    <row r="7" spans="1:9" x14ac:dyDescent="0.25">
      <c r="A7" s="143">
        <v>3</v>
      </c>
      <c r="B7" s="168" t="s">
        <v>231</v>
      </c>
      <c r="C7" s="143" t="s">
        <v>47</v>
      </c>
      <c r="D7" s="55">
        <v>3</v>
      </c>
    </row>
    <row r="8" spans="1:9" x14ac:dyDescent="0.25">
      <c r="A8" s="143"/>
      <c r="B8" s="56" t="s">
        <v>232</v>
      </c>
      <c r="C8" s="143" t="s">
        <v>39</v>
      </c>
      <c r="D8" s="55">
        <f>6*0.21*0.15*2+6*0.23*0.15*2+7*0.12*0.15*2</f>
        <v>1.044</v>
      </c>
    </row>
    <row r="9" spans="1:9" x14ac:dyDescent="0.25">
      <c r="A9" s="136"/>
      <c r="B9" s="138" t="s">
        <v>143</v>
      </c>
      <c r="C9" s="51"/>
      <c r="D9" s="57"/>
    </row>
    <row r="10" spans="1:9" x14ac:dyDescent="0.25">
      <c r="A10" s="136">
        <v>1</v>
      </c>
      <c r="B10" s="56" t="s">
        <v>144</v>
      </c>
      <c r="C10" s="136" t="s">
        <v>38</v>
      </c>
      <c r="D10" s="55">
        <f>D12*20</f>
        <v>80</v>
      </c>
    </row>
    <row r="11" spans="1:9" x14ac:dyDescent="0.25">
      <c r="A11" s="136">
        <v>2</v>
      </c>
      <c r="B11" s="56" t="s">
        <v>145</v>
      </c>
      <c r="C11" s="136" t="s">
        <v>38</v>
      </c>
      <c r="D11" s="55">
        <f>D12*20</f>
        <v>80</v>
      </c>
    </row>
    <row r="12" spans="1:9" ht="25.5" x14ac:dyDescent="0.25">
      <c r="A12" s="136">
        <v>3</v>
      </c>
      <c r="B12" s="56" t="s">
        <v>146</v>
      </c>
      <c r="C12" s="136" t="s">
        <v>47</v>
      </c>
      <c r="D12" s="55">
        <v>4</v>
      </c>
    </row>
    <row r="13" spans="1:9" x14ac:dyDescent="0.25">
      <c r="A13" s="136">
        <v>4</v>
      </c>
      <c r="B13" s="56" t="s">
        <v>147</v>
      </c>
      <c r="C13" s="136" t="s">
        <v>47</v>
      </c>
      <c r="D13" s="55">
        <f>D12</f>
        <v>4</v>
      </c>
    </row>
    <row r="14" spans="1:9" x14ac:dyDescent="0.25">
      <c r="A14" s="136"/>
      <c r="B14" s="137" t="s">
        <v>60</v>
      </c>
      <c r="C14" s="136"/>
      <c r="D14" s="46"/>
    </row>
    <row r="15" spans="1:9" ht="38.25" x14ac:dyDescent="0.25">
      <c r="A15" s="136">
        <v>1</v>
      </c>
      <c r="B15" s="139" t="s">
        <v>233</v>
      </c>
      <c r="C15" s="136" t="s">
        <v>39</v>
      </c>
      <c r="D15" s="55">
        <f>ROUND('4. მიწის სამუშაოები'!$E$48*0.9, 0)</f>
        <v>1210</v>
      </c>
    </row>
    <row r="16" spans="1:9" ht="25.5" x14ac:dyDescent="0.25">
      <c r="A16" s="136">
        <v>2</v>
      </c>
      <c r="B16" s="93" t="s">
        <v>68</v>
      </c>
      <c r="C16" s="136" t="s">
        <v>39</v>
      </c>
      <c r="D16" s="55">
        <f>ROUND('4. მიწის სამუშაოები'!$E$48*0.1, 0)</f>
        <v>134</v>
      </c>
    </row>
    <row r="17" spans="1:4" x14ac:dyDescent="0.25">
      <c r="A17" s="136">
        <v>3</v>
      </c>
      <c r="B17" s="93" t="s">
        <v>104</v>
      </c>
      <c r="C17" s="35" t="s">
        <v>41</v>
      </c>
      <c r="D17" s="55">
        <f>(D15+D16)*1.8</f>
        <v>2419.2000000000003</v>
      </c>
    </row>
    <row r="18" spans="1:4" x14ac:dyDescent="0.25">
      <c r="A18" s="136">
        <v>4</v>
      </c>
      <c r="B18" s="93" t="s">
        <v>141</v>
      </c>
      <c r="C18" s="136" t="s">
        <v>39</v>
      </c>
      <c r="D18" s="55">
        <f>ROUND('4. მიწის სამუშაოები'!$H$48,0)</f>
        <v>48</v>
      </c>
    </row>
    <row r="19" spans="1:4" x14ac:dyDescent="0.25">
      <c r="A19" s="136">
        <v>5</v>
      </c>
      <c r="B19" s="93" t="s">
        <v>69</v>
      </c>
      <c r="C19" s="35" t="s">
        <v>40</v>
      </c>
      <c r="D19" s="55">
        <f>'5. ფართის პიკეტური დათვლის უწყი'!H55+'5. ფართის პიკეტური დათვლის უწყი'!J55+'5. ფართის პიკეტური დათვლის უწყი'!K55</f>
        <v>4627</v>
      </c>
    </row>
    <row r="20" spans="1:4" x14ac:dyDescent="0.25">
      <c r="A20" s="136"/>
      <c r="B20" s="137" t="s">
        <v>61</v>
      </c>
      <c r="C20" s="136"/>
      <c r="D20" s="46"/>
    </row>
    <row r="21" spans="1:4" x14ac:dyDescent="0.25">
      <c r="A21" s="136"/>
      <c r="B21" s="138" t="s">
        <v>81</v>
      </c>
      <c r="C21" s="51"/>
      <c r="D21" s="57"/>
    </row>
    <row r="22" spans="1:4" x14ac:dyDescent="0.25">
      <c r="A22" s="136">
        <f>'8.  მილები ძირ. გზაზე სამუშაოებ'!A5</f>
        <v>1</v>
      </c>
      <c r="B22" s="56" t="str">
        <f>'8.  მილები ძირ. გზაზე სამუშაოებ'!B5</f>
        <v>არსებული მილების დემონტაჟი, გატანა და დასაწყობება</v>
      </c>
      <c r="C22" s="136" t="str">
        <f>'8.  მილები ძირ. გზაზე სამუშაოებ'!C5</f>
        <v>გრძ.მ</v>
      </c>
      <c r="D22" s="25">
        <f>'8.  მილები ძირ. გზაზე სამუშაოებ'!E5</f>
        <v>5.7</v>
      </c>
    </row>
    <row r="23" spans="1:4" ht="25.5" x14ac:dyDescent="0.25">
      <c r="A23" s="143">
        <f>'8.  მილები ძირ. გზაზე სამუშაოებ'!A6</f>
        <v>2</v>
      </c>
      <c r="B23" s="56" t="str">
        <f>'8.  მილები ძირ. გზაზე სამუშაოებ'!B6</f>
        <v>III-კატ. გრუნტის დამუშავება მილისა და სათავისების მოსაწყობად ექსკ. V-0.25 მ³ გვერდზე გადაყრით 90%</v>
      </c>
      <c r="C23" s="143" t="str">
        <f>'8.  მილები ძირ. გზაზე სამუშაოებ'!C6</f>
        <v>მ³</v>
      </c>
      <c r="D23" s="25">
        <f>'8.  მილები ძირ. გზაზე სამუშაოებ'!E6</f>
        <v>5.3</v>
      </c>
    </row>
    <row r="24" spans="1:4" x14ac:dyDescent="0.25">
      <c r="A24" s="143">
        <f>'8.  მილები ძირ. გზაზე სამუშაოებ'!A7</f>
        <v>3</v>
      </c>
      <c r="B24" s="56" t="str">
        <f>'8.  მილები ძირ. გზაზე სამუშაოებ'!B7</f>
        <v>იგივე ხელით 10%</v>
      </c>
      <c r="C24" s="143" t="str">
        <f>'8.  მილები ძირ. გზაზე სამუშაოებ'!C7</f>
        <v>მ³</v>
      </c>
      <c r="D24" s="25">
        <f>'8.  მილები ძირ. გზაზე სამუშაოებ'!E7</f>
        <v>0.59</v>
      </c>
    </row>
    <row r="25" spans="1:4" x14ac:dyDescent="0.25">
      <c r="A25" s="143">
        <f>'8.  მილები ძირ. გზაზე სამუშაოებ'!A8</f>
        <v>4</v>
      </c>
      <c r="B25" s="56" t="str">
        <f>'8.  მილები ძირ. გზაზე სამუშაოებ'!B8</f>
        <v>ქვიშა-ხრეშოვანი ბალიში პორტალური კედლებისა და მილის ქვეშ  h-10სმ</v>
      </c>
      <c r="C25" s="143" t="str">
        <f>'8.  მილები ძირ. გზაზე სამუშაოებ'!C8</f>
        <v>მ³</v>
      </c>
      <c r="D25" s="25">
        <f>'8.  მილები ძირ. გზაზე სამუშაოებ'!E8</f>
        <v>0.45</v>
      </c>
    </row>
    <row r="26" spans="1:4" x14ac:dyDescent="0.25">
      <c r="A26" s="143">
        <f>'8.  მილები ძირ. გზაზე სამუშაოებ'!A9</f>
        <v>5</v>
      </c>
      <c r="B26" s="56" t="str">
        <f>'8.  მილები ძირ. გზაზე სამუშაოებ'!B9</f>
        <v>რკინაბეტონის მრგვალი მილის ჩადება d=400მმ</v>
      </c>
      <c r="C26" s="143" t="str">
        <f>'8.  მილები ძირ. გზაზე სამუშაოებ'!C9</f>
        <v>გრძ.მ</v>
      </c>
      <c r="D26" s="25">
        <f>'8.  მილები ძირ. გზაზე სამუშაოებ'!E9</f>
        <v>7</v>
      </c>
    </row>
    <row r="27" spans="1:4" x14ac:dyDescent="0.25">
      <c r="A27" s="143">
        <f>'8.  მილები ძირ. გზაზე სამუშაოებ'!A10</f>
        <v>6</v>
      </c>
      <c r="B27" s="56" t="str">
        <f>'8.  მილები ძირ. გზაზე სამუშაოებ'!B10</f>
        <v>მილისა და პორტალური კედლების შეღებვა გარედან ბიტუმით 2-ჯერ</v>
      </c>
      <c r="C27" s="143" t="str">
        <f>'8.  მილები ძირ. გზაზე სამუშაოებ'!C10</f>
        <v>მ²</v>
      </c>
      <c r="D27" s="25">
        <f>'8.  მილები ძირ. გზაზე სამუშაოებ'!E10</f>
        <v>40</v>
      </c>
    </row>
    <row r="28" spans="1:4" x14ac:dyDescent="0.25">
      <c r="A28" s="143">
        <f>'8.  მილები ძირ. გზაზე სამუშაოებ'!A11</f>
        <v>7</v>
      </c>
      <c r="B28" s="56" t="str">
        <f>'8.  მილები ძირ. გზაზე სამუშაოებ'!B11</f>
        <v>სათავისების პორტალური  კედლის ბეტონი</v>
      </c>
      <c r="C28" s="143">
        <f>'8.  მილები ძირ. გზაზე სამუშაოებ'!C11</f>
        <v>0</v>
      </c>
      <c r="D28" s="25">
        <f>'8.  მილები ძირ. გზაზე სამუშაოებ'!E11</f>
        <v>0</v>
      </c>
    </row>
    <row r="29" spans="1:4" x14ac:dyDescent="0.25">
      <c r="A29" s="143">
        <f>'8.  მილები ძირ. გზაზე სამუშაოებ'!A12</f>
        <v>0</v>
      </c>
      <c r="B29" s="56" t="str">
        <f>'8.  მილები ძირ. გზაზე სამუშაოებ'!B12</f>
        <v xml:space="preserve">ფუნდამენტი  B25 F200 W6 </v>
      </c>
      <c r="C29" s="143" t="str">
        <f>'8.  მილები ძირ. გზაზე სამუშაოებ'!C12</f>
        <v>მ³</v>
      </c>
      <c r="D29" s="25">
        <f>'8.  მილები ძირ. გზაზე სამუშაოებ'!E12</f>
        <v>0.34</v>
      </c>
    </row>
    <row r="30" spans="1:4" x14ac:dyDescent="0.25">
      <c r="A30" s="143">
        <f>'8.  მილები ძირ. გზაზე სამუშაოებ'!A13</f>
        <v>0</v>
      </c>
      <c r="B30" s="56" t="str">
        <f>'8.  მილები ძირ. გზაზე სამუშაოებ'!B13</f>
        <v xml:space="preserve">ტანი  B25 F200 W6 </v>
      </c>
      <c r="C30" s="143" t="str">
        <f>'8.  მილები ძირ. გზაზე სამუშაოებ'!C13</f>
        <v>მ³</v>
      </c>
      <c r="D30" s="25">
        <f>'8.  მილები ძირ. გზაზე სამუშაოებ'!E13</f>
        <v>0.71599999999999997</v>
      </c>
    </row>
    <row r="31" spans="1:4" x14ac:dyDescent="0.25">
      <c r="A31" s="143">
        <f>'8.  მილები ძირ. გზაზე სამუშაოებ'!A14</f>
        <v>8</v>
      </c>
      <c r="B31" s="56" t="str">
        <f>'8.  მილები ძირ. გზაზე სამუშაოებ'!B14</f>
        <v>გრუნტის უკუჩაყრა მილზე და სათავისების ირგვლივ ხელით</v>
      </c>
      <c r="C31" s="143" t="str">
        <f>'8.  მილები ძირ. გზაზე სამუშაოებ'!C14</f>
        <v>მ³</v>
      </c>
      <c r="D31" s="25">
        <f>'8.  მილები ძირ. გზაზე სამუშაოებ'!E14</f>
        <v>4.38</v>
      </c>
    </row>
    <row r="32" spans="1:4" ht="25.5" x14ac:dyDescent="0.25">
      <c r="A32" s="143">
        <f>'8.  მილები ძირ. გზაზე სამუშაოებ'!A15</f>
        <v>9</v>
      </c>
      <c r="B32" s="56" t="str">
        <f>'8.  მილები ძირ. გზაზე სამუშაოებ'!B15</f>
        <v>ზედმეტი გრუნტის დატვირთვა ექსკავატორით (V-0.25 მ3)  ა/თვითმცლელებზე და გატანა ნაყარში</v>
      </c>
      <c r="C32" s="143" t="str">
        <f>'8.  მილები ძირ. გზაზე სამუშაოებ'!C15</f>
        <v>მ³</v>
      </c>
      <c r="D32" s="25">
        <f>'8.  მილები ძირ. გზაზე სამუშაოებ'!E15</f>
        <v>1.51</v>
      </c>
    </row>
    <row r="33" spans="1:4" x14ac:dyDescent="0.25">
      <c r="A33" s="136"/>
      <c r="B33" s="137" t="s">
        <v>62</v>
      </c>
      <c r="C33" s="136"/>
      <c r="D33" s="46"/>
    </row>
    <row r="34" spans="1:4" x14ac:dyDescent="0.25">
      <c r="A34" s="136"/>
      <c r="B34" s="140" t="str">
        <f>'6. საგზაო სამოსის მოწყობის უწყი'!D4</f>
        <v>ტიპი I</v>
      </c>
      <c r="C34" s="136"/>
      <c r="D34" s="55"/>
    </row>
    <row r="35" spans="1:4" x14ac:dyDescent="0.25">
      <c r="A35" s="136">
        <f>'6. საგზაო სამოსის მოწყობის უწყი'!A5</f>
        <v>1</v>
      </c>
      <c r="B35" s="56" t="str">
        <f>'6. საგზაო სამოსის მოწყობის უწყი'!D5</f>
        <v>შემასწორებელი ფენის მოწყობა ქვიშახრეშოვანი ნარევით კ-1.22</v>
      </c>
      <c r="C35" s="136" t="str">
        <f>'6. საგზაო სამოსის მოწყობის უწყი'!E5</f>
        <v>მ³</v>
      </c>
      <c r="D35" s="55">
        <f>'6. საგზაო სამოსის მოწყობის უწყი'!F5</f>
        <v>760.19999999999993</v>
      </c>
    </row>
    <row r="36" spans="1:4" x14ac:dyDescent="0.25">
      <c r="A36" s="136">
        <f>'6. საგზაო სამოსის მოწყობის უწყი'!A6</f>
        <v>2</v>
      </c>
      <c r="B36" s="56" t="str">
        <f>'6. საგზაო სამოსის მოწყობის უწყი'!D6</f>
        <v>საფუძვლის მოწყობა ფრაქციული ღორღით 0-40მმ  სისქით 12სმ. კ-1.26</v>
      </c>
      <c r="C36" s="136" t="str">
        <f>'6. საგზაო სამოსის მოწყობის უწყი'!E6</f>
        <v>მ²</v>
      </c>
      <c r="D36" s="55">
        <f>'6. საგზაო სამოსის მოწყობის უწყი'!F6</f>
        <v>4304</v>
      </c>
    </row>
    <row r="37" spans="1:4" ht="25.5" x14ac:dyDescent="0.25">
      <c r="A37" s="142">
        <f>'6. საგზაო სამოსის მოწყობის უწყი'!A7</f>
        <v>3</v>
      </c>
      <c r="B37" s="56" t="str">
        <f>'6. საგზაო სამოსის მოწყობის უწყი'!D7</f>
        <v xml:space="preserve">სავალი ნაწილის საფარის მოწყობა მონოლითური ბეტონით მ-350 B25 F200 W6 სისქით 16სმ </v>
      </c>
      <c r="C37" s="142" t="str">
        <f>'6. საგზაო სამოსის მოწყობის უწყი'!E7</f>
        <v>მ²</v>
      </c>
      <c r="D37" s="55">
        <f>'6. საგზაო სამოსის მოწყობის უწყი'!F7</f>
        <v>3863</v>
      </c>
    </row>
    <row r="38" spans="1:4" x14ac:dyDescent="0.25">
      <c r="A38" s="142">
        <f>'6. საგზაო სამოსის მოწყობის უწყი'!A8</f>
        <v>0</v>
      </c>
      <c r="B38" s="56" t="str">
        <f>'6. საგზაო სამოსის მოწყობის უწყი'!D8</f>
        <v>ბეტონი B25 F200 W6</v>
      </c>
      <c r="C38" s="142" t="str">
        <f>'6. საგზაო სამოსის მოწყობის უწყი'!E8</f>
        <v>მ³</v>
      </c>
      <c r="D38" s="55">
        <f>'6. საგზაო სამოსის მოწყობის უწყი'!F8</f>
        <v>618.08000000000004</v>
      </c>
    </row>
    <row r="39" spans="1:4" x14ac:dyDescent="0.25">
      <c r="A39" s="142">
        <f>'6. საგზაო სამოსის მოწყობის უწყი'!A9</f>
        <v>0</v>
      </c>
      <c r="B39" s="56" t="str">
        <f>'6. საგზაო სამოსის მოწყობის უწყი'!D9</f>
        <v>არმატურა Ф6</v>
      </c>
      <c r="C39" s="142" t="str">
        <f>'6. საგზაო სამოსის მოწყობის უწყი'!E9</f>
        <v>ტ</v>
      </c>
      <c r="D39" s="55">
        <f>'6. საგზაო სამოსის მოწყობის უწყი'!F9</f>
        <v>9.5107060000000008</v>
      </c>
    </row>
    <row r="40" spans="1:4" ht="25.5" x14ac:dyDescent="0.25">
      <c r="A40" s="142">
        <f>'6. საგზაო სამოსის მოწყობის უწყი'!A10</f>
        <v>0</v>
      </c>
      <c r="B40" s="56" t="str">
        <f>'6. საგზაო სამოსის მოწყობის უწყი'!D10</f>
        <v>ზედაპირის დამუშავება დისპერსიული მასალით (თხევადი პარაფინი ან ანალოგი) ორჯერ (0.4კგ/მ²)</v>
      </c>
      <c r="C40" s="142" t="str">
        <f>'6. საგზაო სამოსის მოწყობის უწყი'!E10</f>
        <v>ტ</v>
      </c>
      <c r="D40" s="55">
        <f>'6. საგზაო სამოსის მოწყობის უწყი'!F10</f>
        <v>1.5452000000000001</v>
      </c>
    </row>
    <row r="41" spans="1:4" x14ac:dyDescent="0.25">
      <c r="A41" s="142">
        <f>'6. საგზაო სამოსის მოწყობის უწყი'!A11</f>
        <v>4</v>
      </c>
      <c r="B41" s="56" t="str">
        <f>'6. საგზაო სამოსის მოწყობის უწყი'!D11</f>
        <v>განივი ტემპერატურული ნაკერების მოწყობა ყოველ 5 მეტრში</v>
      </c>
      <c r="C41" s="142" t="str">
        <f>'6. საგზაო სამოსის მოწყობის უწყი'!E11</f>
        <v>გრძ.მ</v>
      </c>
      <c r="D41" s="55">
        <f>'6. საგზაო სამოსის მოწყობის უწყი'!F11</f>
        <v>779</v>
      </c>
    </row>
    <row r="42" spans="1:4" x14ac:dyDescent="0.25">
      <c r="A42" s="142">
        <f>'6. საგზაო სამოსის მოწყობის უწყი'!A12</f>
        <v>0</v>
      </c>
      <c r="B42" s="56" t="str">
        <f>'6. საგზაო სამოსის მოწყობის უწყი'!D12</f>
        <v>ბიტუმ–პოლიმერული ნარევი</v>
      </c>
      <c r="C42" s="142" t="str">
        <f>'6. საგზაო სამოსის მოწყობის უწყი'!E12</f>
        <v>ტ</v>
      </c>
      <c r="D42" s="55">
        <f>'6. საგზაო სამოსის მოწყობის უწყი'!F12</f>
        <v>1.0126999999999999</v>
      </c>
    </row>
    <row r="43" spans="1:4" ht="25.5" x14ac:dyDescent="0.25">
      <c r="A43" s="136">
        <f>'6. საგზაო სამოსის მოწყობის უწყი'!A13</f>
        <v>5</v>
      </c>
      <c r="B43" s="56" t="str">
        <f>'6. საგზაო სამოსის მოწყობის უწყი'!D13</f>
        <v>გვერდულების მოწყობა ქვიშახრეშოვანი ნარევით  საშ. სისქით 28 სმ. (ფრაქცია 0-70მმ) შემდგომში სატკეპნით შემკვრივება</v>
      </c>
      <c r="C43" s="136" t="str">
        <f>'6. საგზაო სამოსის მოწყობის უწყი'!E13</f>
        <v>მ³</v>
      </c>
      <c r="D43" s="55">
        <f>'6. საგზაო სამოსის მოწყობის უწყი'!F13</f>
        <v>213.92000000000002</v>
      </c>
    </row>
    <row r="44" spans="1:4" x14ac:dyDescent="0.25">
      <c r="A44" s="136"/>
      <c r="B44" s="137" t="s">
        <v>63</v>
      </c>
      <c r="C44" s="136"/>
      <c r="D44" s="50"/>
    </row>
    <row r="45" spans="1:4" x14ac:dyDescent="0.25">
      <c r="A45" s="136"/>
      <c r="B45" s="138" t="s">
        <v>48</v>
      </c>
      <c r="C45" s="51" t="s">
        <v>64</v>
      </c>
      <c r="D45" s="52" t="s">
        <v>229</v>
      </c>
    </row>
    <row r="46" spans="1:4" ht="38.25" x14ac:dyDescent="0.25">
      <c r="A46" s="136">
        <f>'10. მიერთებების სამუშაოების უწყ'!A4</f>
        <v>1</v>
      </c>
      <c r="B46" s="56" t="str">
        <f>'10. მიერთებების სამუშაოების უწყ'!B4</f>
        <v>გათიხიანებული და ტექნოგენური ხრეშოვანი სავალი ნაწილის ზედა ფენის მოხსნა  ბულდოზერით, დატვირთვა ექსკავატორით (V-0.25 მ³)  ა/თვითმცლელებზე და გატანა ნაყარში</v>
      </c>
      <c r="C46" s="136" t="str">
        <f>'10. მიერთებების სამუშაოების უწყ'!C4</f>
        <v>მ³</v>
      </c>
      <c r="D46" s="25">
        <f>'10. მიერთებების სამუშაოების უწყ'!D4</f>
        <v>49.8</v>
      </c>
    </row>
    <row r="47" spans="1:4" x14ac:dyDescent="0.25">
      <c r="A47" s="136">
        <f>'10. მიერთებების სამუშაოების უწყ'!A5</f>
        <v>2</v>
      </c>
      <c r="B47" s="56" t="str">
        <f>'10. მიერთებების სამუშაოების უწყ'!B5</f>
        <v>შემასწორებელი ფენის მოწყობა ქვიშახრეშოვანი ნარევით კ-1.22</v>
      </c>
      <c r="C47" s="136" t="str">
        <f>'10. მიერთებების სამუშაოების უწყ'!C5</f>
        <v>მ³</v>
      </c>
      <c r="D47" s="25">
        <f>'10. მიერთებების სამუშაოების უწყ'!D5</f>
        <v>53.783999999999999</v>
      </c>
    </row>
    <row r="48" spans="1:4" x14ac:dyDescent="0.25">
      <c r="A48" s="136">
        <f>'10. მიერთებების სამუშაოების უწყ'!A6</f>
        <v>3</v>
      </c>
      <c r="B48" s="56" t="str">
        <f>'10. მიერთებების სამუშაოების უწყ'!B6</f>
        <v>საფუძვლის მოწყობა ფრაქციული ღორღით 0-40მმ  სისქით 12სმ. კ-1.26</v>
      </c>
      <c r="C48" s="136" t="str">
        <f>'10. მიერთებების სამუშაოების უწყ'!C6</f>
        <v>მ²</v>
      </c>
      <c r="D48" s="25">
        <f>'10. მიერთებების სამუშაოების უწყ'!D6</f>
        <v>358.56</v>
      </c>
    </row>
    <row r="49" spans="1:4" ht="25.5" x14ac:dyDescent="0.25">
      <c r="A49" s="136">
        <f>'10. მიერთებების სამუშაოების უწყ'!A7</f>
        <v>4</v>
      </c>
      <c r="B49" s="56" t="str">
        <f>'10. მიერთებების სამუშაოების უწყ'!B7</f>
        <v xml:space="preserve">სავალი ნაწილის საფარის მოწყობა მონოლითური ბეტონით მ-350 B25 F200 W6 სისქით 16სმ </v>
      </c>
      <c r="C49" s="136" t="str">
        <f>'10. მიერთებების სამუშაოების უწყ'!C7</f>
        <v>მ²</v>
      </c>
      <c r="D49" s="25">
        <f>'10. მიერთებების სამუშაოების უწყ'!D7</f>
        <v>332</v>
      </c>
    </row>
    <row r="50" spans="1:4" x14ac:dyDescent="0.25">
      <c r="A50" s="136">
        <f>'10. მიერთებების სამუშაოების უწყ'!A8</f>
        <v>0</v>
      </c>
      <c r="B50" s="56" t="str">
        <f>'10. მიერთებების სამუშაოების უწყ'!B8</f>
        <v>ბეტონი B25 F200 W6</v>
      </c>
      <c r="C50" s="136" t="str">
        <f>'10. მიერთებების სამუშაოების უწყ'!C8</f>
        <v>მ³</v>
      </c>
      <c r="D50" s="25">
        <f>'10. მიერთებების სამუშაოების უწყ'!D8</f>
        <v>53.120000000000005</v>
      </c>
    </row>
    <row r="51" spans="1:4" x14ac:dyDescent="0.25">
      <c r="A51" s="136">
        <f>'10. მიერთებების სამუშაოების უწყ'!A9</f>
        <v>0</v>
      </c>
      <c r="B51" s="56" t="str">
        <f>'10. მიერთებების სამუშაოების უწყ'!B9</f>
        <v>არმატურა Ф6</v>
      </c>
      <c r="C51" s="136" t="str">
        <f>'10. მიერთებების სამუშაოების უწყ'!C9</f>
        <v>ტ</v>
      </c>
      <c r="D51" s="25">
        <f>'10. მიერთებების სამუშაოების უწყ'!D9</f>
        <v>0.817384</v>
      </c>
    </row>
    <row r="52" spans="1:4" ht="25.5" x14ac:dyDescent="0.25">
      <c r="A52" s="136">
        <f>'10. მიერთებების სამუშაოების უწყ'!A10</f>
        <v>0</v>
      </c>
      <c r="B52" s="56" t="str">
        <f>'10. მიერთებების სამუშაოების უწყ'!B10</f>
        <v>ზედაპირის დამუშავება დისპერსიული მასალით (თხევადი პარაფინი ან ანალოგი) ორჯერ (0.4კგ/მ²)</v>
      </c>
      <c r="C52" s="136" t="str">
        <f>'10. მიერთებების სამუშაოების უწყ'!C10</f>
        <v>ტ</v>
      </c>
      <c r="D52" s="25">
        <f>'10. მიერთებების სამუშაოების უწყ'!D10</f>
        <v>0.1328</v>
      </c>
    </row>
    <row r="53" spans="1:4" x14ac:dyDescent="0.25">
      <c r="A53" s="143">
        <f>'10. მიერთებების სამუშაოების უწყ'!A11</f>
        <v>5</v>
      </c>
      <c r="B53" s="56" t="str">
        <f>'10. მიერთებების სამუშაოების უწყ'!B11</f>
        <v>განივი ტემპერატურული ნაკერების მოწყობა ყოველ 5 მეტრში</v>
      </c>
      <c r="C53" s="143" t="str">
        <f>'10. მიერთებების სამუშაოების უწყ'!C11</f>
        <v>გრძ.მ</v>
      </c>
      <c r="D53" s="25">
        <f>'10. მიერთებების სამუშაოების უწყ'!D11</f>
        <v>19</v>
      </c>
    </row>
    <row r="54" spans="1:4" x14ac:dyDescent="0.25">
      <c r="A54" s="143">
        <f>'10. მიერთებების სამუშაოების უწყ'!A12</f>
        <v>0</v>
      </c>
      <c r="B54" s="56" t="str">
        <f>'10. მიერთებების სამუშაოების უწყ'!B12</f>
        <v>ბიტუმ–პოლიმერული ნარევი</v>
      </c>
      <c r="C54" s="143" t="str">
        <f>'10. მიერთებების სამუშაოების უწყ'!C12</f>
        <v>ტ</v>
      </c>
      <c r="D54" s="25">
        <f>'10. მიერთებების სამუშაოების უწყ'!D12</f>
        <v>2.47E-2</v>
      </c>
    </row>
    <row r="55" spans="1:4" ht="25.5" x14ac:dyDescent="0.25">
      <c r="A55" s="136">
        <f>'10. მიერთებების სამუშაოების უწყ'!A13</f>
        <v>6</v>
      </c>
      <c r="B55" s="56" t="str">
        <f>'10. მიერთებების სამუშაოების უწყ'!B13</f>
        <v>გვერდულების მოწყობა ქვიშა–ხრეშოვანი ნარევით სიგანით 50სმ საშ. სისქით 28 სმ. (ფრაქცია 0-70მმ) შემდგომში სატკეპნით შემკვრივება</v>
      </c>
      <c r="C55" s="136" t="str">
        <f>'10. მიერთებების სამუშაოების უწყ'!C13</f>
        <v>მ³</v>
      </c>
      <c r="D55" s="25">
        <f>'10. მიერთებების სამუშაოების უწყ'!D13</f>
        <v>18.200000000000003</v>
      </c>
    </row>
    <row r="56" spans="1:4" x14ac:dyDescent="0.25">
      <c r="A56" s="136"/>
      <c r="B56" s="138" t="s">
        <v>142</v>
      </c>
      <c r="C56" s="51" t="s">
        <v>64</v>
      </c>
      <c r="D56" s="52" t="s">
        <v>230</v>
      </c>
    </row>
    <row r="57" spans="1:4" ht="38.25" x14ac:dyDescent="0.25">
      <c r="A57" s="136">
        <f>'12. შესასვლელ. სამუშაოე'!A4</f>
        <v>1</v>
      </c>
      <c r="B57" s="56" t="str">
        <f>'12. შესასვლელ. სამუშაოე'!B4</f>
        <v>გათიხიანებული და ტექნოგენური ხრეშოვანი სავალი ნაწილის ზედა ფენის მოხსნა  ბულდოზერით, დატვირთვა ექსკავატორით (V-0.25 მ³)  ა/თვითმცლელებზე და გატანა ნაყარში</v>
      </c>
      <c r="C57" s="136" t="str">
        <f>'12. შესასვლელ. სამუშაოე'!C4</f>
        <v>მ³</v>
      </c>
      <c r="D57" s="25">
        <f>'12. შესასვლელ. სამუშაოე'!D4</f>
        <v>57.24</v>
      </c>
    </row>
    <row r="58" spans="1:4" x14ac:dyDescent="0.25">
      <c r="A58" s="136">
        <f>'12. შესასვლელ. სამუშაოე'!A5</f>
        <v>2</v>
      </c>
      <c r="B58" s="56" t="str">
        <f>'12. შესასვლელ. სამუშაოე'!B5</f>
        <v>შემასწორებელი ფენის მოწყობა ქვიშახრეშოვანი ნარევით კ-1.22</v>
      </c>
      <c r="C58" s="136" t="str">
        <f>'12. შესასვლელ. სამუშაოე'!C5</f>
        <v>მ³</v>
      </c>
      <c r="D58" s="25">
        <f>'12. შესასვლელ. სამუშაოე'!D5</f>
        <v>21.200000000000003</v>
      </c>
    </row>
    <row r="59" spans="1:4" x14ac:dyDescent="0.25">
      <c r="A59" s="136">
        <f>'12. შესასვლელ. სამუშაოე'!A6</f>
        <v>3</v>
      </c>
      <c r="B59" s="56" t="str">
        <f>'12. შესასვლელ. სამუშაოე'!B6</f>
        <v>საფუძვლის მოწყობა ფრაქციული ღორღით 0-40მმ  სისქით 12სმ კ-1.26</v>
      </c>
      <c r="C59" s="136" t="str">
        <f>'12. შესასვლელ. სამუშაოე'!C6</f>
        <v>მ²</v>
      </c>
      <c r="D59" s="25">
        <f>'12. შესასვლელ. სამუშაოე'!D6</f>
        <v>212</v>
      </c>
    </row>
    <row r="60" spans="1:4" ht="25.5" x14ac:dyDescent="0.25">
      <c r="A60" s="136">
        <f>'12. შესასვლელ. სამუშაოე'!A7</f>
        <v>4</v>
      </c>
      <c r="B60" s="56" t="str">
        <f>'12. შესასვლელ. სამუშაოე'!B7</f>
        <v xml:space="preserve">სავალი ნაწილის საფარის მოწყობა მონოლითური ბეტონით მ-350 B25 F200 W6 სისქით 12სმ </v>
      </c>
      <c r="C60" s="136" t="str">
        <f>'12. შესასვლელ. სამუშაოე'!C7</f>
        <v>მ²</v>
      </c>
      <c r="D60" s="25">
        <f>'12. შესასვლელ. სამუშაოე'!D7</f>
        <v>212</v>
      </c>
    </row>
    <row r="61" spans="1:4" x14ac:dyDescent="0.25">
      <c r="A61" s="136">
        <f>'12. შესასვლელ. სამუშაოე'!A8</f>
        <v>0</v>
      </c>
      <c r="B61" s="56" t="str">
        <f>'12. შესასვლელ. სამუშაოე'!B8</f>
        <v>ბეტონი B25 F200 W6</v>
      </c>
      <c r="C61" s="136" t="str">
        <f>'12. შესასვლელ. სამუშაოე'!C8</f>
        <v>მ³</v>
      </c>
      <c r="D61" s="25">
        <f>'12. შესასვლელ. სამუშაოე'!D8</f>
        <v>25.439999999999998</v>
      </c>
    </row>
    <row r="62" spans="1:4" ht="25.5" x14ac:dyDescent="0.25">
      <c r="A62" s="142">
        <f>'12. შესასვლელ. სამუშაოე'!A9</f>
        <v>0</v>
      </c>
      <c r="B62" s="56" t="str">
        <f>'12. შესასვლელ. სამუშაოე'!B9</f>
        <v>ზედაპირის დამუშავება დისპერსიული მასალით (თხევადი პარაფინი ან ანალოგი) ორჯერ (0.4კგ/მ2)</v>
      </c>
      <c r="C62" s="142" t="str">
        <f>'12. შესასვლელ. სამუშაოე'!C9</f>
        <v>ტ</v>
      </c>
      <c r="D62" s="25">
        <f>'12. შესასვლელ. სამუშაოე'!D9</f>
        <v>8.4800000000000014E-2</v>
      </c>
    </row>
  </sheetData>
  <mergeCells count="1">
    <mergeCell ref="A1:D1"/>
  </mergeCells>
  <conditionalFormatting sqref="A1:D5 A14:D15 A20:D21 B19:D19 A16:A19 B16:D17 A33:D36 A63:D1048576 A43:D49">
    <cfRule type="cellIs" dxfId="40" priority="277" operator="equal">
      <formula>0</formula>
    </cfRule>
  </conditionalFormatting>
  <conditionalFormatting sqref="A55:D55">
    <cfRule type="cellIs" dxfId="39" priority="217" operator="equal">
      <formula>0</formula>
    </cfRule>
  </conditionalFormatting>
  <conditionalFormatting sqref="A22:D22">
    <cfRule type="cellIs" dxfId="38" priority="208" operator="equal">
      <formula>0</formula>
    </cfRule>
  </conditionalFormatting>
  <conditionalFormatting sqref="A50:D50">
    <cfRule type="cellIs" dxfId="37" priority="174" operator="equal">
      <formula>0</formula>
    </cfRule>
  </conditionalFormatting>
  <conditionalFormatting sqref="B18 D18">
    <cfRule type="cellIs" dxfId="36" priority="150" operator="equal">
      <formula>0</formula>
    </cfRule>
  </conditionalFormatting>
  <conditionalFormatting sqref="C18">
    <cfRule type="cellIs" dxfId="35" priority="149" operator="equal">
      <formula>0</formula>
    </cfRule>
  </conditionalFormatting>
  <conditionalFormatting sqref="A51:D51">
    <cfRule type="cellIs" dxfId="34" priority="145" operator="equal">
      <formula>0</formula>
    </cfRule>
  </conditionalFormatting>
  <conditionalFormatting sqref="A52:D52">
    <cfRule type="cellIs" dxfId="33" priority="144" operator="equal">
      <formula>0</formula>
    </cfRule>
  </conditionalFormatting>
  <conditionalFormatting sqref="A56 C56:D56">
    <cfRule type="cellIs" dxfId="32" priority="142" operator="equal">
      <formula>0</formula>
    </cfRule>
  </conditionalFormatting>
  <conditionalFormatting sqref="A61:D61">
    <cfRule type="cellIs" dxfId="31" priority="135" operator="equal">
      <formula>0</formula>
    </cfRule>
  </conditionalFormatting>
  <conditionalFormatting sqref="B56">
    <cfRule type="cellIs" dxfId="30" priority="137" operator="equal">
      <formula>0</formula>
    </cfRule>
  </conditionalFormatting>
  <conditionalFormatting sqref="A57:D60">
    <cfRule type="cellIs" dxfId="29" priority="136" operator="equal">
      <formula>0</formula>
    </cfRule>
  </conditionalFormatting>
  <conditionalFormatting sqref="B12:D12">
    <cfRule type="cellIs" dxfId="28" priority="120" operator="equal">
      <formula>0</formula>
    </cfRule>
  </conditionalFormatting>
  <conditionalFormatting sqref="B13 D13">
    <cfRule type="cellIs" dxfId="27" priority="119" operator="equal">
      <formula>0</formula>
    </cfRule>
  </conditionalFormatting>
  <conditionalFormatting sqref="B11">
    <cfRule type="cellIs" dxfId="26" priority="115" operator="equal">
      <formula>0</formula>
    </cfRule>
  </conditionalFormatting>
  <conditionalFormatting sqref="C13">
    <cfRule type="cellIs" dxfId="25" priority="117" operator="equal">
      <formula>0</formula>
    </cfRule>
  </conditionalFormatting>
  <conditionalFormatting sqref="B10">
    <cfRule type="cellIs" dxfId="24" priority="116" operator="equal">
      <formula>0</formula>
    </cfRule>
  </conditionalFormatting>
  <conditionalFormatting sqref="C10:D11 A10:A13">
    <cfRule type="cellIs" dxfId="23" priority="121" operator="equal">
      <formula>0</formula>
    </cfRule>
  </conditionalFormatting>
  <conditionalFormatting sqref="A9:D9">
    <cfRule type="cellIs" dxfId="22" priority="118" operator="equal">
      <formula>0</formula>
    </cfRule>
  </conditionalFormatting>
  <conditionalFormatting sqref="A39:D40">
    <cfRule type="cellIs" dxfId="21" priority="36" operator="equal">
      <formula>0</formula>
    </cfRule>
  </conditionalFormatting>
  <conditionalFormatting sqref="A41:D42">
    <cfRule type="cellIs" dxfId="20" priority="35" operator="equal">
      <formula>0</formula>
    </cfRule>
  </conditionalFormatting>
  <conditionalFormatting sqref="A37:D38">
    <cfRule type="cellIs" dxfId="19" priority="37" operator="equal">
      <formula>0</formula>
    </cfRule>
  </conditionalFormatting>
  <conditionalFormatting sqref="A62:D62">
    <cfRule type="cellIs" dxfId="18" priority="34" operator="equal">
      <formula>0</formula>
    </cfRule>
  </conditionalFormatting>
  <conditionalFormatting sqref="A23:D23">
    <cfRule type="cellIs" dxfId="17" priority="24" operator="equal">
      <formula>0</formula>
    </cfRule>
  </conditionalFormatting>
  <conditionalFormatting sqref="A24:D24">
    <cfRule type="cellIs" dxfId="16" priority="23" operator="equal">
      <formula>0</formula>
    </cfRule>
  </conditionalFormatting>
  <conditionalFormatting sqref="A25:D25">
    <cfRule type="cellIs" dxfId="15" priority="22" operator="equal">
      <formula>0</formula>
    </cfRule>
  </conditionalFormatting>
  <conditionalFormatting sqref="A26:D26">
    <cfRule type="cellIs" dxfId="14" priority="21" operator="equal">
      <formula>0</formula>
    </cfRule>
  </conditionalFormatting>
  <conditionalFormatting sqref="A27:D27">
    <cfRule type="cellIs" dxfId="13" priority="20" operator="equal">
      <formula>0</formula>
    </cfRule>
  </conditionalFormatting>
  <conditionalFormatting sqref="A28:D28">
    <cfRule type="cellIs" dxfId="12" priority="19" operator="equal">
      <formula>0</formula>
    </cfRule>
  </conditionalFormatting>
  <conditionalFormatting sqref="A29:D29">
    <cfRule type="cellIs" dxfId="11" priority="18" operator="equal">
      <formula>0</formula>
    </cfRule>
  </conditionalFormatting>
  <conditionalFormatting sqref="A30:D30">
    <cfRule type="cellIs" dxfId="10" priority="17" operator="equal">
      <formula>0</formula>
    </cfRule>
  </conditionalFormatting>
  <conditionalFormatting sqref="A31:D31">
    <cfRule type="cellIs" dxfId="9" priority="16" operator="equal">
      <formula>0</formula>
    </cfRule>
  </conditionalFormatting>
  <conditionalFormatting sqref="A32:D32">
    <cfRule type="cellIs" dxfId="8" priority="15" operator="equal">
      <formula>0</formula>
    </cfRule>
  </conditionalFormatting>
  <conditionalFormatting sqref="A53:D53">
    <cfRule type="cellIs" dxfId="7" priority="9" operator="equal">
      <formula>0</formula>
    </cfRule>
  </conditionalFormatting>
  <conditionalFormatting sqref="A54:D54">
    <cfRule type="cellIs" dxfId="6" priority="8" operator="equal">
      <formula>0</formula>
    </cfRule>
  </conditionalFormatting>
  <conditionalFormatting sqref="A6:C6">
    <cfRule type="cellIs" dxfId="5" priority="7" operator="equal">
      <formula>0</formula>
    </cfRule>
  </conditionalFormatting>
  <conditionalFormatting sqref="D6">
    <cfRule type="cellIs" dxfId="4" priority="6" operator="equal">
      <formula>0</formula>
    </cfRule>
  </conditionalFormatting>
  <conditionalFormatting sqref="A7:D7">
    <cfRule type="cellIs" dxfId="3" priority="5" operator="equal">
      <formula>0</formula>
    </cfRule>
  </conditionalFormatting>
  <conditionalFormatting sqref="A8">
    <cfRule type="cellIs" dxfId="2" priority="4" operator="equal">
      <formula>0</formula>
    </cfRule>
  </conditionalFormatting>
  <conditionalFormatting sqref="B8:C8">
    <cfRule type="cellIs" dxfId="1" priority="3" operator="equal">
      <formula>0</formula>
    </cfRule>
  </conditionalFormatting>
  <conditionalFormatting sqref="D8">
    <cfRule type="cellIs" dxfId="0" priority="1" operator="equal">
      <formula>0</formula>
    </cfRule>
  </conditionalFormatting>
  <pageMargins left="0.7" right="0.7" top="0.5" bottom="0.2" header="0.3" footer="0.3"/>
  <pageSetup orientation="portrait" r:id="rId1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H7" sqref="H7"/>
    </sheetView>
  </sheetViews>
  <sheetFormatPr defaultRowHeight="15" x14ac:dyDescent="0.25"/>
  <cols>
    <col min="1" max="1" width="3" bestFit="1" customWidth="1"/>
    <col min="2" max="2" width="55.7109375" customWidth="1"/>
    <col min="3" max="4" width="14.28515625" customWidth="1"/>
  </cols>
  <sheetData>
    <row r="1" spans="1:4" s="19" customFormat="1" ht="30" customHeight="1" x14ac:dyDescent="0.25">
      <c r="A1" s="203" t="s">
        <v>83</v>
      </c>
      <c r="B1" s="203"/>
      <c r="C1" s="203"/>
      <c r="D1" s="203"/>
    </row>
    <row r="2" spans="1:4" x14ac:dyDescent="0.25">
      <c r="A2" s="70" t="s">
        <v>3</v>
      </c>
      <c r="B2" s="70" t="s">
        <v>82</v>
      </c>
      <c r="C2" s="70" t="s">
        <v>42</v>
      </c>
      <c r="D2" s="70" t="s">
        <v>43</v>
      </c>
    </row>
    <row r="3" spans="1:4" x14ac:dyDescent="0.25">
      <c r="A3" s="73">
        <v>1</v>
      </c>
      <c r="B3" s="73">
        <v>2</v>
      </c>
      <c r="C3" s="73">
        <v>3</v>
      </c>
      <c r="D3" s="73">
        <v>4</v>
      </c>
    </row>
    <row r="4" spans="1:4" ht="17.25" x14ac:dyDescent="0.25">
      <c r="A4" s="169">
        <v>1</v>
      </c>
      <c r="B4" s="170" t="s">
        <v>84</v>
      </c>
      <c r="C4" s="169" t="s">
        <v>85</v>
      </c>
      <c r="D4" s="171">
        <v>1350.6283799999999</v>
      </c>
    </row>
    <row r="5" spans="1:4" ht="17.25" x14ac:dyDescent="0.25">
      <c r="A5" s="169">
        <v>2</v>
      </c>
      <c r="B5" s="172" t="s">
        <v>86</v>
      </c>
      <c r="C5" s="169" t="s">
        <v>85</v>
      </c>
      <c r="D5" s="171">
        <v>731.80533200000002</v>
      </c>
    </row>
    <row r="6" spans="1:4" ht="17.25" x14ac:dyDescent="0.25">
      <c r="A6" s="169">
        <v>3</v>
      </c>
      <c r="B6" s="170" t="s">
        <v>87</v>
      </c>
      <c r="C6" s="169" t="s">
        <v>85</v>
      </c>
      <c r="D6" s="171">
        <v>712.87824000000001</v>
      </c>
    </row>
    <row r="7" spans="1:4" ht="15.75" x14ac:dyDescent="0.25">
      <c r="A7" s="169">
        <v>4</v>
      </c>
      <c r="B7" s="177" t="s">
        <v>244</v>
      </c>
      <c r="C7" s="173" t="s">
        <v>88</v>
      </c>
      <c r="D7" s="171">
        <v>1762.8</v>
      </c>
    </row>
    <row r="8" spans="1:4" ht="15.75" x14ac:dyDescent="0.25">
      <c r="A8" s="169">
        <v>5</v>
      </c>
      <c r="B8" s="177" t="s">
        <v>243</v>
      </c>
      <c r="C8" s="173" t="s">
        <v>41</v>
      </c>
      <c r="D8" s="171">
        <v>1.0373999999999999</v>
      </c>
    </row>
    <row r="9" spans="1:4" ht="15.75" x14ac:dyDescent="0.25">
      <c r="A9" s="169">
        <v>6</v>
      </c>
      <c r="B9" s="177" t="s">
        <v>240</v>
      </c>
      <c r="C9" s="173" t="s">
        <v>41</v>
      </c>
      <c r="D9" s="171">
        <v>0.18</v>
      </c>
    </row>
    <row r="10" spans="1:4" ht="15.75" x14ac:dyDescent="0.25">
      <c r="A10" s="169">
        <v>7</v>
      </c>
      <c r="B10" s="174" t="s">
        <v>239</v>
      </c>
      <c r="C10" s="175" t="s">
        <v>38</v>
      </c>
      <c r="D10" s="176">
        <v>7.020999999999999</v>
      </c>
    </row>
    <row r="11" spans="1:4" ht="17.25" x14ac:dyDescent="0.25">
      <c r="A11" s="169">
        <v>8</v>
      </c>
      <c r="B11" s="174" t="s">
        <v>89</v>
      </c>
      <c r="C11" s="169" t="s">
        <v>85</v>
      </c>
      <c r="D11" s="108">
        <v>1054.8700799999999</v>
      </c>
    </row>
    <row r="12" spans="1:4" ht="15.75" x14ac:dyDescent="0.25">
      <c r="A12" s="169">
        <v>9</v>
      </c>
      <c r="B12" s="174" t="s">
        <v>112</v>
      </c>
      <c r="C12" s="169" t="s">
        <v>113</v>
      </c>
      <c r="D12" s="108">
        <v>41.161379999999994</v>
      </c>
    </row>
    <row r="13" spans="1:4" ht="17.25" x14ac:dyDescent="0.25">
      <c r="A13" s="169">
        <v>10</v>
      </c>
      <c r="B13" s="174" t="s">
        <v>241</v>
      </c>
      <c r="C13" s="169" t="s">
        <v>85</v>
      </c>
      <c r="D13" s="108">
        <v>0.13728000000000001</v>
      </c>
    </row>
    <row r="14" spans="1:4" ht="15.75" x14ac:dyDescent="0.25">
      <c r="A14" s="169">
        <v>11</v>
      </c>
      <c r="B14" s="172" t="s">
        <v>242</v>
      </c>
      <c r="C14" s="175" t="s">
        <v>88</v>
      </c>
      <c r="D14" s="108">
        <v>10328.09</v>
      </c>
    </row>
    <row r="15" spans="1:4" ht="15.75" x14ac:dyDescent="0.25">
      <c r="A15" s="109"/>
      <c r="B15" s="110"/>
      <c r="C15" s="111"/>
      <c r="D15" s="112"/>
    </row>
    <row r="16" spans="1:4" x14ac:dyDescent="0.25">
      <c r="A16" s="218" t="s">
        <v>91</v>
      </c>
      <c r="B16" s="218"/>
      <c r="C16" s="218"/>
      <c r="D16" s="218"/>
    </row>
    <row r="17" spans="1:4" x14ac:dyDescent="0.25">
      <c r="A17" s="113"/>
      <c r="B17" s="113"/>
      <c r="C17" s="113"/>
      <c r="D17" s="113"/>
    </row>
  </sheetData>
  <mergeCells count="2">
    <mergeCell ref="A1:D1"/>
    <mergeCell ref="A16:D16"/>
  </mergeCells>
  <pageMargins left="0.7" right="0.7" top="0.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"/>
  <sheetViews>
    <sheetView topLeftCell="A67" workbookViewId="0">
      <selection sqref="A1:N1"/>
    </sheetView>
  </sheetViews>
  <sheetFormatPr defaultRowHeight="30" customHeight="1" x14ac:dyDescent="0.25"/>
  <cols>
    <col min="1" max="1" width="4" style="58" bestFit="1" customWidth="1"/>
    <col min="2" max="2" width="8.7109375" style="90" bestFit="1" customWidth="1"/>
    <col min="3" max="4" width="7.140625" style="86" customWidth="1"/>
    <col min="5" max="6" width="10.7109375" style="86" customWidth="1"/>
    <col min="7" max="8" width="7.140625" style="86" customWidth="1"/>
    <col min="9" max="10" width="10.7109375" style="86" customWidth="1"/>
    <col min="11" max="12" width="7.140625" style="86" customWidth="1"/>
    <col min="13" max="14" width="10.7109375" style="86" customWidth="1"/>
  </cols>
  <sheetData>
    <row r="1" spans="1:14" ht="30" customHeight="1" x14ac:dyDescent="0.25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5" x14ac:dyDescent="0.25">
      <c r="A2" s="188" t="s">
        <v>3</v>
      </c>
      <c r="B2" s="188" t="s">
        <v>4</v>
      </c>
      <c r="C2" s="189" t="s">
        <v>106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5" x14ac:dyDescent="0.25">
      <c r="A3" s="188"/>
      <c r="B3" s="188"/>
      <c r="C3" s="189" t="s">
        <v>107</v>
      </c>
      <c r="D3" s="189"/>
      <c r="E3" s="189"/>
      <c r="F3" s="189"/>
      <c r="G3" s="189" t="s">
        <v>108</v>
      </c>
      <c r="H3" s="189"/>
      <c r="I3" s="189"/>
      <c r="J3" s="189"/>
      <c r="K3" s="189" t="s">
        <v>109</v>
      </c>
      <c r="L3" s="189"/>
      <c r="M3" s="189"/>
      <c r="N3" s="189"/>
    </row>
    <row r="4" spans="1:14" ht="72" x14ac:dyDescent="0.25">
      <c r="A4" s="188"/>
      <c r="B4" s="188"/>
      <c r="C4" s="87" t="s">
        <v>110</v>
      </c>
      <c r="D4" s="88" t="s">
        <v>2</v>
      </c>
      <c r="E4" s="88" t="s">
        <v>0</v>
      </c>
      <c r="F4" s="88" t="s">
        <v>1</v>
      </c>
      <c r="G4" s="87" t="s">
        <v>110</v>
      </c>
      <c r="H4" s="88" t="s">
        <v>2</v>
      </c>
      <c r="I4" s="88" t="s">
        <v>0</v>
      </c>
      <c r="J4" s="88" t="s">
        <v>1</v>
      </c>
      <c r="K4" s="87" t="s">
        <v>110</v>
      </c>
      <c r="L4" s="88" t="s">
        <v>2</v>
      </c>
      <c r="M4" s="88" t="s">
        <v>0</v>
      </c>
      <c r="N4" s="88" t="s">
        <v>1</v>
      </c>
    </row>
    <row r="5" spans="1:14" ht="15" x14ac:dyDescent="0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</row>
    <row r="6" spans="1:14" ht="30" customHeight="1" x14ac:dyDescent="0.25">
      <c r="A6" s="59">
        <v>1</v>
      </c>
      <c r="B6" s="84">
        <v>0</v>
      </c>
      <c r="C6" s="89">
        <v>2.25</v>
      </c>
      <c r="D6" s="89">
        <v>505.57100000000003</v>
      </c>
      <c r="E6" s="89">
        <v>318156.5845</v>
      </c>
      <c r="F6" s="89">
        <v>4723744.7341999998</v>
      </c>
      <c r="G6" s="89">
        <v>0</v>
      </c>
      <c r="H6" s="89">
        <v>505.541</v>
      </c>
      <c r="I6" s="89">
        <v>318156.91139999998</v>
      </c>
      <c r="J6" s="89">
        <v>4723746.9603000004</v>
      </c>
      <c r="K6" s="89">
        <v>2.25</v>
      </c>
      <c r="L6" s="89">
        <v>505.50799999999998</v>
      </c>
      <c r="M6" s="89">
        <v>318157.23839999997</v>
      </c>
      <c r="N6" s="89">
        <v>4723749.1864</v>
      </c>
    </row>
    <row r="7" spans="1:14" ht="30" customHeight="1" x14ac:dyDescent="0.25">
      <c r="A7" s="59">
        <v>2</v>
      </c>
      <c r="B7" s="84">
        <v>20</v>
      </c>
      <c r="C7" s="89">
        <v>2.25</v>
      </c>
      <c r="D7" s="89">
        <v>505.35300000000001</v>
      </c>
      <c r="E7" s="89">
        <v>318136.79680000001</v>
      </c>
      <c r="F7" s="89">
        <v>4723747.6403000001</v>
      </c>
      <c r="G7" s="89">
        <v>0</v>
      </c>
      <c r="H7" s="89">
        <v>505.40899999999999</v>
      </c>
      <c r="I7" s="89">
        <v>318137.1237</v>
      </c>
      <c r="J7" s="89">
        <v>4723749.8663999997</v>
      </c>
      <c r="K7" s="89">
        <v>2.25</v>
      </c>
      <c r="L7" s="89">
        <v>505.35300000000001</v>
      </c>
      <c r="M7" s="89">
        <v>318137.45059999998</v>
      </c>
      <c r="N7" s="89">
        <v>4723752.0925000003</v>
      </c>
    </row>
    <row r="8" spans="1:14" ht="30" customHeight="1" x14ac:dyDescent="0.25">
      <c r="A8" s="59">
        <v>3</v>
      </c>
      <c r="B8" s="84">
        <v>40</v>
      </c>
      <c r="C8" s="89">
        <v>2.25</v>
      </c>
      <c r="D8" s="89">
        <v>505.09500000000003</v>
      </c>
      <c r="E8" s="89">
        <v>318117.02909999999</v>
      </c>
      <c r="F8" s="89">
        <v>4723750.4171000002</v>
      </c>
      <c r="G8" s="89">
        <v>0</v>
      </c>
      <c r="H8" s="89">
        <v>505.15199999999999</v>
      </c>
      <c r="I8" s="89">
        <v>318117.31849999999</v>
      </c>
      <c r="J8" s="89">
        <v>4723752.6484000003</v>
      </c>
      <c r="K8" s="89">
        <v>2.25</v>
      </c>
      <c r="L8" s="89">
        <v>505.09500000000003</v>
      </c>
      <c r="M8" s="89">
        <v>318117.6079</v>
      </c>
      <c r="N8" s="89">
        <v>4723754.8797000004</v>
      </c>
    </row>
    <row r="9" spans="1:14" ht="30" customHeight="1" x14ac:dyDescent="0.25">
      <c r="A9" s="59">
        <v>4</v>
      </c>
      <c r="B9" s="84">
        <v>60</v>
      </c>
      <c r="C9" s="89">
        <v>2.25</v>
      </c>
      <c r="D9" s="89">
        <v>504.05200000000002</v>
      </c>
      <c r="E9" s="89">
        <v>318097.20289999997</v>
      </c>
      <c r="F9" s="89">
        <v>4723752.7927999999</v>
      </c>
      <c r="G9" s="89">
        <v>0</v>
      </c>
      <c r="H9" s="89">
        <v>504.108</v>
      </c>
      <c r="I9" s="89">
        <v>318097.4607</v>
      </c>
      <c r="J9" s="89">
        <v>4723755.0279999999</v>
      </c>
      <c r="K9" s="89">
        <v>2.25</v>
      </c>
      <c r="L9" s="89">
        <v>504.05200000000002</v>
      </c>
      <c r="M9" s="89">
        <v>318097.71860000002</v>
      </c>
      <c r="N9" s="89">
        <v>4723757.2631000001</v>
      </c>
    </row>
    <row r="10" spans="1:14" ht="30" customHeight="1" x14ac:dyDescent="0.25">
      <c r="A10" s="59">
        <v>5</v>
      </c>
      <c r="B10" s="84">
        <v>80</v>
      </c>
      <c r="C10" s="89">
        <v>2.25</v>
      </c>
      <c r="D10" s="89">
        <v>502.65</v>
      </c>
      <c r="E10" s="89">
        <v>318077.68280000001</v>
      </c>
      <c r="F10" s="89">
        <v>4723759.2038000003</v>
      </c>
      <c r="G10" s="89">
        <v>0</v>
      </c>
      <c r="H10" s="89">
        <v>502.70699999999999</v>
      </c>
      <c r="I10" s="89">
        <v>318078.6544</v>
      </c>
      <c r="J10" s="89">
        <v>4723761.2330999998</v>
      </c>
      <c r="K10" s="89">
        <v>2.25</v>
      </c>
      <c r="L10" s="89">
        <v>502.65</v>
      </c>
      <c r="M10" s="89">
        <v>318079.62609999999</v>
      </c>
      <c r="N10" s="89">
        <v>4723763.2625000002</v>
      </c>
    </row>
    <row r="11" spans="1:14" ht="30" customHeight="1" x14ac:dyDescent="0.25">
      <c r="A11" s="59">
        <v>6</v>
      </c>
      <c r="B11" s="84">
        <v>100</v>
      </c>
      <c r="C11" s="89">
        <v>2.0720000000000001</v>
      </c>
      <c r="D11" s="89">
        <v>501.28300000000002</v>
      </c>
      <c r="E11" s="89">
        <v>318059.8235</v>
      </c>
      <c r="F11" s="89">
        <v>4723766.8202999998</v>
      </c>
      <c r="G11" s="89">
        <v>0</v>
      </c>
      <c r="H11" s="89">
        <v>501.33499999999998</v>
      </c>
      <c r="I11" s="89">
        <v>318060.23239999998</v>
      </c>
      <c r="J11" s="89">
        <v>4723768.852</v>
      </c>
      <c r="K11" s="89">
        <v>1.7989999999999999</v>
      </c>
      <c r="L11" s="89">
        <v>501.29</v>
      </c>
      <c r="M11" s="89">
        <v>318060.58740000002</v>
      </c>
      <c r="N11" s="89">
        <v>4723770.6160000004</v>
      </c>
    </row>
    <row r="12" spans="1:14" ht="30" customHeight="1" x14ac:dyDescent="0.25">
      <c r="A12" s="59">
        <v>7</v>
      </c>
      <c r="B12" s="84">
        <v>120</v>
      </c>
      <c r="C12" s="89">
        <v>1.623</v>
      </c>
      <c r="D12" s="89">
        <v>500.81900000000002</v>
      </c>
      <c r="E12" s="89">
        <v>318040.3371</v>
      </c>
      <c r="F12" s="89">
        <v>4723771.1415999997</v>
      </c>
      <c r="G12" s="89">
        <v>0</v>
      </c>
      <c r="H12" s="89">
        <v>500.86</v>
      </c>
      <c r="I12" s="89">
        <v>318040.61450000003</v>
      </c>
      <c r="J12" s="89">
        <v>4723772.7407</v>
      </c>
      <c r="K12" s="89">
        <v>1.6439999999999999</v>
      </c>
      <c r="L12" s="89">
        <v>500.81900000000002</v>
      </c>
      <c r="M12" s="89">
        <v>318040.89559999999</v>
      </c>
      <c r="N12" s="89">
        <v>4723774.3605000004</v>
      </c>
    </row>
    <row r="13" spans="1:14" ht="30" customHeight="1" x14ac:dyDescent="0.25">
      <c r="A13" s="59">
        <v>8</v>
      </c>
      <c r="B13" s="84">
        <v>140</v>
      </c>
      <c r="C13" s="89">
        <v>2.25</v>
      </c>
      <c r="D13" s="89">
        <v>500.04700000000003</v>
      </c>
      <c r="E13" s="89">
        <v>318020.43969999999</v>
      </c>
      <c r="F13" s="89">
        <v>4723773.7178999996</v>
      </c>
      <c r="G13" s="89">
        <v>0</v>
      </c>
      <c r="H13" s="89">
        <v>500.10399999999998</v>
      </c>
      <c r="I13" s="89">
        <v>318020.8726</v>
      </c>
      <c r="J13" s="89">
        <v>4723775.9259000001</v>
      </c>
      <c r="K13" s="89">
        <v>2.25</v>
      </c>
      <c r="L13" s="89">
        <v>500.04700000000003</v>
      </c>
      <c r="M13" s="89">
        <v>318021.30550000002</v>
      </c>
      <c r="N13" s="89">
        <v>4723778.1338</v>
      </c>
    </row>
    <row r="14" spans="1:14" ht="30" customHeight="1" x14ac:dyDescent="0.25">
      <c r="A14" s="59">
        <v>9</v>
      </c>
      <c r="B14" s="84">
        <v>160</v>
      </c>
      <c r="C14" s="89">
        <v>2.25</v>
      </c>
      <c r="D14" s="89">
        <v>499.04399999999998</v>
      </c>
      <c r="E14" s="89">
        <v>318000.85519999999</v>
      </c>
      <c r="F14" s="89">
        <v>4723778.1853999998</v>
      </c>
      <c r="G14" s="89">
        <v>0</v>
      </c>
      <c r="H14" s="89">
        <v>499.1</v>
      </c>
      <c r="I14" s="89">
        <v>318001.37520000001</v>
      </c>
      <c r="J14" s="89">
        <v>4723780.3744999999</v>
      </c>
      <c r="K14" s="89">
        <v>2.25</v>
      </c>
      <c r="L14" s="89">
        <v>499.04399999999998</v>
      </c>
      <c r="M14" s="89">
        <v>318001.89520000003</v>
      </c>
      <c r="N14" s="89">
        <v>4723782.5636</v>
      </c>
    </row>
    <row r="15" spans="1:14" ht="30" customHeight="1" x14ac:dyDescent="0.25">
      <c r="A15" s="59">
        <v>10</v>
      </c>
      <c r="B15" s="84">
        <v>180</v>
      </c>
      <c r="C15" s="89">
        <v>2.25</v>
      </c>
      <c r="D15" s="89">
        <v>498.245</v>
      </c>
      <c r="E15" s="89">
        <v>317983.0466</v>
      </c>
      <c r="F15" s="89">
        <v>4723780.3272000002</v>
      </c>
      <c r="G15" s="89">
        <v>0</v>
      </c>
      <c r="H15" s="89">
        <v>498.30099999999999</v>
      </c>
      <c r="I15" s="89">
        <v>317981.95260000002</v>
      </c>
      <c r="J15" s="89">
        <v>4723782.2933</v>
      </c>
      <c r="K15" s="89">
        <v>2.25</v>
      </c>
      <c r="L15" s="89">
        <v>498.245</v>
      </c>
      <c r="M15" s="89">
        <v>317980.85849999997</v>
      </c>
      <c r="N15" s="89">
        <v>4723784.2593999999</v>
      </c>
    </row>
    <row r="16" spans="1:14" ht="30" customHeight="1" x14ac:dyDescent="0.25">
      <c r="A16" s="59">
        <v>11</v>
      </c>
      <c r="B16" s="84">
        <v>200</v>
      </c>
      <c r="C16" s="89">
        <v>2.25</v>
      </c>
      <c r="D16" s="89">
        <v>498.21899999999999</v>
      </c>
      <c r="E16" s="89">
        <v>317971.6776</v>
      </c>
      <c r="F16" s="89">
        <v>4723765.4609000003</v>
      </c>
      <c r="G16" s="89">
        <v>0</v>
      </c>
      <c r="H16" s="89">
        <v>498.27499999999998</v>
      </c>
      <c r="I16" s="89">
        <v>317969.74839999998</v>
      </c>
      <c r="J16" s="89">
        <v>4723766.6187000005</v>
      </c>
      <c r="K16" s="89">
        <v>2.25</v>
      </c>
      <c r="L16" s="89">
        <v>498.21899999999999</v>
      </c>
      <c r="M16" s="89">
        <v>317967.81920000003</v>
      </c>
      <c r="N16" s="89">
        <v>4723767.7764999997</v>
      </c>
    </row>
    <row r="17" spans="1:14" ht="30" customHeight="1" x14ac:dyDescent="0.25">
      <c r="A17" s="59">
        <v>12</v>
      </c>
      <c r="B17" s="84">
        <v>220</v>
      </c>
      <c r="C17" s="89">
        <v>2.25</v>
      </c>
      <c r="D17" s="89">
        <v>498.46499999999997</v>
      </c>
      <c r="E17" s="89">
        <v>317963.67859999998</v>
      </c>
      <c r="F17" s="89">
        <v>4723747.7506999997</v>
      </c>
      <c r="G17" s="89">
        <v>0</v>
      </c>
      <c r="H17" s="89">
        <v>498.52100000000002</v>
      </c>
      <c r="I17" s="89">
        <v>317961.5344</v>
      </c>
      <c r="J17" s="89">
        <v>4723748.4326999998</v>
      </c>
      <c r="K17" s="89">
        <v>2.25</v>
      </c>
      <c r="L17" s="89">
        <v>498.46499999999997</v>
      </c>
      <c r="M17" s="89">
        <v>317959.39030000003</v>
      </c>
      <c r="N17" s="89">
        <v>4723749.1146999998</v>
      </c>
    </row>
    <row r="18" spans="1:14" ht="30" customHeight="1" x14ac:dyDescent="0.25">
      <c r="A18" s="59">
        <v>13</v>
      </c>
      <c r="B18" s="84">
        <v>240</v>
      </c>
      <c r="C18" s="89">
        <v>2.25</v>
      </c>
      <c r="D18" s="89">
        <v>498.57400000000001</v>
      </c>
      <c r="E18" s="89">
        <v>317957.02260000003</v>
      </c>
      <c r="F18" s="89">
        <v>4723728.5921</v>
      </c>
      <c r="G18" s="89">
        <v>0</v>
      </c>
      <c r="H18" s="89">
        <v>498.63099999999997</v>
      </c>
      <c r="I18" s="89">
        <v>317955.005</v>
      </c>
      <c r="J18" s="89">
        <v>4723729.5881000003</v>
      </c>
      <c r="K18" s="89">
        <v>2.25</v>
      </c>
      <c r="L18" s="89">
        <v>498.57400000000001</v>
      </c>
      <c r="M18" s="89">
        <v>317952.98739999998</v>
      </c>
      <c r="N18" s="89">
        <v>4723730.5840999996</v>
      </c>
    </row>
    <row r="19" spans="1:14" ht="30" customHeight="1" x14ac:dyDescent="0.25">
      <c r="A19" s="59">
        <v>14</v>
      </c>
      <c r="B19" s="84">
        <v>260</v>
      </c>
      <c r="C19" s="89">
        <v>2.25</v>
      </c>
      <c r="D19" s="89">
        <v>497.298</v>
      </c>
      <c r="E19" s="89">
        <v>317947.62949999998</v>
      </c>
      <c r="F19" s="89">
        <v>4723710.7994999997</v>
      </c>
      <c r="G19" s="89">
        <v>0</v>
      </c>
      <c r="H19" s="89">
        <v>497.35500000000002</v>
      </c>
      <c r="I19" s="89">
        <v>317945.6691</v>
      </c>
      <c r="J19" s="89">
        <v>4723711.9035999998</v>
      </c>
      <c r="K19" s="89">
        <v>2.25</v>
      </c>
      <c r="L19" s="89">
        <v>497.298</v>
      </c>
      <c r="M19" s="89">
        <v>317943.70860000001</v>
      </c>
      <c r="N19" s="89">
        <v>4723713.0077</v>
      </c>
    </row>
    <row r="20" spans="1:14" ht="30" customHeight="1" x14ac:dyDescent="0.25">
      <c r="A20" s="59">
        <v>15</v>
      </c>
      <c r="B20" s="84">
        <v>280</v>
      </c>
      <c r="C20" s="89">
        <v>2.25</v>
      </c>
      <c r="D20" s="89">
        <v>495.15699999999998</v>
      </c>
      <c r="E20" s="89">
        <v>317937.5969</v>
      </c>
      <c r="F20" s="89">
        <v>4723693.8405999998</v>
      </c>
      <c r="G20" s="89">
        <v>0</v>
      </c>
      <c r="H20" s="89">
        <v>495.21300000000002</v>
      </c>
      <c r="I20" s="89">
        <v>317935.51059999998</v>
      </c>
      <c r="J20" s="89">
        <v>4723694.6830000002</v>
      </c>
      <c r="K20" s="89">
        <v>2.25</v>
      </c>
      <c r="L20" s="89">
        <v>495.15699999999998</v>
      </c>
      <c r="M20" s="89">
        <v>317933.42420000001</v>
      </c>
      <c r="N20" s="89">
        <v>4723695.5253999997</v>
      </c>
    </row>
    <row r="21" spans="1:14" ht="30" customHeight="1" x14ac:dyDescent="0.25">
      <c r="A21" s="59">
        <v>16</v>
      </c>
      <c r="B21" s="84">
        <v>300</v>
      </c>
      <c r="C21" s="89">
        <v>2.25</v>
      </c>
      <c r="D21" s="89">
        <v>494.995</v>
      </c>
      <c r="E21" s="89">
        <v>317947.5379</v>
      </c>
      <c r="F21" s="89">
        <v>4723682.7445999999</v>
      </c>
      <c r="G21" s="89">
        <v>0</v>
      </c>
      <c r="H21" s="89">
        <v>494.93799999999999</v>
      </c>
      <c r="I21" s="89">
        <v>317946.48599999998</v>
      </c>
      <c r="J21" s="89">
        <v>4723680.7560000001</v>
      </c>
      <c r="K21" s="89">
        <v>2.25</v>
      </c>
      <c r="L21" s="89">
        <v>494.88200000000001</v>
      </c>
      <c r="M21" s="89">
        <v>317945.4339</v>
      </c>
      <c r="N21" s="89">
        <v>4723678.7668000003</v>
      </c>
    </row>
    <row r="22" spans="1:14" ht="30" customHeight="1" x14ac:dyDescent="0.25">
      <c r="A22" s="59">
        <v>17</v>
      </c>
      <c r="B22" s="84">
        <v>320</v>
      </c>
      <c r="C22" s="89">
        <v>2.246</v>
      </c>
      <c r="D22" s="89">
        <v>495.04399999999998</v>
      </c>
      <c r="E22" s="89">
        <v>317965.30790000001</v>
      </c>
      <c r="F22" s="89">
        <v>4723672.1375000002</v>
      </c>
      <c r="G22" s="89">
        <v>0</v>
      </c>
      <c r="H22" s="89">
        <v>495.101</v>
      </c>
      <c r="I22" s="89">
        <v>317963.63579999999</v>
      </c>
      <c r="J22" s="89">
        <v>4723670.6376999998</v>
      </c>
      <c r="K22" s="89">
        <v>2.254</v>
      </c>
      <c r="L22" s="89">
        <v>495.04399999999998</v>
      </c>
      <c r="M22" s="89">
        <v>317961.95799999998</v>
      </c>
      <c r="N22" s="89">
        <v>4723669.1328999996</v>
      </c>
    </row>
    <row r="23" spans="1:14" ht="30" customHeight="1" x14ac:dyDescent="0.25">
      <c r="A23" s="59">
        <v>18</v>
      </c>
      <c r="B23" s="84">
        <v>340</v>
      </c>
      <c r="C23" s="89">
        <v>2.25</v>
      </c>
      <c r="D23" s="89">
        <v>494.83800000000002</v>
      </c>
      <c r="E23" s="89">
        <v>317967.3382</v>
      </c>
      <c r="F23" s="89">
        <v>4723651.1459999997</v>
      </c>
      <c r="G23" s="89">
        <v>0</v>
      </c>
      <c r="H23" s="89">
        <v>494.78100000000001</v>
      </c>
      <c r="I23" s="89">
        <v>317965.23149999999</v>
      </c>
      <c r="J23" s="89">
        <v>4723651.9364</v>
      </c>
      <c r="K23" s="89">
        <v>2.25</v>
      </c>
      <c r="L23" s="89">
        <v>494.72500000000002</v>
      </c>
      <c r="M23" s="89">
        <v>317963.1249</v>
      </c>
      <c r="N23" s="89">
        <v>4723652.7267000005</v>
      </c>
    </row>
    <row r="24" spans="1:14" ht="30" customHeight="1" x14ac:dyDescent="0.25">
      <c r="A24" s="59">
        <v>19</v>
      </c>
      <c r="B24" s="84">
        <v>360</v>
      </c>
      <c r="C24" s="89">
        <v>2.25</v>
      </c>
      <c r="D24" s="89">
        <v>494.28300000000002</v>
      </c>
      <c r="E24" s="89">
        <v>317960.66330000001</v>
      </c>
      <c r="F24" s="89">
        <v>4723632.3857000005</v>
      </c>
      <c r="G24" s="89">
        <v>0</v>
      </c>
      <c r="H24" s="89">
        <v>494.226</v>
      </c>
      <c r="I24" s="89">
        <v>317958.52799999999</v>
      </c>
      <c r="J24" s="89">
        <v>4723633.0948000001</v>
      </c>
      <c r="K24" s="89">
        <v>2.25</v>
      </c>
      <c r="L24" s="89">
        <v>494.17</v>
      </c>
      <c r="M24" s="89">
        <v>317956.39260000002</v>
      </c>
      <c r="N24" s="89">
        <v>4723633.8038999997</v>
      </c>
    </row>
    <row r="25" spans="1:14" ht="30" customHeight="1" x14ac:dyDescent="0.25">
      <c r="A25" s="59">
        <v>20</v>
      </c>
      <c r="B25" s="84">
        <v>380</v>
      </c>
      <c r="C25" s="89">
        <v>2.25</v>
      </c>
      <c r="D25" s="89">
        <v>493.61500000000001</v>
      </c>
      <c r="E25" s="89">
        <v>317954.77679999999</v>
      </c>
      <c r="F25" s="89">
        <v>4723613.3520999998</v>
      </c>
      <c r="G25" s="89">
        <v>0</v>
      </c>
      <c r="H25" s="89">
        <v>493.67099999999999</v>
      </c>
      <c r="I25" s="89">
        <v>317952.6188</v>
      </c>
      <c r="J25" s="89">
        <v>4723613.9890000001</v>
      </c>
      <c r="K25" s="89">
        <v>2.25</v>
      </c>
      <c r="L25" s="89">
        <v>493.61500000000001</v>
      </c>
      <c r="M25" s="89">
        <v>317950.46090000001</v>
      </c>
      <c r="N25" s="89">
        <v>4723614.6259000003</v>
      </c>
    </row>
    <row r="26" spans="1:14" ht="30" customHeight="1" x14ac:dyDescent="0.25">
      <c r="A26" s="59">
        <v>21</v>
      </c>
      <c r="B26" s="84">
        <v>400</v>
      </c>
      <c r="C26" s="89">
        <v>2.25</v>
      </c>
      <c r="D26" s="89">
        <v>493.173</v>
      </c>
      <c r="E26" s="89">
        <v>317948.9595</v>
      </c>
      <c r="F26" s="89">
        <v>4723594.1812000005</v>
      </c>
      <c r="G26" s="89">
        <v>0</v>
      </c>
      <c r="H26" s="89">
        <v>493.11599999999999</v>
      </c>
      <c r="I26" s="89">
        <v>317946.81150000001</v>
      </c>
      <c r="J26" s="89">
        <v>4723594.8509</v>
      </c>
      <c r="K26" s="89">
        <v>2.25</v>
      </c>
      <c r="L26" s="89">
        <v>493.06</v>
      </c>
      <c r="M26" s="89">
        <v>317944.66350000002</v>
      </c>
      <c r="N26" s="89">
        <v>4723595.5206000004</v>
      </c>
    </row>
    <row r="27" spans="1:14" ht="30" customHeight="1" x14ac:dyDescent="0.25">
      <c r="A27" s="59">
        <v>22</v>
      </c>
      <c r="B27" s="84">
        <v>420</v>
      </c>
      <c r="C27" s="89">
        <v>2.25</v>
      </c>
      <c r="D27" s="89">
        <v>492.61799999999999</v>
      </c>
      <c r="E27" s="89">
        <v>317942.86339999997</v>
      </c>
      <c r="F27" s="89">
        <v>4723575.1063999999</v>
      </c>
      <c r="G27" s="89">
        <v>0</v>
      </c>
      <c r="H27" s="89">
        <v>492.56200000000001</v>
      </c>
      <c r="I27" s="89">
        <v>317940.7231</v>
      </c>
      <c r="J27" s="89">
        <v>4723575.8003000002</v>
      </c>
      <c r="K27" s="89">
        <v>2.25</v>
      </c>
      <c r="L27" s="89">
        <v>492.505</v>
      </c>
      <c r="M27" s="89">
        <v>317938.58270000003</v>
      </c>
      <c r="N27" s="89">
        <v>4723576.4941999996</v>
      </c>
    </row>
    <row r="28" spans="1:14" ht="30" customHeight="1" x14ac:dyDescent="0.25">
      <c r="A28" s="59">
        <v>23</v>
      </c>
      <c r="B28" s="84">
        <v>440</v>
      </c>
      <c r="C28" s="89">
        <v>2.25</v>
      </c>
      <c r="D28" s="89">
        <v>491.98700000000002</v>
      </c>
      <c r="E28" s="89">
        <v>317936.21159999998</v>
      </c>
      <c r="F28" s="89">
        <v>4723556.1379000004</v>
      </c>
      <c r="G28" s="89">
        <v>0</v>
      </c>
      <c r="H28" s="89">
        <v>492.04300000000001</v>
      </c>
      <c r="I28" s="89">
        <v>317934.10580000002</v>
      </c>
      <c r="J28" s="89">
        <v>4723556.9304</v>
      </c>
      <c r="K28" s="89">
        <v>2.25</v>
      </c>
      <c r="L28" s="89">
        <v>492.09899999999999</v>
      </c>
      <c r="M28" s="89">
        <v>317932</v>
      </c>
      <c r="N28" s="89">
        <v>4723557.7230000002</v>
      </c>
    </row>
    <row r="29" spans="1:14" ht="30" customHeight="1" x14ac:dyDescent="0.25">
      <c r="A29" s="59">
        <v>24</v>
      </c>
      <c r="B29" s="84">
        <v>460</v>
      </c>
      <c r="C29" s="89">
        <v>2.25</v>
      </c>
      <c r="D29" s="89">
        <v>491.53199999999998</v>
      </c>
      <c r="E29" s="89">
        <v>317929.1667</v>
      </c>
      <c r="F29" s="89">
        <v>4723537.4197000004</v>
      </c>
      <c r="G29" s="89">
        <v>0</v>
      </c>
      <c r="H29" s="89">
        <v>491.58800000000002</v>
      </c>
      <c r="I29" s="89">
        <v>317927.06089999998</v>
      </c>
      <c r="J29" s="89">
        <v>4723538.2122999998</v>
      </c>
      <c r="K29" s="89">
        <v>2.25</v>
      </c>
      <c r="L29" s="89">
        <v>491.64400000000001</v>
      </c>
      <c r="M29" s="89">
        <v>317924.95510000002</v>
      </c>
      <c r="N29" s="89">
        <v>4723539.0048000002</v>
      </c>
    </row>
    <row r="30" spans="1:14" ht="30" customHeight="1" x14ac:dyDescent="0.25">
      <c r="A30" s="59">
        <v>25</v>
      </c>
      <c r="B30" s="84">
        <v>480</v>
      </c>
      <c r="C30" s="89">
        <v>2.25</v>
      </c>
      <c r="D30" s="89">
        <v>491.14</v>
      </c>
      <c r="E30" s="89">
        <v>317922.07880000002</v>
      </c>
      <c r="F30" s="89">
        <v>4723518.6980999997</v>
      </c>
      <c r="G30" s="89">
        <v>0</v>
      </c>
      <c r="H30" s="89">
        <v>491.19600000000003</v>
      </c>
      <c r="I30" s="89">
        <v>317919.97950000002</v>
      </c>
      <c r="J30" s="89">
        <v>4723519.5078999996</v>
      </c>
      <c r="K30" s="89">
        <v>2.25</v>
      </c>
      <c r="L30" s="89">
        <v>491.25299999999999</v>
      </c>
      <c r="M30" s="89">
        <v>317917.88030000002</v>
      </c>
      <c r="N30" s="89">
        <v>4723520.3176999995</v>
      </c>
    </row>
    <row r="31" spans="1:14" ht="30" customHeight="1" x14ac:dyDescent="0.25">
      <c r="A31" s="59">
        <v>26</v>
      </c>
      <c r="B31" s="84">
        <v>500</v>
      </c>
      <c r="C31" s="89">
        <v>2.25</v>
      </c>
      <c r="D31" s="89">
        <v>490.81200000000001</v>
      </c>
      <c r="E31" s="89">
        <v>317914.70500000002</v>
      </c>
      <c r="F31" s="89">
        <v>4723500.0653999997</v>
      </c>
      <c r="G31" s="89">
        <v>0</v>
      </c>
      <c r="H31" s="89">
        <v>490.86900000000003</v>
      </c>
      <c r="I31" s="89">
        <v>317912.6201</v>
      </c>
      <c r="J31" s="89">
        <v>4723500.9113999996</v>
      </c>
      <c r="K31" s="89">
        <v>2.25</v>
      </c>
      <c r="L31" s="89">
        <v>490.92500000000001</v>
      </c>
      <c r="M31" s="89">
        <v>317910.53529999999</v>
      </c>
      <c r="N31" s="89">
        <v>4723501.7573999995</v>
      </c>
    </row>
    <row r="32" spans="1:14" ht="30" customHeight="1" x14ac:dyDescent="0.25">
      <c r="A32" s="59">
        <v>27</v>
      </c>
      <c r="B32" s="84">
        <v>520</v>
      </c>
      <c r="C32" s="89">
        <v>2.25</v>
      </c>
      <c r="D32" s="89">
        <v>490.54300000000001</v>
      </c>
      <c r="E32" s="89">
        <v>317907.01010000001</v>
      </c>
      <c r="F32" s="89">
        <v>4723481.5630999999</v>
      </c>
      <c r="G32" s="89">
        <v>0</v>
      </c>
      <c r="H32" s="89">
        <v>490.6</v>
      </c>
      <c r="I32" s="89">
        <v>317904.94010000001</v>
      </c>
      <c r="J32" s="89">
        <v>4723482.4451000001</v>
      </c>
      <c r="K32" s="89">
        <v>2.25</v>
      </c>
      <c r="L32" s="89">
        <v>490.65600000000001</v>
      </c>
      <c r="M32" s="89">
        <v>317902.8702</v>
      </c>
      <c r="N32" s="89">
        <v>4723483.3269999996</v>
      </c>
    </row>
    <row r="33" spans="1:14" ht="30" customHeight="1" x14ac:dyDescent="0.25">
      <c r="A33" s="59">
        <v>28</v>
      </c>
      <c r="B33" s="84">
        <v>540</v>
      </c>
      <c r="C33" s="89">
        <v>2.25</v>
      </c>
      <c r="D33" s="89">
        <v>490.28</v>
      </c>
      <c r="E33" s="89">
        <v>317899.04950000002</v>
      </c>
      <c r="F33" s="89">
        <v>4723463.1958999997</v>
      </c>
      <c r="G33" s="89">
        <v>0</v>
      </c>
      <c r="H33" s="89">
        <v>490.33600000000001</v>
      </c>
      <c r="I33" s="89">
        <v>317896.98670000001</v>
      </c>
      <c r="J33" s="89">
        <v>4723464.0946000004</v>
      </c>
      <c r="K33" s="89">
        <v>2.25</v>
      </c>
      <c r="L33" s="89">
        <v>490.39299999999997</v>
      </c>
      <c r="M33" s="89">
        <v>317894.924</v>
      </c>
      <c r="N33" s="89">
        <v>4723464.9932000004</v>
      </c>
    </row>
    <row r="34" spans="1:14" ht="30" customHeight="1" x14ac:dyDescent="0.25">
      <c r="A34" s="59">
        <v>29</v>
      </c>
      <c r="B34" s="84">
        <v>560</v>
      </c>
      <c r="C34" s="89">
        <v>2.25</v>
      </c>
      <c r="D34" s="89">
        <v>489.88099999999997</v>
      </c>
      <c r="E34" s="89">
        <v>317891.06140000001</v>
      </c>
      <c r="F34" s="89">
        <v>4723444.8603999997</v>
      </c>
      <c r="G34" s="89">
        <v>0</v>
      </c>
      <c r="H34" s="89">
        <v>489.93700000000001</v>
      </c>
      <c r="I34" s="89">
        <v>317888.99859999999</v>
      </c>
      <c r="J34" s="89">
        <v>4723445.7591000004</v>
      </c>
      <c r="K34" s="89">
        <v>2.25</v>
      </c>
      <c r="L34" s="89">
        <v>489.99400000000003</v>
      </c>
      <c r="M34" s="89">
        <v>317886.93589999998</v>
      </c>
      <c r="N34" s="89">
        <v>4723446.6577000003</v>
      </c>
    </row>
    <row r="35" spans="1:14" ht="30" customHeight="1" x14ac:dyDescent="0.25">
      <c r="A35" s="59">
        <v>30</v>
      </c>
      <c r="B35" s="84">
        <v>580</v>
      </c>
      <c r="C35" s="89">
        <v>2.25</v>
      </c>
      <c r="D35" s="89">
        <v>489.29</v>
      </c>
      <c r="E35" s="89">
        <v>317880.22279999999</v>
      </c>
      <c r="F35" s="89">
        <v>4723427.2956999997</v>
      </c>
      <c r="G35" s="89">
        <v>0</v>
      </c>
      <c r="H35" s="89">
        <v>489.346</v>
      </c>
      <c r="I35" s="89">
        <v>317878.63520000002</v>
      </c>
      <c r="J35" s="89">
        <v>4723428.8899999997</v>
      </c>
      <c r="K35" s="89">
        <v>2.25</v>
      </c>
      <c r="L35" s="89">
        <v>489.40199999999999</v>
      </c>
      <c r="M35" s="89">
        <v>317877.04749999999</v>
      </c>
      <c r="N35" s="89">
        <v>4723430.4842999997</v>
      </c>
    </row>
    <row r="36" spans="1:14" ht="30" customHeight="1" x14ac:dyDescent="0.25">
      <c r="A36" s="59">
        <v>31</v>
      </c>
      <c r="B36" s="84">
        <v>600</v>
      </c>
      <c r="C36" s="89">
        <v>2.25</v>
      </c>
      <c r="D36" s="89">
        <v>488.65699999999998</v>
      </c>
      <c r="E36" s="89">
        <v>317865.55479999998</v>
      </c>
      <c r="F36" s="89">
        <v>4723413.4378000004</v>
      </c>
      <c r="G36" s="89">
        <v>0</v>
      </c>
      <c r="H36" s="89">
        <v>488.71300000000002</v>
      </c>
      <c r="I36" s="89">
        <v>317864.10479999997</v>
      </c>
      <c r="J36" s="89">
        <v>4723415.1582000004</v>
      </c>
      <c r="K36" s="89">
        <v>2.25</v>
      </c>
      <c r="L36" s="89">
        <v>488.77</v>
      </c>
      <c r="M36" s="89">
        <v>317862.65470000001</v>
      </c>
      <c r="N36" s="89">
        <v>4723416.8786000004</v>
      </c>
    </row>
    <row r="37" spans="1:14" ht="30" customHeight="1" x14ac:dyDescent="0.25">
      <c r="A37" s="59">
        <v>32</v>
      </c>
      <c r="B37" s="84">
        <v>620</v>
      </c>
      <c r="C37" s="89">
        <v>2.25</v>
      </c>
      <c r="D37" s="89">
        <v>488.13200000000001</v>
      </c>
      <c r="E37" s="89">
        <v>317849.27860000002</v>
      </c>
      <c r="F37" s="89">
        <v>4723401.4128999999</v>
      </c>
      <c r="G37" s="89">
        <v>0</v>
      </c>
      <c r="H37" s="89">
        <v>488.18799999999999</v>
      </c>
      <c r="I37" s="89">
        <v>317848.02759999997</v>
      </c>
      <c r="J37" s="89">
        <v>4723403.2830999997</v>
      </c>
      <c r="K37" s="89">
        <v>2.25</v>
      </c>
      <c r="L37" s="89">
        <v>488.245</v>
      </c>
      <c r="M37" s="89">
        <v>317846.77669999999</v>
      </c>
      <c r="N37" s="89">
        <v>4723405.1531999996</v>
      </c>
    </row>
    <row r="38" spans="1:14" ht="30" customHeight="1" x14ac:dyDescent="0.25">
      <c r="A38" s="59">
        <v>33</v>
      </c>
      <c r="B38" s="84">
        <v>640</v>
      </c>
      <c r="C38" s="89">
        <v>2.25</v>
      </c>
      <c r="D38" s="89">
        <v>487.71499999999997</v>
      </c>
      <c r="E38" s="89">
        <v>317832.77659999998</v>
      </c>
      <c r="F38" s="89">
        <v>4723390.2227999996</v>
      </c>
      <c r="G38" s="89">
        <v>0</v>
      </c>
      <c r="H38" s="89">
        <v>487.77100000000002</v>
      </c>
      <c r="I38" s="89">
        <v>317831.4754</v>
      </c>
      <c r="J38" s="89">
        <v>4723392.0584000004</v>
      </c>
      <c r="K38" s="89">
        <v>2.25</v>
      </c>
      <c r="L38" s="89">
        <v>487.827</v>
      </c>
      <c r="M38" s="89">
        <v>317830.17420000001</v>
      </c>
      <c r="N38" s="89">
        <v>4723393.8940000003</v>
      </c>
    </row>
    <row r="39" spans="1:14" ht="30" customHeight="1" x14ac:dyDescent="0.25">
      <c r="A39" s="59">
        <v>34</v>
      </c>
      <c r="B39" s="84">
        <v>660</v>
      </c>
      <c r="C39" s="89">
        <v>2.25</v>
      </c>
      <c r="D39" s="89">
        <v>487.40499999999997</v>
      </c>
      <c r="E39" s="89">
        <v>317816.59620000003</v>
      </c>
      <c r="F39" s="89">
        <v>4723378.5094999997</v>
      </c>
      <c r="G39" s="89">
        <v>0</v>
      </c>
      <c r="H39" s="89">
        <v>487.46100000000001</v>
      </c>
      <c r="I39" s="89">
        <v>317815.27490000002</v>
      </c>
      <c r="J39" s="89">
        <v>4723380.3306</v>
      </c>
      <c r="K39" s="89">
        <v>2.25</v>
      </c>
      <c r="L39" s="89">
        <v>487.51799999999997</v>
      </c>
      <c r="M39" s="89">
        <v>317813.95360000001</v>
      </c>
      <c r="N39" s="89">
        <v>4723382.1518000001</v>
      </c>
    </row>
    <row r="40" spans="1:14" ht="30" customHeight="1" x14ac:dyDescent="0.25">
      <c r="A40" s="59">
        <v>35</v>
      </c>
      <c r="B40" s="84">
        <v>680</v>
      </c>
      <c r="C40" s="89">
        <v>2.25</v>
      </c>
      <c r="D40" s="89">
        <v>487.16399999999999</v>
      </c>
      <c r="E40" s="89">
        <v>317800.40789999999</v>
      </c>
      <c r="F40" s="89">
        <v>4723366.7647000002</v>
      </c>
      <c r="G40" s="89">
        <v>0</v>
      </c>
      <c r="H40" s="89">
        <v>487.22</v>
      </c>
      <c r="I40" s="89">
        <v>317799.08659999998</v>
      </c>
      <c r="J40" s="89">
        <v>4723368.5859000003</v>
      </c>
      <c r="K40" s="89">
        <v>2.25</v>
      </c>
      <c r="L40" s="89">
        <v>487.27699999999999</v>
      </c>
      <c r="M40" s="89">
        <v>317797.76530000003</v>
      </c>
      <c r="N40" s="89">
        <v>4723370.4071000004</v>
      </c>
    </row>
    <row r="41" spans="1:14" ht="30" customHeight="1" x14ac:dyDescent="0.25">
      <c r="A41" s="59">
        <v>36</v>
      </c>
      <c r="B41" s="84">
        <v>700</v>
      </c>
      <c r="C41" s="89">
        <v>2.25</v>
      </c>
      <c r="D41" s="89">
        <v>486.92399999999998</v>
      </c>
      <c r="E41" s="89">
        <v>317784.21960000001</v>
      </c>
      <c r="F41" s="89">
        <v>4723355.0198999997</v>
      </c>
      <c r="G41" s="89">
        <v>0</v>
      </c>
      <c r="H41" s="89">
        <v>486.98099999999999</v>
      </c>
      <c r="I41" s="89">
        <v>317782.8983</v>
      </c>
      <c r="J41" s="89">
        <v>4723356.8410999998</v>
      </c>
      <c r="K41" s="89">
        <v>2.25</v>
      </c>
      <c r="L41" s="89">
        <v>487.03699999999998</v>
      </c>
      <c r="M41" s="89">
        <v>317781.57699999999</v>
      </c>
      <c r="N41" s="89">
        <v>4723358.6623</v>
      </c>
    </row>
    <row r="42" spans="1:14" ht="30" customHeight="1" x14ac:dyDescent="0.25">
      <c r="A42" s="59">
        <v>37</v>
      </c>
      <c r="B42" s="84">
        <v>720</v>
      </c>
      <c r="C42" s="89">
        <v>2.25</v>
      </c>
      <c r="D42" s="89">
        <v>486.68599999999998</v>
      </c>
      <c r="E42" s="89">
        <v>317768.0355</v>
      </c>
      <c r="F42" s="89">
        <v>4723343.2747</v>
      </c>
      <c r="G42" s="89">
        <v>0</v>
      </c>
      <c r="H42" s="89">
        <v>486.74299999999999</v>
      </c>
      <c r="I42" s="89">
        <v>317766.71169999999</v>
      </c>
      <c r="J42" s="89">
        <v>4723345.0941000003</v>
      </c>
      <c r="K42" s="89">
        <v>2.25</v>
      </c>
      <c r="L42" s="89">
        <v>486.79899999999998</v>
      </c>
      <c r="M42" s="89">
        <v>317765.38789999997</v>
      </c>
      <c r="N42" s="89">
        <v>4723346.9134</v>
      </c>
    </row>
    <row r="43" spans="1:14" ht="30" customHeight="1" x14ac:dyDescent="0.25">
      <c r="A43" s="59">
        <v>38</v>
      </c>
      <c r="B43" s="84">
        <v>740</v>
      </c>
      <c r="C43" s="89">
        <v>2.25</v>
      </c>
      <c r="D43" s="89">
        <v>486.59100000000001</v>
      </c>
      <c r="E43" s="89">
        <v>317751.9166</v>
      </c>
      <c r="F43" s="89">
        <v>4723331.4611</v>
      </c>
      <c r="G43" s="89">
        <v>0</v>
      </c>
      <c r="H43" s="89">
        <v>486.64800000000002</v>
      </c>
      <c r="I43" s="89">
        <v>317750.58029999997</v>
      </c>
      <c r="J43" s="89">
        <v>4723333.2713000001</v>
      </c>
      <c r="K43" s="89">
        <v>2.25</v>
      </c>
      <c r="L43" s="89">
        <v>486.70400000000001</v>
      </c>
      <c r="M43" s="89">
        <v>317749.24400000001</v>
      </c>
      <c r="N43" s="89">
        <v>4723335.0815000003</v>
      </c>
    </row>
    <row r="44" spans="1:14" ht="30" customHeight="1" x14ac:dyDescent="0.25">
      <c r="A44" s="59">
        <v>39</v>
      </c>
      <c r="B44" s="84">
        <v>760</v>
      </c>
      <c r="C44" s="89">
        <v>2.25</v>
      </c>
      <c r="D44" s="89">
        <v>486.55900000000003</v>
      </c>
      <c r="E44" s="89">
        <v>317735.848</v>
      </c>
      <c r="F44" s="89">
        <v>4723319.5599999996</v>
      </c>
      <c r="G44" s="89">
        <v>0</v>
      </c>
      <c r="H44" s="89">
        <v>486.61500000000001</v>
      </c>
      <c r="I44" s="89">
        <v>317734.50839999999</v>
      </c>
      <c r="J44" s="89">
        <v>4723321.3678000001</v>
      </c>
      <c r="K44" s="89">
        <v>2.25</v>
      </c>
      <c r="L44" s="89">
        <v>486.67200000000003</v>
      </c>
      <c r="M44" s="89">
        <v>317733.16889999999</v>
      </c>
      <c r="N44" s="89">
        <v>4723323.1754999999</v>
      </c>
    </row>
    <row r="45" spans="1:14" ht="30" customHeight="1" x14ac:dyDescent="0.25">
      <c r="A45" s="59">
        <v>40</v>
      </c>
      <c r="B45" s="84">
        <v>780</v>
      </c>
      <c r="C45" s="89">
        <v>2.25</v>
      </c>
      <c r="D45" s="89">
        <v>486.43599999999998</v>
      </c>
      <c r="E45" s="89">
        <v>317718.91369999998</v>
      </c>
      <c r="F45" s="89">
        <v>4723308.5739000002</v>
      </c>
      <c r="G45" s="89">
        <v>0</v>
      </c>
      <c r="H45" s="89">
        <v>486.49200000000002</v>
      </c>
      <c r="I45" s="89">
        <v>317717.7499</v>
      </c>
      <c r="J45" s="89">
        <v>4723310.4994999999</v>
      </c>
      <c r="K45" s="89">
        <v>2.25</v>
      </c>
      <c r="L45" s="89">
        <v>486.548</v>
      </c>
      <c r="M45" s="89">
        <v>317716.58600000001</v>
      </c>
      <c r="N45" s="89">
        <v>4723312.4250999996</v>
      </c>
    </row>
    <row r="46" spans="1:14" ht="30" customHeight="1" x14ac:dyDescent="0.25">
      <c r="A46" s="59">
        <v>41</v>
      </c>
      <c r="B46" s="84">
        <v>800</v>
      </c>
      <c r="C46" s="89">
        <v>2.25</v>
      </c>
      <c r="D46" s="89">
        <v>486.154</v>
      </c>
      <c r="E46" s="89">
        <v>317702.5528</v>
      </c>
      <c r="F46" s="89">
        <v>4723297.3328</v>
      </c>
      <c r="G46" s="89">
        <v>0</v>
      </c>
      <c r="H46" s="89">
        <v>486.21100000000001</v>
      </c>
      <c r="I46" s="89">
        <v>317701.26510000002</v>
      </c>
      <c r="J46" s="89">
        <v>4723299.1778999995</v>
      </c>
      <c r="K46" s="89">
        <v>2.25</v>
      </c>
      <c r="L46" s="89">
        <v>486.267</v>
      </c>
      <c r="M46" s="89">
        <v>317699.97749999998</v>
      </c>
      <c r="N46" s="89">
        <v>4723301.023</v>
      </c>
    </row>
    <row r="47" spans="1:14" ht="30" customHeight="1" x14ac:dyDescent="0.25">
      <c r="A47" s="59">
        <v>42</v>
      </c>
      <c r="B47" s="84">
        <v>820</v>
      </c>
      <c r="C47" s="89">
        <v>2.25</v>
      </c>
      <c r="D47" s="89">
        <v>485.78</v>
      </c>
      <c r="E47" s="89">
        <v>317686.61859999999</v>
      </c>
      <c r="F47" s="89">
        <v>4723285.4214000003</v>
      </c>
      <c r="G47" s="89">
        <v>0</v>
      </c>
      <c r="H47" s="89">
        <v>485.83600000000001</v>
      </c>
      <c r="I47" s="89">
        <v>317685.2475</v>
      </c>
      <c r="J47" s="89">
        <v>4723287.2052999996</v>
      </c>
      <c r="K47" s="89">
        <v>2.25</v>
      </c>
      <c r="L47" s="89">
        <v>485.892</v>
      </c>
      <c r="M47" s="89">
        <v>317683.8763</v>
      </c>
      <c r="N47" s="89">
        <v>4723288.9891999997</v>
      </c>
    </row>
    <row r="48" spans="1:14" ht="30" customHeight="1" x14ac:dyDescent="0.25">
      <c r="A48" s="59">
        <v>43</v>
      </c>
      <c r="B48" s="84">
        <v>840</v>
      </c>
      <c r="C48" s="89">
        <v>2.25</v>
      </c>
      <c r="D48" s="89">
        <v>485.40499999999997</v>
      </c>
      <c r="E48" s="89">
        <v>317670.76160000003</v>
      </c>
      <c r="F48" s="89">
        <v>4723273.2330999998</v>
      </c>
      <c r="G48" s="89">
        <v>0</v>
      </c>
      <c r="H48" s="89">
        <v>485.46100000000001</v>
      </c>
      <c r="I48" s="89">
        <v>317669.39049999998</v>
      </c>
      <c r="J48" s="89">
        <v>4723275.017</v>
      </c>
      <c r="K48" s="89">
        <v>2.25</v>
      </c>
      <c r="L48" s="89">
        <v>485.517</v>
      </c>
      <c r="M48" s="89">
        <v>317668.01929999999</v>
      </c>
      <c r="N48" s="89">
        <v>4723276.8009000001</v>
      </c>
    </row>
    <row r="49" spans="1:14" ht="30" customHeight="1" x14ac:dyDescent="0.25">
      <c r="A49" s="59">
        <v>44</v>
      </c>
      <c r="B49" s="84">
        <v>860</v>
      </c>
      <c r="C49" s="89">
        <v>2.25</v>
      </c>
      <c r="D49" s="89">
        <v>485.029</v>
      </c>
      <c r="E49" s="89">
        <v>317654.90460000001</v>
      </c>
      <c r="F49" s="89">
        <v>4723261.0447000004</v>
      </c>
      <c r="G49" s="89">
        <v>0</v>
      </c>
      <c r="H49" s="89">
        <v>485.08600000000001</v>
      </c>
      <c r="I49" s="89">
        <v>317653.53350000002</v>
      </c>
      <c r="J49" s="89">
        <v>4723262.8285999997</v>
      </c>
      <c r="K49" s="89">
        <v>2.25</v>
      </c>
      <c r="L49" s="89">
        <v>485.142</v>
      </c>
      <c r="M49" s="89">
        <v>317652.16230000003</v>
      </c>
      <c r="N49" s="89">
        <v>4723264.6125999996</v>
      </c>
    </row>
    <row r="50" spans="1:14" ht="30" customHeight="1" x14ac:dyDescent="0.25">
      <c r="A50" s="59">
        <v>45</v>
      </c>
      <c r="B50" s="84">
        <v>865</v>
      </c>
      <c r="C50" s="89">
        <v>2.25</v>
      </c>
      <c r="D50" s="89">
        <v>484.88799999999998</v>
      </c>
      <c r="E50" s="89">
        <v>317650.93930000003</v>
      </c>
      <c r="F50" s="89">
        <v>4723257.9967999998</v>
      </c>
      <c r="G50" s="89">
        <v>0</v>
      </c>
      <c r="H50" s="89">
        <v>484.99200000000002</v>
      </c>
      <c r="I50" s="89">
        <v>317649.56809999997</v>
      </c>
      <c r="J50" s="89">
        <v>4723259.7807</v>
      </c>
      <c r="K50" s="89">
        <v>2.25</v>
      </c>
      <c r="L50" s="89">
        <v>484.98099999999999</v>
      </c>
      <c r="M50" s="89">
        <v>317648.19689999998</v>
      </c>
      <c r="N50" s="89">
        <v>4723261.5646000002</v>
      </c>
    </row>
  </sheetData>
  <mergeCells count="7">
    <mergeCell ref="A1:N1"/>
    <mergeCell ref="A2:A4"/>
    <mergeCell ref="B2:B4"/>
    <mergeCell ref="C2:N2"/>
    <mergeCell ref="C3:F3"/>
    <mergeCell ref="G3:J3"/>
    <mergeCell ref="K3:N3"/>
  </mergeCells>
  <pageMargins left="0.7" right="0.7" top="0.75" bottom="0.2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"/>
  <sheetViews>
    <sheetView workbookViewId="0">
      <selection sqref="A1:O1"/>
    </sheetView>
  </sheetViews>
  <sheetFormatPr defaultRowHeight="15" x14ac:dyDescent="0.25"/>
  <cols>
    <col min="1" max="1" width="6" bestFit="1" customWidth="1"/>
    <col min="2" max="4" width="11.42578125" customWidth="1"/>
    <col min="5" max="9" width="7.140625" customWidth="1"/>
    <col min="10" max="11" width="10" customWidth="1"/>
    <col min="12" max="12" width="9.28515625" customWidth="1"/>
    <col min="13" max="13" width="8.5703125" customWidth="1"/>
    <col min="14" max="15" width="15" customWidth="1"/>
  </cols>
  <sheetData>
    <row r="1" spans="1:15" s="19" customFormat="1" ht="30" customHeight="1" x14ac:dyDescent="0.25">
      <c r="A1" s="191" t="s">
        <v>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s="19" customFormat="1" ht="30" customHeight="1" x14ac:dyDescent="0.25">
      <c r="A2" s="192" t="s">
        <v>3</v>
      </c>
      <c r="B2" s="194" t="s">
        <v>127</v>
      </c>
      <c r="C2" s="195"/>
      <c r="D2" s="196"/>
      <c r="E2" s="188" t="s">
        <v>14</v>
      </c>
      <c r="F2" s="188"/>
      <c r="G2" s="188"/>
      <c r="H2" s="188"/>
      <c r="I2" s="188"/>
      <c r="J2" s="188"/>
      <c r="K2" s="188"/>
      <c r="L2" s="197" t="s">
        <v>128</v>
      </c>
      <c r="M2" s="197" t="s">
        <v>129</v>
      </c>
      <c r="N2" s="188" t="s">
        <v>15</v>
      </c>
      <c r="O2" s="188"/>
    </row>
    <row r="3" spans="1:15" s="19" customFormat="1" ht="30" customHeight="1" x14ac:dyDescent="0.25">
      <c r="A3" s="193"/>
      <c r="B3" s="104" t="s">
        <v>4</v>
      </c>
      <c r="C3" s="104" t="s">
        <v>16</v>
      </c>
      <c r="D3" s="104" t="s">
        <v>17</v>
      </c>
      <c r="E3" s="104" t="s">
        <v>18</v>
      </c>
      <c r="F3" s="104" t="s">
        <v>19</v>
      </c>
      <c r="G3" s="104" t="s">
        <v>20</v>
      </c>
      <c r="H3" s="104" t="s">
        <v>21</v>
      </c>
      <c r="I3" s="104" t="s">
        <v>22</v>
      </c>
      <c r="J3" s="104" t="s">
        <v>23</v>
      </c>
      <c r="K3" s="104" t="s">
        <v>24</v>
      </c>
      <c r="L3" s="198"/>
      <c r="M3" s="198"/>
      <c r="N3" s="104" t="s">
        <v>0</v>
      </c>
      <c r="O3" s="104" t="s">
        <v>1</v>
      </c>
    </row>
    <row r="4" spans="1:15" s="9" customFormat="1" x14ac:dyDescent="0.25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</row>
    <row r="5" spans="1:15" x14ac:dyDescent="0.25">
      <c r="A5" s="160" t="s">
        <v>100</v>
      </c>
      <c r="B5" s="161">
        <v>0</v>
      </c>
      <c r="C5" s="162"/>
      <c r="D5" s="162"/>
      <c r="E5" s="163"/>
      <c r="F5" s="164"/>
      <c r="G5" s="164"/>
      <c r="H5" s="164"/>
      <c r="I5" s="162"/>
      <c r="J5" s="161"/>
      <c r="K5" s="161"/>
      <c r="L5" s="164"/>
      <c r="M5" s="164"/>
      <c r="N5" s="164">
        <v>318156.91139999998</v>
      </c>
      <c r="O5" s="164">
        <v>4723746.9603000004</v>
      </c>
    </row>
    <row r="6" spans="1:15" x14ac:dyDescent="0.25">
      <c r="A6" s="10" t="s">
        <v>116</v>
      </c>
      <c r="B6" s="85"/>
      <c r="C6" s="10"/>
      <c r="D6" s="10"/>
      <c r="E6" s="11"/>
      <c r="F6" s="12"/>
      <c r="G6" s="12"/>
      <c r="H6" s="12"/>
      <c r="I6" s="10"/>
      <c r="J6" s="85"/>
      <c r="K6" s="85"/>
      <c r="L6" s="12">
        <f>M6+F5+F7</f>
        <v>38.799999999999997</v>
      </c>
      <c r="M6" s="12">
        <v>25.11</v>
      </c>
      <c r="N6" s="12"/>
      <c r="O6" s="12"/>
    </row>
    <row r="7" spans="1:15" x14ac:dyDescent="0.25">
      <c r="A7" s="10" t="s">
        <v>25</v>
      </c>
      <c r="B7" s="85">
        <v>38.799999999999997</v>
      </c>
      <c r="C7" s="10" t="s">
        <v>172</v>
      </c>
      <c r="D7" s="10"/>
      <c r="E7" s="11">
        <v>884</v>
      </c>
      <c r="F7" s="12">
        <v>13.69</v>
      </c>
      <c r="G7" s="12">
        <v>27.38</v>
      </c>
      <c r="H7" s="12">
        <v>0.11</v>
      </c>
      <c r="I7" s="10">
        <f>F7*2-G7</f>
        <v>0</v>
      </c>
      <c r="J7" s="85">
        <v>25.11</v>
      </c>
      <c r="K7" s="85">
        <v>52.49</v>
      </c>
      <c r="L7" s="12"/>
      <c r="M7" s="12"/>
      <c r="N7" s="12">
        <v>318003.62</v>
      </c>
      <c r="O7" s="12">
        <v>4722875.99</v>
      </c>
    </row>
    <row r="8" spans="1:15" x14ac:dyDescent="0.25">
      <c r="A8" s="10" t="s">
        <v>117</v>
      </c>
      <c r="B8" s="85"/>
      <c r="C8" s="10"/>
      <c r="D8" s="10"/>
      <c r="E8" s="11"/>
      <c r="F8" s="12"/>
      <c r="G8" s="12"/>
      <c r="H8" s="12"/>
      <c r="I8" s="10"/>
      <c r="J8" s="85"/>
      <c r="K8" s="85"/>
      <c r="L8" s="12">
        <f t="shared" ref="L8" si="0">M8+F7+F9</f>
        <v>28.949999999999996</v>
      </c>
      <c r="M8" s="12">
        <v>11.75</v>
      </c>
      <c r="N8" s="12"/>
      <c r="O8" s="12"/>
    </row>
    <row r="9" spans="1:15" x14ac:dyDescent="0.25">
      <c r="A9" s="10" t="s">
        <v>26</v>
      </c>
      <c r="B9" s="85">
        <v>67.75</v>
      </c>
      <c r="C9" s="10"/>
      <c r="D9" s="10" t="s">
        <v>173</v>
      </c>
      <c r="E9" s="11">
        <v>21</v>
      </c>
      <c r="F9" s="12">
        <v>3.51</v>
      </c>
      <c r="G9" s="12">
        <v>6.97</v>
      </c>
      <c r="H9" s="12">
        <v>0.28999999999999998</v>
      </c>
      <c r="I9" s="10">
        <f t="shared" ref="I9" si="1">F9*2-G9</f>
        <v>4.9999999999999822E-2</v>
      </c>
      <c r="J9" s="85">
        <v>64.239999999999995</v>
      </c>
      <c r="K9" s="85">
        <v>71.2</v>
      </c>
      <c r="L9" s="12"/>
      <c r="M9" s="12"/>
      <c r="N9" s="12">
        <v>318095.65999999997</v>
      </c>
      <c r="O9" s="12">
        <v>4723776.38</v>
      </c>
    </row>
    <row r="10" spans="1:15" x14ac:dyDescent="0.25">
      <c r="A10" s="10" t="s">
        <v>118</v>
      </c>
      <c r="B10" s="85"/>
      <c r="C10" s="10"/>
      <c r="D10" s="10"/>
      <c r="E10" s="11"/>
      <c r="F10" s="12"/>
      <c r="G10" s="12"/>
      <c r="H10" s="12"/>
      <c r="I10" s="10"/>
      <c r="J10" s="85"/>
      <c r="K10" s="85"/>
      <c r="L10" s="12">
        <f t="shared" ref="L10" si="2">M10+F9+F11</f>
        <v>27.93</v>
      </c>
      <c r="M10" s="12">
        <v>20.43</v>
      </c>
      <c r="N10" s="12"/>
      <c r="O10" s="12"/>
    </row>
    <row r="11" spans="1:15" x14ac:dyDescent="0.25">
      <c r="A11" s="10" t="s">
        <v>27</v>
      </c>
      <c r="B11" s="85">
        <v>95.63</v>
      </c>
      <c r="C11" s="10" t="s">
        <v>174</v>
      </c>
      <c r="D11" s="10"/>
      <c r="E11" s="11">
        <v>32</v>
      </c>
      <c r="F11" s="12">
        <v>3.99</v>
      </c>
      <c r="G11" s="12">
        <v>7.93</v>
      </c>
      <c r="H11" s="12">
        <v>0.25</v>
      </c>
      <c r="I11" s="10">
        <f t="shared" ref="I11" si="3">F11*2-G11</f>
        <v>5.0000000000000711E-2</v>
      </c>
      <c r="J11" s="85">
        <v>91.64</v>
      </c>
      <c r="K11" s="85">
        <v>99.57</v>
      </c>
      <c r="L11" s="12"/>
      <c r="M11" s="12"/>
      <c r="N11" s="12">
        <v>318054.34000000003</v>
      </c>
      <c r="O11" s="12">
        <v>4723737.4000000004</v>
      </c>
    </row>
    <row r="12" spans="1:15" x14ac:dyDescent="0.25">
      <c r="A12" s="10" t="s">
        <v>119</v>
      </c>
      <c r="B12" s="85"/>
      <c r="C12" s="10"/>
      <c r="D12" s="10"/>
      <c r="E12" s="11"/>
      <c r="F12" s="12"/>
      <c r="G12" s="12"/>
      <c r="H12" s="12"/>
      <c r="I12" s="10"/>
      <c r="J12" s="85"/>
      <c r="K12" s="85"/>
      <c r="L12" s="12">
        <f t="shared" ref="L12" si="4">M12+F11+F13</f>
        <v>25.29</v>
      </c>
      <c r="M12" s="12">
        <v>16.09</v>
      </c>
      <c r="N12" s="12"/>
      <c r="O12" s="12"/>
    </row>
    <row r="13" spans="1:15" x14ac:dyDescent="0.25">
      <c r="A13" s="10" t="s">
        <v>28</v>
      </c>
      <c r="B13" s="85">
        <v>120.87</v>
      </c>
      <c r="C13" s="10" t="s">
        <v>175</v>
      </c>
      <c r="D13" s="10"/>
      <c r="E13" s="11">
        <v>162</v>
      </c>
      <c r="F13" s="12">
        <v>5.21</v>
      </c>
      <c r="G13" s="12">
        <v>10.42</v>
      </c>
      <c r="H13" s="12">
        <v>0.08</v>
      </c>
      <c r="I13" s="10">
        <f t="shared" ref="I13" si="5">F13*2-G13</f>
        <v>0</v>
      </c>
      <c r="J13" s="85">
        <v>115.66</v>
      </c>
      <c r="K13" s="85">
        <v>126.07</v>
      </c>
      <c r="L13" s="12"/>
      <c r="M13" s="12"/>
      <c r="N13" s="12">
        <v>318012.92</v>
      </c>
      <c r="O13" s="12">
        <v>4723613.13</v>
      </c>
    </row>
    <row r="14" spans="1:15" x14ac:dyDescent="0.25">
      <c r="A14" s="10" t="s">
        <v>120</v>
      </c>
      <c r="B14" s="85"/>
      <c r="C14" s="10"/>
      <c r="D14" s="10"/>
      <c r="E14" s="11"/>
      <c r="F14" s="12"/>
      <c r="G14" s="12"/>
      <c r="H14" s="12"/>
      <c r="I14" s="10"/>
      <c r="J14" s="85"/>
      <c r="K14" s="85"/>
      <c r="L14" s="12">
        <f t="shared" ref="L14" si="6">M14+F13+F15</f>
        <v>16.91</v>
      </c>
      <c r="M14" s="12">
        <v>0.46</v>
      </c>
      <c r="N14" s="12"/>
      <c r="O14" s="12"/>
    </row>
    <row r="15" spans="1:15" x14ac:dyDescent="0.25">
      <c r="A15" s="10" t="s">
        <v>29</v>
      </c>
      <c r="B15" s="85">
        <v>137.77000000000001</v>
      </c>
      <c r="C15" s="10"/>
      <c r="D15" s="10" t="s">
        <v>176</v>
      </c>
      <c r="E15" s="11">
        <v>227</v>
      </c>
      <c r="F15" s="12">
        <v>11.24</v>
      </c>
      <c r="G15" s="12">
        <v>22.46</v>
      </c>
      <c r="H15" s="12">
        <v>0.28000000000000003</v>
      </c>
      <c r="I15" s="10">
        <f t="shared" ref="I15" si="7">F15*2-G15</f>
        <v>1.9999999999999574E-2</v>
      </c>
      <c r="J15" s="85">
        <v>126.53</v>
      </c>
      <c r="K15" s="85">
        <v>148.99</v>
      </c>
      <c r="L15" s="12"/>
      <c r="M15" s="12"/>
      <c r="N15" s="12">
        <v>318064.55</v>
      </c>
      <c r="O15" s="12">
        <v>4723998.68</v>
      </c>
    </row>
    <row r="16" spans="1:15" x14ac:dyDescent="0.25">
      <c r="A16" s="10" t="s">
        <v>121</v>
      </c>
      <c r="B16" s="85"/>
      <c r="C16" s="10"/>
      <c r="D16" s="10"/>
      <c r="E16" s="11"/>
      <c r="F16" s="12"/>
      <c r="G16" s="12"/>
      <c r="H16" s="12"/>
      <c r="I16" s="10"/>
      <c r="J16" s="85"/>
      <c r="K16" s="85"/>
      <c r="L16" s="12">
        <f t="shared" ref="L16" si="8">M16+F15+F17</f>
        <v>41.45</v>
      </c>
      <c r="M16" s="12">
        <v>23.6</v>
      </c>
      <c r="N16" s="12"/>
      <c r="O16" s="12"/>
    </row>
    <row r="17" spans="1:15" x14ac:dyDescent="0.25">
      <c r="A17" s="10" t="s">
        <v>30</v>
      </c>
      <c r="B17" s="85">
        <v>179.2</v>
      </c>
      <c r="C17" s="10" t="s">
        <v>177</v>
      </c>
      <c r="D17" s="10"/>
      <c r="E17" s="11">
        <v>10</v>
      </c>
      <c r="F17" s="12">
        <v>6.61</v>
      </c>
      <c r="G17" s="12">
        <v>11.68</v>
      </c>
      <c r="H17" s="12">
        <v>1.99</v>
      </c>
      <c r="I17" s="10">
        <f t="shared" ref="I17" si="9">F17*2-G17</f>
        <v>1.5400000000000009</v>
      </c>
      <c r="J17" s="85">
        <v>172.59</v>
      </c>
      <c r="K17" s="85">
        <v>184.27</v>
      </c>
      <c r="L17" s="12"/>
      <c r="M17" s="12"/>
      <c r="N17" s="12">
        <v>317986.81</v>
      </c>
      <c r="O17" s="12">
        <v>4723773.55</v>
      </c>
    </row>
    <row r="18" spans="1:15" x14ac:dyDescent="0.25">
      <c r="A18" s="10" t="s">
        <v>122</v>
      </c>
      <c r="B18" s="85"/>
      <c r="C18" s="10"/>
      <c r="D18" s="10"/>
      <c r="E18" s="11"/>
      <c r="F18" s="12"/>
      <c r="G18" s="12"/>
      <c r="H18" s="12"/>
      <c r="I18" s="10"/>
      <c r="J18" s="85"/>
      <c r="K18" s="85"/>
      <c r="L18" s="12">
        <f t="shared" ref="L18" si="10">M18+F17+F19</f>
        <v>30.740000000000002</v>
      </c>
      <c r="M18" s="12">
        <v>7.51</v>
      </c>
      <c r="N18" s="12"/>
      <c r="O18" s="12"/>
    </row>
    <row r="19" spans="1:15" x14ac:dyDescent="0.25">
      <c r="A19" s="10" t="s">
        <v>31</v>
      </c>
      <c r="B19" s="85">
        <v>208.39</v>
      </c>
      <c r="C19" s="10" t="s">
        <v>178</v>
      </c>
      <c r="D19" s="10"/>
      <c r="E19" s="11">
        <v>86</v>
      </c>
      <c r="F19" s="12">
        <v>16.62</v>
      </c>
      <c r="G19" s="12">
        <v>32.83</v>
      </c>
      <c r="H19" s="12">
        <v>1.59</v>
      </c>
      <c r="I19" s="10">
        <f t="shared" ref="I19" si="11">F19*2-G19</f>
        <v>0.41000000000000369</v>
      </c>
      <c r="J19" s="85">
        <v>191.77</v>
      </c>
      <c r="K19" s="85">
        <v>224.6</v>
      </c>
      <c r="L19" s="12"/>
      <c r="M19" s="12"/>
      <c r="N19" s="12">
        <v>318043.49</v>
      </c>
      <c r="O19" s="12">
        <v>4723722.3600000003</v>
      </c>
    </row>
    <row r="20" spans="1:15" x14ac:dyDescent="0.25">
      <c r="A20" s="10" t="s">
        <v>123</v>
      </c>
      <c r="B20" s="85"/>
      <c r="C20" s="10"/>
      <c r="D20" s="10"/>
      <c r="E20" s="11"/>
      <c r="F20" s="12"/>
      <c r="G20" s="12"/>
      <c r="H20" s="12"/>
      <c r="I20" s="10"/>
      <c r="J20" s="85"/>
      <c r="K20" s="85"/>
      <c r="L20" s="12">
        <f t="shared" ref="L20" si="12">M20+F19+F21</f>
        <v>24.71</v>
      </c>
      <c r="M20" s="12">
        <v>3.71</v>
      </c>
      <c r="N20" s="12"/>
      <c r="O20" s="12"/>
    </row>
    <row r="21" spans="1:15" x14ac:dyDescent="0.25">
      <c r="A21" s="10" t="s">
        <v>32</v>
      </c>
      <c r="B21" s="85">
        <v>232.69</v>
      </c>
      <c r="C21" s="10"/>
      <c r="D21" s="10" t="s">
        <v>179</v>
      </c>
      <c r="E21" s="11">
        <v>44</v>
      </c>
      <c r="F21" s="12">
        <v>4.38</v>
      </c>
      <c r="G21" s="12">
        <v>8.7200000000000006</v>
      </c>
      <c r="H21" s="12">
        <v>0.22</v>
      </c>
      <c r="I21" s="10">
        <f t="shared" ref="I21" si="13">F21*2-G21</f>
        <v>3.9999999999999147E-2</v>
      </c>
      <c r="J21" s="85">
        <v>228.31</v>
      </c>
      <c r="K21" s="85">
        <v>237.03</v>
      </c>
      <c r="L21" s="12"/>
      <c r="M21" s="12"/>
      <c r="N21" s="12">
        <v>317916.74</v>
      </c>
      <c r="O21" s="12">
        <v>4723751.5</v>
      </c>
    </row>
    <row r="22" spans="1:15" x14ac:dyDescent="0.25">
      <c r="A22" s="10" t="s">
        <v>124</v>
      </c>
      <c r="B22" s="85"/>
      <c r="C22" s="10"/>
      <c r="D22" s="10"/>
      <c r="E22" s="11"/>
      <c r="F22" s="12"/>
      <c r="G22" s="12"/>
      <c r="H22" s="12"/>
      <c r="I22" s="10"/>
      <c r="J22" s="85"/>
      <c r="K22" s="85"/>
      <c r="L22" s="12">
        <f t="shared" ref="L22" si="14">M22+F21+F23</f>
        <v>24.19</v>
      </c>
      <c r="M22" s="12">
        <v>0.83</v>
      </c>
      <c r="N22" s="12"/>
      <c r="O22" s="12"/>
    </row>
    <row r="23" spans="1:15" x14ac:dyDescent="0.25">
      <c r="A23" s="10" t="s">
        <v>102</v>
      </c>
      <c r="B23" s="85">
        <v>256.83999999999997</v>
      </c>
      <c r="C23" s="10"/>
      <c r="D23" s="10" t="s">
        <v>180</v>
      </c>
      <c r="E23" s="11">
        <v>368</v>
      </c>
      <c r="F23" s="12">
        <v>18.98</v>
      </c>
      <c r="G23" s="12">
        <v>37.93</v>
      </c>
      <c r="H23" s="12">
        <v>0.49</v>
      </c>
      <c r="I23" s="10">
        <f t="shared" ref="I23" si="15">F23*2-G23</f>
        <v>3.0000000000001137E-2</v>
      </c>
      <c r="J23" s="85">
        <v>237.86</v>
      </c>
      <c r="K23" s="85">
        <v>275.79000000000002</v>
      </c>
      <c r="L23" s="12"/>
      <c r="M23" s="12"/>
      <c r="N23" s="12">
        <v>317625.02</v>
      </c>
      <c r="O23" s="12">
        <v>4723892.4800000004</v>
      </c>
    </row>
    <row r="24" spans="1:15" x14ac:dyDescent="0.25">
      <c r="A24" s="10" t="s">
        <v>125</v>
      </c>
      <c r="B24" s="85"/>
      <c r="C24" s="10"/>
      <c r="D24" s="10"/>
      <c r="E24" s="11"/>
      <c r="F24" s="12"/>
      <c r="G24" s="12"/>
      <c r="H24" s="12"/>
      <c r="I24" s="10"/>
      <c r="J24" s="85"/>
      <c r="K24" s="85"/>
      <c r="L24" s="12">
        <f t="shared" ref="L24" si="16">M24+F23+F25</f>
        <v>30.39</v>
      </c>
      <c r="M24" s="12">
        <v>2.84</v>
      </c>
      <c r="N24" s="12"/>
      <c r="O24" s="12"/>
    </row>
    <row r="25" spans="1:15" x14ac:dyDescent="0.25">
      <c r="A25" s="10" t="s">
        <v>103</v>
      </c>
      <c r="B25" s="85">
        <v>287.2</v>
      </c>
      <c r="C25" s="10" t="s">
        <v>181</v>
      </c>
      <c r="D25" s="10"/>
      <c r="E25" s="11">
        <v>8</v>
      </c>
      <c r="F25" s="12">
        <v>8.57</v>
      </c>
      <c r="G25" s="12">
        <v>13.12</v>
      </c>
      <c r="H25" s="12">
        <v>3.73</v>
      </c>
      <c r="I25" s="10">
        <f t="shared" ref="I25" si="17">F25*2-G25</f>
        <v>4.0200000000000014</v>
      </c>
      <c r="J25" s="85">
        <v>278.62</v>
      </c>
      <c r="K25" s="85">
        <v>291.74</v>
      </c>
      <c r="L25" s="12"/>
      <c r="M25" s="12"/>
      <c r="N25" s="12">
        <v>317942.93</v>
      </c>
      <c r="O25" s="12">
        <v>4723691.6900000004</v>
      </c>
    </row>
    <row r="26" spans="1:15" x14ac:dyDescent="0.25">
      <c r="A26" s="10" t="s">
        <v>126</v>
      </c>
      <c r="B26" s="85"/>
      <c r="C26" s="10"/>
      <c r="D26" s="10"/>
      <c r="E26" s="11"/>
      <c r="F26" s="12"/>
      <c r="G26" s="12"/>
      <c r="H26" s="12"/>
      <c r="I26" s="10"/>
      <c r="J26" s="85"/>
      <c r="K26" s="85"/>
      <c r="L26" s="12">
        <f t="shared" ref="L26" si="18">M26+F25+F27</f>
        <v>44.730000000000004</v>
      </c>
      <c r="M26" s="12">
        <v>22.96</v>
      </c>
      <c r="N26" s="12"/>
      <c r="O26" s="12"/>
    </row>
    <row r="27" spans="1:15" x14ac:dyDescent="0.25">
      <c r="A27" s="10" t="s">
        <v>182</v>
      </c>
      <c r="B27" s="85">
        <v>327.9</v>
      </c>
      <c r="C27" s="10"/>
      <c r="D27" s="10" t="s">
        <v>183</v>
      </c>
      <c r="E27" s="11">
        <v>15</v>
      </c>
      <c r="F27" s="12">
        <v>13.2</v>
      </c>
      <c r="G27" s="12">
        <v>21.65</v>
      </c>
      <c r="H27" s="12">
        <v>4.9800000000000004</v>
      </c>
      <c r="I27" s="10">
        <f t="shared" ref="I27" si="19">F27*2-G27</f>
        <v>4.75</v>
      </c>
      <c r="J27" s="85">
        <v>314.7</v>
      </c>
      <c r="K27" s="85">
        <v>336.35</v>
      </c>
      <c r="L27" s="12"/>
      <c r="M27" s="12"/>
      <c r="N27" s="12">
        <v>317952.46999999997</v>
      </c>
      <c r="O27" s="12">
        <v>4723660.62</v>
      </c>
    </row>
    <row r="28" spans="1:15" x14ac:dyDescent="0.25">
      <c r="A28" s="10" t="s">
        <v>184</v>
      </c>
      <c r="B28" s="85"/>
      <c r="C28" s="10"/>
      <c r="D28" s="10"/>
      <c r="E28" s="11"/>
      <c r="F28" s="12"/>
      <c r="G28" s="12"/>
      <c r="H28" s="12"/>
      <c r="I28" s="10"/>
      <c r="J28" s="85"/>
      <c r="K28" s="85"/>
      <c r="L28" s="12">
        <f t="shared" ref="L28" si="20">M28+F27+F29</f>
        <v>36.07</v>
      </c>
      <c r="M28" s="12">
        <v>5.8</v>
      </c>
      <c r="N28" s="12"/>
      <c r="O28" s="12"/>
    </row>
    <row r="29" spans="1:15" x14ac:dyDescent="0.25">
      <c r="A29" s="10" t="s">
        <v>185</v>
      </c>
      <c r="B29" s="85">
        <v>359.21</v>
      </c>
      <c r="C29" s="10" t="s">
        <v>186</v>
      </c>
      <c r="D29" s="10"/>
      <c r="E29" s="11">
        <v>466</v>
      </c>
      <c r="F29" s="12">
        <v>17.07</v>
      </c>
      <c r="G29" s="12">
        <v>34.119999999999997</v>
      </c>
      <c r="H29" s="12">
        <v>0.31</v>
      </c>
      <c r="I29" s="10">
        <f t="shared" ref="I29" si="21">F29*2-G29</f>
        <v>2.0000000000003126E-2</v>
      </c>
      <c r="J29" s="85">
        <v>342.15</v>
      </c>
      <c r="K29" s="85">
        <v>376.27</v>
      </c>
      <c r="L29" s="12"/>
      <c r="M29" s="12"/>
      <c r="N29" s="12">
        <v>318400.78000000003</v>
      </c>
      <c r="O29" s="12">
        <v>4723486.24</v>
      </c>
    </row>
    <row r="30" spans="1:15" x14ac:dyDescent="0.25">
      <c r="A30" s="10" t="s">
        <v>187</v>
      </c>
      <c r="B30" s="85"/>
      <c r="C30" s="10"/>
      <c r="D30" s="10"/>
      <c r="E30" s="11"/>
      <c r="F30" s="12"/>
      <c r="G30" s="12"/>
      <c r="H30" s="12"/>
      <c r="I30" s="10"/>
      <c r="J30" s="85"/>
      <c r="K30" s="85"/>
      <c r="L30" s="12">
        <f t="shared" ref="L30" si="22">M30+F29+F31</f>
        <v>37.36</v>
      </c>
      <c r="M30" s="12">
        <v>2.04</v>
      </c>
      <c r="N30" s="12"/>
      <c r="O30" s="12"/>
    </row>
    <row r="31" spans="1:15" x14ac:dyDescent="0.25">
      <c r="A31" s="10" t="s">
        <v>188</v>
      </c>
      <c r="B31" s="85">
        <v>396.55</v>
      </c>
      <c r="C31" s="10"/>
      <c r="D31" s="10" t="s">
        <v>189</v>
      </c>
      <c r="E31" s="11">
        <v>1313</v>
      </c>
      <c r="F31" s="12">
        <v>18.25</v>
      </c>
      <c r="G31" s="12">
        <v>36.5</v>
      </c>
      <c r="H31" s="12">
        <v>0.13</v>
      </c>
      <c r="I31" s="10">
        <f t="shared" ref="I31" si="23">F31*2-G31</f>
        <v>0</v>
      </c>
      <c r="J31" s="85">
        <v>378.3</v>
      </c>
      <c r="K31" s="85">
        <v>414.8</v>
      </c>
      <c r="L31" s="12"/>
      <c r="M31" s="12"/>
      <c r="N31" s="12">
        <v>316693.32</v>
      </c>
      <c r="O31" s="12">
        <v>4723985.67</v>
      </c>
    </row>
    <row r="32" spans="1:15" x14ac:dyDescent="0.25">
      <c r="A32" s="10" t="s">
        <v>190</v>
      </c>
      <c r="B32" s="85"/>
      <c r="C32" s="10"/>
      <c r="D32" s="10"/>
      <c r="E32" s="11"/>
      <c r="F32" s="12"/>
      <c r="G32" s="12"/>
      <c r="H32" s="12"/>
      <c r="I32" s="10"/>
      <c r="J32" s="85"/>
      <c r="K32" s="85"/>
      <c r="L32" s="12">
        <f t="shared" ref="L32" si="24">M32+F31+F33</f>
        <v>33.21</v>
      </c>
      <c r="M32" s="12">
        <v>9.57</v>
      </c>
      <c r="N32" s="12"/>
      <c r="O32" s="12"/>
    </row>
    <row r="33" spans="1:15" x14ac:dyDescent="0.25">
      <c r="A33" s="10" t="s">
        <v>191</v>
      </c>
      <c r="B33" s="85">
        <v>429.77</v>
      </c>
      <c r="C33" s="10"/>
      <c r="D33" s="10" t="s">
        <v>192</v>
      </c>
      <c r="E33" s="11">
        <v>232</v>
      </c>
      <c r="F33" s="12">
        <v>5.39</v>
      </c>
      <c r="G33" s="12">
        <v>10.78</v>
      </c>
      <c r="H33" s="12">
        <v>0.06</v>
      </c>
      <c r="I33" s="10">
        <f t="shared" ref="I33" si="25">F33*2-G33</f>
        <v>0</v>
      </c>
      <c r="J33" s="85">
        <v>424.38</v>
      </c>
      <c r="K33" s="85">
        <v>435.16</v>
      </c>
      <c r="L33" s="12"/>
      <c r="M33" s="12"/>
      <c r="N33" s="12">
        <v>317718.68</v>
      </c>
      <c r="O33" s="12">
        <v>4723643.1900000004</v>
      </c>
    </row>
    <row r="34" spans="1:15" x14ac:dyDescent="0.25">
      <c r="A34" s="10" t="s">
        <v>193</v>
      </c>
      <c r="B34" s="85"/>
      <c r="C34" s="10"/>
      <c r="D34" s="10"/>
      <c r="E34" s="11"/>
      <c r="F34" s="12"/>
      <c r="G34" s="12"/>
      <c r="H34" s="12"/>
      <c r="I34" s="10"/>
      <c r="J34" s="85"/>
      <c r="K34" s="85"/>
      <c r="L34" s="12">
        <f t="shared" ref="L34" si="26">M34+F33+F35</f>
        <v>70.17</v>
      </c>
      <c r="M34" s="12">
        <v>35.35</v>
      </c>
      <c r="N34" s="12"/>
      <c r="O34" s="12"/>
    </row>
    <row r="35" spans="1:15" x14ac:dyDescent="0.25">
      <c r="A35" s="10" t="s">
        <v>194</v>
      </c>
      <c r="B35" s="85">
        <v>499.93</v>
      </c>
      <c r="C35" s="10"/>
      <c r="D35" s="10" t="s">
        <v>195</v>
      </c>
      <c r="E35" s="11">
        <v>1156</v>
      </c>
      <c r="F35" s="12">
        <v>29.43</v>
      </c>
      <c r="G35" s="12">
        <v>58.84</v>
      </c>
      <c r="H35" s="12">
        <v>0.37</v>
      </c>
      <c r="I35" s="10">
        <f t="shared" ref="I35" si="27">F35*2-G35</f>
        <v>1.9999999999996021E-2</v>
      </c>
      <c r="J35" s="85">
        <v>470.51</v>
      </c>
      <c r="K35" s="85">
        <v>529.35</v>
      </c>
      <c r="L35" s="12"/>
      <c r="M35" s="12"/>
      <c r="N35" s="12">
        <v>316841.45</v>
      </c>
      <c r="O35" s="12">
        <v>4723935.57</v>
      </c>
    </row>
    <row r="36" spans="1:15" x14ac:dyDescent="0.25">
      <c r="A36" s="10" t="s">
        <v>196</v>
      </c>
      <c r="B36" s="85"/>
      <c r="C36" s="10"/>
      <c r="D36" s="10"/>
      <c r="E36" s="11"/>
      <c r="F36" s="12"/>
      <c r="G36" s="12"/>
      <c r="H36" s="12"/>
      <c r="I36" s="10"/>
      <c r="J36" s="85"/>
      <c r="K36" s="85"/>
      <c r="L36" s="12">
        <f t="shared" ref="L36" si="28">M36+F35+F37</f>
        <v>72.7</v>
      </c>
      <c r="M36" s="12">
        <v>37.74</v>
      </c>
      <c r="N36" s="12"/>
      <c r="O36" s="12"/>
    </row>
    <row r="37" spans="1:15" x14ac:dyDescent="0.25">
      <c r="A37" s="10" t="s">
        <v>197</v>
      </c>
      <c r="B37" s="85">
        <v>572.62</v>
      </c>
      <c r="C37" s="10"/>
      <c r="D37" s="10" t="s">
        <v>198</v>
      </c>
      <c r="E37" s="11">
        <v>29</v>
      </c>
      <c r="F37" s="12">
        <v>5.53</v>
      </c>
      <c r="G37" s="12">
        <v>10.92</v>
      </c>
      <c r="H37" s="12">
        <v>0.52</v>
      </c>
      <c r="I37" s="10">
        <f t="shared" ref="I37" si="29">F37*2-G37</f>
        <v>0.14000000000000057</v>
      </c>
      <c r="J37" s="85">
        <v>567.09</v>
      </c>
      <c r="K37" s="85">
        <v>578.01</v>
      </c>
      <c r="L37" s="12"/>
      <c r="M37" s="12"/>
      <c r="N37" s="12">
        <v>317859.58</v>
      </c>
      <c r="O37" s="12">
        <v>4723450.84</v>
      </c>
    </row>
    <row r="38" spans="1:15" x14ac:dyDescent="0.25">
      <c r="A38" s="10" t="s">
        <v>199</v>
      </c>
      <c r="B38" s="85"/>
      <c r="C38" s="10"/>
      <c r="D38" s="10"/>
      <c r="E38" s="11"/>
      <c r="F38" s="12"/>
      <c r="G38" s="12"/>
      <c r="H38" s="12"/>
      <c r="I38" s="10"/>
      <c r="J38" s="85"/>
      <c r="K38" s="85"/>
      <c r="L38" s="12">
        <f t="shared" ref="L38" si="30">M38+F37+F39</f>
        <v>29.669999999999998</v>
      </c>
      <c r="M38" s="12">
        <v>9.3699999999999992</v>
      </c>
      <c r="N38" s="12"/>
      <c r="O38" s="12"/>
    </row>
    <row r="39" spans="1:15" x14ac:dyDescent="0.25">
      <c r="A39" s="10" t="s">
        <v>200</v>
      </c>
      <c r="B39" s="85">
        <v>602.16</v>
      </c>
      <c r="C39" s="10"/>
      <c r="D39" s="10" t="s">
        <v>201</v>
      </c>
      <c r="E39" s="11">
        <v>152</v>
      </c>
      <c r="F39" s="12">
        <v>14.77</v>
      </c>
      <c r="G39" s="12">
        <v>29.45</v>
      </c>
      <c r="H39" s="12">
        <v>0.72</v>
      </c>
      <c r="I39" s="10">
        <f t="shared" ref="I39" si="31">F39*2-G39</f>
        <v>8.9999999999999858E-2</v>
      </c>
      <c r="J39" s="85">
        <v>587.39</v>
      </c>
      <c r="K39" s="85">
        <v>616.84</v>
      </c>
      <c r="L39" s="12"/>
      <c r="M39" s="12"/>
      <c r="N39" s="12">
        <v>317766.15000000002</v>
      </c>
      <c r="O39" s="12">
        <v>4723531.38</v>
      </c>
    </row>
    <row r="40" spans="1:15" x14ac:dyDescent="0.25">
      <c r="A40" s="10" t="s">
        <v>202</v>
      </c>
      <c r="B40" s="85"/>
      <c r="C40" s="10"/>
      <c r="D40" s="10"/>
      <c r="E40" s="11"/>
      <c r="F40" s="12"/>
      <c r="G40" s="12"/>
      <c r="H40" s="12"/>
      <c r="I40" s="10"/>
      <c r="J40" s="85"/>
      <c r="K40" s="85"/>
      <c r="L40" s="12">
        <f t="shared" ref="L40" si="32">M40+F39+F41</f>
        <v>35.15</v>
      </c>
      <c r="M40" s="12">
        <v>13.79</v>
      </c>
      <c r="N40" s="12"/>
      <c r="O40" s="12"/>
    </row>
    <row r="41" spans="1:15" x14ac:dyDescent="0.25">
      <c r="A41" s="10" t="s">
        <v>203</v>
      </c>
      <c r="B41" s="85">
        <v>637.22</v>
      </c>
      <c r="C41" s="10" t="s">
        <v>204</v>
      </c>
      <c r="D41" s="10"/>
      <c r="E41" s="11">
        <v>346</v>
      </c>
      <c r="F41" s="12">
        <v>6.59</v>
      </c>
      <c r="G41" s="12">
        <v>13.18</v>
      </c>
      <c r="H41" s="12">
        <v>0.06</v>
      </c>
      <c r="I41" s="10">
        <f t="shared" ref="I41" si="33">F41*2-G41</f>
        <v>0</v>
      </c>
      <c r="J41" s="85">
        <v>630.63</v>
      </c>
      <c r="K41" s="85">
        <v>643.80999999999995</v>
      </c>
      <c r="L41" s="12"/>
      <c r="M41" s="12"/>
      <c r="N41" s="12">
        <v>318031.57</v>
      </c>
      <c r="O41" s="12">
        <v>4723109.78</v>
      </c>
    </row>
    <row r="42" spans="1:15" x14ac:dyDescent="0.25">
      <c r="A42" s="10" t="s">
        <v>205</v>
      </c>
      <c r="B42" s="85"/>
      <c r="C42" s="10"/>
      <c r="D42" s="10"/>
      <c r="E42" s="11"/>
      <c r="F42" s="12"/>
      <c r="G42" s="12"/>
      <c r="H42" s="12"/>
      <c r="I42" s="10"/>
      <c r="J42" s="85"/>
      <c r="K42" s="85"/>
      <c r="L42" s="12">
        <f t="shared" ref="L42" si="34">M42+F41+F43</f>
        <v>93.41</v>
      </c>
      <c r="M42" s="12">
        <v>72.16</v>
      </c>
      <c r="N42" s="12"/>
      <c r="O42" s="12"/>
    </row>
    <row r="43" spans="1:15" x14ac:dyDescent="0.25">
      <c r="A43" s="10" t="s">
        <v>206</v>
      </c>
      <c r="B43" s="85">
        <v>730.62</v>
      </c>
      <c r="C43" s="10" t="s">
        <v>207</v>
      </c>
      <c r="D43" s="10"/>
      <c r="E43" s="11">
        <v>2907</v>
      </c>
      <c r="F43" s="12">
        <v>14.66</v>
      </c>
      <c r="G43" s="12">
        <v>29.32</v>
      </c>
      <c r="H43" s="12">
        <v>0.04</v>
      </c>
      <c r="I43" s="10">
        <f t="shared" ref="I43" si="35">F43*2-G43</f>
        <v>0</v>
      </c>
      <c r="J43" s="85">
        <v>715.97</v>
      </c>
      <c r="K43" s="85">
        <v>745.28</v>
      </c>
      <c r="L43" s="12"/>
      <c r="M43" s="12"/>
      <c r="N43" s="12">
        <v>319477.08</v>
      </c>
      <c r="O43" s="12">
        <v>4720994.5</v>
      </c>
    </row>
    <row r="44" spans="1:15" x14ac:dyDescent="0.25">
      <c r="A44" s="10" t="s">
        <v>208</v>
      </c>
      <c r="B44" s="85"/>
      <c r="C44" s="10"/>
      <c r="D44" s="10"/>
      <c r="E44" s="11"/>
      <c r="F44" s="12"/>
      <c r="G44" s="12"/>
      <c r="H44" s="12"/>
      <c r="I44" s="10"/>
      <c r="J44" s="85"/>
      <c r="K44" s="85"/>
      <c r="L44" s="12">
        <f t="shared" ref="L44" si="36">M44+F43+F45</f>
        <v>38.9</v>
      </c>
      <c r="M44" s="12">
        <v>20.25</v>
      </c>
      <c r="N44" s="12"/>
      <c r="O44" s="12"/>
    </row>
    <row r="45" spans="1:15" x14ac:dyDescent="0.25">
      <c r="A45" s="10" t="s">
        <v>209</v>
      </c>
      <c r="B45" s="85">
        <v>769.52</v>
      </c>
      <c r="C45" s="10"/>
      <c r="D45" s="10" t="s">
        <v>210</v>
      </c>
      <c r="E45" s="11">
        <v>66</v>
      </c>
      <c r="F45" s="12">
        <v>3.99</v>
      </c>
      <c r="G45" s="12">
        <v>7.97</v>
      </c>
      <c r="H45" s="12">
        <v>0.12</v>
      </c>
      <c r="I45" s="10">
        <f t="shared" ref="I45" si="37">F45*2-G45</f>
        <v>1.0000000000000675E-2</v>
      </c>
      <c r="J45" s="85">
        <v>765.53</v>
      </c>
      <c r="K45" s="85">
        <v>773.5</v>
      </c>
      <c r="L45" s="12"/>
      <c r="M45" s="12"/>
      <c r="N45" s="12">
        <v>317690.77</v>
      </c>
      <c r="O45" s="12">
        <v>4723371.0999999996</v>
      </c>
    </row>
    <row r="46" spans="1:15" x14ac:dyDescent="0.25">
      <c r="A46" s="10" t="s">
        <v>211</v>
      </c>
      <c r="B46" s="85"/>
      <c r="C46" s="10"/>
      <c r="D46" s="10"/>
      <c r="E46" s="11"/>
      <c r="F46" s="12"/>
      <c r="G46" s="12"/>
      <c r="H46" s="12"/>
      <c r="I46" s="10"/>
      <c r="J46" s="85"/>
      <c r="K46" s="85"/>
      <c r="L46" s="12">
        <f t="shared" ref="L46" si="38">M46+F45+F47</f>
        <v>11.4</v>
      </c>
      <c r="M46" s="12">
        <v>5.17</v>
      </c>
      <c r="N46" s="12"/>
      <c r="O46" s="12"/>
    </row>
    <row r="47" spans="1:15" x14ac:dyDescent="0.25">
      <c r="A47" s="10" t="s">
        <v>212</v>
      </c>
      <c r="B47" s="85">
        <v>780.91</v>
      </c>
      <c r="C47" s="10" t="s">
        <v>213</v>
      </c>
      <c r="D47" s="10"/>
      <c r="E47" s="11">
        <v>50</v>
      </c>
      <c r="F47" s="12">
        <v>2.2400000000000002</v>
      </c>
      <c r="G47" s="12">
        <v>4.49</v>
      </c>
      <c r="H47" s="12">
        <v>0.05</v>
      </c>
      <c r="I47" s="10">
        <f t="shared" ref="I47" si="39">F47*2-G47</f>
        <v>-9.9999999999997868E-3</v>
      </c>
      <c r="J47" s="85">
        <v>778.67</v>
      </c>
      <c r="K47" s="85">
        <v>783.15</v>
      </c>
      <c r="L47" s="12"/>
      <c r="M47" s="12"/>
      <c r="N47" s="12">
        <v>317743.61</v>
      </c>
      <c r="O47" s="12">
        <v>4723267.71</v>
      </c>
    </row>
    <row r="48" spans="1:15" x14ac:dyDescent="0.25">
      <c r="A48" s="10" t="s">
        <v>214</v>
      </c>
      <c r="B48" s="85"/>
      <c r="C48" s="10"/>
      <c r="D48" s="10"/>
      <c r="E48" s="11"/>
      <c r="F48" s="12"/>
      <c r="G48" s="12"/>
      <c r="H48" s="12"/>
      <c r="I48" s="10"/>
      <c r="J48" s="85"/>
      <c r="K48" s="85"/>
      <c r="L48" s="12">
        <f t="shared" ref="L48:L50" si="40">M48+F47+F49</f>
        <v>24.61</v>
      </c>
      <c r="M48" s="12">
        <v>16.2</v>
      </c>
      <c r="N48" s="12"/>
      <c r="O48" s="12"/>
    </row>
    <row r="49" spans="1:15" x14ac:dyDescent="0.25">
      <c r="A49" s="10" t="s">
        <v>215</v>
      </c>
      <c r="B49" s="85">
        <v>805.52</v>
      </c>
      <c r="C49" s="10" t="s">
        <v>216</v>
      </c>
      <c r="D49" s="10"/>
      <c r="E49" s="11">
        <v>254</v>
      </c>
      <c r="F49" s="12">
        <v>6.17</v>
      </c>
      <c r="G49" s="12">
        <v>12.34</v>
      </c>
      <c r="H49" s="12">
        <v>7.0000000000000007E-2</v>
      </c>
      <c r="I49" s="10">
        <f t="shared" ref="I49" si="41">F49*2-G49</f>
        <v>0</v>
      </c>
      <c r="J49" s="85">
        <v>799.35</v>
      </c>
      <c r="K49" s="85">
        <v>811.69</v>
      </c>
      <c r="L49" s="12"/>
      <c r="M49" s="12"/>
      <c r="N49" s="12">
        <v>317846.63</v>
      </c>
      <c r="O49" s="12">
        <v>4723090.8899999997</v>
      </c>
    </row>
    <row r="50" spans="1:15" x14ac:dyDescent="0.25">
      <c r="A50" s="10" t="s">
        <v>217</v>
      </c>
      <c r="B50" s="85"/>
      <c r="C50" s="10"/>
      <c r="D50" s="10"/>
      <c r="E50" s="11"/>
      <c r="F50" s="12"/>
      <c r="G50" s="12"/>
      <c r="H50" s="12"/>
      <c r="I50" s="10"/>
      <c r="J50" s="85"/>
      <c r="K50" s="85"/>
      <c r="L50" s="12">
        <f t="shared" si="40"/>
        <v>59.480000000000004</v>
      </c>
      <c r="M50" s="12">
        <v>53.31</v>
      </c>
      <c r="N50" s="12"/>
      <c r="O50" s="12"/>
    </row>
    <row r="51" spans="1:15" x14ac:dyDescent="0.25">
      <c r="A51" s="160" t="s">
        <v>101</v>
      </c>
      <c r="B51" s="161">
        <f>K49+M50</f>
        <v>865</v>
      </c>
      <c r="C51" s="162"/>
      <c r="D51" s="162"/>
      <c r="E51" s="163"/>
      <c r="F51" s="164"/>
      <c r="G51" s="164"/>
      <c r="H51" s="164"/>
      <c r="I51" s="162"/>
      <c r="J51" s="161"/>
      <c r="K51" s="161"/>
      <c r="L51" s="12"/>
      <c r="M51" s="164"/>
      <c r="N51" s="164">
        <v>317649.56809999997</v>
      </c>
      <c r="O51" s="164">
        <v>4723259.7807</v>
      </c>
    </row>
  </sheetData>
  <mergeCells count="7">
    <mergeCell ref="A1:O1"/>
    <mergeCell ref="A2:A3"/>
    <mergeCell ref="B2:D2"/>
    <mergeCell ref="E2:K2"/>
    <mergeCell ref="L2:L3"/>
    <mergeCell ref="M2:M3"/>
    <mergeCell ref="N2:O2"/>
  </mergeCells>
  <printOptions horizontalCentered="1"/>
  <pageMargins left="0.2" right="0.2" top="0.75" bottom="0.2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topLeftCell="A31" workbookViewId="0">
      <selection sqref="A1:H1"/>
    </sheetView>
  </sheetViews>
  <sheetFormatPr defaultRowHeight="15" x14ac:dyDescent="0.25"/>
  <cols>
    <col min="1" max="1" width="4.42578125" bestFit="1" customWidth="1"/>
    <col min="2" max="8" width="12.140625" customWidth="1"/>
  </cols>
  <sheetData>
    <row r="1" spans="1:8" s="20" customFormat="1" ht="30" customHeight="1" x14ac:dyDescent="0.25">
      <c r="A1" s="199" t="s">
        <v>10</v>
      </c>
      <c r="B1" s="199"/>
      <c r="C1" s="199"/>
      <c r="D1" s="199"/>
      <c r="E1" s="199"/>
      <c r="F1" s="199"/>
      <c r="G1" s="199"/>
      <c r="H1" s="199"/>
    </row>
    <row r="2" spans="1:8" s="21" customFormat="1" ht="60" x14ac:dyDescent="0.25">
      <c r="A2" s="115" t="s">
        <v>3</v>
      </c>
      <c r="B2" s="116" t="s">
        <v>4</v>
      </c>
      <c r="C2" s="116" t="s">
        <v>11</v>
      </c>
      <c r="D2" s="116" t="s">
        <v>12</v>
      </c>
      <c r="E2" s="116" t="s">
        <v>13</v>
      </c>
      <c r="F2" s="116" t="s">
        <v>132</v>
      </c>
      <c r="G2" s="116" t="s">
        <v>133</v>
      </c>
      <c r="H2" s="116" t="s">
        <v>134</v>
      </c>
    </row>
    <row r="3" spans="1:8" s="7" customFormat="1" x14ac:dyDescent="0.25">
      <c r="A3" s="47">
        <v>1</v>
      </c>
      <c r="B3" s="48">
        <v>2</v>
      </c>
      <c r="C3" s="48">
        <v>3</v>
      </c>
      <c r="D3" s="48">
        <v>4</v>
      </c>
      <c r="E3" s="47">
        <v>5</v>
      </c>
      <c r="F3" s="48">
        <v>6</v>
      </c>
      <c r="G3" s="48">
        <v>7</v>
      </c>
      <c r="H3" s="48">
        <v>8</v>
      </c>
    </row>
    <row r="4" spans="1:8" s="8" customFormat="1" ht="15.75" x14ac:dyDescent="0.25">
      <c r="A4" s="3">
        <v>1</v>
      </c>
      <c r="B4" s="79">
        <v>0</v>
      </c>
      <c r="C4" s="4">
        <v>2.37</v>
      </c>
      <c r="D4" s="4">
        <v>0</v>
      </c>
      <c r="E4" s="5">
        <v>0</v>
      </c>
      <c r="F4" s="4">
        <v>0</v>
      </c>
      <c r="G4" s="4">
        <v>0</v>
      </c>
      <c r="H4" s="5">
        <v>0</v>
      </c>
    </row>
    <row r="5" spans="1:8" s="8" customFormat="1" ht="15.75" x14ac:dyDescent="0.25">
      <c r="A5" s="3">
        <v>2</v>
      </c>
      <c r="B5" s="79">
        <v>20</v>
      </c>
      <c r="C5" s="4">
        <v>1.34</v>
      </c>
      <c r="D5" s="4">
        <v>37.01</v>
      </c>
      <c r="E5" s="5">
        <v>37.01</v>
      </c>
      <c r="F5" s="4">
        <v>0.05</v>
      </c>
      <c r="G5" s="4">
        <v>0.48</v>
      </c>
      <c r="H5" s="5">
        <v>0.48</v>
      </c>
    </row>
    <row r="6" spans="1:8" s="8" customFormat="1" ht="15.75" x14ac:dyDescent="0.25">
      <c r="A6" s="3">
        <v>3</v>
      </c>
      <c r="B6" s="79">
        <v>40</v>
      </c>
      <c r="C6" s="4">
        <v>1.96</v>
      </c>
      <c r="D6" s="4">
        <v>32.96</v>
      </c>
      <c r="E6" s="5">
        <v>69.97</v>
      </c>
      <c r="F6" s="4">
        <v>0.02</v>
      </c>
      <c r="G6" s="4">
        <v>0.67</v>
      </c>
      <c r="H6" s="5">
        <v>1.1499999999999999</v>
      </c>
    </row>
    <row r="7" spans="1:8" s="8" customFormat="1" ht="15.75" x14ac:dyDescent="0.25">
      <c r="A7" s="3">
        <v>4</v>
      </c>
      <c r="B7" s="79">
        <v>60</v>
      </c>
      <c r="C7" s="4">
        <v>1.69</v>
      </c>
      <c r="D7" s="4">
        <v>36.520000000000003</v>
      </c>
      <c r="E7" s="5">
        <v>106.49</v>
      </c>
      <c r="F7" s="4">
        <v>0.01</v>
      </c>
      <c r="G7" s="4">
        <v>0.3</v>
      </c>
      <c r="H7" s="5">
        <v>1.45</v>
      </c>
    </row>
    <row r="8" spans="1:8" s="8" customFormat="1" ht="15.75" x14ac:dyDescent="0.25">
      <c r="A8" s="3">
        <v>5</v>
      </c>
      <c r="B8" s="79">
        <v>80</v>
      </c>
      <c r="C8" s="4">
        <v>1.25</v>
      </c>
      <c r="D8" s="4">
        <v>29.64</v>
      </c>
      <c r="E8" s="5">
        <v>136.13</v>
      </c>
      <c r="F8" s="4">
        <v>0.04</v>
      </c>
      <c r="G8" s="4">
        <v>0.5</v>
      </c>
      <c r="H8" s="5">
        <v>1.95</v>
      </c>
    </row>
    <row r="9" spans="1:8" s="8" customFormat="1" ht="15.75" x14ac:dyDescent="0.25">
      <c r="A9" s="3">
        <v>6</v>
      </c>
      <c r="B9" s="79">
        <v>100</v>
      </c>
      <c r="C9" s="4">
        <v>2.2000000000000002</v>
      </c>
      <c r="D9" s="4">
        <v>34.6</v>
      </c>
      <c r="E9" s="5">
        <v>170.74</v>
      </c>
      <c r="F9" s="4">
        <v>0.09</v>
      </c>
      <c r="G9" s="4">
        <v>1.24</v>
      </c>
      <c r="H9" s="5">
        <v>3.19</v>
      </c>
    </row>
    <row r="10" spans="1:8" s="8" customFormat="1" ht="15.75" x14ac:dyDescent="0.25">
      <c r="A10" s="3">
        <v>7</v>
      </c>
      <c r="B10" s="79">
        <v>120</v>
      </c>
      <c r="C10" s="4">
        <v>1.7</v>
      </c>
      <c r="D10" s="4">
        <v>39.01</v>
      </c>
      <c r="E10" s="5">
        <v>209.75</v>
      </c>
      <c r="F10" s="4">
        <v>0</v>
      </c>
      <c r="G10" s="4">
        <v>0.87</v>
      </c>
      <c r="H10" s="5">
        <v>4.05</v>
      </c>
    </row>
    <row r="11" spans="1:8" s="8" customFormat="1" ht="15.75" x14ac:dyDescent="0.25">
      <c r="A11" s="3">
        <v>8</v>
      </c>
      <c r="B11" s="79">
        <v>140</v>
      </c>
      <c r="C11" s="4">
        <v>0.97</v>
      </c>
      <c r="D11" s="4">
        <v>26.72</v>
      </c>
      <c r="E11" s="5">
        <v>236.46</v>
      </c>
      <c r="F11" s="4">
        <v>0.21</v>
      </c>
      <c r="G11" s="4">
        <v>2.14</v>
      </c>
      <c r="H11" s="5">
        <v>6.19</v>
      </c>
    </row>
    <row r="12" spans="1:8" s="8" customFormat="1" ht="15.75" x14ac:dyDescent="0.25">
      <c r="A12" s="3">
        <v>9</v>
      </c>
      <c r="B12" s="79">
        <v>160</v>
      </c>
      <c r="C12" s="4">
        <v>1.96</v>
      </c>
      <c r="D12" s="4">
        <v>29.38</v>
      </c>
      <c r="E12" s="5">
        <v>265.85000000000002</v>
      </c>
      <c r="F12" s="4">
        <v>0</v>
      </c>
      <c r="G12" s="4">
        <v>2.15</v>
      </c>
      <c r="H12" s="5">
        <v>8.34</v>
      </c>
    </row>
    <row r="13" spans="1:8" s="8" customFormat="1" ht="15.75" x14ac:dyDescent="0.25">
      <c r="A13" s="3">
        <v>10</v>
      </c>
      <c r="B13" s="79">
        <v>180</v>
      </c>
      <c r="C13" s="4">
        <v>1.95</v>
      </c>
      <c r="D13" s="4">
        <v>38.99</v>
      </c>
      <c r="E13" s="5">
        <v>304.83999999999997</v>
      </c>
      <c r="F13" s="4">
        <v>0.02</v>
      </c>
      <c r="G13" s="4">
        <v>0.28999999999999998</v>
      </c>
      <c r="H13" s="5">
        <v>8.6300000000000008</v>
      </c>
    </row>
    <row r="14" spans="1:8" s="8" customFormat="1" ht="15.75" x14ac:dyDescent="0.25">
      <c r="A14" s="3">
        <v>11</v>
      </c>
      <c r="B14" s="79">
        <v>200</v>
      </c>
      <c r="C14" s="4">
        <v>1.57</v>
      </c>
      <c r="D14" s="4">
        <v>35.08</v>
      </c>
      <c r="E14" s="5">
        <v>339.92</v>
      </c>
      <c r="F14" s="4">
        <v>0.06</v>
      </c>
      <c r="G14" s="4">
        <v>0.85</v>
      </c>
      <c r="H14" s="5">
        <v>9.48</v>
      </c>
    </row>
    <row r="15" spans="1:8" s="8" customFormat="1" ht="15.75" x14ac:dyDescent="0.25">
      <c r="A15" s="3">
        <v>12</v>
      </c>
      <c r="B15" s="79">
        <v>220</v>
      </c>
      <c r="C15" s="4">
        <v>0.94</v>
      </c>
      <c r="D15" s="4">
        <v>25.07</v>
      </c>
      <c r="E15" s="5">
        <v>364.99</v>
      </c>
      <c r="F15" s="4">
        <v>7.0000000000000007E-2</v>
      </c>
      <c r="G15" s="4">
        <v>1.3</v>
      </c>
      <c r="H15" s="5">
        <v>10.78</v>
      </c>
    </row>
    <row r="16" spans="1:8" s="8" customFormat="1" ht="15.75" x14ac:dyDescent="0.25">
      <c r="A16" s="3">
        <v>13</v>
      </c>
      <c r="B16" s="79">
        <v>240</v>
      </c>
      <c r="C16" s="4">
        <v>1.43</v>
      </c>
      <c r="D16" s="4">
        <v>23.72</v>
      </c>
      <c r="E16" s="5">
        <v>388.71</v>
      </c>
      <c r="F16" s="4">
        <v>0</v>
      </c>
      <c r="G16" s="4">
        <v>0.72</v>
      </c>
      <c r="H16" s="5">
        <v>11.5</v>
      </c>
    </row>
    <row r="17" spans="1:8" s="8" customFormat="1" ht="15.75" x14ac:dyDescent="0.25">
      <c r="A17" s="3">
        <v>14</v>
      </c>
      <c r="B17" s="79">
        <v>260</v>
      </c>
      <c r="C17" s="30">
        <v>1.67</v>
      </c>
      <c r="D17" s="30">
        <v>31</v>
      </c>
      <c r="E17" s="14">
        <v>419.7</v>
      </c>
      <c r="F17" s="30">
        <v>0</v>
      </c>
      <c r="G17" s="30">
        <v>0.04</v>
      </c>
      <c r="H17" s="14">
        <v>11.54</v>
      </c>
    </row>
    <row r="18" spans="1:8" s="8" customFormat="1" ht="15.75" x14ac:dyDescent="0.25">
      <c r="A18" s="3">
        <v>15</v>
      </c>
      <c r="B18" s="79">
        <v>280</v>
      </c>
      <c r="C18" s="31">
        <v>1.36</v>
      </c>
      <c r="D18" s="31">
        <v>30.25</v>
      </c>
      <c r="E18" s="5">
        <v>449.95</v>
      </c>
      <c r="F18" s="31">
        <v>0.03</v>
      </c>
      <c r="G18" s="31">
        <v>0.32</v>
      </c>
      <c r="H18" s="5">
        <v>11.86</v>
      </c>
    </row>
    <row r="19" spans="1:8" s="8" customFormat="1" ht="15.75" x14ac:dyDescent="0.25">
      <c r="A19" s="3">
        <v>16</v>
      </c>
      <c r="B19" s="79">
        <v>300</v>
      </c>
      <c r="C19" s="31">
        <v>1.42</v>
      </c>
      <c r="D19" s="31">
        <v>27.93</v>
      </c>
      <c r="E19" s="5">
        <v>477.88</v>
      </c>
      <c r="F19" s="31">
        <v>0.02</v>
      </c>
      <c r="G19" s="31">
        <v>0.46</v>
      </c>
      <c r="H19" s="5">
        <v>12.32</v>
      </c>
    </row>
    <row r="20" spans="1:8" s="8" customFormat="1" ht="15.75" x14ac:dyDescent="0.25">
      <c r="A20" s="3">
        <v>17</v>
      </c>
      <c r="B20" s="79">
        <v>320</v>
      </c>
      <c r="C20" s="4">
        <v>2.41</v>
      </c>
      <c r="D20" s="4">
        <v>38.43</v>
      </c>
      <c r="E20" s="5">
        <v>516.30999999999995</v>
      </c>
      <c r="F20" s="4">
        <v>0</v>
      </c>
      <c r="G20" s="4">
        <v>0.24</v>
      </c>
      <c r="H20" s="5">
        <v>12.56</v>
      </c>
    </row>
    <row r="21" spans="1:8" s="8" customFormat="1" ht="15.75" x14ac:dyDescent="0.25">
      <c r="A21" s="3">
        <v>18</v>
      </c>
      <c r="B21" s="79">
        <v>340</v>
      </c>
      <c r="C21" s="4">
        <v>1.39</v>
      </c>
      <c r="D21" s="4">
        <v>38.869999999999997</v>
      </c>
      <c r="E21" s="5">
        <v>555.17999999999995</v>
      </c>
      <c r="F21" s="4">
        <v>0.15</v>
      </c>
      <c r="G21" s="4">
        <v>1.28</v>
      </c>
      <c r="H21" s="5">
        <v>13.84</v>
      </c>
    </row>
    <row r="22" spans="1:8" s="8" customFormat="1" ht="15.75" x14ac:dyDescent="0.25">
      <c r="A22" s="3">
        <v>19</v>
      </c>
      <c r="B22" s="79">
        <v>360</v>
      </c>
      <c r="C22" s="4">
        <v>1.28</v>
      </c>
      <c r="D22" s="4">
        <v>26.66</v>
      </c>
      <c r="E22" s="5">
        <v>581.84</v>
      </c>
      <c r="F22" s="4">
        <v>0.03</v>
      </c>
      <c r="G22" s="4">
        <v>1.83</v>
      </c>
      <c r="H22" s="5">
        <v>15.67</v>
      </c>
    </row>
    <row r="23" spans="1:8" s="8" customFormat="1" ht="15.75" x14ac:dyDescent="0.25">
      <c r="A23" s="3">
        <v>20</v>
      </c>
      <c r="B23" s="79">
        <v>380</v>
      </c>
      <c r="C23" s="4">
        <v>1.59</v>
      </c>
      <c r="D23" s="4">
        <v>28.72</v>
      </c>
      <c r="E23" s="5">
        <v>610.55999999999995</v>
      </c>
      <c r="F23" s="4">
        <v>0.05</v>
      </c>
      <c r="G23" s="4">
        <v>0.85</v>
      </c>
      <c r="H23" s="5">
        <v>16.52</v>
      </c>
    </row>
    <row r="24" spans="1:8" s="8" customFormat="1" ht="15.75" x14ac:dyDescent="0.25">
      <c r="A24" s="3">
        <v>21</v>
      </c>
      <c r="B24" s="79">
        <v>400</v>
      </c>
      <c r="C24" s="4">
        <v>1.34</v>
      </c>
      <c r="D24" s="4">
        <v>29.28</v>
      </c>
      <c r="E24" s="5">
        <v>639.83000000000004</v>
      </c>
      <c r="F24" s="4">
        <v>7.0000000000000007E-2</v>
      </c>
      <c r="G24" s="4">
        <v>1.2</v>
      </c>
      <c r="H24" s="5">
        <v>17.72</v>
      </c>
    </row>
    <row r="25" spans="1:8" s="8" customFormat="1" ht="15.75" x14ac:dyDescent="0.25">
      <c r="A25" s="3">
        <v>22</v>
      </c>
      <c r="B25" s="79">
        <v>420</v>
      </c>
      <c r="C25" s="4">
        <v>1.56</v>
      </c>
      <c r="D25" s="4">
        <v>28.97</v>
      </c>
      <c r="E25" s="5">
        <v>668.8</v>
      </c>
      <c r="F25" s="4">
        <v>0.02</v>
      </c>
      <c r="G25" s="4">
        <v>0.83</v>
      </c>
      <c r="H25" s="5">
        <v>18.559999999999999</v>
      </c>
    </row>
    <row r="26" spans="1:8" s="8" customFormat="1" ht="15.75" x14ac:dyDescent="0.25">
      <c r="A26" s="3">
        <v>23</v>
      </c>
      <c r="B26" s="79">
        <v>440</v>
      </c>
      <c r="C26" s="4">
        <v>1.39</v>
      </c>
      <c r="D26" s="4">
        <v>29.55</v>
      </c>
      <c r="E26" s="5">
        <v>698.35</v>
      </c>
      <c r="F26" s="4">
        <v>0.05</v>
      </c>
      <c r="G26" s="4">
        <v>0.62</v>
      </c>
      <c r="H26" s="5">
        <v>19.18</v>
      </c>
    </row>
    <row r="27" spans="1:8" s="8" customFormat="1" ht="15.75" x14ac:dyDescent="0.25">
      <c r="A27" s="3">
        <v>24</v>
      </c>
      <c r="B27" s="79">
        <v>460</v>
      </c>
      <c r="C27" s="4">
        <v>1.39</v>
      </c>
      <c r="D27" s="4">
        <v>27.8</v>
      </c>
      <c r="E27" s="5">
        <v>726.15</v>
      </c>
      <c r="F27" s="4">
        <v>0.12</v>
      </c>
      <c r="G27" s="4">
        <v>1.72</v>
      </c>
      <c r="H27" s="5">
        <v>20.9</v>
      </c>
    </row>
    <row r="28" spans="1:8" s="8" customFormat="1" ht="15.75" x14ac:dyDescent="0.25">
      <c r="A28" s="3">
        <v>25</v>
      </c>
      <c r="B28" s="79">
        <v>480</v>
      </c>
      <c r="C28" s="4">
        <v>1.23</v>
      </c>
      <c r="D28" s="4">
        <v>26.22</v>
      </c>
      <c r="E28" s="5">
        <v>752.37</v>
      </c>
      <c r="F28" s="4">
        <v>0.16</v>
      </c>
      <c r="G28" s="4">
        <v>2.86</v>
      </c>
      <c r="H28" s="5">
        <v>23.76</v>
      </c>
    </row>
    <row r="29" spans="1:8" s="8" customFormat="1" ht="15.75" x14ac:dyDescent="0.25">
      <c r="A29" s="3">
        <v>26</v>
      </c>
      <c r="B29" s="79">
        <v>500</v>
      </c>
      <c r="C29" s="4">
        <v>0.91</v>
      </c>
      <c r="D29" s="4">
        <v>21.46</v>
      </c>
      <c r="E29" s="5">
        <v>773.83</v>
      </c>
      <c r="F29" s="4">
        <v>0.15</v>
      </c>
      <c r="G29" s="4">
        <v>3.15</v>
      </c>
      <c r="H29" s="5">
        <v>26.9</v>
      </c>
    </row>
    <row r="30" spans="1:8" s="8" customFormat="1" ht="15.75" x14ac:dyDescent="0.25">
      <c r="A30" s="3">
        <v>27</v>
      </c>
      <c r="B30" s="79">
        <v>520</v>
      </c>
      <c r="C30" s="4">
        <v>1.56</v>
      </c>
      <c r="D30" s="4">
        <v>24.77</v>
      </c>
      <c r="E30" s="5">
        <v>798.61</v>
      </c>
      <c r="F30" s="4">
        <v>0.01</v>
      </c>
      <c r="G30" s="4">
        <v>1.66</v>
      </c>
      <c r="H30" s="5">
        <v>28.56</v>
      </c>
    </row>
    <row r="31" spans="1:8" s="8" customFormat="1" ht="15.75" x14ac:dyDescent="0.25">
      <c r="A31" s="3">
        <v>28</v>
      </c>
      <c r="B31" s="79">
        <v>540</v>
      </c>
      <c r="C31" s="4">
        <v>2</v>
      </c>
      <c r="D31" s="4">
        <v>35.65</v>
      </c>
      <c r="E31" s="5">
        <v>834.25</v>
      </c>
      <c r="F31" s="4">
        <v>0</v>
      </c>
      <c r="G31" s="4">
        <v>0.13</v>
      </c>
      <c r="H31" s="5">
        <v>28.69</v>
      </c>
    </row>
    <row r="32" spans="1:8" s="8" customFormat="1" ht="15.75" x14ac:dyDescent="0.25">
      <c r="A32" s="3">
        <v>29</v>
      </c>
      <c r="B32" s="79">
        <v>560</v>
      </c>
      <c r="C32" s="30">
        <v>2.0299999999999998</v>
      </c>
      <c r="D32" s="30">
        <v>40.299999999999997</v>
      </c>
      <c r="E32" s="14">
        <v>874.55</v>
      </c>
      <c r="F32" s="30">
        <v>0.05</v>
      </c>
      <c r="G32" s="30">
        <v>0.48</v>
      </c>
      <c r="H32" s="14">
        <v>29.17</v>
      </c>
    </row>
    <row r="33" spans="1:8" s="8" customFormat="1" ht="15.75" x14ac:dyDescent="0.25">
      <c r="A33" s="3">
        <v>30</v>
      </c>
      <c r="B33" s="79">
        <v>580</v>
      </c>
      <c r="C33" s="31">
        <v>0.2</v>
      </c>
      <c r="D33" s="31">
        <v>22.3</v>
      </c>
      <c r="E33" s="5">
        <v>896.85</v>
      </c>
      <c r="F33" s="31">
        <v>0.28999999999999998</v>
      </c>
      <c r="G33" s="31">
        <v>3.5</v>
      </c>
      <c r="H33" s="5">
        <v>32.67</v>
      </c>
    </row>
    <row r="34" spans="1:8" s="8" customFormat="1" ht="15.75" x14ac:dyDescent="0.25">
      <c r="A34" s="3">
        <v>31</v>
      </c>
      <c r="B34" s="79">
        <v>600</v>
      </c>
      <c r="C34" s="31">
        <v>0.71</v>
      </c>
      <c r="D34" s="31">
        <v>9.1199999999999992</v>
      </c>
      <c r="E34" s="5">
        <v>905.97</v>
      </c>
      <c r="F34" s="31">
        <v>0.18</v>
      </c>
      <c r="G34" s="31">
        <v>4.75</v>
      </c>
      <c r="H34" s="5">
        <v>37.43</v>
      </c>
    </row>
    <row r="35" spans="1:8" s="8" customFormat="1" ht="15.75" x14ac:dyDescent="0.25">
      <c r="A35" s="3">
        <v>32</v>
      </c>
      <c r="B35" s="79">
        <v>620</v>
      </c>
      <c r="C35" s="4">
        <v>1.29</v>
      </c>
      <c r="D35" s="4">
        <v>20.010000000000002</v>
      </c>
      <c r="E35" s="5">
        <v>925.98</v>
      </c>
      <c r="F35" s="4">
        <v>0.05</v>
      </c>
      <c r="G35" s="4">
        <v>2.34</v>
      </c>
      <c r="H35" s="5">
        <v>39.770000000000003</v>
      </c>
    </row>
    <row r="36" spans="1:8" s="8" customFormat="1" ht="15.75" x14ac:dyDescent="0.25">
      <c r="A36" s="3">
        <v>33</v>
      </c>
      <c r="B36" s="79">
        <v>640</v>
      </c>
      <c r="C36" s="4">
        <v>1.67</v>
      </c>
      <c r="D36" s="4">
        <v>29.59</v>
      </c>
      <c r="E36" s="5">
        <v>955.57</v>
      </c>
      <c r="F36" s="4">
        <v>0.04</v>
      </c>
      <c r="G36" s="4">
        <v>0.89</v>
      </c>
      <c r="H36" s="5">
        <v>40.659999999999997</v>
      </c>
    </row>
    <row r="37" spans="1:8" s="8" customFormat="1" ht="15.75" x14ac:dyDescent="0.25">
      <c r="A37" s="3">
        <v>34</v>
      </c>
      <c r="B37" s="79">
        <v>660</v>
      </c>
      <c r="C37" s="4">
        <v>1.86</v>
      </c>
      <c r="D37" s="4">
        <v>35.36</v>
      </c>
      <c r="E37" s="5">
        <v>990.93</v>
      </c>
      <c r="F37" s="4">
        <v>0.03</v>
      </c>
      <c r="G37" s="4">
        <v>0.73</v>
      </c>
      <c r="H37" s="5">
        <v>41.38</v>
      </c>
    </row>
    <row r="38" spans="1:8" s="8" customFormat="1" ht="15.75" x14ac:dyDescent="0.25">
      <c r="A38" s="3">
        <v>35</v>
      </c>
      <c r="B38" s="79">
        <v>680</v>
      </c>
      <c r="C38" s="4">
        <v>1.57</v>
      </c>
      <c r="D38" s="4">
        <v>34.33</v>
      </c>
      <c r="E38" s="5">
        <v>1025.26</v>
      </c>
      <c r="F38" s="4">
        <v>0.08</v>
      </c>
      <c r="G38" s="4">
        <v>1.17</v>
      </c>
      <c r="H38" s="5">
        <v>42.55</v>
      </c>
    </row>
    <row r="39" spans="1:8" s="8" customFormat="1" ht="15.75" x14ac:dyDescent="0.25">
      <c r="A39" s="3">
        <v>36</v>
      </c>
      <c r="B39" s="79">
        <v>700</v>
      </c>
      <c r="C39" s="4">
        <v>1.53</v>
      </c>
      <c r="D39" s="4">
        <v>31.02</v>
      </c>
      <c r="E39" s="5">
        <v>1056.29</v>
      </c>
      <c r="F39" s="4">
        <v>0.02</v>
      </c>
      <c r="G39" s="4">
        <v>1.03</v>
      </c>
      <c r="H39" s="5">
        <v>43.58</v>
      </c>
    </row>
    <row r="40" spans="1:8" s="8" customFormat="1" ht="15.75" x14ac:dyDescent="0.25">
      <c r="A40" s="3">
        <v>37</v>
      </c>
      <c r="B40" s="79">
        <v>720</v>
      </c>
      <c r="C40" s="4">
        <v>1.86</v>
      </c>
      <c r="D40" s="4">
        <v>33.9</v>
      </c>
      <c r="E40" s="5">
        <v>1090.18</v>
      </c>
      <c r="F40" s="4">
        <v>0</v>
      </c>
      <c r="G40" s="4">
        <v>0.24</v>
      </c>
      <c r="H40" s="5">
        <v>43.82</v>
      </c>
    </row>
    <row r="41" spans="1:8" s="8" customFormat="1" ht="15.75" x14ac:dyDescent="0.25">
      <c r="A41" s="3">
        <v>38</v>
      </c>
      <c r="B41" s="79">
        <v>740</v>
      </c>
      <c r="C41" s="4">
        <v>2.0099999999999998</v>
      </c>
      <c r="D41" s="4">
        <v>38.71</v>
      </c>
      <c r="E41" s="5">
        <v>1128.8900000000001</v>
      </c>
      <c r="F41" s="4">
        <v>0.08</v>
      </c>
      <c r="G41" s="4">
        <v>0.81</v>
      </c>
      <c r="H41" s="5">
        <v>44.62</v>
      </c>
    </row>
    <row r="42" spans="1:8" s="8" customFormat="1" ht="15.75" x14ac:dyDescent="0.25">
      <c r="A42" s="3">
        <v>39</v>
      </c>
      <c r="B42" s="79">
        <v>760</v>
      </c>
      <c r="C42" s="4">
        <v>1.68</v>
      </c>
      <c r="D42" s="4">
        <v>36.909999999999997</v>
      </c>
      <c r="E42" s="5">
        <v>1165.81</v>
      </c>
      <c r="F42" s="4">
        <v>0.02</v>
      </c>
      <c r="G42" s="4">
        <v>0.99</v>
      </c>
      <c r="H42" s="5">
        <v>45.61</v>
      </c>
    </row>
    <row r="43" spans="1:8" s="8" customFormat="1" ht="15.75" x14ac:dyDescent="0.25">
      <c r="A43" s="3">
        <v>40</v>
      </c>
      <c r="B43" s="79">
        <v>780</v>
      </c>
      <c r="C43" s="4">
        <v>1.29</v>
      </c>
      <c r="D43" s="4">
        <v>29.77</v>
      </c>
      <c r="E43" s="5">
        <v>1195.57</v>
      </c>
      <c r="F43" s="4">
        <v>0.04</v>
      </c>
      <c r="G43" s="4">
        <v>0.57999999999999996</v>
      </c>
      <c r="H43" s="5">
        <v>46.19</v>
      </c>
    </row>
    <row r="44" spans="1:8" s="8" customFormat="1" ht="15.75" x14ac:dyDescent="0.25">
      <c r="A44" s="3">
        <v>41</v>
      </c>
      <c r="B44" s="79">
        <v>800</v>
      </c>
      <c r="C44" s="4">
        <v>1.42</v>
      </c>
      <c r="D44" s="4">
        <v>27.13</v>
      </c>
      <c r="E44" s="5">
        <v>1222.7</v>
      </c>
      <c r="F44" s="4">
        <v>7.0000000000000007E-2</v>
      </c>
      <c r="G44" s="4">
        <v>1.1100000000000001</v>
      </c>
      <c r="H44" s="5">
        <v>47.3</v>
      </c>
    </row>
    <row r="45" spans="1:8" s="8" customFormat="1" ht="15.75" x14ac:dyDescent="0.25">
      <c r="A45" s="3">
        <v>42</v>
      </c>
      <c r="B45" s="79">
        <v>820</v>
      </c>
      <c r="C45" s="4">
        <v>1.85</v>
      </c>
      <c r="D45" s="4">
        <v>32.75</v>
      </c>
      <c r="E45" s="5">
        <v>1255.45</v>
      </c>
      <c r="F45" s="4">
        <v>0</v>
      </c>
      <c r="G45" s="4">
        <v>0.84</v>
      </c>
      <c r="H45" s="5">
        <v>48.14</v>
      </c>
    </row>
    <row r="46" spans="1:8" s="8" customFormat="1" ht="15.75" x14ac:dyDescent="0.25">
      <c r="A46" s="3">
        <v>43</v>
      </c>
      <c r="B46" s="79">
        <v>840</v>
      </c>
      <c r="C46" s="4">
        <v>2</v>
      </c>
      <c r="D46" s="4">
        <v>38.54</v>
      </c>
      <c r="E46" s="5">
        <v>1294</v>
      </c>
      <c r="F46" s="4">
        <v>0</v>
      </c>
      <c r="G46" s="4">
        <v>0.18</v>
      </c>
      <c r="H46" s="5">
        <v>48.32</v>
      </c>
    </row>
    <row r="47" spans="1:8" s="8" customFormat="1" ht="15.75" x14ac:dyDescent="0.25">
      <c r="A47" s="3">
        <v>44</v>
      </c>
      <c r="B47" s="79">
        <v>860</v>
      </c>
      <c r="C47" s="30">
        <v>2.0299999999999998</v>
      </c>
      <c r="D47" s="30">
        <v>40.299999999999997</v>
      </c>
      <c r="E47" s="14">
        <v>1334.3</v>
      </c>
      <c r="F47" s="30">
        <v>0</v>
      </c>
      <c r="G47" s="30">
        <v>0.16</v>
      </c>
      <c r="H47" s="14">
        <v>48.48</v>
      </c>
    </row>
    <row r="48" spans="1:8" s="8" customFormat="1" ht="18.75" x14ac:dyDescent="0.25">
      <c r="A48" s="3">
        <v>45</v>
      </c>
      <c r="B48" s="79">
        <v>865.00099999999998</v>
      </c>
      <c r="C48" s="31">
        <v>2.23</v>
      </c>
      <c r="D48" s="31">
        <v>10.66</v>
      </c>
      <c r="E48" s="6">
        <v>1344.96</v>
      </c>
      <c r="F48" s="31">
        <v>0</v>
      </c>
      <c r="G48" s="31">
        <v>0.02</v>
      </c>
      <c r="H48" s="6">
        <v>48.49</v>
      </c>
    </row>
  </sheetData>
  <mergeCells count="1">
    <mergeCell ref="A1:H1"/>
  </mergeCells>
  <pageMargins left="0.7" right="0.7" top="0.5" bottom="0.2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topLeftCell="A55" workbookViewId="0">
      <selection sqref="A1:K1"/>
    </sheetView>
  </sheetViews>
  <sheetFormatPr defaultRowHeight="15" x14ac:dyDescent="0.25"/>
  <cols>
    <col min="1" max="1" width="4" bestFit="1" customWidth="1"/>
    <col min="2" max="2" width="14.28515625" customWidth="1"/>
    <col min="3" max="3" width="8.5703125" customWidth="1"/>
    <col min="4" max="11" width="7.85546875" customWidth="1"/>
  </cols>
  <sheetData>
    <row r="1" spans="1:11" s="19" customFormat="1" ht="30" customHeight="1" x14ac:dyDescent="0.25">
      <c r="A1" s="199" t="s">
        <v>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19" customFormat="1" x14ac:dyDescent="0.25">
      <c r="A2" s="189" t="s">
        <v>3</v>
      </c>
      <c r="B2" s="201" t="s">
        <v>4</v>
      </c>
      <c r="C2" s="202" t="s">
        <v>93</v>
      </c>
      <c r="D2" s="201" t="s">
        <v>94</v>
      </c>
      <c r="E2" s="201"/>
      <c r="F2" s="201"/>
      <c r="G2" s="201"/>
      <c r="H2" s="201" t="s">
        <v>95</v>
      </c>
      <c r="I2" s="201"/>
      <c r="J2" s="201"/>
      <c r="K2" s="201"/>
    </row>
    <row r="3" spans="1:11" s="19" customFormat="1" ht="30" customHeight="1" x14ac:dyDescent="0.25">
      <c r="A3" s="189"/>
      <c r="B3" s="201"/>
      <c r="C3" s="202"/>
      <c r="D3" s="200" t="s">
        <v>96</v>
      </c>
      <c r="E3" s="200" t="s">
        <v>97</v>
      </c>
      <c r="F3" s="201" t="s">
        <v>98</v>
      </c>
      <c r="G3" s="201"/>
      <c r="H3" s="200" t="s">
        <v>96</v>
      </c>
      <c r="I3" s="200" t="s">
        <v>97</v>
      </c>
      <c r="J3" s="201" t="s">
        <v>98</v>
      </c>
      <c r="K3" s="201"/>
    </row>
    <row r="4" spans="1:11" s="19" customFormat="1" ht="75" customHeight="1" x14ac:dyDescent="0.25">
      <c r="A4" s="189"/>
      <c r="B4" s="201"/>
      <c r="C4" s="202"/>
      <c r="D4" s="200"/>
      <c r="E4" s="200"/>
      <c r="F4" s="74" t="s">
        <v>16</v>
      </c>
      <c r="G4" s="74" t="s">
        <v>17</v>
      </c>
      <c r="H4" s="200"/>
      <c r="I4" s="200"/>
      <c r="J4" s="74" t="s">
        <v>16</v>
      </c>
      <c r="K4" s="74" t="s">
        <v>17</v>
      </c>
    </row>
    <row r="5" spans="1:11" x14ac:dyDescent="0.25">
      <c r="A5" s="47">
        <v>1</v>
      </c>
      <c r="B5" s="48">
        <v>2</v>
      </c>
      <c r="C5" s="47">
        <v>3</v>
      </c>
      <c r="D5" s="48">
        <v>4</v>
      </c>
      <c r="E5" s="47">
        <v>5</v>
      </c>
      <c r="F5" s="48">
        <v>6</v>
      </c>
      <c r="G5" s="47">
        <v>7</v>
      </c>
      <c r="H5" s="48">
        <v>8</v>
      </c>
      <c r="I5" s="47">
        <v>9</v>
      </c>
      <c r="J5" s="48">
        <v>10</v>
      </c>
      <c r="K5" s="47">
        <v>11</v>
      </c>
    </row>
    <row r="6" spans="1:11" x14ac:dyDescent="0.25">
      <c r="A6" s="69">
        <v>1</v>
      </c>
      <c r="B6" s="75">
        <v>0</v>
      </c>
      <c r="C6" s="15"/>
      <c r="D6" s="15">
        <v>4.5</v>
      </c>
      <c r="E6" s="15">
        <f t="shared" ref="E6:E54" si="0">IF(D6&gt;4,D6+0.52,D6+0.32)</f>
        <v>5.0199999999999996</v>
      </c>
      <c r="F6" s="15">
        <v>0.5</v>
      </c>
      <c r="G6" s="15">
        <v>0.5</v>
      </c>
      <c r="H6" s="15"/>
      <c r="I6" s="15"/>
      <c r="J6" s="15"/>
      <c r="K6" s="15"/>
    </row>
    <row r="7" spans="1:11" x14ac:dyDescent="0.25">
      <c r="A7" s="69">
        <v>2</v>
      </c>
      <c r="B7" s="75">
        <v>20</v>
      </c>
      <c r="C7" s="15">
        <f t="shared" ref="C7:C54" si="1">B7-B6</f>
        <v>20</v>
      </c>
      <c r="D7" s="15">
        <v>4.5</v>
      </c>
      <c r="E7" s="15">
        <f t="shared" si="0"/>
        <v>5.0199999999999996</v>
      </c>
      <c r="F7" s="15">
        <v>0.5</v>
      </c>
      <c r="G7" s="15">
        <v>0.5</v>
      </c>
      <c r="H7" s="15">
        <f>C7*(D6+D7)/2</f>
        <v>90</v>
      </c>
      <c r="I7" s="15">
        <f>C7*(E6+E7)/2</f>
        <v>100.39999999999999</v>
      </c>
      <c r="J7" s="15">
        <f>C7*(F6+F7)/2</f>
        <v>10</v>
      </c>
      <c r="K7" s="15">
        <f>C7*(G6+G7)/2</f>
        <v>10</v>
      </c>
    </row>
    <row r="8" spans="1:11" s="103" customFormat="1" x14ac:dyDescent="0.25">
      <c r="A8" s="159">
        <v>3</v>
      </c>
      <c r="B8" s="75">
        <v>40</v>
      </c>
      <c r="C8" s="15">
        <f t="shared" si="1"/>
        <v>20</v>
      </c>
      <c r="D8" s="134">
        <v>4.5</v>
      </c>
      <c r="E8" s="15">
        <f t="shared" si="0"/>
        <v>5.0199999999999996</v>
      </c>
      <c r="F8" s="134">
        <v>0.5</v>
      </c>
      <c r="G8" s="134">
        <v>0.5</v>
      </c>
      <c r="H8" s="15">
        <f t="shared" ref="H8:H54" si="2">C8*(D7+D8)/2</f>
        <v>90</v>
      </c>
      <c r="I8" s="15">
        <f t="shared" ref="I8:I54" si="3">C8*(E7+E8)/2</f>
        <v>100.39999999999999</v>
      </c>
      <c r="J8" s="15">
        <f t="shared" ref="J8:J54" si="4">C8*(F7+F8)/2</f>
        <v>10</v>
      </c>
      <c r="K8" s="15">
        <f t="shared" ref="K8:K54" si="5">C8*(G7+G8)/2</f>
        <v>10</v>
      </c>
    </row>
    <row r="9" spans="1:11" s="103" customFormat="1" x14ac:dyDescent="0.25">
      <c r="A9" s="159">
        <v>4</v>
      </c>
      <c r="B9" s="75">
        <v>60</v>
      </c>
      <c r="C9" s="15">
        <f t="shared" si="1"/>
        <v>20</v>
      </c>
      <c r="D9" s="134">
        <v>4.5</v>
      </c>
      <c r="E9" s="15">
        <f t="shared" si="0"/>
        <v>5.0199999999999996</v>
      </c>
      <c r="F9" s="134">
        <v>0.5</v>
      </c>
      <c r="G9" s="134">
        <v>0.5</v>
      </c>
      <c r="H9" s="15">
        <f t="shared" si="2"/>
        <v>90</v>
      </c>
      <c r="I9" s="15">
        <f t="shared" si="3"/>
        <v>100.39999999999999</v>
      </c>
      <c r="J9" s="15">
        <f t="shared" si="4"/>
        <v>10</v>
      </c>
      <c r="K9" s="15">
        <f t="shared" si="5"/>
        <v>10</v>
      </c>
    </row>
    <row r="10" spans="1:11" s="103" customFormat="1" x14ac:dyDescent="0.25">
      <c r="A10" s="159">
        <v>5</v>
      </c>
      <c r="B10" s="75">
        <v>80</v>
      </c>
      <c r="C10" s="15">
        <f t="shared" si="1"/>
        <v>20</v>
      </c>
      <c r="D10" s="134">
        <v>4.5</v>
      </c>
      <c r="E10" s="15">
        <f t="shared" si="0"/>
        <v>5.0199999999999996</v>
      </c>
      <c r="F10" s="134">
        <v>0.5</v>
      </c>
      <c r="G10" s="134">
        <v>6.899999999999995E-2</v>
      </c>
      <c r="H10" s="15">
        <f t="shared" si="2"/>
        <v>90</v>
      </c>
      <c r="I10" s="15">
        <f t="shared" si="3"/>
        <v>100.39999999999999</v>
      </c>
      <c r="J10" s="15">
        <f t="shared" si="4"/>
        <v>10</v>
      </c>
      <c r="K10" s="15">
        <f t="shared" si="5"/>
        <v>5.6899999999999995</v>
      </c>
    </row>
    <row r="11" spans="1:11" s="103" customFormat="1" x14ac:dyDescent="0.25">
      <c r="A11" s="159">
        <v>6</v>
      </c>
      <c r="B11" s="75">
        <v>95.5</v>
      </c>
      <c r="C11" s="15">
        <f t="shared" si="1"/>
        <v>15.5</v>
      </c>
      <c r="D11" s="134">
        <v>4.5</v>
      </c>
      <c r="E11" s="15">
        <f t="shared" ref="E11" si="6">IF(D11&gt;4,D11+0.52,D11+0.32)</f>
        <v>5.0199999999999996</v>
      </c>
      <c r="F11" s="134">
        <v>0.5</v>
      </c>
      <c r="G11" s="134">
        <v>6.899999999999995E-2</v>
      </c>
      <c r="H11" s="15">
        <f t="shared" si="2"/>
        <v>69.75</v>
      </c>
      <c r="I11" s="15">
        <f t="shared" si="3"/>
        <v>77.809999999999988</v>
      </c>
      <c r="J11" s="15">
        <f t="shared" si="4"/>
        <v>7.75</v>
      </c>
      <c r="K11" s="15">
        <f t="shared" si="5"/>
        <v>1.0694999999999992</v>
      </c>
    </row>
    <row r="12" spans="1:11" s="103" customFormat="1" x14ac:dyDescent="0.25">
      <c r="A12" s="159">
        <v>7</v>
      </c>
      <c r="B12" s="75">
        <v>100</v>
      </c>
      <c r="C12" s="15">
        <f t="shared" si="1"/>
        <v>4.5</v>
      </c>
      <c r="D12" s="134">
        <v>3.871</v>
      </c>
      <c r="E12" s="15">
        <f t="shared" si="0"/>
        <v>4.1909999999999998</v>
      </c>
      <c r="F12" s="134">
        <v>0.11699999999999999</v>
      </c>
      <c r="G12" s="134">
        <v>0.49699999999999989</v>
      </c>
      <c r="H12" s="15">
        <f t="shared" si="2"/>
        <v>18.83475</v>
      </c>
      <c r="I12" s="15">
        <f t="shared" si="3"/>
        <v>20.724749999999997</v>
      </c>
      <c r="J12" s="15">
        <f t="shared" si="4"/>
        <v>1.38825</v>
      </c>
      <c r="K12" s="15">
        <f t="shared" si="5"/>
        <v>1.2734999999999996</v>
      </c>
    </row>
    <row r="13" spans="1:11" s="103" customFormat="1" x14ac:dyDescent="0.25">
      <c r="A13" s="159">
        <v>8</v>
      </c>
      <c r="B13" s="75">
        <v>107.19</v>
      </c>
      <c r="C13" s="15">
        <f t="shared" si="1"/>
        <v>7.1899999999999977</v>
      </c>
      <c r="D13" s="134">
        <v>2.94</v>
      </c>
      <c r="E13" s="15">
        <f t="shared" ref="E13" si="7">IF(D13&gt;4,D13+0.52,D13+0.32)</f>
        <v>3.26</v>
      </c>
      <c r="F13" s="134">
        <v>0.11699999999999999</v>
      </c>
      <c r="G13" s="134">
        <v>0.49699999999999989</v>
      </c>
      <c r="H13" s="15">
        <f t="shared" si="2"/>
        <v>24.485544999999991</v>
      </c>
      <c r="I13" s="15">
        <f t="shared" si="3"/>
        <v>26.78634499999999</v>
      </c>
      <c r="J13" s="15">
        <f t="shared" si="4"/>
        <v>0.8412299999999997</v>
      </c>
      <c r="K13" s="15">
        <f t="shared" si="5"/>
        <v>3.5734299999999979</v>
      </c>
    </row>
    <row r="14" spans="1:11" s="103" customFormat="1" x14ac:dyDescent="0.25">
      <c r="A14" s="159">
        <v>9</v>
      </c>
      <c r="B14" s="75">
        <v>118.42</v>
      </c>
      <c r="C14" s="15"/>
      <c r="D14" s="134">
        <v>2.94</v>
      </c>
      <c r="E14" s="15">
        <f t="shared" ref="E14" si="8">IF(D14&gt;4,D14+0.52,D14+0.32)</f>
        <v>3.26</v>
      </c>
      <c r="F14" s="134">
        <v>0.11699999999999999</v>
      </c>
      <c r="G14" s="134">
        <v>0.49699999999999989</v>
      </c>
      <c r="H14" s="15">
        <f t="shared" si="2"/>
        <v>0</v>
      </c>
      <c r="I14" s="15">
        <f t="shared" si="3"/>
        <v>0</v>
      </c>
      <c r="J14" s="15">
        <f t="shared" si="4"/>
        <v>0</v>
      </c>
      <c r="K14" s="15">
        <f t="shared" si="5"/>
        <v>0</v>
      </c>
    </row>
    <row r="15" spans="1:11" s="103" customFormat="1" x14ac:dyDescent="0.25">
      <c r="A15" s="159">
        <v>10</v>
      </c>
      <c r="B15" s="75">
        <v>120</v>
      </c>
      <c r="C15" s="15">
        <f t="shared" si="1"/>
        <v>1.5799999999999983</v>
      </c>
      <c r="D15" s="134">
        <v>3.2669999999999999</v>
      </c>
      <c r="E15" s="15">
        <f t="shared" si="0"/>
        <v>3.5869999999999997</v>
      </c>
      <c r="F15" s="134">
        <v>0.11699999999999999</v>
      </c>
      <c r="G15" s="134">
        <v>0.50100000000000011</v>
      </c>
      <c r="H15" s="15">
        <f t="shared" si="2"/>
        <v>4.9035299999999946</v>
      </c>
      <c r="I15" s="15">
        <f t="shared" si="3"/>
        <v>5.409129999999994</v>
      </c>
      <c r="J15" s="15">
        <f t="shared" si="4"/>
        <v>0.1848599999999998</v>
      </c>
      <c r="K15" s="15">
        <f t="shared" si="5"/>
        <v>0.78841999999999912</v>
      </c>
    </row>
    <row r="16" spans="1:11" s="103" customFormat="1" x14ac:dyDescent="0.25">
      <c r="A16" s="159">
        <v>11</v>
      </c>
      <c r="B16" s="75">
        <v>126</v>
      </c>
      <c r="C16" s="15">
        <f t="shared" si="1"/>
        <v>6</v>
      </c>
      <c r="D16" s="134">
        <v>4.5</v>
      </c>
      <c r="E16" s="15">
        <f t="shared" ref="E16" si="9">IF(D16&gt;4,D16+0.52,D16+0.32)</f>
        <v>5.0199999999999996</v>
      </c>
      <c r="F16" s="134">
        <v>0.5</v>
      </c>
      <c r="G16" s="134">
        <v>0.5</v>
      </c>
      <c r="H16" s="15">
        <f t="shared" si="2"/>
        <v>23.300999999999998</v>
      </c>
      <c r="I16" s="15">
        <f t="shared" si="3"/>
        <v>25.820999999999998</v>
      </c>
      <c r="J16" s="15">
        <f t="shared" si="4"/>
        <v>1.851</v>
      </c>
      <c r="K16" s="15">
        <f t="shared" si="5"/>
        <v>3.0030000000000001</v>
      </c>
    </row>
    <row r="17" spans="1:11" s="103" customFormat="1" x14ac:dyDescent="0.25">
      <c r="A17" s="159">
        <v>12</v>
      </c>
      <c r="B17" s="75">
        <v>140</v>
      </c>
      <c r="C17" s="15">
        <f t="shared" si="1"/>
        <v>14</v>
      </c>
      <c r="D17" s="134">
        <v>4.5</v>
      </c>
      <c r="E17" s="15">
        <f t="shared" si="0"/>
        <v>5.0199999999999996</v>
      </c>
      <c r="F17" s="134">
        <v>0.5</v>
      </c>
      <c r="G17" s="134">
        <v>0.5</v>
      </c>
      <c r="H17" s="15">
        <f t="shared" si="2"/>
        <v>63</v>
      </c>
      <c r="I17" s="15">
        <f t="shared" si="3"/>
        <v>70.28</v>
      </c>
      <c r="J17" s="15">
        <f t="shared" si="4"/>
        <v>7</v>
      </c>
      <c r="K17" s="15">
        <f t="shared" si="5"/>
        <v>7</v>
      </c>
    </row>
    <row r="18" spans="1:11" s="103" customFormat="1" x14ac:dyDescent="0.25">
      <c r="A18" s="159">
        <v>13</v>
      </c>
      <c r="B18" s="75">
        <v>160</v>
      </c>
      <c r="C18" s="15">
        <f t="shared" si="1"/>
        <v>20</v>
      </c>
      <c r="D18" s="134">
        <v>4.5</v>
      </c>
      <c r="E18" s="15">
        <f t="shared" si="0"/>
        <v>5.0199999999999996</v>
      </c>
      <c r="F18" s="134">
        <v>0.5</v>
      </c>
      <c r="G18" s="134">
        <v>0.5</v>
      </c>
      <c r="H18" s="15">
        <f t="shared" si="2"/>
        <v>90</v>
      </c>
      <c r="I18" s="15">
        <f t="shared" si="3"/>
        <v>100.39999999999999</v>
      </c>
      <c r="J18" s="15">
        <f t="shared" si="4"/>
        <v>10</v>
      </c>
      <c r="K18" s="15">
        <f t="shared" si="5"/>
        <v>10</v>
      </c>
    </row>
    <row r="19" spans="1:11" s="103" customFormat="1" x14ac:dyDescent="0.25">
      <c r="A19" s="159">
        <v>14</v>
      </c>
      <c r="B19" s="75">
        <v>180</v>
      </c>
      <c r="C19" s="15">
        <f t="shared" si="1"/>
        <v>20</v>
      </c>
      <c r="D19" s="134">
        <v>4.5</v>
      </c>
      <c r="E19" s="15">
        <f t="shared" si="0"/>
        <v>5.0199999999999996</v>
      </c>
      <c r="F19" s="134">
        <v>0.5</v>
      </c>
      <c r="G19" s="134">
        <v>0.5</v>
      </c>
      <c r="H19" s="15">
        <f t="shared" si="2"/>
        <v>90</v>
      </c>
      <c r="I19" s="15">
        <f t="shared" si="3"/>
        <v>100.39999999999999</v>
      </c>
      <c r="J19" s="15">
        <f t="shared" si="4"/>
        <v>10</v>
      </c>
      <c r="K19" s="15">
        <f t="shared" si="5"/>
        <v>10</v>
      </c>
    </row>
    <row r="20" spans="1:11" s="103" customFormat="1" x14ac:dyDescent="0.25">
      <c r="A20" s="159">
        <v>15</v>
      </c>
      <c r="B20" s="75">
        <v>200</v>
      </c>
      <c r="C20" s="15">
        <f t="shared" si="1"/>
        <v>20</v>
      </c>
      <c r="D20" s="134">
        <v>4.5</v>
      </c>
      <c r="E20" s="15">
        <f t="shared" si="0"/>
        <v>5.0199999999999996</v>
      </c>
      <c r="F20" s="134">
        <v>0.5</v>
      </c>
      <c r="G20" s="134">
        <v>0.5</v>
      </c>
      <c r="H20" s="15">
        <f t="shared" si="2"/>
        <v>90</v>
      </c>
      <c r="I20" s="15">
        <f t="shared" si="3"/>
        <v>100.39999999999999</v>
      </c>
      <c r="J20" s="15">
        <f t="shared" si="4"/>
        <v>10</v>
      </c>
      <c r="K20" s="15">
        <f t="shared" si="5"/>
        <v>10</v>
      </c>
    </row>
    <row r="21" spans="1:11" s="103" customFormat="1" x14ac:dyDescent="0.25">
      <c r="A21" s="159">
        <v>16</v>
      </c>
      <c r="B21" s="75">
        <v>220</v>
      </c>
      <c r="C21" s="15">
        <f t="shared" si="1"/>
        <v>20</v>
      </c>
      <c r="D21" s="134">
        <v>4.5</v>
      </c>
      <c r="E21" s="15">
        <f t="shared" si="0"/>
        <v>5.0199999999999996</v>
      </c>
      <c r="F21" s="134">
        <v>0.5</v>
      </c>
      <c r="G21" s="134">
        <v>0.5</v>
      </c>
      <c r="H21" s="15">
        <f t="shared" si="2"/>
        <v>90</v>
      </c>
      <c r="I21" s="15">
        <f t="shared" si="3"/>
        <v>100.39999999999999</v>
      </c>
      <c r="J21" s="15">
        <f t="shared" si="4"/>
        <v>10</v>
      </c>
      <c r="K21" s="15">
        <f t="shared" si="5"/>
        <v>10</v>
      </c>
    </row>
    <row r="22" spans="1:11" s="103" customFormat="1" x14ac:dyDescent="0.25">
      <c r="A22" s="159">
        <v>17</v>
      </c>
      <c r="B22" s="75">
        <v>240</v>
      </c>
      <c r="C22" s="15">
        <f t="shared" si="1"/>
        <v>20</v>
      </c>
      <c r="D22" s="134">
        <v>4.5</v>
      </c>
      <c r="E22" s="15">
        <f t="shared" si="0"/>
        <v>5.0199999999999996</v>
      </c>
      <c r="F22" s="134">
        <v>0.5</v>
      </c>
      <c r="G22" s="134">
        <v>0.27800000000000002</v>
      </c>
      <c r="H22" s="15">
        <f t="shared" si="2"/>
        <v>90</v>
      </c>
      <c r="I22" s="15">
        <f t="shared" si="3"/>
        <v>100.39999999999999</v>
      </c>
      <c r="J22" s="15">
        <f t="shared" si="4"/>
        <v>10</v>
      </c>
      <c r="K22" s="15">
        <f t="shared" si="5"/>
        <v>7.78</v>
      </c>
    </row>
    <row r="23" spans="1:11" s="103" customFormat="1" x14ac:dyDescent="0.25">
      <c r="A23" s="159">
        <v>18</v>
      </c>
      <c r="B23" s="75">
        <v>260</v>
      </c>
      <c r="C23" s="15">
        <f t="shared" si="1"/>
        <v>20</v>
      </c>
      <c r="D23" s="134">
        <v>4.5</v>
      </c>
      <c r="E23" s="15">
        <f t="shared" si="0"/>
        <v>5.0199999999999996</v>
      </c>
      <c r="F23" s="134">
        <v>0.4830000000000001</v>
      </c>
      <c r="G23" s="134">
        <v>0.5</v>
      </c>
      <c r="H23" s="15">
        <f t="shared" si="2"/>
        <v>90</v>
      </c>
      <c r="I23" s="15">
        <f t="shared" si="3"/>
        <v>100.39999999999999</v>
      </c>
      <c r="J23" s="15">
        <f t="shared" si="4"/>
        <v>9.8300000000000018</v>
      </c>
      <c r="K23" s="15">
        <f t="shared" si="5"/>
        <v>7.78</v>
      </c>
    </row>
    <row r="24" spans="1:11" s="103" customFormat="1" x14ac:dyDescent="0.25">
      <c r="A24" s="159">
        <v>19</v>
      </c>
      <c r="B24" s="75">
        <v>280</v>
      </c>
      <c r="C24" s="15">
        <f t="shared" si="1"/>
        <v>20</v>
      </c>
      <c r="D24" s="134">
        <v>4.5</v>
      </c>
      <c r="E24" s="15">
        <f t="shared" si="0"/>
        <v>5.0199999999999996</v>
      </c>
      <c r="F24" s="134">
        <v>0.5</v>
      </c>
      <c r="G24" s="134">
        <v>0.5</v>
      </c>
      <c r="H24" s="15">
        <f t="shared" si="2"/>
        <v>90</v>
      </c>
      <c r="I24" s="15">
        <f t="shared" si="3"/>
        <v>100.39999999999999</v>
      </c>
      <c r="J24" s="15">
        <f t="shared" si="4"/>
        <v>9.8300000000000018</v>
      </c>
      <c r="K24" s="15">
        <f t="shared" si="5"/>
        <v>10</v>
      </c>
    </row>
    <row r="25" spans="1:11" s="103" customFormat="1" x14ac:dyDescent="0.25">
      <c r="A25" s="159">
        <v>20</v>
      </c>
      <c r="B25" s="75">
        <v>300</v>
      </c>
      <c r="C25" s="15">
        <f t="shared" si="1"/>
        <v>20</v>
      </c>
      <c r="D25" s="134">
        <v>4.5</v>
      </c>
      <c r="E25" s="15">
        <f t="shared" si="0"/>
        <v>5.0199999999999996</v>
      </c>
      <c r="F25" s="134">
        <v>0.5</v>
      </c>
      <c r="G25" s="134">
        <v>0.16800000000000015</v>
      </c>
      <c r="H25" s="15">
        <f t="shared" si="2"/>
        <v>90</v>
      </c>
      <c r="I25" s="15">
        <f t="shared" si="3"/>
        <v>100.39999999999999</v>
      </c>
      <c r="J25" s="15">
        <f t="shared" si="4"/>
        <v>10</v>
      </c>
      <c r="K25" s="15">
        <f t="shared" si="5"/>
        <v>6.6800000000000015</v>
      </c>
    </row>
    <row r="26" spans="1:11" s="103" customFormat="1" x14ac:dyDescent="0.25">
      <c r="A26" s="159">
        <v>21</v>
      </c>
      <c r="B26" s="75">
        <v>320</v>
      </c>
      <c r="C26" s="15">
        <f t="shared" si="1"/>
        <v>20</v>
      </c>
      <c r="D26" s="134">
        <v>4.5</v>
      </c>
      <c r="E26" s="15">
        <f t="shared" si="0"/>
        <v>5.0199999999999996</v>
      </c>
      <c r="F26" s="134">
        <v>0.5</v>
      </c>
      <c r="G26" s="134">
        <v>0.5</v>
      </c>
      <c r="H26" s="15">
        <f t="shared" si="2"/>
        <v>90</v>
      </c>
      <c r="I26" s="15">
        <f t="shared" si="3"/>
        <v>100.39999999999999</v>
      </c>
      <c r="J26" s="15">
        <f t="shared" si="4"/>
        <v>10</v>
      </c>
      <c r="K26" s="15">
        <f t="shared" si="5"/>
        <v>6.6800000000000015</v>
      </c>
    </row>
    <row r="27" spans="1:11" s="103" customFormat="1" x14ac:dyDescent="0.25">
      <c r="A27" s="159">
        <v>22</v>
      </c>
      <c r="B27" s="75">
        <v>340</v>
      </c>
      <c r="C27" s="15">
        <f t="shared" si="1"/>
        <v>20</v>
      </c>
      <c r="D27" s="134">
        <v>4.5</v>
      </c>
      <c r="E27" s="15">
        <f t="shared" si="0"/>
        <v>5.0199999999999996</v>
      </c>
      <c r="F27" s="134">
        <v>0.5</v>
      </c>
      <c r="G27" s="134">
        <v>0.5</v>
      </c>
      <c r="H27" s="15">
        <f t="shared" si="2"/>
        <v>90</v>
      </c>
      <c r="I27" s="15">
        <f t="shared" si="3"/>
        <v>100.39999999999999</v>
      </c>
      <c r="J27" s="15">
        <f t="shared" si="4"/>
        <v>10</v>
      </c>
      <c r="K27" s="15">
        <f t="shared" si="5"/>
        <v>10</v>
      </c>
    </row>
    <row r="28" spans="1:11" s="103" customFormat="1" x14ac:dyDescent="0.25">
      <c r="A28" s="159">
        <v>23</v>
      </c>
      <c r="B28" s="75">
        <v>360</v>
      </c>
      <c r="C28" s="15">
        <f t="shared" si="1"/>
        <v>20</v>
      </c>
      <c r="D28" s="134">
        <v>4.5</v>
      </c>
      <c r="E28" s="15">
        <f t="shared" si="0"/>
        <v>5.0199999999999996</v>
      </c>
      <c r="F28" s="134">
        <v>0.5</v>
      </c>
      <c r="G28" s="134">
        <v>0.5</v>
      </c>
      <c r="H28" s="15">
        <f t="shared" si="2"/>
        <v>90</v>
      </c>
      <c r="I28" s="15">
        <f t="shared" si="3"/>
        <v>100.39999999999999</v>
      </c>
      <c r="J28" s="15">
        <f t="shared" si="4"/>
        <v>10</v>
      </c>
      <c r="K28" s="15">
        <f t="shared" si="5"/>
        <v>10</v>
      </c>
    </row>
    <row r="29" spans="1:11" s="103" customFormat="1" x14ac:dyDescent="0.25">
      <c r="A29" s="159">
        <v>24</v>
      </c>
      <c r="B29" s="75">
        <v>380</v>
      </c>
      <c r="C29" s="15">
        <f t="shared" si="1"/>
        <v>20</v>
      </c>
      <c r="D29" s="134">
        <v>4.5</v>
      </c>
      <c r="E29" s="15">
        <f t="shared" si="0"/>
        <v>5.0199999999999996</v>
      </c>
      <c r="F29" s="134">
        <v>0.42200000000000015</v>
      </c>
      <c r="G29" s="134">
        <v>0.5</v>
      </c>
      <c r="H29" s="15">
        <f t="shared" si="2"/>
        <v>90</v>
      </c>
      <c r="I29" s="15">
        <f t="shared" si="3"/>
        <v>100.39999999999999</v>
      </c>
      <c r="J29" s="15">
        <f t="shared" si="4"/>
        <v>9.2200000000000024</v>
      </c>
      <c r="K29" s="15">
        <f t="shared" si="5"/>
        <v>10</v>
      </c>
    </row>
    <row r="30" spans="1:11" s="103" customFormat="1" x14ac:dyDescent="0.25">
      <c r="A30" s="159">
        <v>25</v>
      </c>
      <c r="B30" s="75">
        <v>400</v>
      </c>
      <c r="C30" s="15">
        <f t="shared" si="1"/>
        <v>20</v>
      </c>
      <c r="D30" s="134">
        <v>4.5</v>
      </c>
      <c r="E30" s="15">
        <f t="shared" si="0"/>
        <v>5.0199999999999996</v>
      </c>
      <c r="F30" s="134">
        <v>0.5</v>
      </c>
      <c r="G30" s="134">
        <v>0.5</v>
      </c>
      <c r="H30" s="15">
        <f t="shared" si="2"/>
        <v>90</v>
      </c>
      <c r="I30" s="15">
        <f t="shared" si="3"/>
        <v>100.39999999999999</v>
      </c>
      <c r="J30" s="15">
        <f t="shared" si="4"/>
        <v>9.2200000000000024</v>
      </c>
      <c r="K30" s="15">
        <f t="shared" si="5"/>
        <v>10</v>
      </c>
    </row>
    <row r="31" spans="1:11" s="103" customFormat="1" x14ac:dyDescent="0.25">
      <c r="A31" s="159">
        <v>26</v>
      </c>
      <c r="B31" s="75">
        <v>420</v>
      </c>
      <c r="C31" s="15">
        <f t="shared" si="1"/>
        <v>20</v>
      </c>
      <c r="D31" s="134">
        <v>4.5</v>
      </c>
      <c r="E31" s="15">
        <f t="shared" si="0"/>
        <v>5.0199999999999996</v>
      </c>
      <c r="F31" s="134">
        <v>0.5</v>
      </c>
      <c r="G31" s="134">
        <v>0.5</v>
      </c>
      <c r="H31" s="15">
        <f t="shared" si="2"/>
        <v>90</v>
      </c>
      <c r="I31" s="15">
        <f t="shared" si="3"/>
        <v>100.39999999999999</v>
      </c>
      <c r="J31" s="15">
        <f t="shared" si="4"/>
        <v>10</v>
      </c>
      <c r="K31" s="15">
        <f t="shared" si="5"/>
        <v>10</v>
      </c>
    </row>
    <row r="32" spans="1:11" s="103" customFormat="1" x14ac:dyDescent="0.25">
      <c r="A32" s="159">
        <v>27</v>
      </c>
      <c r="B32" s="75">
        <v>440</v>
      </c>
      <c r="C32" s="15">
        <f t="shared" si="1"/>
        <v>20</v>
      </c>
      <c r="D32" s="134">
        <v>4.5</v>
      </c>
      <c r="E32" s="15">
        <f t="shared" si="0"/>
        <v>5.0199999999999996</v>
      </c>
      <c r="F32" s="134">
        <v>0.5</v>
      </c>
      <c r="G32" s="134">
        <v>0.5</v>
      </c>
      <c r="H32" s="15">
        <f t="shared" si="2"/>
        <v>90</v>
      </c>
      <c r="I32" s="15">
        <f t="shared" si="3"/>
        <v>100.39999999999999</v>
      </c>
      <c r="J32" s="15">
        <f t="shared" si="4"/>
        <v>10</v>
      </c>
      <c r="K32" s="15">
        <f t="shared" si="5"/>
        <v>10</v>
      </c>
    </row>
    <row r="33" spans="1:11" s="103" customFormat="1" x14ac:dyDescent="0.25">
      <c r="A33" s="159">
        <v>28</v>
      </c>
      <c r="B33" s="75">
        <v>460</v>
      </c>
      <c r="C33" s="15">
        <f t="shared" si="1"/>
        <v>20</v>
      </c>
      <c r="D33" s="134">
        <v>4.5</v>
      </c>
      <c r="E33" s="15">
        <f t="shared" si="0"/>
        <v>5.0199999999999996</v>
      </c>
      <c r="F33" s="134">
        <v>0.33199999999999985</v>
      </c>
      <c r="G33" s="134">
        <v>0.5</v>
      </c>
      <c r="H33" s="15">
        <f t="shared" si="2"/>
        <v>90</v>
      </c>
      <c r="I33" s="15">
        <f t="shared" si="3"/>
        <v>100.39999999999999</v>
      </c>
      <c r="J33" s="15">
        <f t="shared" si="4"/>
        <v>8.3199999999999985</v>
      </c>
      <c r="K33" s="15">
        <f t="shared" si="5"/>
        <v>10</v>
      </c>
    </row>
    <row r="34" spans="1:11" s="103" customFormat="1" x14ac:dyDescent="0.25">
      <c r="A34" s="159">
        <v>29</v>
      </c>
      <c r="B34" s="75">
        <v>480</v>
      </c>
      <c r="C34" s="15">
        <f t="shared" si="1"/>
        <v>20</v>
      </c>
      <c r="D34" s="134">
        <v>4.5</v>
      </c>
      <c r="E34" s="15">
        <f t="shared" si="0"/>
        <v>5.0199999999999996</v>
      </c>
      <c r="F34" s="134">
        <v>0.19200000000000017</v>
      </c>
      <c r="G34" s="134">
        <v>0.5</v>
      </c>
      <c r="H34" s="15">
        <f t="shared" si="2"/>
        <v>90</v>
      </c>
      <c r="I34" s="15">
        <f t="shared" si="3"/>
        <v>100.39999999999999</v>
      </c>
      <c r="J34" s="15">
        <f t="shared" si="4"/>
        <v>5.24</v>
      </c>
      <c r="K34" s="15">
        <f t="shared" si="5"/>
        <v>10</v>
      </c>
    </row>
    <row r="35" spans="1:11" s="103" customFormat="1" x14ac:dyDescent="0.25">
      <c r="A35" s="159">
        <v>30</v>
      </c>
      <c r="B35" s="75">
        <v>500</v>
      </c>
      <c r="C35" s="15">
        <f t="shared" si="1"/>
        <v>20</v>
      </c>
      <c r="D35" s="134">
        <v>4.5</v>
      </c>
      <c r="E35" s="15">
        <f t="shared" si="0"/>
        <v>5.0199999999999996</v>
      </c>
      <c r="F35" s="134">
        <v>0</v>
      </c>
      <c r="G35" s="134">
        <v>0.5</v>
      </c>
      <c r="H35" s="15">
        <f t="shared" si="2"/>
        <v>90</v>
      </c>
      <c r="I35" s="15">
        <f t="shared" si="3"/>
        <v>100.39999999999999</v>
      </c>
      <c r="J35" s="15">
        <f t="shared" si="4"/>
        <v>1.9200000000000017</v>
      </c>
      <c r="K35" s="15">
        <f t="shared" si="5"/>
        <v>10</v>
      </c>
    </row>
    <row r="36" spans="1:11" s="103" customFormat="1" x14ac:dyDescent="0.25">
      <c r="A36" s="159">
        <v>31</v>
      </c>
      <c r="B36" s="75">
        <v>520</v>
      </c>
      <c r="C36" s="15">
        <f t="shared" si="1"/>
        <v>20</v>
      </c>
      <c r="D36" s="134">
        <v>4.5</v>
      </c>
      <c r="E36" s="15">
        <f t="shared" si="0"/>
        <v>5.0199999999999996</v>
      </c>
      <c r="F36" s="134">
        <v>0.40700000000000003</v>
      </c>
      <c r="G36" s="134">
        <v>0.5</v>
      </c>
      <c r="H36" s="15">
        <f t="shared" si="2"/>
        <v>90</v>
      </c>
      <c r="I36" s="15">
        <f t="shared" si="3"/>
        <v>100.39999999999999</v>
      </c>
      <c r="J36" s="15">
        <f t="shared" si="4"/>
        <v>4.07</v>
      </c>
      <c r="K36" s="15">
        <f t="shared" si="5"/>
        <v>10</v>
      </c>
    </row>
    <row r="37" spans="1:11" s="103" customFormat="1" x14ac:dyDescent="0.25">
      <c r="A37" s="159">
        <v>32</v>
      </c>
      <c r="B37" s="75">
        <v>540</v>
      </c>
      <c r="C37" s="15">
        <f t="shared" si="1"/>
        <v>20</v>
      </c>
      <c r="D37" s="134">
        <v>4.5</v>
      </c>
      <c r="E37" s="15">
        <f t="shared" si="0"/>
        <v>5.0199999999999996</v>
      </c>
      <c r="F37" s="134">
        <v>0.5</v>
      </c>
      <c r="G37" s="134">
        <v>0.5</v>
      </c>
      <c r="H37" s="15">
        <f t="shared" si="2"/>
        <v>90</v>
      </c>
      <c r="I37" s="15">
        <f t="shared" si="3"/>
        <v>100.39999999999999</v>
      </c>
      <c r="J37" s="15">
        <f t="shared" si="4"/>
        <v>9.07</v>
      </c>
      <c r="K37" s="15">
        <f t="shared" si="5"/>
        <v>10</v>
      </c>
    </row>
    <row r="38" spans="1:11" s="103" customFormat="1" x14ac:dyDescent="0.25">
      <c r="A38" s="159">
        <v>33</v>
      </c>
      <c r="B38" s="75">
        <v>560</v>
      </c>
      <c r="C38" s="15">
        <f t="shared" si="1"/>
        <v>20</v>
      </c>
      <c r="D38" s="134">
        <v>4.5</v>
      </c>
      <c r="E38" s="15">
        <f t="shared" si="0"/>
        <v>5.0199999999999996</v>
      </c>
      <c r="F38" s="134">
        <v>0.5</v>
      </c>
      <c r="G38" s="134">
        <v>0.5</v>
      </c>
      <c r="H38" s="15">
        <f t="shared" si="2"/>
        <v>90</v>
      </c>
      <c r="I38" s="15">
        <f t="shared" si="3"/>
        <v>100.39999999999999</v>
      </c>
      <c r="J38" s="15">
        <f t="shared" si="4"/>
        <v>10</v>
      </c>
      <c r="K38" s="15">
        <f t="shared" si="5"/>
        <v>10</v>
      </c>
    </row>
    <row r="39" spans="1:11" s="103" customFormat="1" x14ac:dyDescent="0.25">
      <c r="A39" s="159">
        <v>34</v>
      </c>
      <c r="B39" s="75">
        <v>580</v>
      </c>
      <c r="C39" s="15">
        <f t="shared" si="1"/>
        <v>20</v>
      </c>
      <c r="D39" s="134">
        <v>4.5</v>
      </c>
      <c r="E39" s="15">
        <f t="shared" si="0"/>
        <v>5.0199999999999996</v>
      </c>
      <c r="F39" s="134">
        <v>0.5</v>
      </c>
      <c r="G39" s="134">
        <v>0.5</v>
      </c>
      <c r="H39" s="15">
        <f t="shared" si="2"/>
        <v>90</v>
      </c>
      <c r="I39" s="15">
        <f t="shared" si="3"/>
        <v>100.39999999999999</v>
      </c>
      <c r="J39" s="15">
        <f t="shared" si="4"/>
        <v>10</v>
      </c>
      <c r="K39" s="15">
        <f t="shared" si="5"/>
        <v>10</v>
      </c>
    </row>
    <row r="40" spans="1:11" s="103" customFormat="1" x14ac:dyDescent="0.25">
      <c r="A40" s="159">
        <v>35</v>
      </c>
      <c r="B40" s="75">
        <v>600</v>
      </c>
      <c r="C40" s="15">
        <f t="shared" si="1"/>
        <v>20</v>
      </c>
      <c r="D40" s="134">
        <v>4.5</v>
      </c>
      <c r="E40" s="15">
        <f t="shared" si="0"/>
        <v>5.0199999999999996</v>
      </c>
      <c r="F40" s="134">
        <v>0.5</v>
      </c>
      <c r="G40" s="134">
        <v>0.5</v>
      </c>
      <c r="H40" s="15">
        <f t="shared" si="2"/>
        <v>90</v>
      </c>
      <c r="I40" s="15">
        <f t="shared" si="3"/>
        <v>100.39999999999999</v>
      </c>
      <c r="J40" s="15">
        <f t="shared" si="4"/>
        <v>10</v>
      </c>
      <c r="K40" s="15">
        <f t="shared" si="5"/>
        <v>10</v>
      </c>
    </row>
    <row r="41" spans="1:11" s="103" customFormat="1" x14ac:dyDescent="0.25">
      <c r="A41" s="159">
        <v>36</v>
      </c>
      <c r="B41" s="75">
        <v>620</v>
      </c>
      <c r="C41" s="15">
        <f t="shared" si="1"/>
        <v>20</v>
      </c>
      <c r="D41" s="134">
        <v>4.5</v>
      </c>
      <c r="E41" s="15">
        <f t="shared" si="0"/>
        <v>5.0199999999999996</v>
      </c>
      <c r="F41" s="134">
        <v>0.5</v>
      </c>
      <c r="G41" s="134">
        <v>0.5</v>
      </c>
      <c r="H41" s="15">
        <f t="shared" si="2"/>
        <v>90</v>
      </c>
      <c r="I41" s="15">
        <f t="shared" si="3"/>
        <v>100.39999999999999</v>
      </c>
      <c r="J41" s="15">
        <f t="shared" si="4"/>
        <v>10</v>
      </c>
      <c r="K41" s="15">
        <f t="shared" si="5"/>
        <v>10</v>
      </c>
    </row>
    <row r="42" spans="1:11" s="103" customFormat="1" x14ac:dyDescent="0.25">
      <c r="A42" s="159">
        <v>37</v>
      </c>
      <c r="B42" s="75">
        <v>640</v>
      </c>
      <c r="C42" s="15">
        <f t="shared" si="1"/>
        <v>20</v>
      </c>
      <c r="D42" s="134">
        <v>4.5</v>
      </c>
      <c r="E42" s="15">
        <f t="shared" si="0"/>
        <v>5.0199999999999996</v>
      </c>
      <c r="F42" s="134">
        <v>0.5</v>
      </c>
      <c r="G42" s="134">
        <v>0.5</v>
      </c>
      <c r="H42" s="15">
        <f t="shared" si="2"/>
        <v>90</v>
      </c>
      <c r="I42" s="15">
        <f t="shared" si="3"/>
        <v>100.39999999999999</v>
      </c>
      <c r="J42" s="15">
        <f t="shared" si="4"/>
        <v>10</v>
      </c>
      <c r="K42" s="15">
        <f t="shared" si="5"/>
        <v>10</v>
      </c>
    </row>
    <row r="43" spans="1:11" s="103" customFormat="1" x14ac:dyDescent="0.25">
      <c r="A43" s="159">
        <v>38</v>
      </c>
      <c r="B43" s="75">
        <v>660</v>
      </c>
      <c r="C43" s="15">
        <f t="shared" si="1"/>
        <v>20</v>
      </c>
      <c r="D43" s="134">
        <v>4.5</v>
      </c>
      <c r="E43" s="15">
        <f t="shared" si="0"/>
        <v>5.0199999999999996</v>
      </c>
      <c r="F43" s="134">
        <v>0.5</v>
      </c>
      <c r="G43" s="134">
        <v>0.5</v>
      </c>
      <c r="H43" s="15">
        <f t="shared" si="2"/>
        <v>90</v>
      </c>
      <c r="I43" s="15">
        <f t="shared" si="3"/>
        <v>100.39999999999999</v>
      </c>
      <c r="J43" s="15">
        <f t="shared" si="4"/>
        <v>10</v>
      </c>
      <c r="K43" s="15">
        <f t="shared" si="5"/>
        <v>10</v>
      </c>
    </row>
    <row r="44" spans="1:11" s="103" customFormat="1" x14ac:dyDescent="0.25">
      <c r="A44" s="159">
        <v>39</v>
      </c>
      <c r="B44" s="75">
        <v>680</v>
      </c>
      <c r="C44" s="15">
        <f t="shared" si="1"/>
        <v>20</v>
      </c>
      <c r="D44" s="134">
        <v>4.5</v>
      </c>
      <c r="E44" s="15">
        <f t="shared" si="0"/>
        <v>5.0199999999999996</v>
      </c>
      <c r="F44" s="134">
        <v>0.29599999999999982</v>
      </c>
      <c r="G44" s="134">
        <v>0.5</v>
      </c>
      <c r="H44" s="15">
        <f t="shared" si="2"/>
        <v>90</v>
      </c>
      <c r="I44" s="15">
        <f t="shared" si="3"/>
        <v>100.39999999999999</v>
      </c>
      <c r="J44" s="15">
        <f t="shared" si="4"/>
        <v>7.9599999999999982</v>
      </c>
      <c r="K44" s="15">
        <f t="shared" si="5"/>
        <v>10</v>
      </c>
    </row>
    <row r="45" spans="1:11" s="103" customFormat="1" x14ac:dyDescent="0.25">
      <c r="A45" s="159">
        <v>40</v>
      </c>
      <c r="B45" s="75">
        <v>700</v>
      </c>
      <c r="C45" s="15">
        <f t="shared" si="1"/>
        <v>20</v>
      </c>
      <c r="D45" s="134">
        <v>4.5</v>
      </c>
      <c r="E45" s="15">
        <f t="shared" si="0"/>
        <v>5.0199999999999996</v>
      </c>
      <c r="F45" s="134">
        <v>8.7000000000000188E-2</v>
      </c>
      <c r="G45" s="134">
        <v>0.5</v>
      </c>
      <c r="H45" s="15">
        <f t="shared" si="2"/>
        <v>90</v>
      </c>
      <c r="I45" s="15">
        <f t="shared" si="3"/>
        <v>100.39999999999999</v>
      </c>
      <c r="J45" s="15">
        <f t="shared" si="4"/>
        <v>3.83</v>
      </c>
      <c r="K45" s="15">
        <f t="shared" si="5"/>
        <v>10</v>
      </c>
    </row>
    <row r="46" spans="1:11" s="103" customFormat="1" x14ac:dyDescent="0.25">
      <c r="A46" s="159">
        <v>41</v>
      </c>
      <c r="B46" s="75">
        <v>720</v>
      </c>
      <c r="C46" s="15">
        <f t="shared" si="1"/>
        <v>20</v>
      </c>
      <c r="D46" s="134">
        <v>4.5</v>
      </c>
      <c r="E46" s="15">
        <f t="shared" si="0"/>
        <v>5.0199999999999996</v>
      </c>
      <c r="F46" s="134">
        <v>0.24000000000000021</v>
      </c>
      <c r="G46" s="134">
        <v>0.35499999999999998</v>
      </c>
      <c r="H46" s="15">
        <f t="shared" si="2"/>
        <v>90</v>
      </c>
      <c r="I46" s="15">
        <f t="shared" si="3"/>
        <v>100.39999999999999</v>
      </c>
      <c r="J46" s="15">
        <f t="shared" si="4"/>
        <v>3.270000000000004</v>
      </c>
      <c r="K46" s="15">
        <f t="shared" si="5"/>
        <v>8.5500000000000007</v>
      </c>
    </row>
    <row r="47" spans="1:11" s="103" customFormat="1" x14ac:dyDescent="0.25">
      <c r="A47" s="159">
        <v>42</v>
      </c>
      <c r="B47" s="75">
        <v>740</v>
      </c>
      <c r="C47" s="15">
        <f t="shared" si="1"/>
        <v>20</v>
      </c>
      <c r="D47" s="134">
        <v>4.5</v>
      </c>
      <c r="E47" s="15">
        <f t="shared" si="0"/>
        <v>5.0199999999999996</v>
      </c>
      <c r="F47" s="134">
        <v>0.5</v>
      </c>
      <c r="G47" s="134">
        <v>0.5</v>
      </c>
      <c r="H47" s="15">
        <f t="shared" si="2"/>
        <v>90</v>
      </c>
      <c r="I47" s="15">
        <f t="shared" si="3"/>
        <v>100.39999999999999</v>
      </c>
      <c r="J47" s="15">
        <f t="shared" si="4"/>
        <v>7.4000000000000021</v>
      </c>
      <c r="K47" s="15">
        <f t="shared" si="5"/>
        <v>8.5500000000000007</v>
      </c>
    </row>
    <row r="48" spans="1:11" s="103" customFormat="1" x14ac:dyDescent="0.25">
      <c r="A48" s="159">
        <v>43</v>
      </c>
      <c r="B48" s="75">
        <v>760</v>
      </c>
      <c r="C48" s="15">
        <f t="shared" si="1"/>
        <v>20</v>
      </c>
      <c r="D48" s="134">
        <v>4.5</v>
      </c>
      <c r="E48" s="15">
        <f t="shared" si="0"/>
        <v>5.0199999999999996</v>
      </c>
      <c r="F48" s="134">
        <v>0.5</v>
      </c>
      <c r="G48" s="134">
        <v>0.5</v>
      </c>
      <c r="H48" s="15">
        <f t="shared" si="2"/>
        <v>90</v>
      </c>
      <c r="I48" s="15">
        <f t="shared" si="3"/>
        <v>100.39999999999999</v>
      </c>
      <c r="J48" s="15">
        <f t="shared" si="4"/>
        <v>10</v>
      </c>
      <c r="K48" s="15">
        <f t="shared" si="5"/>
        <v>10</v>
      </c>
    </row>
    <row r="49" spans="1:13" s="103" customFormat="1" x14ac:dyDescent="0.25">
      <c r="A49" s="159">
        <v>44</v>
      </c>
      <c r="B49" s="75">
        <v>780</v>
      </c>
      <c r="C49" s="15">
        <f t="shared" si="1"/>
        <v>20</v>
      </c>
      <c r="D49" s="134">
        <v>4.5</v>
      </c>
      <c r="E49" s="15">
        <f t="shared" si="0"/>
        <v>5.0199999999999996</v>
      </c>
      <c r="F49" s="134">
        <v>0.5</v>
      </c>
      <c r="G49" s="134">
        <v>0.5</v>
      </c>
      <c r="H49" s="15">
        <f t="shared" si="2"/>
        <v>90</v>
      </c>
      <c r="I49" s="15">
        <f t="shared" si="3"/>
        <v>100.39999999999999</v>
      </c>
      <c r="J49" s="15">
        <f t="shared" si="4"/>
        <v>10</v>
      </c>
      <c r="K49" s="15">
        <f t="shared" si="5"/>
        <v>10</v>
      </c>
    </row>
    <row r="50" spans="1:13" s="103" customFormat="1" x14ac:dyDescent="0.25">
      <c r="A50" s="159">
        <v>45</v>
      </c>
      <c r="B50" s="75">
        <v>800</v>
      </c>
      <c r="C50" s="15">
        <f t="shared" si="1"/>
        <v>20</v>
      </c>
      <c r="D50" s="134">
        <v>4.5</v>
      </c>
      <c r="E50" s="15">
        <f t="shared" si="0"/>
        <v>5.0199999999999996</v>
      </c>
      <c r="F50" s="134">
        <v>0.5</v>
      </c>
      <c r="G50" s="134">
        <v>0.5</v>
      </c>
      <c r="H50" s="15">
        <f t="shared" si="2"/>
        <v>90</v>
      </c>
      <c r="I50" s="15">
        <f t="shared" si="3"/>
        <v>100.39999999999999</v>
      </c>
      <c r="J50" s="15">
        <f t="shared" si="4"/>
        <v>10</v>
      </c>
      <c r="K50" s="15">
        <f t="shared" si="5"/>
        <v>10</v>
      </c>
    </row>
    <row r="51" spans="1:13" s="103" customFormat="1" x14ac:dyDescent="0.25">
      <c r="A51" s="159">
        <v>46</v>
      </c>
      <c r="B51" s="75">
        <v>820</v>
      </c>
      <c r="C51" s="15">
        <f t="shared" si="1"/>
        <v>20</v>
      </c>
      <c r="D51" s="134">
        <v>4.5</v>
      </c>
      <c r="E51" s="15">
        <f t="shared" si="0"/>
        <v>5.0199999999999996</v>
      </c>
      <c r="F51" s="134">
        <v>0.1549999999999998</v>
      </c>
      <c r="G51" s="134">
        <v>0.5</v>
      </c>
      <c r="H51" s="15">
        <f t="shared" si="2"/>
        <v>90</v>
      </c>
      <c r="I51" s="15">
        <f t="shared" si="3"/>
        <v>100.39999999999999</v>
      </c>
      <c r="J51" s="15">
        <f t="shared" si="4"/>
        <v>6.549999999999998</v>
      </c>
      <c r="K51" s="15">
        <f t="shared" si="5"/>
        <v>10</v>
      </c>
    </row>
    <row r="52" spans="1:13" s="103" customFormat="1" x14ac:dyDescent="0.25">
      <c r="A52" s="159">
        <v>47</v>
      </c>
      <c r="B52" s="75">
        <v>840</v>
      </c>
      <c r="C52" s="15">
        <f t="shared" si="1"/>
        <v>20</v>
      </c>
      <c r="D52" s="134">
        <v>4.5</v>
      </c>
      <c r="E52" s="15">
        <f t="shared" si="0"/>
        <v>5.0199999999999996</v>
      </c>
      <c r="F52" s="134">
        <v>0.27800000000000002</v>
      </c>
      <c r="G52" s="134">
        <v>0.5</v>
      </c>
      <c r="H52" s="15">
        <f t="shared" si="2"/>
        <v>90</v>
      </c>
      <c r="I52" s="15">
        <f t="shared" si="3"/>
        <v>100.39999999999999</v>
      </c>
      <c r="J52" s="15">
        <f t="shared" si="4"/>
        <v>4.3299999999999983</v>
      </c>
      <c r="K52" s="15">
        <f t="shared" si="5"/>
        <v>10</v>
      </c>
    </row>
    <row r="53" spans="1:13" s="103" customFormat="1" x14ac:dyDescent="0.25">
      <c r="A53" s="159">
        <v>48</v>
      </c>
      <c r="B53" s="75">
        <v>860</v>
      </c>
      <c r="C53" s="15">
        <f t="shared" si="1"/>
        <v>20</v>
      </c>
      <c r="D53" s="134">
        <v>4.5</v>
      </c>
      <c r="E53" s="15">
        <f t="shared" si="0"/>
        <v>5.0199999999999996</v>
      </c>
      <c r="F53" s="134">
        <v>7.5000000000000178E-2</v>
      </c>
      <c r="G53" s="134">
        <v>0.5</v>
      </c>
      <c r="H53" s="15">
        <f t="shared" si="2"/>
        <v>90</v>
      </c>
      <c r="I53" s="15">
        <f t="shared" si="3"/>
        <v>100.39999999999999</v>
      </c>
      <c r="J53" s="15">
        <f t="shared" si="4"/>
        <v>3.530000000000002</v>
      </c>
      <c r="K53" s="15">
        <f t="shared" si="5"/>
        <v>10</v>
      </c>
    </row>
    <row r="54" spans="1:13" s="103" customFormat="1" x14ac:dyDescent="0.25">
      <c r="A54" s="159">
        <v>49</v>
      </c>
      <c r="B54" s="75">
        <v>865</v>
      </c>
      <c r="C54" s="15">
        <f t="shared" si="1"/>
        <v>5</v>
      </c>
      <c r="D54" s="134">
        <v>4.5</v>
      </c>
      <c r="E54" s="15">
        <f t="shared" si="0"/>
        <v>5.0199999999999996</v>
      </c>
      <c r="F54" s="134">
        <v>0.10700000000000021</v>
      </c>
      <c r="G54" s="134">
        <v>0.5</v>
      </c>
      <c r="H54" s="15">
        <f t="shared" si="2"/>
        <v>22.5</v>
      </c>
      <c r="I54" s="15">
        <f t="shared" si="3"/>
        <v>25.099999999999998</v>
      </c>
      <c r="J54" s="15">
        <f t="shared" si="4"/>
        <v>0.45500000000000096</v>
      </c>
      <c r="K54" s="15">
        <f t="shared" si="5"/>
        <v>2.5</v>
      </c>
    </row>
    <row r="55" spans="1:13" x14ac:dyDescent="0.25">
      <c r="A55" s="76"/>
      <c r="B55" s="13" t="s">
        <v>35</v>
      </c>
      <c r="C55" s="77">
        <f>SUM(C7:C54)</f>
        <v>853.77</v>
      </c>
      <c r="D55" s="78"/>
      <c r="E55" s="78"/>
      <c r="F55" s="78"/>
      <c r="G55" s="78"/>
      <c r="H55" s="77">
        <f>ROUND(SUM(H7:H54),0)+36</f>
        <v>3863</v>
      </c>
      <c r="I55" s="77">
        <f>ROUND(SUM(I7:I54),0)+36</f>
        <v>4304</v>
      </c>
      <c r="J55" s="77">
        <f>ROUND(SUM(J7:J54),0)</f>
        <v>363</v>
      </c>
      <c r="K55" s="77">
        <f>ROUND(SUM(K7:K54),0)</f>
        <v>401</v>
      </c>
      <c r="L55" s="86"/>
      <c r="M55" s="86"/>
    </row>
    <row r="56" spans="1:13" ht="15.75" customHeight="1" x14ac:dyDescent="0.25"/>
    <row r="58" spans="1:13" ht="60" customHeight="1" x14ac:dyDescent="0.25">
      <c r="A58" s="178" t="s">
        <v>149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</row>
  </sheetData>
  <mergeCells count="13">
    <mergeCell ref="A58:K58"/>
    <mergeCell ref="I3:I4"/>
    <mergeCell ref="J3:K3"/>
    <mergeCell ref="A1:K1"/>
    <mergeCell ref="A2:A4"/>
    <mergeCell ref="B2:B4"/>
    <mergeCell ref="C2:C4"/>
    <mergeCell ref="D2:G2"/>
    <mergeCell ref="H2:K2"/>
    <mergeCell ref="D3:D4"/>
    <mergeCell ref="E3:E4"/>
    <mergeCell ref="F3:G3"/>
    <mergeCell ref="H3:H4"/>
  </mergeCells>
  <pageMargins left="0.7" right="0.7" top="0.5" bottom="0.2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opLeftCell="A7" workbookViewId="0">
      <selection sqref="A1:H1"/>
    </sheetView>
  </sheetViews>
  <sheetFormatPr defaultRowHeight="15" x14ac:dyDescent="0.25"/>
  <cols>
    <col min="1" max="1" width="3" bestFit="1" customWidth="1"/>
    <col min="2" max="2" width="7.7109375" bestFit="1" customWidth="1"/>
    <col min="3" max="3" width="8.140625" bestFit="1" customWidth="1"/>
    <col min="4" max="4" width="54.28515625" customWidth="1"/>
    <col min="5" max="6" width="8.5703125" customWidth="1"/>
  </cols>
  <sheetData>
    <row r="1" spans="1:6" s="19" customFormat="1" ht="30" customHeight="1" x14ac:dyDescent="0.25">
      <c r="A1" s="203" t="s">
        <v>44</v>
      </c>
      <c r="B1" s="203"/>
      <c r="C1" s="203"/>
      <c r="D1" s="203"/>
      <c r="E1" s="203"/>
      <c r="F1" s="203"/>
    </row>
    <row r="2" spans="1:6" s="19" customFormat="1" ht="30" x14ac:dyDescent="0.25">
      <c r="A2" s="17" t="s">
        <v>3</v>
      </c>
      <c r="B2" s="18" t="s">
        <v>36</v>
      </c>
      <c r="C2" s="18" t="s">
        <v>34</v>
      </c>
      <c r="D2" s="17" t="s">
        <v>37</v>
      </c>
      <c r="E2" s="17" t="s">
        <v>42</v>
      </c>
      <c r="F2" s="17" t="s">
        <v>43</v>
      </c>
    </row>
    <row r="3" spans="1:6" x14ac:dyDescent="0.25">
      <c r="A3" s="47">
        <v>1</v>
      </c>
      <c r="B3" s="48">
        <v>2</v>
      </c>
      <c r="C3" s="48">
        <v>3</v>
      </c>
      <c r="D3" s="47">
        <v>4</v>
      </c>
      <c r="E3" s="48">
        <v>5</v>
      </c>
      <c r="F3" s="48">
        <v>6</v>
      </c>
    </row>
    <row r="4" spans="1:6" x14ac:dyDescent="0.25">
      <c r="A4" s="13"/>
      <c r="B4" s="16"/>
      <c r="C4" s="16"/>
      <c r="D4" s="119" t="s">
        <v>65</v>
      </c>
      <c r="E4" s="16"/>
      <c r="F4" s="16"/>
    </row>
    <row r="5" spans="1:6" ht="51" x14ac:dyDescent="0.25">
      <c r="A5" s="117">
        <v>1</v>
      </c>
      <c r="B5" s="23" t="s">
        <v>218</v>
      </c>
      <c r="C5" s="23">
        <v>854</v>
      </c>
      <c r="D5" s="24" t="s">
        <v>148</v>
      </c>
      <c r="E5" s="117" t="s">
        <v>39</v>
      </c>
      <c r="F5" s="25">
        <f>('5. ფართის პიკეტური დათვლის უწყი'!I55+'5. ფართის პიკეტური დათვლის უწყი'!J55+'5. ფართის პიკეტური დათვლის უწყი'!K55)*0.15</f>
        <v>760.19999999999993</v>
      </c>
    </row>
    <row r="6" spans="1:6" ht="51" x14ac:dyDescent="0.25">
      <c r="A6" s="117">
        <v>2</v>
      </c>
      <c r="B6" s="23" t="s">
        <v>218</v>
      </c>
      <c r="C6" s="23">
        <v>854</v>
      </c>
      <c r="D6" s="24" t="s">
        <v>135</v>
      </c>
      <c r="E6" s="35" t="s">
        <v>40</v>
      </c>
      <c r="F6" s="25">
        <f>'5. ფართის პიკეტური დათვლის უწყი'!I55</f>
        <v>4304</v>
      </c>
    </row>
    <row r="7" spans="1:6" ht="30" x14ac:dyDescent="0.25">
      <c r="A7" s="204">
        <v>3</v>
      </c>
      <c r="B7" s="207" t="s">
        <v>218</v>
      </c>
      <c r="C7" s="207">
        <v>854</v>
      </c>
      <c r="D7" s="26" t="s">
        <v>151</v>
      </c>
      <c r="E7" s="144" t="s">
        <v>40</v>
      </c>
      <c r="F7" s="28">
        <f>'5. ფართის პიკეტური დათვლის უწყი'!H55</f>
        <v>3863</v>
      </c>
    </row>
    <row r="8" spans="1:6" x14ac:dyDescent="0.25">
      <c r="A8" s="205"/>
      <c r="B8" s="208"/>
      <c r="C8" s="208"/>
      <c r="D8" s="145" t="s">
        <v>152</v>
      </c>
      <c r="E8" s="146" t="s">
        <v>39</v>
      </c>
      <c r="F8" s="147">
        <f>F7*0.16</f>
        <v>618.08000000000004</v>
      </c>
    </row>
    <row r="9" spans="1:6" x14ac:dyDescent="0.25">
      <c r="A9" s="205"/>
      <c r="B9" s="208"/>
      <c r="C9" s="208"/>
      <c r="D9" s="145" t="s">
        <v>153</v>
      </c>
      <c r="E9" s="148" t="s">
        <v>41</v>
      </c>
      <c r="F9" s="147">
        <f>F7*2.462/1000</f>
        <v>9.5107060000000008</v>
      </c>
    </row>
    <row r="10" spans="1:6" ht="30" x14ac:dyDescent="0.25">
      <c r="A10" s="206"/>
      <c r="B10" s="209"/>
      <c r="C10" s="209"/>
      <c r="D10" s="145" t="s">
        <v>154</v>
      </c>
      <c r="E10" s="148" t="s">
        <v>41</v>
      </c>
      <c r="F10" s="147">
        <f>F7*0.4/1000</f>
        <v>1.5452000000000001</v>
      </c>
    </row>
    <row r="11" spans="1:6" ht="39.75" customHeight="1" x14ac:dyDescent="0.25">
      <c r="A11" s="204">
        <v>4</v>
      </c>
      <c r="B11" s="207" t="s">
        <v>218</v>
      </c>
      <c r="C11" s="207">
        <v>854</v>
      </c>
      <c r="D11" s="29" t="s">
        <v>155</v>
      </c>
      <c r="E11" s="27" t="s">
        <v>38</v>
      </c>
      <c r="F11" s="28">
        <f>ROUND((865/5*4.5),0)</f>
        <v>779</v>
      </c>
    </row>
    <row r="12" spans="1:6" x14ac:dyDescent="0.25">
      <c r="A12" s="206"/>
      <c r="B12" s="209"/>
      <c r="C12" s="209"/>
      <c r="D12" s="149" t="s">
        <v>156</v>
      </c>
      <c r="E12" s="150" t="s">
        <v>41</v>
      </c>
      <c r="F12" s="151">
        <f>F11*0.0013</f>
        <v>1.0126999999999999</v>
      </c>
    </row>
    <row r="13" spans="1:6" ht="51" x14ac:dyDescent="0.25">
      <c r="A13" s="117">
        <v>5</v>
      </c>
      <c r="B13" s="23" t="s">
        <v>218</v>
      </c>
      <c r="C13" s="23">
        <v>854</v>
      </c>
      <c r="D13" s="24" t="s">
        <v>157</v>
      </c>
      <c r="E13" s="117" t="s">
        <v>39</v>
      </c>
      <c r="F13" s="25">
        <f>('5. ფართის პიკეტური დათვლის უწყი'!J55+'5. ფართის პიკეტური დათვლის უწყი'!K55)*0.28</f>
        <v>213.92000000000002</v>
      </c>
    </row>
  </sheetData>
  <mergeCells count="7">
    <mergeCell ref="A1:F1"/>
    <mergeCell ref="A7:A10"/>
    <mergeCell ref="B7:B10"/>
    <mergeCell ref="C7:C10"/>
    <mergeCell ref="A11:A12"/>
    <mergeCell ref="B11:B12"/>
    <mergeCell ref="C11:C12"/>
  </mergeCells>
  <conditionalFormatting sqref="D6">
    <cfRule type="cellIs" dxfId="50" priority="11" stopIfTrue="1" operator="equal">
      <formula>8223.307275</formula>
    </cfRule>
  </conditionalFormatting>
  <conditionalFormatting sqref="D12">
    <cfRule type="cellIs" dxfId="49" priority="1" stopIfTrue="1" operator="equal">
      <formula>8223.307275</formula>
    </cfRule>
  </conditionalFormatting>
  <conditionalFormatting sqref="D7:E7 D9:E10 D8">
    <cfRule type="cellIs" dxfId="48" priority="3" stopIfTrue="1" operator="equal">
      <formula>8223.307275</formula>
    </cfRule>
  </conditionalFormatting>
  <conditionalFormatting sqref="D11">
    <cfRule type="cellIs" dxfId="47" priority="2" stopIfTrue="1" operator="equal">
      <formula>8223.307275</formula>
    </cfRule>
  </conditionalFormatting>
  <pageMargins left="0.7" right="0.7" top="0.5" bottom="0.2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"/>
  <sheetViews>
    <sheetView topLeftCell="A13" workbookViewId="0">
      <selection sqref="A1:L1"/>
    </sheetView>
  </sheetViews>
  <sheetFormatPr defaultRowHeight="12.75" x14ac:dyDescent="0.2"/>
  <cols>
    <col min="1" max="1" width="3" style="67" bestFit="1" customWidth="1"/>
    <col min="2" max="2" width="7" style="63" customWidth="1"/>
    <col min="3" max="3" width="15" style="61" customWidth="1"/>
    <col min="4" max="4" width="14.28515625" style="61" customWidth="1"/>
    <col min="5" max="5" width="8.5703125" style="66" customWidth="1"/>
    <col min="6" max="6" width="8.5703125" style="62" customWidth="1"/>
    <col min="7" max="8" width="14.28515625" style="61" customWidth="1"/>
    <col min="9" max="9" width="14.28515625" style="60" customWidth="1"/>
    <col min="10" max="11" width="8.5703125" style="60" customWidth="1"/>
    <col min="12" max="12" width="10" style="60" customWidth="1"/>
    <col min="13" max="16384" width="9.140625" style="60"/>
  </cols>
  <sheetData>
    <row r="1" spans="1:12" s="19" customFormat="1" ht="30" customHeight="1" x14ac:dyDescent="0.25">
      <c r="A1" s="210" t="s">
        <v>115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x14ac:dyDescent="0.2">
      <c r="A2" s="211" t="s">
        <v>3</v>
      </c>
      <c r="B2" s="211" t="s">
        <v>4</v>
      </c>
      <c r="C2" s="211" t="s">
        <v>70</v>
      </c>
      <c r="D2" s="212" t="s">
        <v>71</v>
      </c>
      <c r="E2" s="212"/>
      <c r="F2" s="212"/>
      <c r="G2" s="212"/>
      <c r="H2" s="212"/>
      <c r="I2" s="212" t="s">
        <v>76</v>
      </c>
      <c r="J2" s="212"/>
      <c r="K2" s="212"/>
      <c r="L2" s="211" t="s">
        <v>46</v>
      </c>
    </row>
    <row r="3" spans="1:12" s="61" customFormat="1" ht="30" x14ac:dyDescent="0.2">
      <c r="A3" s="211"/>
      <c r="B3" s="211"/>
      <c r="C3" s="211"/>
      <c r="D3" s="92" t="s">
        <v>72</v>
      </c>
      <c r="E3" s="92" t="s">
        <v>73</v>
      </c>
      <c r="F3" s="92" t="s">
        <v>34</v>
      </c>
      <c r="G3" s="92" t="s">
        <v>74</v>
      </c>
      <c r="H3" s="92" t="s">
        <v>75</v>
      </c>
      <c r="I3" s="92" t="s">
        <v>72</v>
      </c>
      <c r="J3" s="92" t="s">
        <v>73</v>
      </c>
      <c r="K3" s="92" t="s">
        <v>34</v>
      </c>
      <c r="L3" s="211"/>
    </row>
    <row r="4" spans="1:12" customFormat="1" ht="15" x14ac:dyDescent="0.2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7">
        <v>8</v>
      </c>
      <c r="I4" s="47">
        <v>9</v>
      </c>
      <c r="J4" s="47">
        <v>10</v>
      </c>
      <c r="K4" s="47">
        <v>11</v>
      </c>
      <c r="L4" s="47">
        <v>12</v>
      </c>
    </row>
    <row r="5" spans="1:12" s="101" customFormat="1" ht="25.5" x14ac:dyDescent="0.2">
      <c r="A5" s="96">
        <v>1</v>
      </c>
      <c r="B5" s="102" t="s">
        <v>220</v>
      </c>
      <c r="C5" s="97" t="s">
        <v>219</v>
      </c>
      <c r="D5" s="97" t="s">
        <v>221</v>
      </c>
      <c r="E5" s="98"/>
      <c r="F5" s="99">
        <v>11.23</v>
      </c>
      <c r="G5" s="97" t="s">
        <v>150</v>
      </c>
      <c r="H5" s="97"/>
      <c r="I5" s="97"/>
      <c r="J5" s="98"/>
      <c r="K5" s="99"/>
      <c r="L5" s="100"/>
    </row>
    <row r="6" spans="1:12" s="101" customFormat="1" ht="25.5" x14ac:dyDescent="0.2">
      <c r="A6" s="96">
        <v>2</v>
      </c>
      <c r="B6" s="102">
        <v>200</v>
      </c>
      <c r="C6" s="97" t="s">
        <v>78</v>
      </c>
      <c r="D6" s="97" t="s">
        <v>77</v>
      </c>
      <c r="E6" s="98">
        <v>300</v>
      </c>
      <c r="F6" s="99">
        <v>6</v>
      </c>
      <c r="G6" s="97" t="s">
        <v>79</v>
      </c>
      <c r="H6" s="97" t="s">
        <v>139</v>
      </c>
      <c r="I6" s="97" t="s">
        <v>162</v>
      </c>
      <c r="J6" s="98">
        <v>400</v>
      </c>
      <c r="K6" s="99">
        <v>7</v>
      </c>
      <c r="L6" s="100"/>
    </row>
    <row r="7" spans="1:12" s="101" customFormat="1" ht="25.5" x14ac:dyDescent="0.2">
      <c r="A7" s="96">
        <v>3</v>
      </c>
      <c r="B7" s="102">
        <v>308</v>
      </c>
      <c r="C7" s="97" t="s">
        <v>78</v>
      </c>
      <c r="D7" s="97" t="s">
        <v>222</v>
      </c>
      <c r="E7" s="98" t="s">
        <v>223</v>
      </c>
      <c r="F7" s="99">
        <v>7</v>
      </c>
      <c r="G7" s="97" t="s">
        <v>79</v>
      </c>
      <c r="H7" s="97" t="s">
        <v>224</v>
      </c>
      <c r="I7" s="97" t="s">
        <v>237</v>
      </c>
      <c r="J7" s="98"/>
      <c r="K7" s="99" t="s">
        <v>238</v>
      </c>
      <c r="L7" s="100"/>
    </row>
    <row r="8" spans="1:12" s="101" customFormat="1" ht="25.5" x14ac:dyDescent="0.2">
      <c r="A8" s="96">
        <v>4</v>
      </c>
      <c r="B8" s="102">
        <v>396</v>
      </c>
      <c r="C8" s="97" t="s">
        <v>78</v>
      </c>
      <c r="D8" s="97" t="s">
        <v>161</v>
      </c>
      <c r="E8" s="98" t="s">
        <v>225</v>
      </c>
      <c r="F8" s="99">
        <v>6</v>
      </c>
      <c r="G8" s="97" t="s">
        <v>150</v>
      </c>
      <c r="H8" s="97" t="s">
        <v>226</v>
      </c>
      <c r="I8" s="97"/>
      <c r="J8" s="98"/>
      <c r="K8" s="99"/>
      <c r="L8" s="100"/>
    </row>
    <row r="9" spans="1:12" s="101" customFormat="1" ht="25.5" x14ac:dyDescent="0.2">
      <c r="A9" s="96">
        <v>5</v>
      </c>
      <c r="B9" s="102">
        <v>442</v>
      </c>
      <c r="C9" s="97" t="s">
        <v>78</v>
      </c>
      <c r="D9" s="97" t="s">
        <v>161</v>
      </c>
      <c r="E9" s="98" t="s">
        <v>225</v>
      </c>
      <c r="F9" s="99">
        <v>6</v>
      </c>
      <c r="G9" s="97" t="s">
        <v>150</v>
      </c>
      <c r="H9" s="97" t="s">
        <v>226</v>
      </c>
      <c r="I9" s="97"/>
      <c r="J9" s="98"/>
      <c r="K9" s="99"/>
      <c r="L9" s="100"/>
    </row>
    <row r="10" spans="1:12" s="101" customFormat="1" ht="25.5" x14ac:dyDescent="0.2">
      <c r="A10" s="96">
        <v>6</v>
      </c>
      <c r="B10" s="102">
        <v>681</v>
      </c>
      <c r="C10" s="97" t="s">
        <v>78</v>
      </c>
      <c r="D10" s="97" t="s">
        <v>161</v>
      </c>
      <c r="E10" s="98" t="s">
        <v>225</v>
      </c>
      <c r="F10" s="99">
        <v>7</v>
      </c>
      <c r="G10" s="97" t="s">
        <v>150</v>
      </c>
      <c r="H10" s="97" t="s">
        <v>226</v>
      </c>
      <c r="I10" s="97"/>
      <c r="J10" s="98"/>
      <c r="K10" s="99"/>
      <c r="L10" s="100"/>
    </row>
  </sheetData>
  <mergeCells count="7">
    <mergeCell ref="A1:L1"/>
    <mergeCell ref="A2:A3"/>
    <mergeCell ref="B2:B3"/>
    <mergeCell ref="C2:C3"/>
    <mergeCell ref="D2:H2"/>
    <mergeCell ref="I2:K2"/>
    <mergeCell ref="L2:L3"/>
  </mergeCells>
  <pageMargins left="0.5" right="0.5" top="0.75" bottom="0.2" header="0.3" footer="0.3"/>
  <pageSetup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topLeftCell="A4" workbookViewId="0">
      <selection sqref="A1:H1"/>
    </sheetView>
  </sheetViews>
  <sheetFormatPr defaultRowHeight="15" x14ac:dyDescent="0.25"/>
  <cols>
    <col min="1" max="1" width="3" style="68" bestFit="1" customWidth="1"/>
    <col min="2" max="2" width="95.7109375" bestFit="1" customWidth="1"/>
    <col min="3" max="3" width="7.140625" customWidth="1"/>
    <col min="4" max="4" width="12.7109375" bestFit="1" customWidth="1"/>
  </cols>
  <sheetData>
    <row r="1" spans="1:5" ht="30" customHeight="1" x14ac:dyDescent="0.25">
      <c r="A1" s="216" t="s">
        <v>114</v>
      </c>
      <c r="B1" s="216"/>
      <c r="C1" s="216"/>
      <c r="D1" s="216"/>
      <c r="E1" s="216"/>
    </row>
    <row r="2" spans="1:5" x14ac:dyDescent="0.25">
      <c r="A2" s="214" t="s">
        <v>3</v>
      </c>
      <c r="B2" s="188" t="s">
        <v>37</v>
      </c>
      <c r="C2" s="215" t="s">
        <v>42</v>
      </c>
      <c r="D2" s="156" t="s">
        <v>80</v>
      </c>
      <c r="E2" s="214" t="s">
        <v>45</v>
      </c>
    </row>
    <row r="3" spans="1:5" x14ac:dyDescent="0.25">
      <c r="A3" s="214"/>
      <c r="B3" s="188"/>
      <c r="C3" s="215"/>
      <c r="D3" s="83">
        <v>200</v>
      </c>
      <c r="E3" s="214"/>
    </row>
    <row r="4" spans="1:5" x14ac:dyDescent="0.25">
      <c r="A4" s="47">
        <v>1</v>
      </c>
      <c r="B4" s="47">
        <v>2</v>
      </c>
      <c r="C4" s="47">
        <v>3</v>
      </c>
      <c r="D4" s="47">
        <v>4</v>
      </c>
      <c r="E4" s="47">
        <v>5</v>
      </c>
    </row>
    <row r="5" spans="1:5" x14ac:dyDescent="0.25">
      <c r="A5" s="64">
        <v>1</v>
      </c>
      <c r="B5" s="93" t="s">
        <v>235</v>
      </c>
      <c r="C5" s="94" t="s">
        <v>38</v>
      </c>
      <c r="D5" s="99">
        <v>5.7</v>
      </c>
      <c r="E5" s="95">
        <f t="shared" ref="E5:E15" si="0">SUM(D5:D5)</f>
        <v>5.7</v>
      </c>
    </row>
    <row r="6" spans="1:5" x14ac:dyDescent="0.25">
      <c r="A6" s="64">
        <v>2</v>
      </c>
      <c r="B6" s="154" t="s">
        <v>163</v>
      </c>
      <c r="C6" s="143" t="s">
        <v>39</v>
      </c>
      <c r="D6" s="99">
        <v>5.3</v>
      </c>
      <c r="E6" s="95">
        <f t="shared" si="0"/>
        <v>5.3</v>
      </c>
    </row>
    <row r="7" spans="1:5" x14ac:dyDescent="0.25">
      <c r="A7" s="64">
        <v>3</v>
      </c>
      <c r="B7" s="154" t="s">
        <v>164</v>
      </c>
      <c r="C7" s="143" t="s">
        <v>39</v>
      </c>
      <c r="D7" s="99">
        <v>0.59</v>
      </c>
      <c r="E7" s="95">
        <f t="shared" si="0"/>
        <v>0.59</v>
      </c>
    </row>
    <row r="8" spans="1:5" x14ac:dyDescent="0.25">
      <c r="A8" s="64">
        <v>4</v>
      </c>
      <c r="B8" s="154" t="s">
        <v>165</v>
      </c>
      <c r="C8" s="143" t="s">
        <v>39</v>
      </c>
      <c r="D8" s="99">
        <v>0.45</v>
      </c>
      <c r="E8" s="95">
        <f t="shared" si="0"/>
        <v>0.45</v>
      </c>
    </row>
    <row r="9" spans="1:5" x14ac:dyDescent="0.25">
      <c r="A9" s="64">
        <v>5</v>
      </c>
      <c r="B9" s="154" t="s">
        <v>234</v>
      </c>
      <c r="C9" s="94" t="s">
        <v>38</v>
      </c>
      <c r="D9" s="99">
        <v>7</v>
      </c>
      <c r="E9" s="95">
        <f t="shared" si="0"/>
        <v>7</v>
      </c>
    </row>
    <row r="10" spans="1:5" x14ac:dyDescent="0.25">
      <c r="A10" s="64">
        <v>6</v>
      </c>
      <c r="B10" s="154" t="s">
        <v>166</v>
      </c>
      <c r="C10" s="35" t="s">
        <v>40</v>
      </c>
      <c r="D10" s="99">
        <v>40</v>
      </c>
      <c r="E10" s="95">
        <f t="shared" si="0"/>
        <v>40</v>
      </c>
    </row>
    <row r="11" spans="1:5" x14ac:dyDescent="0.25">
      <c r="A11" s="213">
        <v>7</v>
      </c>
      <c r="B11" s="154" t="s">
        <v>167</v>
      </c>
      <c r="C11" s="94"/>
      <c r="D11" s="65"/>
      <c r="E11" s="95">
        <f t="shared" si="0"/>
        <v>0</v>
      </c>
    </row>
    <row r="12" spans="1:5" x14ac:dyDescent="0.25">
      <c r="A12" s="213"/>
      <c r="B12" s="155" t="s">
        <v>168</v>
      </c>
      <c r="C12" s="143" t="s">
        <v>39</v>
      </c>
      <c r="D12" s="65">
        <v>0.34</v>
      </c>
      <c r="E12" s="95">
        <f t="shared" si="0"/>
        <v>0.34</v>
      </c>
    </row>
    <row r="13" spans="1:5" x14ac:dyDescent="0.25">
      <c r="A13" s="213"/>
      <c r="B13" s="155" t="s">
        <v>169</v>
      </c>
      <c r="C13" s="143" t="s">
        <v>39</v>
      </c>
      <c r="D13" s="65">
        <v>0.71599999999999997</v>
      </c>
      <c r="E13" s="95">
        <f t="shared" si="0"/>
        <v>0.71599999999999997</v>
      </c>
    </row>
    <row r="14" spans="1:5" x14ac:dyDescent="0.25">
      <c r="A14" s="64">
        <v>8</v>
      </c>
      <c r="B14" s="154" t="s">
        <v>170</v>
      </c>
      <c r="C14" s="143" t="s">
        <v>39</v>
      </c>
      <c r="D14" s="65">
        <f>D6+D7-D15</f>
        <v>4.38</v>
      </c>
      <c r="E14" s="95">
        <f t="shared" si="0"/>
        <v>4.38</v>
      </c>
    </row>
    <row r="15" spans="1:5" x14ac:dyDescent="0.25">
      <c r="A15" s="64">
        <v>9</v>
      </c>
      <c r="B15" s="154" t="s">
        <v>171</v>
      </c>
      <c r="C15" s="143" t="s">
        <v>39</v>
      </c>
      <c r="D15" s="65">
        <v>1.51</v>
      </c>
      <c r="E15" s="95">
        <f t="shared" si="0"/>
        <v>1.51</v>
      </c>
    </row>
  </sheetData>
  <mergeCells count="6">
    <mergeCell ref="A11:A13"/>
    <mergeCell ref="A2:A3"/>
    <mergeCell ref="B2:B3"/>
    <mergeCell ref="C2:C3"/>
    <mergeCell ref="A1:E1"/>
    <mergeCell ref="E2:E3"/>
  </mergeCells>
  <pageMargins left="0.2" right="0.2" top="0.75" bottom="0.2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topLeftCell="A7" workbookViewId="0">
      <selection sqref="A1:H1"/>
    </sheetView>
  </sheetViews>
  <sheetFormatPr defaultRowHeight="15" x14ac:dyDescent="0.25"/>
  <cols>
    <col min="1" max="1" width="3.140625" bestFit="1" customWidth="1"/>
    <col min="2" max="3" width="14.28515625" customWidth="1"/>
    <col min="4" max="5" width="11.42578125" customWidth="1"/>
    <col min="6" max="6" width="14.28515625" customWidth="1"/>
    <col min="7" max="7" width="21.42578125" customWidth="1"/>
  </cols>
  <sheetData>
    <row r="1" spans="1:7" ht="30" customHeight="1" x14ac:dyDescent="0.25">
      <c r="A1" s="219" t="s">
        <v>52</v>
      </c>
      <c r="B1" s="220"/>
      <c r="C1" s="220"/>
      <c r="D1" s="220"/>
      <c r="E1" s="220"/>
      <c r="F1" s="220"/>
      <c r="G1" s="220"/>
    </row>
    <row r="2" spans="1:7" x14ac:dyDescent="0.25">
      <c r="A2" s="221" t="s">
        <v>3</v>
      </c>
      <c r="B2" s="221" t="s">
        <v>49</v>
      </c>
      <c r="C2" s="221"/>
      <c r="D2" s="217" t="s">
        <v>34</v>
      </c>
      <c r="E2" s="217" t="s">
        <v>33</v>
      </c>
      <c r="F2" s="217" t="s">
        <v>54</v>
      </c>
      <c r="G2" s="217" t="s">
        <v>50</v>
      </c>
    </row>
    <row r="3" spans="1:7" x14ac:dyDescent="0.25">
      <c r="A3" s="221"/>
      <c r="B3" s="34" t="s">
        <v>16</v>
      </c>
      <c r="C3" s="34" t="s">
        <v>17</v>
      </c>
      <c r="D3" s="217"/>
      <c r="E3" s="217"/>
      <c r="F3" s="217"/>
      <c r="G3" s="217"/>
    </row>
    <row r="4" spans="1:7" x14ac:dyDescent="0.25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  <c r="G4" s="71">
        <v>7</v>
      </c>
    </row>
    <row r="5" spans="1:7" ht="15.75" x14ac:dyDescent="0.25">
      <c r="A5" s="32">
        <v>1</v>
      </c>
      <c r="B5" s="80"/>
      <c r="C5" s="81">
        <v>37</v>
      </c>
      <c r="D5" s="37">
        <v>10</v>
      </c>
      <c r="E5" s="37">
        <v>4.5</v>
      </c>
      <c r="F5" s="114">
        <f>D5*E5+25</f>
        <v>70</v>
      </c>
      <c r="G5" s="42" t="s">
        <v>51</v>
      </c>
    </row>
    <row r="6" spans="1:7" ht="15.75" x14ac:dyDescent="0.25">
      <c r="A6" s="32">
        <v>2</v>
      </c>
      <c r="B6" s="81">
        <v>131</v>
      </c>
      <c r="C6" s="81"/>
      <c r="D6" s="37">
        <v>10</v>
      </c>
      <c r="E6" s="37">
        <v>4.5</v>
      </c>
      <c r="F6" s="114">
        <f>D6*E6+6</f>
        <v>51</v>
      </c>
      <c r="G6" s="42" t="s">
        <v>57</v>
      </c>
    </row>
    <row r="7" spans="1:7" ht="15.75" x14ac:dyDescent="0.25">
      <c r="A7" s="32">
        <v>3</v>
      </c>
      <c r="B7" s="80"/>
      <c r="C7" s="81">
        <v>177</v>
      </c>
      <c r="D7" s="37">
        <v>10</v>
      </c>
      <c r="E7" s="37">
        <v>3</v>
      </c>
      <c r="F7" s="114">
        <f>D7*E7+13</f>
        <v>43</v>
      </c>
      <c r="G7" s="42" t="s">
        <v>57</v>
      </c>
    </row>
    <row r="8" spans="1:7" ht="15.75" x14ac:dyDescent="0.25">
      <c r="A8" s="32">
        <v>4</v>
      </c>
      <c r="B8" s="80"/>
      <c r="C8" s="81">
        <v>227</v>
      </c>
      <c r="D8" s="37">
        <v>10</v>
      </c>
      <c r="E8" s="37">
        <v>4</v>
      </c>
      <c r="F8" s="114">
        <f>D8*E8+18</f>
        <v>58</v>
      </c>
      <c r="G8" s="42" t="s">
        <v>57</v>
      </c>
    </row>
    <row r="9" spans="1:7" ht="15.75" x14ac:dyDescent="0.25">
      <c r="A9" s="32">
        <v>5</v>
      </c>
      <c r="B9" s="80"/>
      <c r="C9" s="81">
        <v>286</v>
      </c>
      <c r="D9" s="37">
        <v>10</v>
      </c>
      <c r="E9" s="37">
        <v>3</v>
      </c>
      <c r="F9" s="114">
        <f>D9*E9+18</f>
        <v>48</v>
      </c>
      <c r="G9" s="42" t="s">
        <v>57</v>
      </c>
    </row>
    <row r="10" spans="1:7" ht="15.75" x14ac:dyDescent="0.25">
      <c r="A10" s="32">
        <v>6</v>
      </c>
      <c r="B10" s="80">
        <v>392</v>
      </c>
      <c r="C10" s="81"/>
      <c r="D10" s="37">
        <v>5</v>
      </c>
      <c r="E10" s="37">
        <v>4</v>
      </c>
      <c r="F10" s="114">
        <f t="shared" ref="F10" si="0">D10*E10+3</f>
        <v>23</v>
      </c>
      <c r="G10" s="42" t="s">
        <v>57</v>
      </c>
    </row>
    <row r="11" spans="1:7" ht="15.75" x14ac:dyDescent="0.25">
      <c r="A11" s="32">
        <v>7</v>
      </c>
      <c r="B11" s="80"/>
      <c r="C11" s="81">
        <v>675</v>
      </c>
      <c r="D11" s="37">
        <v>5</v>
      </c>
      <c r="E11" s="37">
        <v>3</v>
      </c>
      <c r="F11" s="114">
        <f>D11*E11+4</f>
        <v>19</v>
      </c>
      <c r="G11" s="42" t="s">
        <v>57</v>
      </c>
    </row>
    <row r="12" spans="1:7" ht="15.75" x14ac:dyDescent="0.25">
      <c r="A12" s="32">
        <v>8</v>
      </c>
      <c r="B12" s="80"/>
      <c r="C12" s="81">
        <v>771</v>
      </c>
      <c r="D12" s="37">
        <v>5</v>
      </c>
      <c r="E12" s="37">
        <v>3</v>
      </c>
      <c r="F12" s="114">
        <f>D12*E12+5</f>
        <v>20</v>
      </c>
      <c r="G12" s="42" t="s">
        <v>57</v>
      </c>
    </row>
    <row r="13" spans="1:7" ht="15.75" x14ac:dyDescent="0.25">
      <c r="A13" s="32"/>
      <c r="B13" s="38"/>
      <c r="C13" s="36"/>
      <c r="D13" s="39"/>
      <c r="E13" s="39"/>
      <c r="F13" s="39"/>
      <c r="G13" s="41"/>
    </row>
    <row r="14" spans="1:7" ht="15.75" x14ac:dyDescent="0.25">
      <c r="A14" s="32"/>
      <c r="B14" s="38"/>
      <c r="C14" s="36"/>
      <c r="D14" s="39"/>
      <c r="E14" s="39"/>
      <c r="F14" s="39"/>
      <c r="G14" s="41"/>
    </row>
    <row r="15" spans="1:7" ht="15.75" x14ac:dyDescent="0.25">
      <c r="A15" s="33"/>
      <c r="B15" s="43" t="s">
        <v>35</v>
      </c>
      <c r="C15" s="40"/>
      <c r="D15" s="82">
        <f>ROUND(SUM(D5:D12),0)</f>
        <v>65</v>
      </c>
      <c r="E15" s="44"/>
      <c r="F15" s="82">
        <f>ROUND(SUM(F5:F12),0)</f>
        <v>332</v>
      </c>
      <c r="G15" s="45"/>
    </row>
    <row r="18" spans="1:7" x14ac:dyDescent="0.25">
      <c r="A18" s="218" t="s">
        <v>53</v>
      </c>
      <c r="B18" s="218"/>
      <c r="C18" s="218"/>
      <c r="D18" s="218"/>
      <c r="E18" s="218"/>
      <c r="F18" s="218"/>
      <c r="G18" s="218"/>
    </row>
  </sheetData>
  <mergeCells count="8">
    <mergeCell ref="G2:G3"/>
    <mergeCell ref="A18:G18"/>
    <mergeCell ref="A1:G1"/>
    <mergeCell ref="A2:A3"/>
    <mergeCell ref="F2:F3"/>
    <mergeCell ref="D2:D3"/>
    <mergeCell ref="E2:E3"/>
    <mergeCell ref="B2:C2"/>
  </mergeCells>
  <pageMargins left="0.7" right="0.7" top="0.5" bottom="0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1. რეპერების დამაგრების უწყისი</vt:lpstr>
      <vt:lpstr>2. ტრასის დაკვალვა</vt:lpstr>
      <vt:lpstr>3. ჰორიზონტალური მრუდები</vt:lpstr>
      <vt:lpstr>4. მიწის სამუშაოები</vt:lpstr>
      <vt:lpstr>5. ფართის პიკეტური დათვლის უწყი</vt:lpstr>
      <vt:lpstr>6. საგზაო სამოსის მოწყობის უწყი</vt:lpstr>
      <vt:lpstr>7. ხელ. ნაგებობ. ძირ. გზაზე</vt:lpstr>
      <vt:lpstr>8.  მილები ძირ. გზაზე სამუშაოებ</vt:lpstr>
      <vt:lpstr>9. მიერთებების დათვლის უწყისი</vt:lpstr>
      <vt:lpstr>10. მიერთებების სამუშაოების უწყ</vt:lpstr>
      <vt:lpstr>11. შესასვლ. ადგილმდება</vt:lpstr>
      <vt:lpstr>12. შესასვლელ. სამუშაოე</vt:lpstr>
      <vt:lpstr>13. ხელ. ნაგებ. მიერთ.-შესასვ.</vt:lpstr>
      <vt:lpstr>14. კრებსითი უწყისი</vt:lpstr>
      <vt:lpstr>15. ძირითადი მასალების ამონაკრ</vt:lpstr>
      <vt:lpstr>'1. რეპერების დამაგრების უწყისი'!Print_Titles</vt:lpstr>
      <vt:lpstr>'10. მიერთებების სამუშაოების უწყ'!Print_Titles</vt:lpstr>
      <vt:lpstr>'11. შესასვლ. ადგილმდება'!Print_Titles</vt:lpstr>
      <vt:lpstr>'12. შესასვლელ. სამუშაოე'!Print_Titles</vt:lpstr>
      <vt:lpstr>'13. ხელ. ნაგებ. მიერთ.-შესასვ.'!Print_Titles</vt:lpstr>
      <vt:lpstr>'14. კრებსითი უწყისი'!Print_Titles</vt:lpstr>
      <vt:lpstr>'15. ძირითადი მასალების ამონაკრ'!Print_Titles</vt:lpstr>
      <vt:lpstr>'2. ტრასის დაკვალვა'!Print_Titles</vt:lpstr>
      <vt:lpstr>'3. ჰორიზონტალური მრუდები'!Print_Titles</vt:lpstr>
      <vt:lpstr>'4. მიწის სამუშაოები'!Print_Titles</vt:lpstr>
      <vt:lpstr>'5. ფართის პიკეტური დათვლის უწყი'!Print_Titles</vt:lpstr>
      <vt:lpstr>'6. საგზაო სამოსის მოწყობის უწყი'!Print_Titles</vt:lpstr>
      <vt:lpstr>'7. ხელ. ნაგებობ. ძირ. გზაზე'!Print_Titles</vt:lpstr>
      <vt:lpstr>'8.  მილები ძირ. გზაზე სამუშაოებ'!Print_Titles</vt:lpstr>
      <vt:lpstr>'9. მიერთებების დათვლის უწყისი'!Print_Titles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Tamar Kvirkashvili</cp:lastModifiedBy>
  <cp:lastPrinted>2020-03-26T14:14:24Z</cp:lastPrinted>
  <dcterms:created xsi:type="dcterms:W3CDTF">2018-03-28T21:43:00Z</dcterms:created>
  <dcterms:modified xsi:type="dcterms:W3CDTF">2020-08-21T13:47:30Z</dcterms:modified>
</cp:coreProperties>
</file>