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5" yWindow="-105" windowWidth="19440" windowHeight="12570" tabRatio="783"/>
  </bookViews>
  <sheets>
    <sheet name="krebsiti" sheetId="8" r:id="rId1"/>
    <sheet name="#1" sheetId="19" r:id="rId2"/>
    <sheet name="#2" sheetId="26" r:id="rId3"/>
    <sheet name="moc.uwy." sheetId="3" r:id="rId4"/>
  </sheets>
  <definedNames>
    <definedName name="_xlnm.Print_Area" localSheetId="1">'#1'!$A$1:$M$194</definedName>
    <definedName name="_xlnm.Print_Area" localSheetId="2">'#2'!$A$1:$M$98</definedName>
    <definedName name="_xlnm.Print_Area" localSheetId="0">krebsiti!$A$1:$E$14</definedName>
    <definedName name="_xlnm.Print_Area" localSheetId="3">moc.uwy.!$A$1:$E$118</definedName>
    <definedName name="_xlnm.Print_Titles" localSheetId="1">'#1'!$10:$10</definedName>
    <definedName name="_xlnm.Print_Titles" localSheetId="2">'#2'!$9:$9</definedName>
    <definedName name="_xlnm.Print_Titles" localSheetId="0">krebsiti!$7:$7</definedName>
    <definedName name="_xlnm.Print_Titles" localSheetId="3">moc.uwy.!$6:$6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9"/>
  <c r="E19"/>
  <c r="E18"/>
  <c r="E17"/>
  <c r="F13"/>
  <c r="F15" s="1"/>
  <c r="F21" l="1"/>
  <c r="F14"/>
  <c r="F16"/>
  <c r="F20" l="1"/>
  <c r="F19"/>
  <c r="F18"/>
  <c r="F17"/>
  <c r="F40" i="26" l="1"/>
  <c r="F92" i="19"/>
  <c r="F89"/>
  <c r="B90" i="3" l="1"/>
  <c r="F98" i="19" l="1"/>
  <c r="F97"/>
  <c r="F93"/>
  <c r="F96"/>
  <c r="F95"/>
  <c r="F99"/>
  <c r="F94"/>
  <c r="F102" l="1"/>
  <c r="F100"/>
  <c r="F101"/>
  <c r="F14" i="26"/>
  <c r="C38" l="1"/>
  <c r="E122" i="19"/>
  <c r="E121"/>
  <c r="E119"/>
  <c r="E118"/>
  <c r="D117"/>
  <c r="E116"/>
  <c r="E115"/>
  <c r="E114"/>
  <c r="F112"/>
  <c r="F120" s="1"/>
  <c r="F65"/>
  <c r="F47"/>
  <c r="F37"/>
  <c r="F116" l="1"/>
  <c r="F118"/>
  <c r="F125"/>
  <c r="F122"/>
  <c r="F124"/>
  <c r="F121"/>
  <c r="F123"/>
  <c r="F113"/>
  <c r="F115"/>
  <c r="F117"/>
  <c r="F114"/>
  <c r="F119"/>
  <c r="F171" l="1"/>
  <c r="F173" s="1"/>
  <c r="F170"/>
  <c r="F172" l="1"/>
  <c r="F104" l="1"/>
  <c r="F107" s="1"/>
  <c r="F108" s="1"/>
  <c r="F109" l="1"/>
  <c r="F105"/>
  <c r="F110"/>
  <c r="F111"/>
  <c r="F106" l="1"/>
  <c r="F91" l="1"/>
  <c r="F63"/>
  <c r="F72"/>
  <c r="F64"/>
  <c r="F55"/>
  <c r="F54"/>
  <c r="F32"/>
  <c r="F39" s="1"/>
  <c r="E35"/>
  <c r="E34"/>
  <c r="E33"/>
  <c r="F42"/>
  <c r="F24"/>
  <c r="F35" l="1"/>
  <c r="F38" i="26" l="1"/>
  <c r="F12"/>
  <c r="F27"/>
  <c r="F24"/>
  <c r="F19"/>
  <c r="F16"/>
  <c r="F35" l="1"/>
  <c r="F62" i="19"/>
  <c r="F53"/>
  <c r="F43"/>
  <c r="F38"/>
  <c r="E165"/>
  <c r="E164"/>
  <c r="F150"/>
  <c r="F143"/>
  <c r="F149" s="1"/>
  <c r="F138"/>
  <c r="F139" s="1"/>
  <c r="E136"/>
  <c r="F133"/>
  <c r="F137" s="1"/>
  <c r="F128"/>
  <c r="E85"/>
  <c r="E70"/>
  <c r="E60"/>
  <c r="E45"/>
  <c r="E36"/>
  <c r="F36" s="1"/>
  <c r="F34"/>
  <c r="F33"/>
  <c r="F31"/>
  <c r="F30"/>
  <c r="F29"/>
  <c r="F28"/>
  <c r="F27"/>
  <c r="F26"/>
  <c r="F25"/>
  <c r="F60" l="1"/>
  <c r="F50"/>
  <c r="F129"/>
  <c r="F130"/>
  <c r="F56"/>
  <c r="F70"/>
  <c r="F141"/>
  <c r="F61"/>
  <c r="F58"/>
  <c r="F90"/>
  <c r="F146"/>
  <c r="F51"/>
  <c r="F142"/>
  <c r="F147"/>
  <c r="F48"/>
  <c r="F52"/>
  <c r="F59"/>
  <c r="F66"/>
  <c r="F148"/>
  <c r="F144"/>
  <c r="F46"/>
  <c r="F67"/>
  <c r="F135"/>
  <c r="F136"/>
  <c r="F45"/>
  <c r="F134"/>
  <c r="F40"/>
  <c r="F71"/>
  <c r="F140"/>
  <c r="F44"/>
  <c r="F41"/>
  <c r="F49"/>
  <c r="F57"/>
  <c r="F68"/>
  <c r="F69"/>
  <c r="F145"/>
  <c r="F131" l="1"/>
  <c r="F132"/>
  <c r="F165"/>
  <c r="F164"/>
  <c r="F166"/>
  <c r="F167"/>
  <c r="F85"/>
  <c r="F86"/>
  <c r="F87"/>
  <c r="F88"/>
  <c r="F161"/>
  <c r="F155"/>
  <c r="F162"/>
  <c r="F153"/>
  <c r="F160"/>
  <c r="F154"/>
  <c r="F82"/>
  <c r="F76"/>
  <c r="F83"/>
  <c r="F81"/>
  <c r="F75"/>
  <c r="F28" i="26" l="1"/>
  <c r="F26"/>
  <c r="F22"/>
  <c r="F18"/>
  <c r="F15"/>
  <c r="A1"/>
  <c r="F67"/>
  <c r="F69" s="1"/>
  <c r="F72"/>
  <c r="F76" s="1"/>
  <c r="F61"/>
  <c r="F63" s="1"/>
  <c r="F49"/>
  <c r="F48"/>
  <c r="F45"/>
  <c r="E25"/>
  <c r="F25" s="1"/>
  <c r="F21"/>
  <c r="F65" l="1"/>
  <c r="F23"/>
  <c r="F20"/>
  <c r="F17"/>
  <c r="F62"/>
  <c r="F41"/>
  <c r="F77"/>
  <c r="F68"/>
  <c r="F71"/>
  <c r="F74"/>
  <c r="F73"/>
  <c r="F37" l="1"/>
  <c r="F36"/>
  <c r="F39"/>
  <c r="N29" l="1"/>
  <c r="N80" l="1"/>
  <c r="N176" i="19" l="1"/>
  <c r="A1" i="3" l="1"/>
  <c r="A1" i="19"/>
</calcChain>
</file>

<file path=xl/sharedStrings.xml><?xml version="1.0" encoding="utf-8"?>
<sst xmlns="http://schemas.openxmlformats.org/spreadsheetml/2006/main" count="829" uniqueCount="298">
  <si>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</si>
  <si>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</si>
  <si>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</si>
  <si>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</si>
  <si>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</si>
  <si>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</si>
  <si>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</si>
  <si>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</si>
  <si>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</si>
  <si>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</si>
  <si>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</si>
  <si>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</si>
  <si>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c</t>
  </si>
  <si>
    <t>SeniSvna</t>
  </si>
  <si>
    <t>moculobaTa uwyisi</t>
  </si>
  <si>
    <t>kbm</t>
  </si>
  <si>
    <t>kvm</t>
  </si>
  <si>
    <t>kg</t>
  </si>
  <si>
    <t>tn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</si>
  <si>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</si>
  <si>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</si>
  <si>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</si>
  <si>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</si>
  <si>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</si>
  <si>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</si>
  <si>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</si>
  <si>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</si>
  <si>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</si>
  <si>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manqanebi</t>
  </si>
  <si>
    <t>sxva masalebi</t>
  </si>
  <si>
    <t xml:space="preserve">Sromis danaxarjebi  </t>
  </si>
  <si>
    <t>sabazro</t>
  </si>
  <si>
    <t>snf 15,15</t>
  </si>
  <si>
    <t>5</t>
  </si>
  <si>
    <t>8</t>
  </si>
  <si>
    <t>Senobis el montaJis samuSaoebi</t>
  </si>
  <si>
    <t>gegmiuri dagroveba</t>
  </si>
  <si>
    <t>krebsiTi xarjTaRicxva</t>
  </si>
  <si>
    <t>saxarjTaRricxvo gaangariSebis #</t>
  </si>
  <si>
    <t>samuSaoebisa da danaxarjebis dasaxeleba</t>
  </si>
  <si>
    <t>saxarjTaRricxvo Rirebuleba</t>
  </si>
  <si>
    <t>jami</t>
  </si>
  <si>
    <t>zednadebi xarjebi</t>
  </si>
  <si>
    <t>9</t>
  </si>
  <si>
    <t>kompl</t>
  </si>
  <si>
    <t>Sromis danaxarji</t>
  </si>
  <si>
    <t>eleqtrodi</t>
  </si>
  <si>
    <t>saerTo samSeneblo samuSaoebi</t>
  </si>
  <si>
    <t>3</t>
  </si>
  <si>
    <t>s u l</t>
  </si>
  <si>
    <t>betoni b.25</t>
  </si>
  <si>
    <t>m3</t>
  </si>
  <si>
    <t>r21-87</t>
  </si>
  <si>
    <t>samSeneblo nagvis datvirTva xeliT avtoTviTmclelze</t>
  </si>
  <si>
    <t>k/sT</t>
  </si>
  <si>
    <t>grZ.m.</t>
  </si>
  <si>
    <t>kg.</t>
  </si>
  <si>
    <t>კაც/სთ</t>
  </si>
  <si>
    <t>ლარი</t>
  </si>
  <si>
    <t>სხვა მასალები</t>
  </si>
  <si>
    <t>სხვა მასალა</t>
  </si>
  <si>
    <t>კ/სთ</t>
  </si>
  <si>
    <t>მანქანები</t>
  </si>
  <si>
    <t>მანქ /სთ</t>
  </si>
  <si>
    <t>21-18-1.</t>
  </si>
  <si>
    <t>გრძ.მ.</t>
  </si>
  <si>
    <t>SromiTi resursebi</t>
  </si>
  <si>
    <t>damiwebis konturis mowyoba</t>
  </si>
  <si>
    <t>m/sT</t>
  </si>
  <si>
    <t>tn.</t>
  </si>
  <si>
    <t>RorRi</t>
  </si>
  <si>
    <t>6-1-5</t>
  </si>
  <si>
    <t>yalibis fari</t>
  </si>
  <si>
    <t>xe masala</t>
  </si>
  <si>
    <t>6-16-1</t>
  </si>
  <si>
    <t>xis masala</t>
  </si>
  <si>
    <t>betoni b.7,5</t>
  </si>
  <si>
    <t>1-80-3</t>
  </si>
  <si>
    <t>t</t>
  </si>
  <si>
    <t>11-1-6</t>
  </si>
  <si>
    <t>21-27-4</t>
  </si>
  <si>
    <t>1-80-7</t>
  </si>
  <si>
    <t>18%</t>
  </si>
  <si>
    <t>15-164-8</t>
  </si>
  <si>
    <t>antikoroziuli saRebavi</t>
  </si>
  <si>
    <t>1504</t>
  </si>
  <si>
    <t>0926</t>
  </si>
  <si>
    <t>6-1-1</t>
  </si>
  <si>
    <t>6</t>
  </si>
  <si>
    <t xml:space="preserve">SromiTi resursebi                                                </t>
  </si>
  <si>
    <t>10</t>
  </si>
  <si>
    <t>1</t>
  </si>
  <si>
    <t>2</t>
  </si>
  <si>
    <t>4</t>
  </si>
  <si>
    <t>7</t>
  </si>
  <si>
    <t>1-22-15</t>
  </si>
  <si>
    <t>სპილენძის სადენების montaJi</t>
  </si>
  <si>
    <t>1-81-3</t>
  </si>
  <si>
    <t>Е1-22</t>
  </si>
  <si>
    <t>1,1</t>
  </si>
  <si>
    <t>1,2</t>
  </si>
  <si>
    <t>Seadgina: d.ribakova</t>
  </si>
  <si>
    <t>zedmeti gruntis datvirTva xeliT avtoTviTmclelze</t>
  </si>
  <si>
    <t>12</t>
  </si>
  <si>
    <t>СНиП
IV-6-82
8-471-1</t>
  </si>
  <si>
    <t>СНиП
IV-6-82
8-472-2</t>
  </si>
  <si>
    <t>WanWiki uxeSi normaluri da gazrdili simtkicis</t>
  </si>
  <si>
    <t>liTonis detalebois antikoroziuli SeRebva</t>
  </si>
  <si>
    <t>15</t>
  </si>
  <si>
    <t>14</t>
  </si>
  <si>
    <t>13</t>
  </si>
  <si>
    <t>damiwebis vertikaluri eleqtrodebis montaJi</t>
  </si>
  <si>
    <t>СНиП
IV-6-82
8-472-8</t>
  </si>
  <si>
    <t>horizontaluri damiwebis konturis mowyoba (mrgvali  foladiT)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</si>
  <si>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</si>
  <si>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</si>
  <si>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</si>
  <si>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0209</t>
  </si>
  <si>
    <t xml:space="preserve">kac/sT                                                               </t>
  </si>
  <si>
    <t>betoni m-25</t>
  </si>
  <si>
    <t>6-15-1</t>
  </si>
  <si>
    <t>1554</t>
  </si>
  <si>
    <t>0470</t>
  </si>
  <si>
    <t>1522</t>
  </si>
  <si>
    <t>sul pirdapiri danaxarjebi</t>
  </si>
  <si>
    <t>samSeneblo samuSaoebi            lari</t>
  </si>
  <si>
    <t>samSeneblo samuSaoebis damTavrebis Semdeg teritoriis saboloo dasufTaveba, samSeneblo narCenebis Segroveba, gamotana, avtoTviTmclelze dasatvirTavad</t>
  </si>
  <si>
    <t>masalis transportirebis xarjebi</t>
  </si>
  <si>
    <t>კბმ</t>
  </si>
  <si>
    <t>შრომითი რესურსები</t>
  </si>
  <si>
    <t xml:space="preserve">ქვიSა </t>
  </si>
  <si>
    <t>კუბ.მ</t>
  </si>
  <si>
    <t>კაბელის დაფარვა სასიგნალო ლენტით</t>
  </si>
  <si>
    <t>გრძ/მ</t>
  </si>
  <si>
    <t>სასიგნალო ლენტი</t>
  </si>
  <si>
    <t>გრუნტის უკან ჩაყრა ხელით და მოსწორება</t>
  </si>
  <si>
    <t xml:space="preserve">sul xarjTaRricxviT </t>
  </si>
  <si>
    <r>
      <t>eqskavatori 0.5 m</t>
    </r>
    <r>
      <rPr>
        <vertAlign val="superscript"/>
        <sz val="11"/>
        <rFont val="AcadNusx"/>
      </rPr>
      <t>3</t>
    </r>
  </si>
  <si>
    <t>I სამშენებლო სამუSაოები</t>
  </si>
  <si>
    <t>1-80,3</t>
  </si>
  <si>
    <t>საკაბელო თხრილის მოწყობა xeliT</t>
  </si>
  <si>
    <t>23-1-1.</t>
  </si>
  <si>
    <t>ქვიშის საფარის მოწყობა მილებისთვის</t>
  </si>
  <si>
    <t>22-8-2.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</si>
  <si>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</si>
  <si>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Ø63მმ</t>
    </r>
  </si>
  <si>
    <t>8-281-3,</t>
  </si>
  <si>
    <t>snf 15-15</t>
  </si>
  <si>
    <t>სულ პირდაპირი დანახარჯები</t>
  </si>
  <si>
    <t>samSeneblo masalis transportirebis xrjebi  (samSeneblo masalis Rirebulebidan)</t>
  </si>
  <si>
    <t>ზედნადები ხარჯები</t>
  </si>
  <si>
    <t>სულ I თავი</t>
  </si>
  <si>
    <t>II სამონტაჟო სამუშაოები</t>
  </si>
  <si>
    <t xml:space="preserve">8-370-3     </t>
  </si>
  <si>
    <t>სკვერის გარე განათების დეკორატიული ლამპიონების მონტაჟი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</si>
  <si>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3*4</t>
    </r>
  </si>
  <si>
    <t>0,0097</t>
  </si>
  <si>
    <r>
      <t xml:space="preserve">Zalovani faris montaJi </t>
    </r>
    <r>
      <rPr>
        <b/>
        <sz val="10"/>
        <rFont val="Calibri"/>
        <family val="2"/>
        <charset val="204"/>
        <scheme val="minor"/>
      </rPr>
      <t xml:space="preserve"> MDB   ELG1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</si>
  <si>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 16a 6KA</t>
    </r>
  </si>
  <si>
    <t>4,1</t>
  </si>
  <si>
    <t>horizontaluri damiwebis konturis mowyoba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</si>
  <si>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</si>
  <si>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4,2</t>
  </si>
  <si>
    <t>damiwebis Wa</t>
  </si>
  <si>
    <t>4,3</t>
  </si>
  <si>
    <t>Cxiris Tavi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</si>
  <si>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</si>
  <si>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</si>
  <si>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</si>
  <si>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</si>
  <si>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t>გეგმიური დაგროვება (ZviradRirebuli masalebois gamoklebiT)</t>
  </si>
  <si>
    <t>dagrovebiTi sapensio gadasaxadi (xelfasidan)</t>
  </si>
  <si>
    <t>შეადგინა: დ.რიბაკოვა</t>
  </si>
  <si>
    <t>teritoriis gare eleqtro montaJis samuSaoebi</t>
  </si>
  <si>
    <t># 2-2</t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</si>
  <si>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 6a 6KA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</si>
  <si>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2p25a 6KA</t>
    </r>
  </si>
  <si>
    <t>დამიწების მოთუთიებული ღერო,  50X50X5  1500mm</t>
  </si>
  <si>
    <t>sul xarjTaRricxva                       #2-2</t>
  </si>
  <si>
    <t>teritoriis gare el montaJi</t>
  </si>
  <si>
    <t>27</t>
  </si>
  <si>
    <t>lk 2-1</t>
  </si>
  <si>
    <t>zedmeti gruntis transportireba 15km manZilze da gatana</t>
  </si>
  <si>
    <t>lk 1-1</t>
  </si>
  <si>
    <t>sportuli moednis mowyoba</t>
  </si>
  <si>
    <t>27-8-2,</t>
  </si>
  <si>
    <t>teritoriis mosworeba-planireba avtogreiderebiT arsebuli gruntis gadaadgilebiT</t>
  </si>
  <si>
    <t>avtogreideri saSualo tipis 79 kvt.</t>
  </si>
  <si>
    <t>satkepni sagz. TviTmavali gluvi 5 tn.</t>
  </si>
  <si>
    <t>satkepni sagz. TviTmavali gluvi 10 tn.</t>
  </si>
  <si>
    <t>traqtori muxluxa svlaze 79 kvt.</t>
  </si>
  <si>
    <t>mosarwyav-mosarecxi manqana 6000l.</t>
  </si>
  <si>
    <t>III kategoriis gruntis damuSaveba qvabulisaTvis eqskavatoriთ ციცხვით 0.5-m3</t>
  </si>
  <si>
    <t>qvabulis ZirSi fraqciuli RorRis safuZvlis mowyoba sisqiT 15 sm datkepvniT</t>
  </si>
  <si>
    <t>armatura aIII</t>
  </si>
  <si>
    <t>armatura aI</t>
  </si>
  <si>
    <t>monoliTuri rk.betonis saZirkvlis koWis mowyoba liTonis dgarebis qveS</t>
  </si>
  <si>
    <t>sayalibe fari 25mm</t>
  </si>
  <si>
    <t>9-17-5</t>
  </si>
  <si>
    <t>liTonis dgarebi --             kv mili 100*100*3</t>
  </si>
  <si>
    <t>liTonis ganivebi  --     kv mili 50*30*3</t>
  </si>
  <si>
    <t>karebis CarCo -- kuTxovana #60*60*4</t>
  </si>
  <si>
    <t>foladis konstruqcia</t>
  </si>
  <si>
    <r>
      <t>mavTulbade 45X45 ujrediT
d=4mm</t>
    </r>
    <r>
      <rPr>
        <sz val="11"/>
        <rFont val="Calibri"/>
        <family val="2"/>
        <charset val="204"/>
        <scheme val="minor"/>
      </rPr>
      <t xml:space="preserve"> PVC</t>
    </r>
    <r>
      <rPr>
        <sz val="11"/>
        <rFont val="AcadNusx"/>
      </rPr>
      <t xml:space="preserve"> mavTuli d-2,7</t>
    </r>
  </si>
  <si>
    <r>
      <t xml:space="preserve">kalaTburTis faris liTonis dgaris montaJi </t>
    </r>
    <r>
      <rPr>
        <sz val="11"/>
        <rFont val="AcadNusx"/>
      </rPr>
      <t>(ix naxazi)</t>
    </r>
  </si>
  <si>
    <t>kalaTburTis faris liTonis dgarissaZirkvlis mosawyobad qvabulis mowyoba xeliT</t>
  </si>
  <si>
    <t>RorRis fenilis mowyoba liTonis dgaris betonis saZirkvlis qveS</t>
  </si>
  <si>
    <t>sxva lasala</t>
  </si>
  <si>
    <t>betonis mosamzadebeli fenilis mowyoba liTonis dgaris betonis saZirkvlis qveS</t>
  </si>
  <si>
    <t>6-1-3</t>
  </si>
  <si>
    <t xml:space="preserve">liTonis dgaris betonis wertilovani saZirkvlis mowyoba </t>
  </si>
  <si>
    <t xml:space="preserve">betoni b.25    </t>
  </si>
  <si>
    <t>armatura Ф8 А III</t>
  </si>
  <si>
    <t>9-10-12 gamoy</t>
  </si>
  <si>
    <t>kalaTburTis faris liTonis dgaris montaJi</t>
  </si>
  <si>
    <t xml:space="preserve">liTonis dgari --             kv mili 150*150*6 </t>
  </si>
  <si>
    <t>foladis furceli 6mm sisqis</t>
  </si>
  <si>
    <t>foladis furceli 12mm sisqis</t>
  </si>
  <si>
    <t>liTonis ngafarToebulTaviani ankeri d-16mm muSa sigrZe 400mm</t>
  </si>
  <si>
    <t>sul foladis konstruqcia</t>
  </si>
  <si>
    <t>liTonis gafarToebulTaviani ankeri d-16mm muSa sigrZe 400mm</t>
  </si>
  <si>
    <t>kalaTburTis  faris liTonis dgaris antikoroziuli damuSaveba zeTovani saRebaviT</t>
  </si>
  <si>
    <t>1521</t>
  </si>
  <si>
    <t>monoliTuri rk.betonis wertilovani saZirkvlis mowyoba liTonis dgarebis qveS</t>
  </si>
  <si>
    <t xml:space="preserve">SemoRobvis liTonis karkasis mowyoba   </t>
  </si>
  <si>
    <t xml:space="preserve">sportuli moednis safaris mowyoba </t>
  </si>
  <si>
    <t xml:space="preserve">გარე განათების proJeqtoris მონტაჟი  </t>
  </si>
  <si>
    <r>
      <t xml:space="preserve">liTonis Zalovani gamanawilebeli fari  200X200X100    </t>
    </r>
    <r>
      <rPr>
        <sz val="10"/>
        <rFont val="Calibri"/>
        <family val="2"/>
        <charset val="204"/>
        <scheme val="minor"/>
      </rPr>
      <t>IP 67  IK 08</t>
    </r>
  </si>
  <si>
    <t>CamrTveli gare montaJis                                 0-1-2 1X20a</t>
  </si>
  <si>
    <r>
      <t xml:space="preserve">liTonis gamanawilebeli kolofi </t>
    </r>
    <r>
      <rPr>
        <sz val="10"/>
        <rFont val="Calibri"/>
        <family val="2"/>
        <charset val="204"/>
        <scheme val="minor"/>
      </rPr>
      <t>IP 67</t>
    </r>
  </si>
  <si>
    <t>gruntis gatana 20km</t>
  </si>
  <si>
    <t xml:space="preserve">gruntis damuSaveba werilovani saZirkvlis  qvabulisaTvis xeliT, saproeqto niSnulamde  </t>
  </si>
  <si>
    <t>liTonis dgarebi --             kv mili 150*150*3</t>
  </si>
  <si>
    <t>sportuli moednis xelovnuri balaxis safaris mowyoba</t>
  </si>
  <si>
    <t>xelovnuri balaxis safari -- (SemaerTebeli lentebiT, weboTi da TeTri xazebiT)</t>
  </si>
  <si>
    <t>balaxis Reros masala: 100% monofilamenti</t>
  </si>
  <si>
    <r>
      <t>balaxis Reros simaRle: 25mm (</t>
    </r>
    <r>
      <rPr>
        <u/>
        <sz val="11"/>
        <color theme="1"/>
        <rFont val="AcadNusx"/>
      </rPr>
      <t>+</t>
    </r>
    <r>
      <rPr>
        <sz val="11"/>
        <color theme="1"/>
        <rFont val="AcadNusx"/>
      </rPr>
      <t>5%)</t>
    </r>
  </si>
  <si>
    <t>nakeri: 3/8 inCi</t>
  </si>
  <si>
    <t>Reros Wrili: 310mikroni, 1,5mm</t>
  </si>
  <si>
    <r>
      <rPr>
        <sz val="11"/>
        <color theme="1"/>
        <rFont val="Calibri"/>
        <family val="2"/>
        <charset val="204"/>
        <scheme val="minor"/>
      </rPr>
      <t>D-TEX</t>
    </r>
    <r>
      <rPr>
        <sz val="11"/>
        <color theme="1"/>
        <rFont val="AcadNusx"/>
      </rPr>
      <t>:12000</t>
    </r>
  </si>
  <si>
    <r>
      <t>balaxis Reros wona 1kvm: 1320gr(</t>
    </r>
    <r>
      <rPr>
        <u/>
        <sz val="11"/>
        <rFont val="AcadNusx"/>
      </rPr>
      <t>+</t>
    </r>
    <r>
      <rPr>
        <sz val="11"/>
        <rFont val="AcadNusx"/>
      </rPr>
      <t>5%)</t>
    </r>
  </si>
  <si>
    <r>
      <t>balaxis mTliani wona 1kvm: 2710gr(</t>
    </r>
    <r>
      <rPr>
        <u/>
        <sz val="11"/>
        <rFont val="AcadNusx"/>
      </rPr>
      <t>+</t>
    </r>
    <r>
      <rPr>
        <sz val="11"/>
        <rFont val="AcadNusx"/>
      </rPr>
      <t>5%)</t>
    </r>
  </si>
  <si>
    <t>yulfis raodenoba              16 (10) sm</t>
  </si>
  <si>
    <r>
      <t>kvanZi 1kvm-ze:                   16800 (</t>
    </r>
    <r>
      <rPr>
        <u/>
        <sz val="11"/>
        <rFont val="AcadNusx"/>
      </rPr>
      <t>+</t>
    </r>
    <r>
      <rPr>
        <sz val="11"/>
        <rFont val="AcadNusx"/>
      </rPr>
      <t>5%)</t>
    </r>
  </si>
  <si>
    <t>safaris Ziri lateqsiT damuSavebuli</t>
  </si>
  <si>
    <t>feri: mwvane</t>
  </si>
  <si>
    <t>8-3-1</t>
  </si>
  <si>
    <t>xelovnuri balaxis safarze kvarcis silis fenilis moyra</t>
  </si>
  <si>
    <t>kvarcis qviSa</t>
  </si>
  <si>
    <t xml:space="preserve">samSeneblo nagvis gatana 20 km-ze </t>
  </si>
  <si>
    <r>
      <t xml:space="preserve">monoliTuri rk.betonis fenilis mowyoba </t>
    </r>
    <r>
      <rPr>
        <sz val="11"/>
        <rFont val="AcadNusx"/>
      </rPr>
      <t>(pandusis filis gaTvaliswinebiT)</t>
    </r>
  </si>
  <si>
    <t>7-21-10    gam.</t>
  </si>
  <si>
    <r>
      <t xml:space="preserve">pandusis liTonis moajiris mowyoba - rk.betonis kedelze Caankereba </t>
    </r>
    <r>
      <rPr>
        <sz val="11"/>
        <rFont val="AcadNusx"/>
      </rPr>
      <t>(moc eskiozis mixedviT)</t>
    </r>
  </si>
  <si>
    <t>amwe - kranis momsaxureoba 10t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</si>
  <si>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</si>
  <si>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liTonis Robe</t>
  </si>
  <si>
    <t>liTonis konstruqcia samontaJo</t>
  </si>
  <si>
    <t>liTonis konstruqciebis SeRebva antikoroziuli saRebaviT</t>
  </si>
  <si>
    <t>olifa</t>
  </si>
  <si>
    <t>teritoriis momzadeba samSeneblo samuSaoebis sawarmoeblad</t>
  </si>
  <si>
    <t>sportuli moednis mowyobis samuSaebi</t>
  </si>
  <si>
    <t>lokaluri ხ ა რ ჯ თ ა ღ რ ი ც ვ ხ ვ ა # 2</t>
  </si>
  <si>
    <t>sul xarjTaRricxva                       #2</t>
  </si>
  <si>
    <t>sul xarjTaRricxva                       #1</t>
  </si>
  <si>
    <t>lokaluri ხ ა რ ჯ თ ა ღ რ ი ც ვ ხ ვ ა #1</t>
  </si>
  <si>
    <t>dioduri sanaTi 250v 50vat                            (sp moednis)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</si>
  <si>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3*2,5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</si>
  <si>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3*1,5</t>
    </r>
  </si>
  <si>
    <r>
      <t>kontaqtori</t>
    </r>
    <r>
      <rPr>
        <sz val="10"/>
        <rFont val="Calibri"/>
        <family val="2"/>
        <charset val="204"/>
        <scheme val="minor"/>
      </rPr>
      <t xml:space="preserve"> , 3P, 25 A</t>
    </r>
  </si>
  <si>
    <r>
      <t xml:space="preserve">rele </t>
    </r>
    <r>
      <rPr>
        <sz val="10"/>
        <rFont val="Calibri"/>
        <family val="2"/>
        <charset val="204"/>
        <scheme val="minor"/>
      </rPr>
      <t>250v/5A</t>
    </r>
  </si>
  <si>
    <r>
      <t xml:space="preserve">fotorele </t>
    </r>
    <r>
      <rPr>
        <sz val="10"/>
        <rFont val="Calibri"/>
        <family val="2"/>
        <charset val="204"/>
        <scheme val="minor"/>
      </rPr>
      <t>250V  5A</t>
    </r>
  </si>
  <si>
    <t>SemaerTebeli furnituta</t>
  </si>
  <si>
    <t>sp moedani</t>
  </si>
  <si>
    <t>lk   #1</t>
  </si>
  <si>
    <r>
      <t xml:space="preserve">arsebuli liTonis milebiT mowyobili fexburTis karebis demontaJi </t>
    </r>
    <r>
      <rPr>
        <sz val="11"/>
        <color theme="1"/>
        <rFont val="AcadNusx"/>
      </rPr>
      <t>(dasawyobeba damkveTis mier miTiTebul adgilze)</t>
    </r>
  </si>
  <si>
    <r>
      <rPr>
        <b/>
        <sz val="11"/>
        <color theme="1"/>
        <rFont val="AcadNusx"/>
      </rPr>
      <t xml:space="preserve">kalaTburTis faris demontaJi </t>
    </r>
    <r>
      <rPr>
        <sz val="11"/>
        <color theme="1"/>
        <rFont val="AcadNusx"/>
      </rPr>
      <t>(dasawyobeba damkveTis mier miTiTebul adgilze)</t>
    </r>
  </si>
  <si>
    <r>
      <t xml:space="preserve">liTonis dgarebze mavTulbadis montaJi, 45X45 ujrediT
d=4mm </t>
    </r>
    <r>
      <rPr>
        <b/>
        <sz val="11"/>
        <rFont val="Calibri"/>
        <family val="2"/>
        <charset val="204"/>
        <scheme val="minor"/>
      </rPr>
      <t>PVC</t>
    </r>
    <r>
      <rPr>
        <b/>
        <sz val="11"/>
        <rFont val="AcadNusx"/>
      </rPr>
      <t xml:space="preserve"> 1.2mm  </t>
    </r>
    <r>
      <rPr>
        <b/>
        <sz val="11"/>
        <rFont val="Calibri"/>
        <family val="2"/>
        <scheme val="minor"/>
      </rPr>
      <t>(H</t>
    </r>
    <r>
      <rPr>
        <b/>
        <sz val="11"/>
        <rFont val="AcadNusx"/>
      </rPr>
      <t>=1,0m simaRlis zemoT)</t>
    </r>
  </si>
  <si>
    <r>
      <rPr>
        <b/>
        <sz val="11"/>
        <rFont val="AcadNusx"/>
      </rPr>
      <t>liTonis dgarebze</t>
    </r>
    <r>
      <rPr>
        <b/>
        <sz val="11"/>
        <rFont val="Calibri"/>
        <family val="2"/>
        <scheme val="minor"/>
      </rPr>
      <t xml:space="preserve"> H</t>
    </r>
    <r>
      <rPr>
        <b/>
        <sz val="11"/>
        <rFont val="AcadNusx"/>
      </rPr>
      <t xml:space="preserve">=1,0m simaRleze  profilirebuli xis mopirketebis mowyoba </t>
    </r>
  </si>
  <si>
    <t>amwe   10t</t>
  </si>
  <si>
    <t>mant st</t>
  </si>
  <si>
    <t>dekoratiuli xis Robe</t>
  </si>
  <si>
    <t>WanWiki samSeneblo</t>
  </si>
  <si>
    <t>10-31-5</t>
  </si>
  <si>
    <t>15-163-2 gamoy</t>
  </si>
  <si>
    <t>xid dekoratiuli Robis SeRebva gare samuSaoebis xis laqiT</t>
  </si>
  <si>
    <t>laqi xis, gare samuSaoebis</t>
  </si>
  <si>
    <t>11,1</t>
  </si>
  <si>
    <t>11,2</t>
  </si>
  <si>
    <t>11,3</t>
  </si>
  <si>
    <t>mcxeTis municipalitetis sofel cixisZirSi sportuli moednis moawyobis samuSaoebi</t>
  </si>
  <si>
    <t>s u l liTonis konstruqcia</t>
  </si>
  <si>
    <t>46-23-2 misad</t>
  </si>
  <si>
    <t>teritoriaze arsebuli betonis kibeebis demontaJi</t>
  </si>
  <si>
    <t>1-22-16</t>
  </si>
  <si>
    <t>teritoriaze arsebuli samSeneblo narCenebisa da gruntis Segroveba, datvirTva eqskavatoriT atoviTmclelze gasata,nad</t>
  </si>
  <si>
    <t>gatana 20km</t>
  </si>
  <si>
    <t>gauTvaliswinebeli xarjebi - ფიქსირებული თანხა 4930ლარი</t>
  </si>
  <si>
    <t>gauTvaliswinebeli xarjebi - ფიქსირებული თანხა 134ლარი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</si>
</sst>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  <numFmt numFmtId="172" formatCode="0.000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b/>
      <sz val="14"/>
      <color theme="1"/>
      <name val="AcadNusx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b/>
      <sz val="10"/>
      <color rgb="FF000000"/>
      <name val="AcadNusx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b/>
      <vertAlign val="superscript"/>
      <sz val="10"/>
      <name val="AcadNusx"/>
    </font>
    <font>
      <b/>
      <sz val="10"/>
      <color theme="1"/>
      <name val="Times New Roman"/>
      <family val="1"/>
    </font>
    <font>
      <vertAlign val="superscript"/>
      <sz val="11"/>
      <name val="AcadNusx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AcadNusx"/>
    </font>
    <font>
      <b/>
      <sz val="11"/>
      <color rgb="FF000000"/>
      <name val="AcadNusx"/>
    </font>
    <font>
      <b/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color rgb="FF0000FF"/>
      <name val="AcadNusx"/>
    </font>
    <font>
      <b/>
      <sz val="11"/>
      <color rgb="FF0000FF"/>
      <name val="AcadNusx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AcadNusx"/>
    </font>
    <font>
      <u/>
      <sz val="11"/>
      <name val="AcadNusx"/>
    </font>
    <font>
      <sz val="8"/>
      <name val="Calibri"/>
      <family val="2"/>
      <charset val="204"/>
      <scheme val="minor"/>
    </font>
    <font>
      <b/>
      <sz val="10"/>
      <color theme="1"/>
      <name val="AcadMtavr"/>
    </font>
    <font>
      <b/>
      <sz val="11"/>
      <name val="AcadNusx"/>
      <family val="2"/>
    </font>
    <font>
      <b/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CC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06">
    <xf numFmtId="0" fontId="0" fillId="0" borderId="0"/>
    <xf numFmtId="166" fontId="9" fillId="0" borderId="0" applyFont="0" applyFill="0" applyBorder="0" applyAlignment="0" applyProtection="0"/>
    <xf numFmtId="0" fontId="10" fillId="0" borderId="0"/>
    <xf numFmtId="0" fontId="16" fillId="0" borderId="0"/>
    <xf numFmtId="0" fontId="19" fillId="0" borderId="0"/>
    <xf numFmtId="0" fontId="24" fillId="0" borderId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45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5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5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5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5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5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5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5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5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5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5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47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48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0" fontId="30" fillId="29" borderId="11" applyNumberFormat="0" applyAlignment="0" applyProtection="0"/>
    <xf numFmtId="43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61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4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51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3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36" fillId="15" borderId="10" applyNumberFormat="0" applyAlignment="0" applyProtection="0"/>
    <xf numFmtId="0" fontId="55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5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9" fillId="0" borderId="0"/>
    <xf numFmtId="0" fontId="24" fillId="0" borderId="0"/>
    <xf numFmtId="0" fontId="63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64" fillId="0" borderId="0"/>
    <xf numFmtId="0" fontId="16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6" fillId="0" borderId="0"/>
    <xf numFmtId="0" fontId="62" fillId="0" borderId="0"/>
    <xf numFmtId="0" fontId="16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16" fillId="31" borderId="16" applyNumberFormat="0" applyFont="0" applyAlignment="0" applyProtection="0"/>
    <xf numFmtId="0" fontId="57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0" fontId="40" fillId="28" borderId="17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0" borderId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0" fillId="0" borderId="0"/>
    <xf numFmtId="0" fontId="24" fillId="0" borderId="0"/>
    <xf numFmtId="0" fontId="16" fillId="0" borderId="0"/>
    <xf numFmtId="0" fontId="16" fillId="0" borderId="0"/>
    <xf numFmtId="0" fontId="62" fillId="0" borderId="0"/>
    <xf numFmtId="0" fontId="2" fillId="0" borderId="0"/>
    <xf numFmtId="0" fontId="2" fillId="0" borderId="0"/>
    <xf numFmtId="0" fontId="16" fillId="0" borderId="0"/>
    <xf numFmtId="0" fontId="66" fillId="9" borderId="0" applyNumberFormat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62" fillId="0" borderId="0"/>
    <xf numFmtId="0" fontId="16" fillId="0" borderId="0"/>
  </cellStyleXfs>
  <cellXfs count="56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69" fillId="0" borderId="6" xfId="0" applyNumberFormat="1" applyFont="1" applyBorder="1" applyAlignment="1">
      <alignment horizontal="center" vertical="center" wrapText="1"/>
    </xf>
    <xf numFmtId="49" fontId="69" fillId="0" borderId="7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7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67" fillId="0" borderId="1" xfId="0" applyNumberFormat="1" applyFont="1" applyFill="1" applyBorder="1" applyAlignment="1" applyProtection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67" fillId="0" borderId="1" xfId="634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21" fillId="0" borderId="0" xfId="0" applyNumberFormat="1" applyFont="1"/>
    <xf numFmtId="49" fontId="14" fillId="0" borderId="0" xfId="0" applyNumberFormat="1" applyFont="1" applyFill="1"/>
    <xf numFmtId="49" fontId="15" fillId="0" borderId="0" xfId="0" applyNumberFormat="1" applyFont="1" applyAlignment="1">
      <alignment vertical="center" wrapText="1"/>
    </xf>
    <xf numFmtId="49" fontId="71" fillId="0" borderId="0" xfId="0" applyNumberFormat="1" applyFont="1" applyFill="1"/>
    <xf numFmtId="49" fontId="67" fillId="5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1" fillId="0" borderId="0" xfId="0" applyNumberFormat="1" applyFont="1" applyFill="1"/>
    <xf numFmtId="0" fontId="67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7" fillId="7" borderId="1" xfId="0" applyNumberFormat="1" applyFont="1" applyFill="1" applyBorder="1" applyAlignment="1">
      <alignment horizontal="center" vertical="center" wrapText="1"/>
    </xf>
    <xf numFmtId="0" fontId="67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69" fillId="0" borderId="7" xfId="0" applyNumberFormat="1" applyFont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center" wrapText="1"/>
    </xf>
    <xf numFmtId="0" fontId="8" fillId="0" borderId="1" xfId="634" applyNumberFormat="1" applyFont="1" applyFill="1" applyBorder="1" applyAlignment="1">
      <alignment horizontal="center" vertical="center" wrapText="1"/>
    </xf>
    <xf numFmtId="0" fontId="8" fillId="0" borderId="3" xfId="634" applyNumberFormat="1" applyFont="1" applyFill="1" applyBorder="1" applyAlignment="1">
      <alignment horizontal="center" vertical="center" wrapText="1"/>
    </xf>
    <xf numFmtId="49" fontId="69" fillId="5" borderId="7" xfId="0" applyNumberFormat="1" applyFont="1" applyFill="1" applyBorder="1" applyAlignment="1">
      <alignment horizontal="center" vertical="center" wrapText="1"/>
    </xf>
    <xf numFmtId="0" fontId="69" fillId="5" borderId="7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9" fontId="67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902" applyNumberFormat="1" applyFont="1" applyFill="1" applyBorder="1" applyAlignment="1">
      <alignment horizontal="center" vertical="center" wrapText="1"/>
    </xf>
    <xf numFmtId="49" fontId="11" fillId="0" borderId="1" xfId="903" applyNumberFormat="1" applyFont="1" applyFill="1" applyBorder="1" applyAlignment="1">
      <alignment horizontal="left" vertical="center" wrapText="1"/>
    </xf>
    <xf numFmtId="49" fontId="8" fillId="0" borderId="1" xfId="872" applyNumberFormat="1" applyFont="1" applyFill="1" applyBorder="1" applyAlignment="1">
      <alignment horizontal="center" vertical="center" wrapText="1"/>
    </xf>
    <xf numFmtId="0" fontId="11" fillId="0" borderId="1" xfId="872" applyNumberFormat="1" applyFont="1" applyFill="1" applyBorder="1" applyAlignment="1">
      <alignment horizontal="center" vertical="center" wrapText="1"/>
    </xf>
    <xf numFmtId="0" fontId="22" fillId="0" borderId="1" xfId="872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2" fillId="0" borderId="1" xfId="901" applyNumberFormat="1" applyFont="1" applyFill="1" applyBorder="1" applyAlignment="1">
      <alignment horizontal="center" vertical="center" wrapText="1"/>
    </xf>
    <xf numFmtId="2" fontId="72" fillId="0" borderId="1" xfId="0" applyNumberFormat="1" applyFont="1" applyFill="1" applyBorder="1" applyAlignment="1">
      <alignment horizontal="center" vertical="center" wrapText="1"/>
    </xf>
    <xf numFmtId="49" fontId="67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634" applyNumberFormat="1" applyFont="1" applyFill="1" applyBorder="1" applyAlignment="1">
      <alignment horizontal="left" vertical="center" wrapText="1"/>
    </xf>
    <xf numFmtId="0" fontId="11" fillId="0" borderId="1" xfId="634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7" fillId="0" borderId="1" xfId="0" applyNumberFormat="1" applyFont="1" applyFill="1" applyBorder="1" applyAlignment="1" applyProtection="1">
      <alignment horizontal="center" vertical="center" wrapText="1"/>
    </xf>
    <xf numFmtId="0" fontId="69" fillId="0" borderId="6" xfId="0" applyNumberFormat="1" applyFont="1" applyBorder="1" applyAlignment="1">
      <alignment horizontal="center" vertical="center" wrapText="1"/>
    </xf>
    <xf numFmtId="49" fontId="67" fillId="0" borderId="0" xfId="0" applyNumberFormat="1" applyFont="1" applyFill="1" applyAlignment="1">
      <alignment horizontal="center" vertical="center" wrapText="1"/>
    </xf>
    <xf numFmtId="49" fontId="67" fillId="0" borderId="1" xfId="2" quotePrefix="1" applyNumberFormat="1" applyFont="1" applyFill="1" applyBorder="1" applyAlignment="1" applyProtection="1">
      <alignment horizontal="center" vertical="center" wrapText="1"/>
    </xf>
    <xf numFmtId="49" fontId="73" fillId="0" borderId="6" xfId="0" applyNumberFormat="1" applyFont="1" applyBorder="1" applyAlignment="1">
      <alignment horizontal="center" vertical="center" wrapText="1"/>
    </xf>
    <xf numFmtId="49" fontId="73" fillId="0" borderId="7" xfId="0" applyNumberFormat="1" applyFont="1" applyBorder="1" applyAlignment="1">
      <alignment horizontal="center" vertical="center" wrapText="1"/>
    </xf>
    <xf numFmtId="49" fontId="73" fillId="5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7" fillId="7" borderId="3" xfId="0" applyNumberFormat="1" applyFont="1" applyFill="1" applyBorder="1" applyAlignment="1">
      <alignment horizontal="center" vertical="center" wrapText="1"/>
    </xf>
    <xf numFmtId="49" fontId="8" fillId="0" borderId="1" xfId="683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49" fontId="11" fillId="32" borderId="1" xfId="0" applyNumberFormat="1" applyFont="1" applyFill="1" applyBorder="1" applyAlignment="1">
      <alignment vertical="center" wrapText="1"/>
    </xf>
    <xf numFmtId="49" fontId="11" fillId="8" borderId="1" xfId="0" applyNumberFormat="1" applyFont="1" applyFill="1" applyBorder="1" applyAlignment="1">
      <alignment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3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2" fontId="78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67" fillId="7" borderId="1" xfId="1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67" fillId="7" borderId="1" xfId="1" applyNumberFormat="1" applyFont="1" applyFill="1" applyBorder="1" applyAlignment="1">
      <alignment horizontal="center" vertical="center" wrapText="1"/>
    </xf>
    <xf numFmtId="0" fontId="22" fillId="7" borderId="1" xfId="1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11" fillId="0" borderId="3" xfId="634" applyNumberFormat="1" applyFont="1" applyFill="1" applyBorder="1" applyAlignment="1">
      <alignment horizontal="left" vertical="center" wrapText="1"/>
    </xf>
    <xf numFmtId="0" fontId="11" fillId="0" borderId="1" xfId="683" applyNumberFormat="1" applyFont="1" applyFill="1" applyBorder="1" applyAlignment="1">
      <alignment horizontal="center" vertical="center" wrapText="1"/>
    </xf>
    <xf numFmtId="0" fontId="11" fillId="0" borderId="3" xfId="634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 applyProtection="1">
      <alignment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49" fontId="22" fillId="0" borderId="1" xfId="903" applyNumberFormat="1" applyFont="1" applyFill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49" fontId="22" fillId="0" borderId="1" xfId="3" applyNumberFormat="1" applyFont="1" applyFill="1" applyBorder="1" applyAlignment="1">
      <alignment horizontal="left" vertical="center" wrapText="1"/>
    </xf>
    <xf numFmtId="49" fontId="22" fillId="0" borderId="1" xfId="634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22" fillId="0" borderId="1" xfId="634" applyNumberFormat="1" applyFont="1" applyFill="1" applyBorder="1" applyAlignment="1">
      <alignment horizontal="center" vertical="center" wrapText="1"/>
    </xf>
    <xf numFmtId="49" fontId="11" fillId="0" borderId="1" xfId="682" applyNumberFormat="1" applyFont="1" applyFill="1" applyBorder="1" applyAlignment="1">
      <alignment horizontal="left" vertical="center" wrapText="1"/>
    </xf>
    <xf numFmtId="0" fontId="22" fillId="5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67" fillId="0" borderId="1" xfId="3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22" fillId="0" borderId="1" xfId="3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11" fillId="0" borderId="1" xfId="2" applyNumberFormat="1" applyFont="1" applyFill="1" applyBorder="1" applyAlignment="1" applyProtection="1">
      <alignment vertical="center" wrapText="1"/>
    </xf>
    <xf numFmtId="49" fontId="22" fillId="8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right" vertical="center" wrapText="1"/>
    </xf>
    <xf numFmtId="49" fontId="84" fillId="0" borderId="6" xfId="0" applyNumberFormat="1" applyFont="1" applyBorder="1" applyAlignment="1">
      <alignment horizontal="center" vertical="center" wrapText="1"/>
    </xf>
    <xf numFmtId="49" fontId="84" fillId="0" borderId="7" xfId="0" applyNumberFormat="1" applyFont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2" fontId="84" fillId="0" borderId="6" xfId="0" applyNumberFormat="1" applyFont="1" applyBorder="1" applyAlignment="1">
      <alignment horizontal="center" vertical="center" wrapText="1"/>
    </xf>
    <xf numFmtId="0" fontId="85" fillId="0" borderId="7" xfId="0" applyNumberFormat="1" applyFont="1" applyFill="1" applyBorder="1" applyAlignment="1">
      <alignment horizontal="center" vertical="center" wrapText="1"/>
    </xf>
    <xf numFmtId="2" fontId="84" fillId="0" borderId="7" xfId="0" applyNumberFormat="1" applyFont="1" applyBorder="1" applyAlignment="1">
      <alignment horizontal="center" vertical="center" wrapText="1"/>
    </xf>
    <xf numFmtId="0" fontId="85" fillId="5" borderId="7" xfId="0" applyNumberFormat="1" applyFont="1" applyFill="1" applyBorder="1" applyAlignment="1">
      <alignment horizontal="center" vertical="center" wrapText="1"/>
    </xf>
    <xf numFmtId="2" fontId="84" fillId="5" borderId="7" xfId="0" applyNumberFormat="1" applyFont="1" applyFill="1" applyBorder="1" applyAlignment="1">
      <alignment horizontal="center" vertical="center" wrapText="1"/>
    </xf>
    <xf numFmtId="2" fontId="85" fillId="34" borderId="7" xfId="0" applyNumberFormat="1" applyFont="1" applyFill="1" applyBorder="1" applyAlignment="1">
      <alignment horizontal="center" vertical="center" wrapText="1"/>
    </xf>
    <xf numFmtId="0" fontId="85" fillId="0" borderId="7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49" fontId="69" fillId="0" borderId="3" xfId="0" applyNumberFormat="1" applyFont="1" applyBorder="1" applyAlignment="1">
      <alignment horizontal="center" vertical="center" wrapText="1"/>
    </xf>
    <xf numFmtId="49" fontId="22" fillId="0" borderId="1" xfId="647" applyNumberFormat="1" applyFont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67" fillId="0" borderId="0" xfId="0" applyFont="1" applyFill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/>
    <xf numFmtId="49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67" fillId="0" borderId="1" xfId="903" applyNumberFormat="1" applyFont="1" applyFill="1" applyBorder="1" applyAlignment="1">
      <alignment horizontal="center" vertical="center" wrapText="1"/>
    </xf>
    <xf numFmtId="0" fontId="22" fillId="0" borderId="1" xfId="903" applyNumberFormat="1" applyFont="1" applyFill="1" applyBorder="1" applyAlignment="1">
      <alignment horizontal="center" vertical="center" wrapText="1"/>
    </xf>
    <xf numFmtId="49" fontId="67" fillId="0" borderId="1" xfId="736" applyNumberFormat="1" applyFont="1" applyFill="1" applyBorder="1" applyAlignment="1">
      <alignment horizontal="center" vertical="center" wrapText="1"/>
    </xf>
    <xf numFmtId="49" fontId="22" fillId="0" borderId="1" xfId="736" applyNumberFormat="1" applyFont="1" applyFill="1" applyBorder="1" applyAlignment="1">
      <alignment horizontal="left" vertical="center" wrapText="1"/>
    </xf>
    <xf numFmtId="0" fontId="11" fillId="0" borderId="1" xfId="736" applyNumberFormat="1" applyFont="1" applyFill="1" applyBorder="1" applyAlignment="1">
      <alignment horizontal="center" vertical="center" wrapText="1"/>
    </xf>
    <xf numFmtId="0" fontId="22" fillId="0" borderId="1" xfId="736" applyNumberFormat="1" applyFont="1" applyFill="1" applyBorder="1" applyAlignment="1">
      <alignment horizontal="center" vertical="center" wrapText="1"/>
    </xf>
    <xf numFmtId="49" fontId="8" fillId="0" borderId="1" xfId="736" applyNumberFormat="1" applyFont="1" applyFill="1" applyBorder="1" applyAlignment="1">
      <alignment horizontal="center" vertical="center" wrapText="1"/>
    </xf>
    <xf numFmtId="49" fontId="11" fillId="0" borderId="1" xfId="736" applyNumberFormat="1" applyFont="1" applyFill="1" applyBorder="1" applyAlignment="1">
      <alignment horizontal="left" vertical="center" wrapText="1"/>
    </xf>
    <xf numFmtId="49" fontId="8" fillId="0" borderId="1" xfId="903" applyNumberFormat="1" applyFont="1" applyFill="1" applyBorder="1" applyAlignment="1">
      <alignment horizontal="center" vertical="center" wrapText="1"/>
    </xf>
    <xf numFmtId="0" fontId="11" fillId="0" borderId="1" xfId="903" applyNumberFormat="1" applyFont="1" applyFill="1" applyBorder="1" applyAlignment="1">
      <alignment horizontal="center" vertical="center" wrapText="1"/>
    </xf>
    <xf numFmtId="49" fontId="8" fillId="0" borderId="1" xfId="905" applyNumberFormat="1" applyFont="1" applyFill="1" applyBorder="1" applyAlignment="1">
      <alignment horizontal="center" vertical="center" wrapText="1"/>
    </xf>
    <xf numFmtId="49" fontId="11" fillId="0" borderId="1" xfId="905" applyNumberFormat="1" applyFont="1" applyFill="1" applyBorder="1" applyAlignment="1">
      <alignment horizontal="left" vertical="center" wrapText="1"/>
    </xf>
    <xf numFmtId="49" fontId="67" fillId="0" borderId="1" xfId="905" applyNumberFormat="1" applyFont="1" applyFill="1" applyBorder="1" applyAlignment="1">
      <alignment horizontal="center" vertical="center" wrapText="1"/>
    </xf>
    <xf numFmtId="0" fontId="11" fillId="0" borderId="1" xfId="905" applyNumberFormat="1" applyFont="1" applyFill="1" applyBorder="1" applyAlignment="1">
      <alignment horizontal="center" vertical="center" wrapText="1"/>
    </xf>
    <xf numFmtId="49" fontId="67" fillId="0" borderId="1" xfId="872" applyNumberFormat="1" applyFont="1" applyFill="1" applyBorder="1" applyAlignment="1">
      <alignment horizontal="center" vertical="center" wrapText="1"/>
    </xf>
    <xf numFmtId="49" fontId="22" fillId="0" borderId="1" xfId="872" applyNumberFormat="1" applyFont="1" applyFill="1" applyBorder="1" applyAlignment="1">
      <alignment horizontal="left" vertical="center" wrapText="1"/>
    </xf>
    <xf numFmtId="49" fontId="11" fillId="0" borderId="2" xfId="872" applyNumberFormat="1" applyFont="1" applyFill="1" applyBorder="1" applyAlignment="1">
      <alignment horizontal="left" vertical="center" wrapText="1"/>
    </xf>
    <xf numFmtId="49" fontId="67" fillId="0" borderId="1" xfId="0" applyNumberFormat="1" applyFont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8" fillId="32" borderId="6" xfId="0" applyNumberFormat="1" applyFont="1" applyFill="1" applyBorder="1" applyAlignment="1">
      <alignment horizontal="left" vertical="center" wrapText="1"/>
    </xf>
    <xf numFmtId="49" fontId="8" fillId="32" borderId="7" xfId="0" applyNumberFormat="1" applyFont="1" applyFill="1" applyBorder="1" applyAlignment="1">
      <alignment horizontal="left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1" xfId="634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77" fillId="0" borderId="0" xfId="0" applyNumberFormat="1" applyFont="1" applyFill="1" applyAlignment="1">
      <alignment horizontal="center" vertical="center" wrapText="1"/>
    </xf>
    <xf numFmtId="0" fontId="22" fillId="4" borderId="1" xfId="0" applyNumberFormat="1" applyFont="1" applyFill="1" applyBorder="1" applyAlignment="1">
      <alignment vertical="center" wrapText="1"/>
    </xf>
    <xf numFmtId="2" fontId="22" fillId="4" borderId="1" xfId="0" applyNumberFormat="1" applyFont="1" applyFill="1" applyBorder="1" applyAlignment="1">
      <alignment vertical="center" wrapText="1"/>
    </xf>
    <xf numFmtId="49" fontId="8" fillId="3" borderId="1" xfId="795" applyNumberFormat="1" applyFont="1" applyFill="1" applyBorder="1" applyAlignment="1">
      <alignment horizontal="center" vertical="center" wrapText="1"/>
    </xf>
    <xf numFmtId="49" fontId="22" fillId="3" borderId="1" xfId="795" applyNumberFormat="1" applyFont="1" applyFill="1" applyBorder="1" applyAlignment="1">
      <alignment horizontal="center" vertical="center" wrapText="1"/>
    </xf>
    <xf numFmtId="49" fontId="67" fillId="3" borderId="1" xfId="795" applyNumberFormat="1" applyFont="1" applyFill="1" applyBorder="1" applyAlignment="1">
      <alignment horizontal="center" vertical="center" wrapText="1"/>
    </xf>
    <xf numFmtId="0" fontId="11" fillId="3" borderId="1" xfId="795" applyNumberFormat="1" applyFont="1" applyFill="1" applyBorder="1" applyAlignment="1">
      <alignment horizontal="center" vertical="center" wrapText="1"/>
    </xf>
    <xf numFmtId="49" fontId="22" fillId="0" borderId="1" xfId="682" applyNumberFormat="1" applyFont="1" applyFill="1" applyBorder="1" applyAlignment="1">
      <alignment horizontal="left" vertical="center" wrapText="1"/>
    </xf>
    <xf numFmtId="0" fontId="8" fillId="0" borderId="1" xfId="903" applyNumberFormat="1" applyFont="1" applyFill="1" applyBorder="1" applyAlignment="1">
      <alignment horizontal="center" vertical="center" wrapText="1"/>
    </xf>
    <xf numFmtId="49" fontId="67" fillId="7" borderId="1" xfId="647" applyNumberFormat="1" applyFont="1" applyFill="1" applyBorder="1" applyAlignment="1">
      <alignment horizontal="center" vertical="center" wrapText="1"/>
    </xf>
    <xf numFmtId="0" fontId="22" fillId="7" borderId="1" xfId="647" applyNumberFormat="1" applyFont="1" applyFill="1" applyBorder="1" applyAlignment="1">
      <alignment horizontal="center" vertical="center" wrapText="1"/>
    </xf>
    <xf numFmtId="2" fontId="22" fillId="7" borderId="1" xfId="901" applyNumberFormat="1" applyFont="1" applyFill="1" applyBorder="1" applyAlignment="1">
      <alignment horizontal="center" vertical="center" wrapText="1"/>
    </xf>
    <xf numFmtId="2" fontId="22" fillId="7" borderId="1" xfId="0" applyNumberFormat="1" applyFont="1" applyFill="1" applyBorder="1" applyAlignment="1">
      <alignment horizontal="center" vertical="center" wrapText="1"/>
    </xf>
    <xf numFmtId="2" fontId="22" fillId="7" borderId="1" xfId="902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9" fontId="13" fillId="35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0" fontId="85" fillId="35" borderId="6" xfId="0" applyNumberFormat="1" applyFont="1" applyFill="1" applyBorder="1" applyAlignment="1">
      <alignment horizontal="center" vertical="center" wrapText="1"/>
    </xf>
    <xf numFmtId="49" fontId="67" fillId="7" borderId="7" xfId="0" applyNumberFormat="1" applyFont="1" applyFill="1" applyBorder="1" applyAlignment="1">
      <alignment horizontal="center" vertical="center" wrapText="1"/>
    </xf>
    <xf numFmtId="49" fontId="22" fillId="7" borderId="7" xfId="0" applyNumberFormat="1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 wrapText="1"/>
    </xf>
    <xf numFmtId="49" fontId="8" fillId="3" borderId="2" xfId="795" applyNumberFormat="1" applyFont="1" applyFill="1" applyBorder="1" applyAlignment="1">
      <alignment horizontal="center" vertical="center" wrapText="1"/>
    </xf>
    <xf numFmtId="49" fontId="22" fillId="3" borderId="2" xfId="795" applyNumberFormat="1" applyFont="1" applyFill="1" applyBorder="1" applyAlignment="1">
      <alignment horizontal="center" vertical="center" wrapText="1"/>
    </xf>
    <xf numFmtId="49" fontId="67" fillId="3" borderId="2" xfId="795" applyNumberFormat="1" applyFont="1" applyFill="1" applyBorder="1" applyAlignment="1">
      <alignment horizontal="center" vertical="center" wrapText="1"/>
    </xf>
    <xf numFmtId="0" fontId="11" fillId="3" borderId="2" xfId="795" applyNumberFormat="1" applyFont="1" applyFill="1" applyBorder="1" applyAlignment="1">
      <alignment horizontal="center" vertical="center" wrapText="1"/>
    </xf>
    <xf numFmtId="2" fontId="11" fillId="0" borderId="2" xfId="901" applyNumberFormat="1" applyFont="1" applyFill="1" applyBorder="1" applyAlignment="1">
      <alignment horizontal="center" vertical="center" wrapText="1"/>
    </xf>
    <xf numFmtId="2" fontId="11" fillId="0" borderId="2" xfId="902" applyNumberFormat="1" applyFont="1" applyFill="1" applyBorder="1" applyAlignment="1">
      <alignment horizontal="center" vertical="center" wrapText="1"/>
    </xf>
    <xf numFmtId="49" fontId="67" fillId="0" borderId="1" xfId="904" applyNumberFormat="1" applyFont="1" applyFill="1" applyBorder="1" applyAlignment="1">
      <alignment horizontal="center" vertical="center" wrapText="1"/>
    </xf>
    <xf numFmtId="49" fontId="11" fillId="0" borderId="1" xfId="872" applyNumberFormat="1" applyFont="1" applyFill="1" applyBorder="1" applyAlignment="1">
      <alignment horizontal="left" vertical="center" wrapText="1"/>
    </xf>
    <xf numFmtId="0" fontId="8" fillId="0" borderId="1" xfId="872" applyNumberFormat="1" applyFont="1" applyFill="1" applyBorder="1" applyAlignment="1">
      <alignment horizontal="center" vertical="center" wrapText="1"/>
    </xf>
    <xf numFmtId="49" fontId="67" fillId="7" borderId="1" xfId="0" applyNumberFormat="1" applyFont="1" applyFill="1" applyBorder="1" applyAlignment="1">
      <alignment vertical="center" wrapText="1"/>
    </xf>
    <xf numFmtId="0" fontId="78" fillId="0" borderId="1" xfId="1" applyNumberFormat="1" applyFont="1" applyFill="1" applyBorder="1" applyAlignment="1" applyProtection="1">
      <alignment horizontal="center" vertical="center" wrapText="1"/>
    </xf>
    <xf numFmtId="9" fontId="22" fillId="35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9" fontId="85" fillId="6" borderId="7" xfId="0" applyNumberFormat="1" applyFont="1" applyFill="1" applyBorder="1" applyAlignment="1">
      <alignment horizontal="center" vertical="center" wrapText="1"/>
    </xf>
    <xf numFmtId="2" fontId="85" fillId="0" borderId="7" xfId="0" applyNumberFormat="1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0" fontId="85" fillId="35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top" wrapText="1"/>
    </xf>
    <xf numFmtId="49" fontId="21" fillId="0" borderId="0" xfId="0" applyNumberFormat="1" applyFont="1" applyAlignment="1">
      <alignment horizontal="center" vertical="top" wrapText="1"/>
    </xf>
    <xf numFmtId="49" fontId="8" fillId="0" borderId="1" xfId="634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22" fillId="0" borderId="1" xfId="2" applyNumberFormat="1" applyFont="1" applyFill="1" applyBorder="1" applyAlignment="1" applyProtection="1">
      <alignment vertical="center" wrapText="1"/>
    </xf>
    <xf numFmtId="49" fontId="7" fillId="0" borderId="0" xfId="0" applyNumberFormat="1" applyFont="1" applyAlignment="1">
      <alignment horizontal="center" vertical="top" wrapText="1"/>
    </xf>
    <xf numFmtId="49" fontId="69" fillId="0" borderId="1" xfId="0" applyNumberFormat="1" applyFont="1" applyBorder="1" applyAlignment="1">
      <alignment horizontal="center" vertical="top" wrapText="1"/>
    </xf>
    <xf numFmtId="49" fontId="69" fillId="0" borderId="3" xfId="0" applyNumberFormat="1" applyFont="1" applyBorder="1" applyAlignment="1">
      <alignment horizontal="center" vertical="top" wrapText="1"/>
    </xf>
    <xf numFmtId="49" fontId="69" fillId="5" borderId="3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11" fillId="0" borderId="3" xfId="901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top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5" fillId="0" borderId="1" xfId="655" applyNumberFormat="1" applyFont="1" applyBorder="1" applyAlignment="1">
      <alignment horizontal="center" vertical="center" wrapText="1"/>
    </xf>
    <xf numFmtId="49" fontId="7" fillId="0" borderId="1" xfId="655" applyNumberFormat="1" applyFont="1" applyBorder="1" applyAlignment="1">
      <alignment horizontal="center" vertical="center" wrapText="1"/>
    </xf>
    <xf numFmtId="0" fontId="7" fillId="0" borderId="1" xfId="655" applyNumberFormat="1" applyFont="1" applyBorder="1" applyAlignment="1">
      <alignment horizontal="center" vertical="center" wrapText="1"/>
    </xf>
    <xf numFmtId="0" fontId="12" fillId="0" borderId="1" xfId="655" applyNumberFormat="1" applyFont="1" applyFill="1" applyBorder="1" applyAlignment="1">
      <alignment horizontal="center" vertical="center" wrapText="1"/>
    </xf>
    <xf numFmtId="49" fontId="22" fillId="7" borderId="1" xfId="3" applyNumberFormat="1" applyFont="1" applyFill="1" applyBorder="1" applyAlignment="1">
      <alignment vertical="center" wrapText="1"/>
    </xf>
    <xf numFmtId="49" fontId="8" fillId="32" borderId="1" xfId="0" applyNumberFormat="1" applyFont="1" applyFill="1" applyBorder="1" applyAlignment="1">
      <alignment horizontal="left" vertical="center" wrapText="1"/>
    </xf>
    <xf numFmtId="49" fontId="22" fillId="36" borderId="1" xfId="0" applyNumberFormat="1" applyFont="1" applyFill="1" applyBorder="1" applyAlignment="1">
      <alignment vertical="center" wrapText="1"/>
    </xf>
    <xf numFmtId="49" fontId="67" fillId="32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8" fillId="8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vertical="center" wrapText="1"/>
    </xf>
    <xf numFmtId="49" fontId="22" fillId="0" borderId="3" xfId="1" applyNumberFormat="1" applyFont="1" applyFill="1" applyBorder="1" applyAlignment="1">
      <alignment vertical="center" wrapText="1"/>
    </xf>
    <xf numFmtId="49" fontId="11" fillId="8" borderId="2" xfId="0" applyNumberFormat="1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vertical="center" wrapText="1"/>
    </xf>
    <xf numFmtId="49" fontId="8" fillId="32" borderId="1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2" fontId="90" fillId="0" borderId="0" xfId="0" applyNumberFormat="1" applyFont="1" applyAlignment="1">
      <alignment horizontal="right" vertical="center" wrapText="1"/>
    </xf>
    <xf numFmtId="0" fontId="0" fillId="4" borderId="0" xfId="0" applyNumberFormat="1" applyFill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12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0" fontId="22" fillId="7" borderId="5" xfId="0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7" borderId="5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1" fillId="0" borderId="1" xfId="903" applyNumberFormat="1" applyFont="1" applyBorder="1" applyAlignment="1">
      <alignment horizontal="left" vertical="center" wrapText="1"/>
    </xf>
    <xf numFmtId="0" fontId="22" fillId="0" borderId="1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9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9" fontId="7" fillId="33" borderId="8" xfId="0" applyNumberFormat="1" applyFont="1" applyFill="1" applyBorder="1" applyAlignment="1">
      <alignment vertical="center" wrapText="1"/>
    </xf>
    <xf numFmtId="49" fontId="7" fillId="33" borderId="21" xfId="0" applyNumberFormat="1" applyFont="1" applyFill="1" applyBorder="1" applyAlignment="1">
      <alignment vertical="center" wrapText="1"/>
    </xf>
    <xf numFmtId="49" fontId="7" fillId="33" borderId="9" xfId="0" applyNumberFormat="1" applyFont="1" applyFill="1" applyBorder="1" applyAlignment="1">
      <alignment vertical="center" wrapText="1"/>
    </xf>
    <xf numFmtId="49" fontId="7" fillId="33" borderId="0" xfId="0" applyNumberFormat="1" applyFont="1" applyFill="1" applyBorder="1" applyAlignment="1">
      <alignment vertical="center" wrapText="1"/>
    </xf>
    <xf numFmtId="49" fontId="7" fillId="33" borderId="19" xfId="0" applyNumberFormat="1" applyFont="1" applyFill="1" applyBorder="1" applyAlignment="1">
      <alignment vertical="center" wrapText="1"/>
    </xf>
    <xf numFmtId="49" fontId="7" fillId="33" borderId="20" xfId="0" applyNumberFormat="1" applyFont="1" applyFill="1" applyBorder="1" applyAlignment="1">
      <alignment vertical="center" wrapText="1"/>
    </xf>
    <xf numFmtId="0" fontId="22" fillId="33" borderId="3" xfId="0" applyFont="1" applyFill="1" applyBorder="1" applyAlignment="1">
      <alignment horizontal="center" vertical="center" wrapText="1"/>
    </xf>
    <xf numFmtId="49" fontId="67" fillId="0" borderId="1" xfId="2" quotePrefix="1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22" fillId="0" borderId="1" xfId="2" applyNumberFormat="1" applyFont="1" applyBorder="1" applyAlignment="1">
      <alignment horizontal="left" vertical="center" wrapText="1"/>
    </xf>
    <xf numFmtId="49" fontId="21" fillId="37" borderId="1" xfId="0" applyNumberFormat="1" applyFont="1" applyFill="1" applyBorder="1"/>
    <xf numFmtId="49" fontId="13" fillId="37" borderId="1" xfId="0" applyNumberFormat="1" applyFont="1" applyFill="1" applyBorder="1" applyAlignment="1">
      <alignment horizontal="center" vertical="center" wrapText="1"/>
    </xf>
    <xf numFmtId="0" fontId="21" fillId="37" borderId="1" xfId="0" applyFont="1" applyFill="1" applyBorder="1"/>
    <xf numFmtId="0" fontId="20" fillId="37" borderId="1" xfId="0" applyFont="1" applyFill="1" applyBorder="1" applyAlignment="1">
      <alignment horizontal="center" vertical="center"/>
    </xf>
    <xf numFmtId="49" fontId="67" fillId="0" borderId="1" xfId="634" applyNumberFormat="1" applyFont="1" applyBorder="1" applyAlignment="1">
      <alignment horizontal="center" vertical="center" wrapText="1"/>
    </xf>
    <xf numFmtId="49" fontId="22" fillId="0" borderId="1" xfId="634" applyNumberFormat="1" applyFont="1" applyBorder="1" applyAlignment="1">
      <alignment horizontal="left" vertical="center" wrapText="1"/>
    </xf>
    <xf numFmtId="0" fontId="8" fillId="0" borderId="1" xfId="634" applyFont="1" applyBorder="1" applyAlignment="1">
      <alignment horizontal="center" vertical="center" wrapText="1"/>
    </xf>
    <xf numFmtId="0" fontId="22" fillId="0" borderId="1" xfId="634" applyFont="1" applyBorder="1" applyAlignment="1">
      <alignment horizontal="center" vertical="center" wrapText="1"/>
    </xf>
    <xf numFmtId="49" fontId="11" fillId="0" borderId="1" xfId="634" applyNumberFormat="1" applyFont="1" applyBorder="1" applyAlignment="1">
      <alignment horizontal="left" vertical="center" wrapText="1"/>
    </xf>
    <xf numFmtId="0" fontId="11" fillId="0" borderId="1" xfId="634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8" fillId="0" borderId="1" xfId="634" applyNumberFormat="1" applyFont="1" applyBorder="1" applyAlignment="1">
      <alignment horizontal="center" vertical="center" wrapText="1"/>
    </xf>
    <xf numFmtId="0" fontId="8" fillId="0" borderId="3" xfId="634" applyFont="1" applyBorder="1" applyAlignment="1">
      <alignment horizontal="center" vertical="center" wrapText="1"/>
    </xf>
    <xf numFmtId="49" fontId="11" fillId="0" borderId="3" xfId="634" applyNumberFormat="1" applyFont="1" applyBorder="1" applyAlignment="1">
      <alignment horizontal="left" vertical="center" wrapText="1"/>
    </xf>
    <xf numFmtId="49" fontId="8" fillId="0" borderId="1" xfId="683" applyNumberFormat="1" applyFont="1" applyBorder="1" applyAlignment="1">
      <alignment horizontal="center" vertical="center" wrapText="1"/>
    </xf>
    <xf numFmtId="0" fontId="11" fillId="0" borderId="1" xfId="683" applyFont="1" applyBorder="1" applyAlignment="1">
      <alignment horizontal="center" vertical="center" wrapText="1"/>
    </xf>
    <xf numFmtId="0" fontId="11" fillId="0" borderId="3" xfId="634" applyFont="1" applyBorder="1" applyAlignment="1">
      <alignment horizontal="center" vertical="center" wrapText="1"/>
    </xf>
    <xf numFmtId="49" fontId="8" fillId="0" borderId="3" xfId="634" applyNumberFormat="1" applyFont="1" applyBorder="1" applyAlignment="1">
      <alignment horizontal="center" vertical="center" wrapText="1"/>
    </xf>
    <xf numFmtId="49" fontId="21" fillId="35" borderId="1" xfId="0" applyNumberFormat="1" applyFont="1" applyFill="1" applyBorder="1"/>
    <xf numFmtId="49" fontId="13" fillId="35" borderId="1" xfId="0" applyNumberFormat="1" applyFont="1" applyFill="1" applyBorder="1" applyAlignment="1">
      <alignment horizontal="center" vertical="center" wrapText="1"/>
    </xf>
    <xf numFmtId="0" fontId="21" fillId="35" borderId="1" xfId="0" applyFont="1" applyFill="1" applyBorder="1"/>
    <xf numFmtId="0" fontId="20" fillId="35" borderId="1" xfId="0" applyFont="1" applyFill="1" applyBorder="1" applyAlignment="1">
      <alignment horizontal="center"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5" borderId="1" xfId="0" applyNumberFormat="1" applyFont="1" applyFill="1" applyBorder="1" applyAlignment="1">
      <alignment horizontal="center" vertical="center" wrapText="1"/>
    </xf>
    <xf numFmtId="0" fontId="15" fillId="35" borderId="1" xfId="0" applyNumberFormat="1" applyFont="1" applyFill="1" applyBorder="1" applyAlignment="1">
      <alignment horizontal="center" vertical="center" wrapText="1"/>
    </xf>
    <xf numFmtId="0" fontId="13" fillId="35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top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49" fontId="89" fillId="0" borderId="1" xfId="0" applyNumberFormat="1" applyFont="1" applyBorder="1" applyAlignment="1">
      <alignment vertical="center" wrapText="1"/>
    </xf>
    <xf numFmtId="49" fontId="94" fillId="37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center" wrapText="1"/>
    </xf>
    <xf numFmtId="49" fontId="8" fillId="0" borderId="1" xfId="655" applyNumberFormat="1" applyFont="1" applyBorder="1" applyAlignment="1">
      <alignment horizontal="center" vertical="center" wrapText="1"/>
    </xf>
    <xf numFmtId="2" fontId="11" fillId="0" borderId="1" xfId="901" applyNumberFormat="1" applyFont="1" applyBorder="1" applyAlignment="1">
      <alignment horizontal="center" vertical="center" wrapText="1"/>
    </xf>
    <xf numFmtId="2" fontId="11" fillId="0" borderId="1" xfId="90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3" xfId="634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75" fillId="0" borderId="1" xfId="0" applyNumberFormat="1" applyFont="1" applyFill="1" applyBorder="1" applyAlignment="1">
      <alignment horizontal="center" vertical="top" wrapText="1"/>
    </xf>
    <xf numFmtId="49" fontId="76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21" fillId="35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vertical="center" wrapText="1"/>
    </xf>
    <xf numFmtId="49" fontId="15" fillId="35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left" vertical="center" wrapText="1"/>
    </xf>
    <xf numFmtId="49" fontId="67" fillId="0" borderId="3" xfId="634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634" applyNumberFormat="1" applyFont="1" applyFill="1" applyBorder="1" applyAlignment="1">
      <alignment horizontal="center" vertical="center" wrapText="1"/>
    </xf>
    <xf numFmtId="2" fontId="11" fillId="0" borderId="2" xfId="90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67" fillId="0" borderId="7" xfId="0" applyNumberFormat="1" applyFont="1" applyBorder="1" applyAlignment="1">
      <alignment horizontal="center" vertical="center" wrapText="1"/>
    </xf>
    <xf numFmtId="49" fontId="67" fillId="0" borderId="1" xfId="1" applyNumberFormat="1" applyFont="1" applyFill="1" applyBorder="1" applyAlignment="1" applyProtection="1">
      <alignment horizontal="center" vertical="center" wrapText="1"/>
    </xf>
    <xf numFmtId="49" fontId="67" fillId="0" borderId="1" xfId="1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2" fillId="7" borderId="2" xfId="0" applyNumberFormat="1" applyFont="1" applyFill="1" applyBorder="1" applyAlignment="1">
      <alignment vertical="center" wrapText="1"/>
    </xf>
    <xf numFmtId="49" fontId="67" fillId="0" borderId="2" xfId="634" applyNumberFormat="1" applyFont="1" applyBorder="1" applyAlignment="1">
      <alignment vertical="center" wrapText="1"/>
    </xf>
    <xf numFmtId="49" fontId="95" fillId="7" borderId="2" xfId="0" applyNumberFormat="1" applyFont="1" applyFill="1" applyBorder="1" applyAlignment="1">
      <alignment vertical="center" wrapText="1"/>
    </xf>
    <xf numFmtId="49" fontId="67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49" fontId="22" fillId="33" borderId="1" xfId="0" applyNumberFormat="1" applyFont="1" applyFill="1" applyBorder="1" applyAlignment="1">
      <alignment vertical="center" wrapText="1"/>
    </xf>
    <xf numFmtId="49" fontId="22" fillId="33" borderId="3" xfId="0" applyNumberFormat="1" applyFont="1" applyFill="1" applyBorder="1" applyAlignment="1">
      <alignment vertical="center" wrapText="1"/>
    </xf>
    <xf numFmtId="0" fontId="22" fillId="33" borderId="5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vertical="center" wrapText="1"/>
    </xf>
    <xf numFmtId="49" fontId="22" fillId="7" borderId="1" xfId="1" applyNumberFormat="1" applyFont="1" applyFill="1" applyBorder="1" applyAlignment="1">
      <alignment horizontal="left" vertical="center" wrapText="1"/>
    </xf>
    <xf numFmtId="0" fontId="22" fillId="33" borderId="5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9" fontId="75" fillId="0" borderId="2" xfId="0" applyNumberFormat="1" applyFont="1" applyFill="1" applyBorder="1" applyAlignment="1">
      <alignment horizontal="center" vertical="top" wrapText="1"/>
    </xf>
    <xf numFmtId="49" fontId="75" fillId="0" borderId="4" xfId="0" applyNumberFormat="1" applyFont="1" applyFill="1" applyBorder="1" applyAlignment="1">
      <alignment horizontal="center" vertical="top" wrapText="1"/>
    </xf>
    <xf numFmtId="49" fontId="75" fillId="0" borderId="3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76" fillId="0" borderId="2" xfId="0" applyNumberFormat="1" applyFont="1" applyFill="1" applyBorder="1" applyAlignment="1">
      <alignment horizontal="center" vertical="top" wrapText="1"/>
    </xf>
    <xf numFmtId="49" fontId="76" fillId="0" borderId="4" xfId="0" applyNumberFormat="1" applyFont="1" applyFill="1" applyBorder="1" applyAlignment="1">
      <alignment horizontal="center" vertical="top" wrapText="1"/>
    </xf>
    <xf numFmtId="49" fontId="76" fillId="0" borderId="3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horizontal="center" vertical="top" wrapText="1"/>
    </xf>
    <xf numFmtId="49" fontId="74" fillId="0" borderId="4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74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Fill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 vertical="top" wrapText="1"/>
    </xf>
    <xf numFmtId="49" fontId="8" fillId="0" borderId="2" xfId="3" applyNumberFormat="1" applyFont="1" applyFill="1" applyBorder="1" applyAlignment="1">
      <alignment horizontal="center" vertical="top" wrapText="1"/>
    </xf>
    <xf numFmtId="49" fontId="8" fillId="0" borderId="4" xfId="3" applyNumberFormat="1" applyFont="1" applyFill="1" applyBorder="1" applyAlignment="1">
      <alignment horizontal="center" vertical="top" wrapText="1"/>
    </xf>
    <xf numFmtId="49" fontId="8" fillId="0" borderId="3" xfId="3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88" fillId="0" borderId="0" xfId="0" applyNumberFormat="1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2" xfId="736" applyNumberFormat="1" applyFont="1" applyFill="1" applyBorder="1" applyAlignment="1">
      <alignment horizontal="center" vertical="center" wrapText="1"/>
    </xf>
    <xf numFmtId="49" fontId="8" fillId="0" borderId="4" xfId="736" applyNumberFormat="1" applyFont="1" applyFill="1" applyBorder="1" applyAlignment="1">
      <alignment horizontal="center" vertical="center" wrapText="1"/>
    </xf>
    <xf numFmtId="49" fontId="8" fillId="0" borderId="3" xfId="736" applyNumberFormat="1" applyFont="1" applyFill="1" applyBorder="1" applyAlignment="1">
      <alignment horizontal="center" vertical="center" wrapText="1"/>
    </xf>
    <xf numFmtId="49" fontId="8" fillId="0" borderId="2" xfId="903" applyNumberFormat="1" applyFont="1" applyFill="1" applyBorder="1" applyAlignment="1">
      <alignment horizontal="center" vertical="center" wrapText="1"/>
    </xf>
    <xf numFmtId="49" fontId="8" fillId="0" borderId="4" xfId="903" applyNumberFormat="1" applyFont="1" applyFill="1" applyBorder="1" applyAlignment="1">
      <alignment horizontal="center" vertical="center" wrapText="1"/>
    </xf>
    <xf numFmtId="49" fontId="8" fillId="0" borderId="3" xfId="903" applyNumberFormat="1" applyFont="1" applyFill="1" applyBorder="1" applyAlignment="1">
      <alignment horizontal="center" vertical="center" wrapText="1"/>
    </xf>
    <xf numFmtId="49" fontId="8" fillId="0" borderId="2" xfId="634" applyNumberFormat="1" applyFont="1" applyFill="1" applyBorder="1" applyAlignment="1">
      <alignment horizontal="center" vertical="center" wrapText="1"/>
    </xf>
    <xf numFmtId="49" fontId="8" fillId="0" borderId="4" xfId="634" applyNumberFormat="1" applyFont="1" applyFill="1" applyBorder="1" applyAlignment="1">
      <alignment horizontal="center" vertical="center" wrapText="1"/>
    </xf>
    <xf numFmtId="49" fontId="8" fillId="0" borderId="3" xfId="634" applyNumberFormat="1" applyFont="1" applyFill="1" applyBorder="1" applyAlignment="1">
      <alignment horizontal="center" vertical="center" wrapText="1"/>
    </xf>
    <xf numFmtId="49" fontId="8" fillId="0" borderId="2" xfId="872" applyNumberFormat="1" applyFont="1" applyFill="1" applyBorder="1" applyAlignment="1">
      <alignment horizontal="center" vertical="center" wrapText="1"/>
    </xf>
    <xf numFmtId="49" fontId="8" fillId="0" borderId="3" xfId="872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2" fillId="7" borderId="2" xfId="0" applyNumberFormat="1" applyFont="1" applyFill="1" applyBorder="1" applyAlignment="1">
      <alignment horizontal="left" vertical="center" wrapText="1"/>
    </xf>
    <xf numFmtId="49" fontId="22" fillId="7" borderId="3" xfId="0" applyNumberFormat="1" applyFont="1" applyFill="1" applyBorder="1" applyAlignment="1">
      <alignment horizontal="left" vertical="center" wrapText="1"/>
    </xf>
    <xf numFmtId="49" fontId="95" fillId="7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22" fillId="0" borderId="2" xfId="1" applyNumberFormat="1" applyFont="1" applyFill="1" applyBorder="1" applyAlignment="1">
      <alignment horizontal="left" vertical="center" wrapText="1"/>
    </xf>
    <xf numFmtId="49" fontId="22" fillId="0" borderId="3" xfId="1" applyNumberFormat="1" applyFont="1" applyFill="1" applyBorder="1" applyAlignment="1">
      <alignment horizontal="left" vertical="center" wrapText="1"/>
    </xf>
    <xf numFmtId="49" fontId="7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</cellXfs>
  <cellStyles count="906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3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4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Book1_axalqalaqis skola " xfId="905"/>
    <cellStyle name="Normal_gare wyalsadfenigagarini 2 2" xfId="795"/>
    <cellStyle name="Normal_gare wyalsadfenigagarini_SUSTI DENEBI_axalqalaqis skola " xfId="902"/>
    <cellStyle name="Normal_SUSTI DENEBI" xfId="901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6" xfId="829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 10" xfId="869"/>
    <cellStyle name="Обычный 10 2" xfId="870"/>
    <cellStyle name="Обычный 11" xfId="5"/>
    <cellStyle name="Обычный 2" xfId="3"/>
    <cellStyle name="Обычный 2 2" xfId="871"/>
    <cellStyle name="Обычный 3" xfId="872"/>
    <cellStyle name="Обычный 3 2" xfId="873"/>
    <cellStyle name="Обычный 3 3" xfId="874"/>
    <cellStyle name="Обычный 4" xfId="875"/>
    <cellStyle name="Обычный 4 2" xfId="876"/>
    <cellStyle name="Обычный 4 3" xfId="877"/>
    <cellStyle name="Обычный 4 4" xfId="878"/>
    <cellStyle name="Обычный 5" xfId="879"/>
    <cellStyle name="Обычный 5 2" xfId="880"/>
    <cellStyle name="Обычный 5 2 2" xfId="881"/>
    <cellStyle name="Обычный 5 3" xfId="882"/>
    <cellStyle name="Обычный 5 4" xfId="883"/>
    <cellStyle name="Обычный 5 4 2" xfId="884"/>
    <cellStyle name="Обычный 5 5" xfId="885"/>
    <cellStyle name="Обычный 6" xfId="886"/>
    <cellStyle name="Обычный 6 2" xfId="887"/>
    <cellStyle name="Обычный 7" xfId="888"/>
    <cellStyle name="Обычный 8" xfId="889"/>
    <cellStyle name="Обычный 8 2" xfId="890"/>
    <cellStyle name="Обычный 9" xfId="891"/>
    <cellStyle name="Плохой 2" xfId="892"/>
    <cellStyle name="Процентный 2" xfId="893"/>
    <cellStyle name="Процентный 3" xfId="894"/>
    <cellStyle name="Процентный 3 2" xfId="895"/>
    <cellStyle name="Финансовый 2" xfId="896"/>
    <cellStyle name="Финансовый 2 2" xfId="897"/>
    <cellStyle name="Финансовый 3" xfId="898"/>
    <cellStyle name="Финансовый 4" xfId="899"/>
    <cellStyle name="Финансовый 5" xfId="900"/>
    <cellStyle name="Финансовый 6" xfId="478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FF99FF"/>
      <color rgb="FFFFCCFF"/>
      <color rgb="FF0000FF"/>
      <color rgb="FFCCCCFF"/>
      <color rgb="FF66FFCC"/>
      <color rgb="FFFED2A2"/>
      <color rgb="FF00FF99"/>
      <color rgb="FF99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tabSelected="1" zoomScale="80" zoomScaleNormal="80" workbookViewId="0">
      <selection activeCell="D32" sqref="D32"/>
    </sheetView>
  </sheetViews>
  <sheetFormatPr defaultColWidth="8.85546875" defaultRowHeight="15"/>
  <cols>
    <col min="1" max="1" width="8.28515625" style="13" customWidth="1"/>
    <col min="2" max="2" width="20.28515625" style="13" customWidth="1"/>
    <col min="3" max="3" width="42.28515625" style="13" customWidth="1"/>
    <col min="4" max="4" width="17.5703125" style="15" customWidth="1"/>
    <col min="5" max="5" width="25.5703125" style="15" customWidth="1"/>
    <col min="6" max="6" width="22.28515625" style="3" customWidth="1"/>
    <col min="7" max="7" width="35.28515625" style="3" customWidth="1"/>
    <col min="8" max="16384" width="8.85546875" style="3"/>
  </cols>
  <sheetData>
    <row r="1" spans="1:7" ht="25.15" customHeight="1">
      <c r="A1" s="475" t="s">
        <v>37</v>
      </c>
      <c r="B1" s="475"/>
      <c r="C1" s="475"/>
      <c r="D1" s="475"/>
      <c r="E1" s="475"/>
    </row>
    <row r="2" spans="1:7" ht="15.75">
      <c r="A2" s="23"/>
      <c r="B2" s="23"/>
      <c r="C2" s="23"/>
      <c r="D2" s="25"/>
      <c r="E2" s="25"/>
    </row>
    <row r="3" spans="1:7" ht="52.5" customHeight="1">
      <c r="A3" s="475" t="s">
        <v>289</v>
      </c>
      <c r="B3" s="475"/>
      <c r="C3" s="475"/>
      <c r="D3" s="475"/>
      <c r="E3" s="475"/>
    </row>
    <row r="4" spans="1:7" ht="11.45" customHeight="1">
      <c r="A4" s="23"/>
      <c r="B4" s="23"/>
      <c r="C4" s="23"/>
      <c r="D4" s="25"/>
      <c r="E4" s="25"/>
    </row>
    <row r="5" spans="1:7" ht="31.15" customHeight="1">
      <c r="A5" s="476" t="s">
        <v>0</v>
      </c>
      <c r="B5" s="476" t="s">
        <v>38</v>
      </c>
      <c r="C5" s="476" t="s">
        <v>39</v>
      </c>
      <c r="D5" s="478" t="s">
        <v>40</v>
      </c>
      <c r="E5" s="478"/>
    </row>
    <row r="6" spans="1:7" ht="48" thickBot="1">
      <c r="A6" s="477"/>
      <c r="B6" s="477"/>
      <c r="C6" s="477"/>
      <c r="D6" s="305"/>
      <c r="E6" s="305" t="s">
        <v>125</v>
      </c>
    </row>
    <row r="7" spans="1:7" ht="15.75">
      <c r="A7" s="411">
        <v>1</v>
      </c>
      <c r="B7" s="412">
        <v>2</v>
      </c>
      <c r="C7" s="412">
        <v>3</v>
      </c>
      <c r="D7" s="412">
        <v>4</v>
      </c>
      <c r="E7" s="413">
        <v>7</v>
      </c>
    </row>
    <row r="8" spans="1:7" ht="15.75">
      <c r="A8" s="415"/>
      <c r="B8" s="415"/>
      <c r="C8" s="414" t="s">
        <v>272</v>
      </c>
      <c r="D8" s="415"/>
      <c r="E8" s="415"/>
    </row>
    <row r="9" spans="1:7" ht="15.75">
      <c r="A9" s="348">
        <v>1</v>
      </c>
      <c r="B9" s="348" t="s">
        <v>183</v>
      </c>
      <c r="C9" s="152" t="s">
        <v>47</v>
      </c>
      <c r="D9" s="349"/>
      <c r="E9" s="349"/>
    </row>
    <row r="10" spans="1:7" ht="15.75">
      <c r="A10" s="348">
        <v>2</v>
      </c>
      <c r="B10" s="348" t="s">
        <v>181</v>
      </c>
      <c r="C10" s="152" t="s">
        <v>35</v>
      </c>
      <c r="D10" s="349"/>
      <c r="E10" s="349"/>
    </row>
    <row r="11" spans="1:7" ht="15.75">
      <c r="A11" s="348"/>
      <c r="B11" s="348"/>
      <c r="C11" s="348"/>
      <c r="D11" s="349"/>
      <c r="E11" s="349"/>
    </row>
    <row r="12" spans="1:7" ht="15.75">
      <c r="A12" s="202"/>
      <c r="B12" s="202"/>
      <c r="C12" s="165" t="s">
        <v>136</v>
      </c>
      <c r="D12" s="203"/>
      <c r="E12" s="192"/>
      <c r="F12" s="155"/>
      <c r="G12" s="342"/>
    </row>
    <row r="13" spans="1:7" ht="15.75">
      <c r="A13" s="23"/>
      <c r="B13" s="23"/>
      <c r="C13" s="3"/>
      <c r="D13" s="33"/>
      <c r="E13" s="25"/>
    </row>
    <row r="15" spans="1:7">
      <c r="F15" s="155"/>
    </row>
    <row r="17" spans="3:3" ht="15.75">
      <c r="C17" s="54" t="s">
        <v>101</v>
      </c>
    </row>
  </sheetData>
  <mergeCells count="6">
    <mergeCell ref="A1:E1"/>
    <mergeCell ref="A3:E3"/>
    <mergeCell ref="A5:A6"/>
    <mergeCell ref="B5:B6"/>
    <mergeCell ref="C5:C6"/>
    <mergeCell ref="D5:E5"/>
  </mergeCells>
  <pageMargins left="1.1299999999999999" right="0.39" top="0.23" bottom="0.23" header="0.19685039370078741" footer="0.16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N192"/>
  <sheetViews>
    <sheetView topLeftCell="A165" zoomScale="80" zoomScaleNormal="80" workbookViewId="0">
      <selection activeCell="M184" sqref="M184:M188"/>
    </sheetView>
  </sheetViews>
  <sheetFormatPr defaultColWidth="8.85546875" defaultRowHeight="15"/>
  <cols>
    <col min="1" max="1" width="6" style="296" customWidth="1"/>
    <col min="2" max="2" width="8.28515625" style="6" customWidth="1"/>
    <col min="3" max="3" width="30.5703125" style="13" customWidth="1"/>
    <col min="4" max="4" width="6.42578125" style="6" customWidth="1"/>
    <col min="5" max="5" width="8" style="40" customWidth="1"/>
    <col min="6" max="6" width="11.28515625" style="205" customWidth="1"/>
    <col min="7" max="7" width="9.140625" style="15" customWidth="1"/>
    <col min="8" max="8" width="11.28515625" style="15" customWidth="1"/>
    <col min="9" max="9" width="6.5703125" style="15" customWidth="1"/>
    <col min="10" max="10" width="10.28515625" style="15" customWidth="1"/>
    <col min="11" max="11" width="6.85546875" style="15" customWidth="1"/>
    <col min="12" max="12" width="10.140625" style="15" customWidth="1"/>
    <col min="13" max="13" width="12.140625" style="15" customWidth="1"/>
    <col min="14" max="14" width="19.7109375" style="337" customWidth="1"/>
    <col min="15" max="15" width="10.140625" style="3" bestFit="1" customWidth="1"/>
    <col min="16" max="16384" width="8.85546875" style="3"/>
  </cols>
  <sheetData>
    <row r="1" spans="1:14" ht="51.6" customHeight="1">
      <c r="A1" s="475" t="str">
        <f>krebsiti!A3</f>
        <v>mcxeTis municipalitetis sofel cixisZirSi sportuli moednis moawyobis samuSaoebi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336"/>
    </row>
    <row r="2" spans="1:14" ht="15.75">
      <c r="A2" s="295"/>
      <c r="B2" s="164"/>
      <c r="C2" s="164"/>
      <c r="D2" s="164"/>
      <c r="E2" s="156"/>
      <c r="F2" s="156"/>
      <c r="G2" s="177"/>
      <c r="H2" s="177"/>
      <c r="I2" s="177"/>
      <c r="J2" s="177"/>
      <c r="K2" s="177"/>
      <c r="L2" s="177"/>
      <c r="M2" s="177"/>
    </row>
    <row r="3" spans="1:14" ht="15.75">
      <c r="A3" s="475" t="s">
        <v>264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4" ht="15.75">
      <c r="A4" s="295"/>
      <c r="B4" s="164"/>
      <c r="C4" s="164"/>
      <c r="D4" s="164"/>
      <c r="E4" s="156"/>
      <c r="F4" s="156"/>
      <c r="G4" s="177"/>
      <c r="H4" s="177"/>
      <c r="I4" s="177"/>
      <c r="J4" s="177"/>
      <c r="K4" s="177"/>
      <c r="L4" s="177"/>
      <c r="M4" s="177"/>
    </row>
    <row r="5" spans="1:14" ht="15.75">
      <c r="A5" s="475" t="s">
        <v>47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</row>
    <row r="6" spans="1:14" ht="15.75">
      <c r="A6" s="300"/>
      <c r="B6" s="161"/>
      <c r="C6" s="164"/>
      <c r="D6" s="161"/>
      <c r="E6" s="159"/>
      <c r="F6" s="156"/>
      <c r="G6" s="177"/>
      <c r="H6" s="177"/>
      <c r="I6" s="177"/>
      <c r="J6" s="177"/>
      <c r="K6" s="177"/>
      <c r="L6" s="177"/>
      <c r="M6" s="177"/>
    </row>
    <row r="8" spans="1:14" ht="40.5" customHeight="1">
      <c r="A8" s="479" t="s">
        <v>0</v>
      </c>
      <c r="B8" s="481" t="s">
        <v>1</v>
      </c>
      <c r="C8" s="477" t="s">
        <v>2</v>
      </c>
      <c r="D8" s="481" t="s">
        <v>3</v>
      </c>
      <c r="E8" s="484" t="s">
        <v>4</v>
      </c>
      <c r="F8" s="486" t="s">
        <v>5</v>
      </c>
      <c r="G8" s="488" t="s">
        <v>6</v>
      </c>
      <c r="H8" s="489"/>
      <c r="I8" s="488" t="s">
        <v>7</v>
      </c>
      <c r="J8" s="489"/>
      <c r="K8" s="488" t="s">
        <v>25</v>
      </c>
      <c r="L8" s="489"/>
      <c r="M8" s="490" t="s">
        <v>8</v>
      </c>
    </row>
    <row r="9" spans="1:14" ht="45.75" customHeight="1">
      <c r="A9" s="480"/>
      <c r="B9" s="482"/>
      <c r="C9" s="483"/>
      <c r="D9" s="482"/>
      <c r="E9" s="485"/>
      <c r="F9" s="487"/>
      <c r="G9" s="157" t="s">
        <v>9</v>
      </c>
      <c r="H9" s="157" t="s">
        <v>10</v>
      </c>
      <c r="I9" s="157" t="s">
        <v>9</v>
      </c>
      <c r="J9" s="157" t="s">
        <v>10</v>
      </c>
      <c r="K9" s="157" t="s">
        <v>9</v>
      </c>
      <c r="L9" s="157" t="s">
        <v>10</v>
      </c>
      <c r="M9" s="491"/>
    </row>
    <row r="10" spans="1:14" ht="15.75">
      <c r="A10" s="440">
        <v>1</v>
      </c>
      <c r="B10" s="351">
        <v>2</v>
      </c>
      <c r="C10" s="438">
        <v>3</v>
      </c>
      <c r="D10" s="351">
        <v>4</v>
      </c>
      <c r="E10" s="353">
        <v>5</v>
      </c>
      <c r="F10" s="312">
        <v>6</v>
      </c>
      <c r="G10" s="353">
        <v>7</v>
      </c>
      <c r="H10" s="312">
        <v>8</v>
      </c>
      <c r="I10" s="353">
        <v>9</v>
      </c>
      <c r="J10" s="312">
        <v>10</v>
      </c>
      <c r="K10" s="353">
        <v>11</v>
      </c>
      <c r="L10" s="312">
        <v>12</v>
      </c>
      <c r="M10" s="353">
        <v>13</v>
      </c>
    </row>
    <row r="11" spans="1:14" ht="31.5">
      <c r="A11" s="416" t="s">
        <v>273</v>
      </c>
      <c r="B11" s="384"/>
      <c r="C11" s="385" t="s">
        <v>184</v>
      </c>
      <c r="D11" s="385"/>
      <c r="E11" s="386"/>
      <c r="F11" s="387"/>
      <c r="G11" s="73"/>
      <c r="H11" s="73"/>
      <c r="I11" s="73"/>
      <c r="J11" s="73"/>
      <c r="K11" s="73"/>
      <c r="L11" s="73"/>
      <c r="M11" s="73"/>
    </row>
    <row r="12" spans="1:14" ht="63">
      <c r="A12" s="434"/>
      <c r="B12" s="402"/>
      <c r="C12" s="403" t="s">
        <v>259</v>
      </c>
      <c r="D12" s="403"/>
      <c r="E12" s="404"/>
      <c r="F12" s="405"/>
      <c r="G12" s="73"/>
      <c r="H12" s="73"/>
      <c r="I12" s="73"/>
      <c r="J12" s="73"/>
      <c r="K12" s="73"/>
      <c r="L12" s="73"/>
      <c r="M12" s="73"/>
    </row>
    <row r="13" spans="1:14" ht="47.25">
      <c r="A13" s="509" t="s">
        <v>33</v>
      </c>
      <c r="B13" s="233" t="s">
        <v>291</v>
      </c>
      <c r="C13" s="417" t="s">
        <v>292</v>
      </c>
      <c r="D13" s="233" t="s">
        <v>15</v>
      </c>
      <c r="E13" s="457"/>
      <c r="F13" s="163">
        <f>4*0.45*0.9</f>
        <v>1.62</v>
      </c>
      <c r="G13" s="73"/>
      <c r="H13" s="73"/>
      <c r="I13" s="73"/>
      <c r="J13" s="73"/>
      <c r="K13" s="73"/>
      <c r="L13" s="73"/>
      <c r="M13" s="73"/>
    </row>
    <row r="14" spans="1:14" ht="27">
      <c r="A14" s="510"/>
      <c r="B14" s="351"/>
      <c r="C14" s="113" t="s">
        <v>66</v>
      </c>
      <c r="D14" s="351" t="s">
        <v>23</v>
      </c>
      <c r="E14" s="353">
        <v>13.2</v>
      </c>
      <c r="F14" s="110">
        <f>F13*E14</f>
        <v>21.384</v>
      </c>
      <c r="G14" s="73"/>
      <c r="H14" s="73"/>
      <c r="I14" s="73"/>
      <c r="J14" s="73"/>
      <c r="K14" s="73"/>
      <c r="L14" s="73"/>
      <c r="M14" s="73"/>
    </row>
    <row r="15" spans="1:14" ht="15.75">
      <c r="A15" s="511"/>
      <c r="B15" s="351"/>
      <c r="C15" s="116" t="s">
        <v>28</v>
      </c>
      <c r="D15" s="351" t="s">
        <v>19</v>
      </c>
      <c r="E15" s="353">
        <v>9.6300000000000008</v>
      </c>
      <c r="F15" s="110">
        <f>F13*E15</f>
        <v>15.600600000000002</v>
      </c>
      <c r="G15" s="73"/>
      <c r="H15" s="73"/>
      <c r="I15" s="73"/>
      <c r="J15" s="73"/>
      <c r="K15" s="73"/>
      <c r="L15" s="73"/>
      <c r="M15" s="73"/>
    </row>
    <row r="16" spans="1:14" ht="126">
      <c r="A16" s="509" t="s">
        <v>88</v>
      </c>
      <c r="B16" s="356" t="s">
        <v>293</v>
      </c>
      <c r="C16" s="417" t="s">
        <v>294</v>
      </c>
      <c r="D16" s="233" t="s">
        <v>15</v>
      </c>
      <c r="E16" s="457"/>
      <c r="F16" s="163">
        <f>50*30*0.5  +F13</f>
        <v>751.62</v>
      </c>
      <c r="G16" s="73"/>
      <c r="H16" s="73"/>
      <c r="I16" s="73"/>
      <c r="J16" s="73"/>
      <c r="K16" s="73"/>
      <c r="L16" s="73"/>
      <c r="M16" s="73"/>
    </row>
    <row r="17" spans="1:13" ht="15.75">
      <c r="A17" s="510"/>
      <c r="B17" s="356"/>
      <c r="C17" s="113" t="s">
        <v>66</v>
      </c>
      <c r="D17" s="462" t="s">
        <v>54</v>
      </c>
      <c r="E17" s="41">
        <f>27/1000</f>
        <v>2.7E-2</v>
      </c>
      <c r="F17" s="64">
        <f>F16*E17</f>
        <v>20.29374</v>
      </c>
      <c r="G17" s="67"/>
      <c r="H17" s="73"/>
      <c r="I17" s="67"/>
      <c r="J17" s="73"/>
      <c r="K17" s="67"/>
      <c r="L17" s="73"/>
      <c r="M17" s="73"/>
    </row>
    <row r="18" spans="1:13" ht="18">
      <c r="A18" s="510"/>
      <c r="B18" s="356" t="s">
        <v>86</v>
      </c>
      <c r="C18" s="113" t="s">
        <v>137</v>
      </c>
      <c r="D18" s="462" t="s">
        <v>68</v>
      </c>
      <c r="E18" s="41">
        <f>60.5/1000</f>
        <v>6.0499999999999998E-2</v>
      </c>
      <c r="F18" s="64">
        <f>F16*E18</f>
        <v>45.473010000000002</v>
      </c>
      <c r="G18" s="67"/>
      <c r="H18" s="67"/>
      <c r="I18" s="67"/>
      <c r="J18" s="67"/>
      <c r="K18" s="67"/>
      <c r="L18" s="73"/>
      <c r="M18" s="73"/>
    </row>
    <row r="19" spans="1:13" ht="15.75">
      <c r="A19" s="510"/>
      <c r="B19" s="356"/>
      <c r="C19" s="113" t="s">
        <v>22</v>
      </c>
      <c r="D19" s="462" t="s">
        <v>19</v>
      </c>
      <c r="E19" s="41">
        <f>2.21/1000</f>
        <v>2.2100000000000002E-3</v>
      </c>
      <c r="F19" s="64">
        <f>F16*E19</f>
        <v>1.6610802000000002</v>
      </c>
      <c r="G19" s="67"/>
      <c r="H19" s="67"/>
      <c r="I19" s="67"/>
      <c r="J19" s="67"/>
      <c r="K19" s="67"/>
      <c r="L19" s="73"/>
      <c r="M19" s="73"/>
    </row>
    <row r="20" spans="1:13" ht="15.75">
      <c r="A20" s="510"/>
      <c r="B20" s="114"/>
      <c r="C20" s="113" t="s">
        <v>70</v>
      </c>
      <c r="D20" s="462" t="s">
        <v>115</v>
      </c>
      <c r="E20" s="41">
        <f>0.06/1000</f>
        <v>5.9999999999999995E-5</v>
      </c>
      <c r="F20" s="64">
        <f>F16*E20</f>
        <v>4.5097199999999997E-2</v>
      </c>
      <c r="G20" s="67"/>
      <c r="H20" s="67"/>
      <c r="I20" s="67"/>
      <c r="J20" s="67"/>
      <c r="K20" s="67"/>
      <c r="L20" s="73"/>
      <c r="M20" s="73"/>
    </row>
    <row r="21" spans="1:13" ht="15.75">
      <c r="A21" s="511"/>
      <c r="B21" s="97"/>
      <c r="C21" s="357" t="s">
        <v>295</v>
      </c>
      <c r="D21" s="356" t="s">
        <v>69</v>
      </c>
      <c r="E21" s="41"/>
      <c r="F21" s="123">
        <f>50*30*0.5*1.95  +F13*2.4</f>
        <v>1466.3879999999999</v>
      </c>
      <c r="G21" s="112"/>
      <c r="H21" s="73"/>
      <c r="I21" s="112"/>
      <c r="J21" s="73"/>
      <c r="K21" s="115"/>
      <c r="L21" s="73"/>
      <c r="M21" s="73"/>
    </row>
    <row r="22" spans="1:13" ht="15.75">
      <c r="A22" s="461"/>
      <c r="B22" s="351"/>
      <c r="C22" s="116"/>
      <c r="D22" s="233"/>
      <c r="E22" s="457"/>
      <c r="F22" s="163"/>
      <c r="G22" s="73"/>
      <c r="H22" s="73"/>
      <c r="I22" s="73"/>
      <c r="J22" s="73"/>
      <c r="K22" s="73"/>
      <c r="L22" s="73"/>
      <c r="M22" s="73"/>
    </row>
    <row r="23" spans="1:13" ht="31.5">
      <c r="A23" s="406"/>
      <c r="B23" s="407"/>
      <c r="C23" s="403" t="s">
        <v>260</v>
      </c>
      <c r="D23" s="407"/>
      <c r="E23" s="408"/>
      <c r="F23" s="409"/>
      <c r="G23" s="73"/>
      <c r="H23" s="73"/>
      <c r="I23" s="73"/>
      <c r="J23" s="73"/>
      <c r="K23" s="73"/>
      <c r="L23" s="73"/>
      <c r="M23" s="73"/>
    </row>
    <row r="24" spans="1:13" ht="78.75">
      <c r="A24" s="492" t="s">
        <v>91</v>
      </c>
      <c r="B24" s="356" t="s">
        <v>185</v>
      </c>
      <c r="C24" s="111" t="s">
        <v>186</v>
      </c>
      <c r="D24" s="356" t="s">
        <v>16</v>
      </c>
      <c r="E24" s="44"/>
      <c r="F24" s="65">
        <f>50*30</f>
        <v>1500</v>
      </c>
      <c r="G24" s="112"/>
      <c r="H24" s="73"/>
      <c r="I24" s="112"/>
      <c r="J24" s="73"/>
      <c r="K24" s="112"/>
      <c r="L24" s="73"/>
      <c r="M24" s="73"/>
    </row>
    <row r="25" spans="1:13" ht="15.75">
      <c r="A25" s="493"/>
      <c r="B25" s="356"/>
      <c r="C25" s="113" t="s">
        <v>66</v>
      </c>
      <c r="D25" s="449" t="s">
        <v>54</v>
      </c>
      <c r="E25" s="41">
        <v>3.2099999999999997E-2</v>
      </c>
      <c r="F25" s="64">
        <f>E25*F24</f>
        <v>48.149999999999991</v>
      </c>
      <c r="G25" s="67"/>
      <c r="H25" s="73"/>
      <c r="I25" s="67"/>
      <c r="J25" s="73"/>
      <c r="K25" s="67"/>
      <c r="L25" s="73"/>
      <c r="M25" s="73"/>
    </row>
    <row r="26" spans="1:13" ht="31.5">
      <c r="A26" s="493"/>
      <c r="B26" s="356" t="s">
        <v>85</v>
      </c>
      <c r="C26" s="113" t="s">
        <v>187</v>
      </c>
      <c r="D26" s="449" t="s">
        <v>68</v>
      </c>
      <c r="E26" s="41">
        <v>2.65E-3</v>
      </c>
      <c r="F26" s="64">
        <f>E26*F24</f>
        <v>3.9750000000000001</v>
      </c>
      <c r="G26" s="67"/>
      <c r="H26" s="73"/>
      <c r="I26" s="67"/>
      <c r="J26" s="73"/>
      <c r="K26" s="67"/>
      <c r="L26" s="73"/>
      <c r="M26" s="73"/>
    </row>
    <row r="27" spans="1:13" ht="31.5">
      <c r="A27" s="493"/>
      <c r="B27" s="356" t="s">
        <v>222</v>
      </c>
      <c r="C27" s="113" t="s">
        <v>188</v>
      </c>
      <c r="D27" s="449" t="s">
        <v>68</v>
      </c>
      <c r="E27" s="41">
        <v>6.1599999999999997E-3</v>
      </c>
      <c r="F27" s="64">
        <f>E27*F24</f>
        <v>9.24</v>
      </c>
      <c r="G27" s="67"/>
      <c r="H27" s="73"/>
      <c r="I27" s="67"/>
      <c r="J27" s="73"/>
      <c r="K27" s="67"/>
      <c r="L27" s="73"/>
      <c r="M27" s="73"/>
    </row>
    <row r="28" spans="1:13" ht="31.5">
      <c r="A28" s="493"/>
      <c r="B28" s="356" t="s">
        <v>123</v>
      </c>
      <c r="C28" s="113" t="s">
        <v>189</v>
      </c>
      <c r="D28" s="449" t="s">
        <v>68</v>
      </c>
      <c r="E28" s="41">
        <v>4.5300000000000002E-3</v>
      </c>
      <c r="F28" s="64">
        <f>E28*F24</f>
        <v>6.7949999999999999</v>
      </c>
      <c r="G28" s="67"/>
      <c r="H28" s="73"/>
      <c r="I28" s="67"/>
      <c r="J28" s="73"/>
      <c r="K28" s="67"/>
      <c r="L28" s="73"/>
      <c r="M28" s="73"/>
    </row>
    <row r="29" spans="1:13" ht="31.5">
      <c r="A29" s="493"/>
      <c r="B29" s="356" t="s">
        <v>117</v>
      </c>
      <c r="C29" s="113" t="s">
        <v>190</v>
      </c>
      <c r="D29" s="449" t="s">
        <v>68</v>
      </c>
      <c r="E29" s="41">
        <v>7.1000000000000002E-4</v>
      </c>
      <c r="F29" s="64">
        <f>E29*F24</f>
        <v>1.0649999999999999</v>
      </c>
      <c r="G29" s="67"/>
      <c r="H29" s="73"/>
      <c r="I29" s="67"/>
      <c r="J29" s="73"/>
      <c r="K29" s="67"/>
      <c r="L29" s="73"/>
      <c r="M29" s="73"/>
    </row>
    <row r="30" spans="1:13" ht="31.5">
      <c r="A30" s="493"/>
      <c r="B30" s="356" t="s">
        <v>121</v>
      </c>
      <c r="C30" s="113" t="s">
        <v>191</v>
      </c>
      <c r="D30" s="449" t="s">
        <v>68</v>
      </c>
      <c r="E30" s="41">
        <v>2.0699999999999998E-3</v>
      </c>
      <c r="F30" s="64">
        <f>E30*F24</f>
        <v>3.1049999999999995</v>
      </c>
      <c r="G30" s="67"/>
      <c r="H30" s="73"/>
      <c r="I30" s="67"/>
      <c r="J30" s="73"/>
      <c r="K30" s="67"/>
      <c r="L30" s="73"/>
      <c r="M30" s="73"/>
    </row>
    <row r="31" spans="1:13" ht="15.75">
      <c r="A31" s="494"/>
      <c r="B31" s="356"/>
      <c r="C31" s="121" t="s">
        <v>22</v>
      </c>
      <c r="D31" s="236" t="s">
        <v>19</v>
      </c>
      <c r="E31" s="41">
        <v>1.0200000000000001E-3</v>
      </c>
      <c r="F31" s="64">
        <f>E31*F24</f>
        <v>1.53</v>
      </c>
      <c r="G31" s="67"/>
      <c r="H31" s="73"/>
      <c r="I31" s="67"/>
      <c r="J31" s="73"/>
      <c r="K31" s="67"/>
      <c r="L31" s="73"/>
      <c r="M31" s="73"/>
    </row>
    <row r="32" spans="1:13" ht="78.75">
      <c r="A32" s="498" t="s">
        <v>92</v>
      </c>
      <c r="B32" s="356" t="s">
        <v>95</v>
      </c>
      <c r="C32" s="111" t="s">
        <v>192</v>
      </c>
      <c r="D32" s="356" t="s">
        <v>15</v>
      </c>
      <c r="E32" s="41"/>
      <c r="F32" s="65">
        <f>40.3*20.3*0.3</f>
        <v>245.42699999999996</v>
      </c>
      <c r="G32" s="112"/>
      <c r="H32" s="73"/>
      <c r="I32" s="112"/>
      <c r="J32" s="73"/>
      <c r="K32" s="112"/>
      <c r="L32" s="73"/>
      <c r="M32" s="73"/>
    </row>
    <row r="33" spans="1:14" ht="15.75">
      <c r="A33" s="499"/>
      <c r="B33" s="356"/>
      <c r="C33" s="113" t="s">
        <v>66</v>
      </c>
      <c r="D33" s="449" t="s">
        <v>54</v>
      </c>
      <c r="E33" s="41">
        <f>20/1000</f>
        <v>0.02</v>
      </c>
      <c r="F33" s="64">
        <f>F32*E33</f>
        <v>4.9085399999999995</v>
      </c>
      <c r="G33" s="67"/>
      <c r="H33" s="73"/>
      <c r="I33" s="67"/>
      <c r="J33" s="73"/>
      <c r="K33" s="67"/>
      <c r="L33" s="73"/>
      <c r="M33" s="73"/>
    </row>
    <row r="34" spans="1:14" ht="18">
      <c r="A34" s="499"/>
      <c r="B34" s="356" t="s">
        <v>86</v>
      </c>
      <c r="C34" s="113" t="s">
        <v>137</v>
      </c>
      <c r="D34" s="449" t="s">
        <v>68</v>
      </c>
      <c r="E34" s="41">
        <f>44.8/1000</f>
        <v>4.48E-2</v>
      </c>
      <c r="F34" s="64">
        <f>F32*E34</f>
        <v>10.995129599999999</v>
      </c>
      <c r="G34" s="67"/>
      <c r="H34" s="67"/>
      <c r="I34" s="67"/>
      <c r="J34" s="67"/>
      <c r="K34" s="67"/>
      <c r="L34" s="73"/>
      <c r="M34" s="73"/>
    </row>
    <row r="35" spans="1:14" ht="15.75">
      <c r="A35" s="499"/>
      <c r="B35" s="356"/>
      <c r="C35" s="113" t="s">
        <v>22</v>
      </c>
      <c r="D35" s="449" t="s">
        <v>19</v>
      </c>
      <c r="E35" s="41">
        <f>2.1/1000</f>
        <v>2.1000000000000003E-3</v>
      </c>
      <c r="F35" s="64">
        <f>F32*E35</f>
        <v>0.51539670000000004</v>
      </c>
      <c r="G35" s="67"/>
      <c r="H35" s="67"/>
      <c r="I35" s="67"/>
      <c r="J35" s="67"/>
      <c r="K35" s="67"/>
      <c r="L35" s="73"/>
      <c r="M35" s="73"/>
    </row>
    <row r="36" spans="1:14" ht="15.75">
      <c r="A36" s="500"/>
      <c r="B36" s="114"/>
      <c r="C36" s="113" t="s">
        <v>70</v>
      </c>
      <c r="D36" s="449" t="s">
        <v>115</v>
      </c>
      <c r="E36" s="41">
        <f>0.05*0.001</f>
        <v>5.0000000000000002E-5</v>
      </c>
      <c r="F36" s="64">
        <f>F32*E36</f>
        <v>1.2271349999999999E-2</v>
      </c>
      <c r="G36" s="67"/>
      <c r="H36" s="67"/>
      <c r="I36" s="67"/>
      <c r="J36" s="67"/>
      <c r="K36" s="67"/>
      <c r="L36" s="73"/>
      <c r="M36" s="73"/>
    </row>
    <row r="37" spans="1:14" ht="78.75">
      <c r="A37" s="492" t="s">
        <v>48</v>
      </c>
      <c r="B37" s="313" t="s">
        <v>81</v>
      </c>
      <c r="C37" s="111" t="s">
        <v>231</v>
      </c>
      <c r="D37" s="356" t="s">
        <v>15</v>
      </c>
      <c r="E37" s="44"/>
      <c r="F37" s="65">
        <f>0.5*0.5*1*(48)+0.5*0.5*1.3*(4)</f>
        <v>13.3</v>
      </c>
      <c r="G37" s="112"/>
      <c r="H37" s="73"/>
      <c r="I37" s="112"/>
      <c r="J37" s="73"/>
      <c r="K37" s="112"/>
      <c r="L37" s="73"/>
      <c r="M37" s="73"/>
    </row>
    <row r="38" spans="1:14" ht="27">
      <c r="A38" s="494"/>
      <c r="B38" s="314"/>
      <c r="C38" s="360" t="s">
        <v>89</v>
      </c>
      <c r="D38" s="314" t="s">
        <v>118</v>
      </c>
      <c r="E38" s="315">
        <v>3.88</v>
      </c>
      <c r="F38" s="316">
        <f>F37*E38</f>
        <v>51.603999999999999</v>
      </c>
      <c r="G38" s="66"/>
      <c r="H38" s="73"/>
      <c r="I38" s="66"/>
      <c r="J38" s="73"/>
      <c r="K38" s="68"/>
      <c r="L38" s="73"/>
      <c r="M38" s="73"/>
    </row>
    <row r="39" spans="1:14" ht="47.25">
      <c r="A39" s="513" t="s">
        <v>93</v>
      </c>
      <c r="B39" s="432" t="s">
        <v>98</v>
      </c>
      <c r="C39" s="141" t="s">
        <v>102</v>
      </c>
      <c r="D39" s="16" t="s">
        <v>78</v>
      </c>
      <c r="E39" s="94"/>
      <c r="F39" s="142">
        <f>(F32+F37)*1.95</f>
        <v>504.51764999999995</v>
      </c>
      <c r="G39" s="67"/>
      <c r="H39" s="73"/>
      <c r="I39" s="67"/>
      <c r="J39" s="73"/>
      <c r="K39" s="67"/>
      <c r="L39" s="73"/>
      <c r="M39" s="73"/>
    </row>
    <row r="40" spans="1:14" ht="27">
      <c r="A40" s="506"/>
      <c r="B40" s="449"/>
      <c r="C40" s="143" t="s">
        <v>27</v>
      </c>
      <c r="D40" s="14" t="s">
        <v>23</v>
      </c>
      <c r="E40" s="93">
        <v>0.53</v>
      </c>
      <c r="F40" s="451">
        <f>F39*E40</f>
        <v>267.39435449999996</v>
      </c>
      <c r="G40" s="67"/>
      <c r="H40" s="73"/>
      <c r="I40" s="67"/>
      <c r="J40" s="73"/>
      <c r="K40" s="67"/>
      <c r="L40" s="73"/>
      <c r="M40" s="73"/>
    </row>
    <row r="41" spans="1:14" ht="15.75">
      <c r="A41" s="507"/>
      <c r="B41" s="97"/>
      <c r="C41" s="111" t="s">
        <v>230</v>
      </c>
      <c r="D41" s="356" t="s">
        <v>69</v>
      </c>
      <c r="E41" s="41">
        <v>1.95</v>
      </c>
      <c r="F41" s="123">
        <f>E41*(F37+F32)</f>
        <v>504.51764999999995</v>
      </c>
      <c r="G41" s="112"/>
      <c r="H41" s="73"/>
      <c r="I41" s="112"/>
      <c r="J41" s="73"/>
      <c r="K41" s="115"/>
      <c r="L41" s="73"/>
      <c r="M41" s="73"/>
    </row>
    <row r="42" spans="1:14" ht="78.75">
      <c r="A42" s="504" t="s">
        <v>33</v>
      </c>
      <c r="B42" s="356" t="s">
        <v>79</v>
      </c>
      <c r="C42" s="111" t="s">
        <v>193</v>
      </c>
      <c r="D42" s="356" t="s">
        <v>15</v>
      </c>
      <c r="E42" s="44"/>
      <c r="F42" s="65">
        <f>40.3*20.3*0.15+0.5*0.5*0.1*((48)+4)</f>
        <v>124.01349999999998</v>
      </c>
      <c r="G42" s="112"/>
      <c r="H42" s="73"/>
      <c r="I42" s="112"/>
      <c r="J42" s="73"/>
      <c r="K42" s="112"/>
      <c r="L42" s="73"/>
      <c r="M42" s="73"/>
    </row>
    <row r="43" spans="1:14" ht="27">
      <c r="A43" s="505"/>
      <c r="B43" s="351"/>
      <c r="C43" s="116" t="s">
        <v>21</v>
      </c>
      <c r="D43" s="351" t="s">
        <v>23</v>
      </c>
      <c r="E43" s="353">
        <v>3.52</v>
      </c>
      <c r="F43" s="110">
        <f>F42*E43</f>
        <v>436.52751999999992</v>
      </c>
      <c r="G43" s="73"/>
      <c r="H43" s="73"/>
      <c r="I43" s="73"/>
      <c r="J43" s="73"/>
      <c r="K43" s="73"/>
      <c r="L43" s="73"/>
      <c r="M43" s="73"/>
    </row>
    <row r="44" spans="1:14" ht="15.75">
      <c r="A44" s="505"/>
      <c r="B44" s="351"/>
      <c r="C44" s="116" t="s">
        <v>28</v>
      </c>
      <c r="D44" s="351" t="s">
        <v>19</v>
      </c>
      <c r="E44" s="353">
        <v>1.06</v>
      </c>
      <c r="F44" s="110">
        <f>F42*E44</f>
        <v>131.45430999999999</v>
      </c>
      <c r="G44" s="73"/>
      <c r="H44" s="73"/>
      <c r="I44" s="73"/>
      <c r="J44" s="73"/>
      <c r="K44" s="73"/>
      <c r="L44" s="73"/>
      <c r="M44" s="73"/>
    </row>
    <row r="45" spans="1:14" ht="15.75">
      <c r="A45" s="505"/>
      <c r="B45" s="117"/>
      <c r="C45" s="116" t="s">
        <v>70</v>
      </c>
      <c r="D45" s="351" t="s">
        <v>15</v>
      </c>
      <c r="E45" s="353">
        <f>0.18+0.09+0.97</f>
        <v>1.24</v>
      </c>
      <c r="F45" s="110">
        <f>F42*E45</f>
        <v>153.77673999999996</v>
      </c>
      <c r="G45" s="67"/>
      <c r="H45" s="73"/>
      <c r="I45" s="73"/>
      <c r="J45" s="73"/>
      <c r="K45" s="73"/>
      <c r="L45" s="73"/>
      <c r="M45" s="73"/>
    </row>
    <row r="46" spans="1:14" ht="15.75">
      <c r="A46" s="508"/>
      <c r="B46" s="351"/>
      <c r="C46" s="116" t="s">
        <v>29</v>
      </c>
      <c r="D46" s="351" t="s">
        <v>19</v>
      </c>
      <c r="E46" s="353">
        <v>0.02</v>
      </c>
      <c r="F46" s="110">
        <f>F42*E46</f>
        <v>2.4802699999999995</v>
      </c>
      <c r="G46" s="73"/>
      <c r="H46" s="73"/>
      <c r="I46" s="73"/>
      <c r="J46" s="73"/>
      <c r="K46" s="73"/>
      <c r="L46" s="73"/>
      <c r="M46" s="73"/>
    </row>
    <row r="47" spans="1:14" s="7" customFormat="1" ht="94.5">
      <c r="A47" s="504" t="s">
        <v>88</v>
      </c>
      <c r="B47" s="158" t="s">
        <v>71</v>
      </c>
      <c r="C47" s="317" t="s">
        <v>223</v>
      </c>
      <c r="D47" s="158" t="s">
        <v>15</v>
      </c>
      <c r="E47" s="50"/>
      <c r="F47" s="124">
        <f>(0.5*0.5*1)*(48)  +  (0.5*0.5*1+0.3*0.3*0.3)*(4)</f>
        <v>13.108000000000001</v>
      </c>
      <c r="G47" s="112"/>
      <c r="H47" s="73"/>
      <c r="I47" s="112"/>
      <c r="J47" s="73"/>
      <c r="K47" s="112"/>
      <c r="L47" s="73"/>
      <c r="M47" s="73"/>
      <c r="N47" s="338"/>
    </row>
    <row r="48" spans="1:14" s="7" customFormat="1" ht="15.75">
      <c r="A48" s="505"/>
      <c r="B48" s="158"/>
      <c r="C48" s="118" t="s">
        <v>45</v>
      </c>
      <c r="D48" s="352" t="s">
        <v>54</v>
      </c>
      <c r="E48" s="51">
        <v>6.66</v>
      </c>
      <c r="F48" s="119">
        <f>E48*F47</f>
        <v>87.29928000000001</v>
      </c>
      <c r="G48" s="120"/>
      <c r="H48" s="73"/>
      <c r="I48" s="120"/>
      <c r="J48" s="73"/>
      <c r="K48" s="120"/>
      <c r="L48" s="73"/>
      <c r="M48" s="73"/>
      <c r="N48" s="338"/>
    </row>
    <row r="49" spans="1:14" s="7" customFormat="1" ht="15.75">
      <c r="A49" s="505"/>
      <c r="B49" s="158"/>
      <c r="C49" s="121" t="s">
        <v>22</v>
      </c>
      <c r="D49" s="318" t="s">
        <v>19</v>
      </c>
      <c r="E49" s="51">
        <v>0.59</v>
      </c>
      <c r="F49" s="119">
        <f>E49*F47</f>
        <v>7.7337199999999999</v>
      </c>
      <c r="G49" s="120"/>
      <c r="H49" s="73"/>
      <c r="I49" s="120"/>
      <c r="J49" s="73"/>
      <c r="K49" s="120"/>
      <c r="L49" s="73"/>
      <c r="M49" s="73"/>
      <c r="N49" s="338"/>
    </row>
    <row r="50" spans="1:14" s="7" customFormat="1" ht="15.75">
      <c r="A50" s="505"/>
      <c r="B50" s="352"/>
      <c r="C50" s="118" t="s">
        <v>50</v>
      </c>
      <c r="D50" s="352" t="s">
        <v>115</v>
      </c>
      <c r="E50" s="51">
        <v>1.0149999999999999</v>
      </c>
      <c r="F50" s="119">
        <f>E50*F47</f>
        <v>13.30462</v>
      </c>
      <c r="G50" s="120"/>
      <c r="H50" s="73"/>
      <c r="I50" s="120"/>
      <c r="J50" s="73"/>
      <c r="K50" s="120"/>
      <c r="L50" s="73"/>
      <c r="M50" s="73"/>
      <c r="N50" s="338"/>
    </row>
    <row r="51" spans="1:14" ht="15.75">
      <c r="A51" s="505"/>
      <c r="B51" s="352"/>
      <c r="C51" s="118" t="s">
        <v>72</v>
      </c>
      <c r="D51" s="352" t="s">
        <v>116</v>
      </c>
      <c r="E51" s="51">
        <v>1.6</v>
      </c>
      <c r="F51" s="119">
        <f>E51*F47</f>
        <v>20.972800000000003</v>
      </c>
      <c r="G51" s="120"/>
      <c r="H51" s="73"/>
      <c r="I51" s="120"/>
      <c r="J51" s="73"/>
      <c r="K51" s="120"/>
      <c r="L51" s="73"/>
      <c r="M51" s="73"/>
    </row>
    <row r="52" spans="1:14" ht="15.75">
      <c r="A52" s="505"/>
      <c r="B52" s="352"/>
      <c r="C52" s="118" t="s">
        <v>73</v>
      </c>
      <c r="D52" s="352" t="s">
        <v>115</v>
      </c>
      <c r="E52" s="51">
        <v>1.83E-2</v>
      </c>
      <c r="F52" s="119">
        <f>E52*F47</f>
        <v>0.23987640000000002</v>
      </c>
      <c r="G52" s="120"/>
      <c r="H52" s="73"/>
      <c r="I52" s="120"/>
      <c r="J52" s="73"/>
      <c r="K52" s="120"/>
      <c r="L52" s="73"/>
      <c r="M52" s="73"/>
    </row>
    <row r="53" spans="1:14" ht="15.75">
      <c r="A53" s="505"/>
      <c r="B53" s="352"/>
      <c r="C53" s="121" t="s">
        <v>29</v>
      </c>
      <c r="D53" s="237" t="s">
        <v>19</v>
      </c>
      <c r="E53" s="51">
        <v>0.4</v>
      </c>
      <c r="F53" s="119">
        <f>E53*F47</f>
        <v>5.2432000000000007</v>
      </c>
      <c r="G53" s="120"/>
      <c r="H53" s="73"/>
      <c r="I53" s="120"/>
      <c r="J53" s="73"/>
      <c r="K53" s="120"/>
      <c r="L53" s="73"/>
      <c r="M53" s="73"/>
    </row>
    <row r="54" spans="1:14" ht="15.75">
      <c r="A54" s="505"/>
      <c r="B54" s="352"/>
      <c r="C54" s="162" t="s">
        <v>194</v>
      </c>
      <c r="D54" s="352" t="s">
        <v>18</v>
      </c>
      <c r="E54" s="51">
        <v>0.03</v>
      </c>
      <c r="F54" s="124">
        <f>0.5*4*2*(48+4)*1.03*0.395/1000</f>
        <v>8.4624800000000014E-2</v>
      </c>
      <c r="G54" s="120"/>
      <c r="H54" s="73"/>
      <c r="I54" s="120"/>
      <c r="J54" s="73"/>
      <c r="K54" s="120"/>
      <c r="L54" s="73"/>
      <c r="M54" s="73"/>
    </row>
    <row r="55" spans="1:14" ht="78.75">
      <c r="A55" s="504" t="s">
        <v>94</v>
      </c>
      <c r="B55" s="158" t="s">
        <v>120</v>
      </c>
      <c r="C55" s="317" t="s">
        <v>196</v>
      </c>
      <c r="D55" s="158" t="s">
        <v>15</v>
      </c>
      <c r="E55" s="50"/>
      <c r="F55" s="124">
        <f>0.3*0.3*(40+20)*2</f>
        <v>10.799999999999999</v>
      </c>
      <c r="G55" s="112"/>
      <c r="H55" s="73"/>
      <c r="I55" s="112"/>
      <c r="J55" s="73"/>
      <c r="K55" s="112"/>
      <c r="L55" s="73"/>
      <c r="M55" s="73"/>
    </row>
    <row r="56" spans="1:14" ht="15.75">
      <c r="A56" s="505"/>
      <c r="B56" s="352"/>
      <c r="C56" s="118" t="s">
        <v>45</v>
      </c>
      <c r="D56" s="352" t="s">
        <v>54</v>
      </c>
      <c r="E56" s="51">
        <v>11.11</v>
      </c>
      <c r="F56" s="119">
        <f>E56*F55</f>
        <v>119.98799999999999</v>
      </c>
      <c r="G56" s="120"/>
      <c r="H56" s="73"/>
      <c r="I56" s="120"/>
      <c r="J56" s="73"/>
      <c r="K56" s="120"/>
      <c r="L56" s="73"/>
      <c r="M56" s="73"/>
    </row>
    <row r="57" spans="1:14" ht="15.75">
      <c r="A57" s="505"/>
      <c r="B57" s="352"/>
      <c r="C57" s="121" t="s">
        <v>22</v>
      </c>
      <c r="D57" s="318" t="s">
        <v>19</v>
      </c>
      <c r="E57" s="51">
        <v>0.96</v>
      </c>
      <c r="F57" s="119">
        <f>E57*F55</f>
        <v>10.367999999999999</v>
      </c>
      <c r="G57" s="120"/>
      <c r="H57" s="73"/>
      <c r="I57" s="120"/>
      <c r="J57" s="73"/>
      <c r="K57" s="120"/>
      <c r="L57" s="73"/>
      <c r="M57" s="73"/>
    </row>
    <row r="58" spans="1:14" ht="15.75">
      <c r="A58" s="505"/>
      <c r="B58" s="352"/>
      <c r="C58" s="118" t="s">
        <v>50</v>
      </c>
      <c r="D58" s="352" t="s">
        <v>115</v>
      </c>
      <c r="E58" s="51">
        <v>1.0149999999999999</v>
      </c>
      <c r="F58" s="119">
        <f>E58*F55</f>
        <v>10.961999999999998</v>
      </c>
      <c r="G58" s="120"/>
      <c r="H58" s="73"/>
      <c r="I58" s="120"/>
      <c r="J58" s="73"/>
      <c r="K58" s="120"/>
      <c r="L58" s="73"/>
      <c r="M58" s="73"/>
    </row>
    <row r="59" spans="1:14" ht="15.75">
      <c r="A59" s="505"/>
      <c r="B59" s="352"/>
      <c r="C59" s="118" t="s">
        <v>72</v>
      </c>
      <c r="D59" s="352" t="s">
        <v>116</v>
      </c>
      <c r="E59" s="51">
        <v>2.0499999999999998</v>
      </c>
      <c r="F59" s="119">
        <f>E59*F55</f>
        <v>22.139999999999997</v>
      </c>
      <c r="G59" s="120"/>
      <c r="H59" s="73"/>
      <c r="I59" s="120"/>
      <c r="J59" s="73"/>
      <c r="K59" s="120"/>
      <c r="L59" s="73"/>
      <c r="M59" s="73"/>
    </row>
    <row r="60" spans="1:14" ht="15.75">
      <c r="A60" s="505"/>
      <c r="B60" s="352"/>
      <c r="C60" s="118" t="s">
        <v>73</v>
      </c>
      <c r="D60" s="352" t="s">
        <v>115</v>
      </c>
      <c r="E60" s="51">
        <f>(0.3+2.78)/100</f>
        <v>3.0799999999999998E-2</v>
      </c>
      <c r="F60" s="119">
        <f>E60*F55</f>
        <v>0.33263999999999994</v>
      </c>
      <c r="G60" s="120"/>
      <c r="H60" s="73"/>
      <c r="I60" s="120"/>
      <c r="J60" s="73"/>
      <c r="K60" s="120"/>
      <c r="L60" s="73"/>
      <c r="M60" s="73"/>
    </row>
    <row r="61" spans="1:14" ht="15.75">
      <c r="A61" s="505"/>
      <c r="B61" s="352"/>
      <c r="C61" s="118" t="s">
        <v>46</v>
      </c>
      <c r="D61" s="352" t="s">
        <v>17</v>
      </c>
      <c r="E61" s="51">
        <v>1.7</v>
      </c>
      <c r="F61" s="119">
        <f>F55*E61</f>
        <v>18.36</v>
      </c>
      <c r="G61" s="120"/>
      <c r="H61" s="73"/>
      <c r="I61" s="120"/>
      <c r="J61" s="73"/>
      <c r="K61" s="120"/>
      <c r="L61" s="73"/>
      <c r="M61" s="73"/>
    </row>
    <row r="62" spans="1:14" ht="15.75">
      <c r="A62" s="505"/>
      <c r="B62" s="352"/>
      <c r="C62" s="118" t="s">
        <v>29</v>
      </c>
      <c r="D62" s="352" t="s">
        <v>19</v>
      </c>
      <c r="E62" s="51">
        <v>0.7</v>
      </c>
      <c r="F62" s="119">
        <f>F55*E62</f>
        <v>7.5599999999999987</v>
      </c>
      <c r="G62" s="120"/>
      <c r="H62" s="73"/>
      <c r="I62" s="120"/>
      <c r="J62" s="73"/>
      <c r="K62" s="120"/>
      <c r="L62" s="73"/>
      <c r="M62" s="73"/>
    </row>
    <row r="63" spans="1:14" ht="15.75">
      <c r="A63" s="505"/>
      <c r="B63" s="352"/>
      <c r="C63" s="162" t="s">
        <v>194</v>
      </c>
      <c r="D63" s="352" t="s">
        <v>18</v>
      </c>
      <c r="E63" s="51">
        <v>0.03</v>
      </c>
      <c r="F63" s="124">
        <f>4*(40+20)*2*1.03*0.888/1000</f>
        <v>0.43902720000000006</v>
      </c>
      <c r="G63" s="120"/>
      <c r="H63" s="73"/>
      <c r="I63" s="120"/>
      <c r="J63" s="73"/>
      <c r="K63" s="120"/>
      <c r="L63" s="73"/>
      <c r="M63" s="73"/>
    </row>
    <row r="64" spans="1:14" ht="15.75">
      <c r="A64" s="508"/>
      <c r="B64" s="352"/>
      <c r="C64" s="162" t="s">
        <v>195</v>
      </c>
      <c r="D64" s="352" t="s">
        <v>18</v>
      </c>
      <c r="E64" s="51">
        <v>1.03</v>
      </c>
      <c r="F64" s="124">
        <f>(  (0.3+0.3)*2*(((40+20)*2)/0.15+1)  )*1.03*0.222/1000</f>
        <v>0.21978799200000002</v>
      </c>
      <c r="G64" s="120"/>
      <c r="H64" s="73"/>
      <c r="I64" s="120"/>
      <c r="J64" s="73"/>
      <c r="K64" s="120"/>
      <c r="L64" s="73"/>
      <c r="M64" s="73"/>
    </row>
    <row r="65" spans="1:13" ht="63">
      <c r="A65" s="504" t="s">
        <v>34</v>
      </c>
      <c r="B65" s="158" t="s">
        <v>74</v>
      </c>
      <c r="C65" s="319" t="s">
        <v>250</v>
      </c>
      <c r="D65" s="320" t="s">
        <v>15</v>
      </c>
      <c r="E65" s="51"/>
      <c r="F65" s="124">
        <f>(40.3*20.3)*0.15+1.5*3*0.15</f>
        <v>123.38849999999998</v>
      </c>
      <c r="G65" s="120"/>
      <c r="H65" s="73"/>
      <c r="I65" s="120"/>
      <c r="J65" s="73"/>
      <c r="K65" s="120"/>
      <c r="L65" s="73"/>
      <c r="M65" s="73"/>
    </row>
    <row r="66" spans="1:13" ht="15.75">
      <c r="A66" s="505"/>
      <c r="B66" s="158"/>
      <c r="C66" s="118" t="s">
        <v>45</v>
      </c>
      <c r="D66" s="352" t="s">
        <v>54</v>
      </c>
      <c r="E66" s="51">
        <v>8.4</v>
      </c>
      <c r="F66" s="119">
        <f>E66*F65</f>
        <v>1036.4633999999999</v>
      </c>
      <c r="G66" s="120"/>
      <c r="H66" s="73"/>
      <c r="I66" s="120"/>
      <c r="J66" s="73"/>
      <c r="K66" s="120"/>
      <c r="L66" s="73"/>
      <c r="M66" s="73"/>
    </row>
    <row r="67" spans="1:13" ht="15.75">
      <c r="A67" s="505"/>
      <c r="B67" s="158"/>
      <c r="C67" s="121" t="s">
        <v>22</v>
      </c>
      <c r="D67" s="318" t="s">
        <v>19</v>
      </c>
      <c r="E67" s="51">
        <v>0.81</v>
      </c>
      <c r="F67" s="119">
        <f>E67*F65</f>
        <v>99.944684999999993</v>
      </c>
      <c r="G67" s="120"/>
      <c r="H67" s="73"/>
      <c r="I67" s="120"/>
      <c r="J67" s="73"/>
      <c r="K67" s="120"/>
      <c r="L67" s="73"/>
      <c r="M67" s="73"/>
    </row>
    <row r="68" spans="1:13" ht="15.75">
      <c r="A68" s="505"/>
      <c r="B68" s="352"/>
      <c r="C68" s="118" t="s">
        <v>119</v>
      </c>
      <c r="D68" s="352" t="s">
        <v>115</v>
      </c>
      <c r="E68" s="51">
        <v>1.0149999999999999</v>
      </c>
      <c r="F68" s="119">
        <f>E68*F65</f>
        <v>125.23932749999997</v>
      </c>
      <c r="G68" s="120"/>
      <c r="H68" s="73"/>
      <c r="I68" s="120"/>
      <c r="J68" s="73"/>
      <c r="K68" s="120"/>
      <c r="L68" s="73"/>
      <c r="M68" s="73"/>
    </row>
    <row r="69" spans="1:13" ht="15.75">
      <c r="A69" s="505"/>
      <c r="B69" s="352"/>
      <c r="C69" s="118" t="s">
        <v>197</v>
      </c>
      <c r="D69" s="352" t="s">
        <v>15</v>
      </c>
      <c r="E69" s="51">
        <v>1.37</v>
      </c>
      <c r="F69" s="119">
        <f>F65*E69</f>
        <v>169.04224499999998</v>
      </c>
      <c r="G69" s="120"/>
      <c r="H69" s="73"/>
      <c r="I69" s="120"/>
      <c r="J69" s="73"/>
      <c r="K69" s="120"/>
      <c r="L69" s="73"/>
      <c r="M69" s="73"/>
    </row>
    <row r="70" spans="1:13" ht="15.75">
      <c r="A70" s="505"/>
      <c r="B70" s="352"/>
      <c r="C70" s="118" t="s">
        <v>75</v>
      </c>
      <c r="D70" s="352" t="s">
        <v>15</v>
      </c>
      <c r="E70" s="51">
        <f>(0.84+2.56+0.26)/100</f>
        <v>3.6600000000000001E-2</v>
      </c>
      <c r="F70" s="119">
        <f>F65*E70</f>
        <v>4.5160190999999994</v>
      </c>
      <c r="G70" s="120"/>
      <c r="H70" s="73"/>
      <c r="I70" s="120"/>
      <c r="J70" s="73"/>
      <c r="K70" s="120"/>
      <c r="L70" s="73"/>
      <c r="M70" s="73"/>
    </row>
    <row r="71" spans="1:13" ht="15.75">
      <c r="A71" s="505"/>
      <c r="B71" s="158"/>
      <c r="C71" s="121" t="s">
        <v>29</v>
      </c>
      <c r="D71" s="318" t="s">
        <v>19</v>
      </c>
      <c r="E71" s="51">
        <v>0.39</v>
      </c>
      <c r="F71" s="119">
        <f>E71*F65</f>
        <v>48.121514999999995</v>
      </c>
      <c r="G71" s="120"/>
      <c r="H71" s="73"/>
      <c r="I71" s="120"/>
      <c r="J71" s="73"/>
      <c r="K71" s="120"/>
      <c r="L71" s="73"/>
      <c r="M71" s="73"/>
    </row>
    <row r="72" spans="1:13" ht="15.75">
      <c r="A72" s="505"/>
      <c r="B72" s="352"/>
      <c r="C72" s="162" t="s">
        <v>194</v>
      </c>
      <c r="D72" s="352" t="s">
        <v>18</v>
      </c>
      <c r="E72" s="51">
        <v>0.03</v>
      </c>
      <c r="F72" s="124">
        <f>(40.3*20.3)*16*1 *1.03*0.395/1000</f>
        <v>5.3254386639999991</v>
      </c>
      <c r="G72" s="120"/>
      <c r="H72" s="73"/>
      <c r="I72" s="120"/>
      <c r="J72" s="73"/>
      <c r="K72" s="120"/>
      <c r="L72" s="73"/>
      <c r="M72" s="73"/>
    </row>
    <row r="73" spans="1:13" ht="31.5">
      <c r="A73" s="509" t="s">
        <v>43</v>
      </c>
      <c r="B73" s="11" t="s">
        <v>198</v>
      </c>
      <c r="C73" s="321" t="s">
        <v>224</v>
      </c>
      <c r="D73" s="350"/>
      <c r="E73" s="48"/>
      <c r="F73" s="110"/>
      <c r="G73" s="107"/>
      <c r="H73" s="107"/>
      <c r="I73" s="107"/>
      <c r="J73" s="107"/>
      <c r="K73" s="107"/>
      <c r="L73" s="107"/>
      <c r="M73" s="107"/>
    </row>
    <row r="74" spans="1:13" ht="31.5">
      <c r="A74" s="510"/>
      <c r="B74" s="324"/>
      <c r="C74" s="170" t="s">
        <v>290</v>
      </c>
      <c r="D74" s="11" t="s">
        <v>18</v>
      </c>
      <c r="E74" s="39"/>
      <c r="F74" s="471">
        <v>6.3872028000000007</v>
      </c>
      <c r="G74" s="73"/>
      <c r="H74" s="73"/>
      <c r="I74" s="73"/>
      <c r="J74" s="73"/>
      <c r="K74" s="73"/>
      <c r="L74" s="73"/>
      <c r="M74" s="73"/>
    </row>
    <row r="75" spans="1:13" ht="27">
      <c r="A75" s="510"/>
      <c r="B75" s="351"/>
      <c r="C75" s="152" t="s">
        <v>21</v>
      </c>
      <c r="D75" s="351" t="s">
        <v>23</v>
      </c>
      <c r="E75" s="353">
        <v>34.9</v>
      </c>
      <c r="F75" s="110">
        <f>F74*E75</f>
        <v>222.91337772000003</v>
      </c>
      <c r="G75" s="178"/>
      <c r="H75" s="178"/>
      <c r="I75" s="178"/>
      <c r="J75" s="178"/>
      <c r="K75" s="178"/>
      <c r="L75" s="178"/>
      <c r="M75" s="178"/>
    </row>
    <row r="76" spans="1:13" ht="15.75">
      <c r="A76" s="510"/>
      <c r="B76" s="351"/>
      <c r="C76" s="152" t="s">
        <v>22</v>
      </c>
      <c r="D76" s="351" t="s">
        <v>19</v>
      </c>
      <c r="E76" s="353">
        <v>4.07</v>
      </c>
      <c r="F76" s="110">
        <f>F74*E76</f>
        <v>25.995915396000004</v>
      </c>
      <c r="G76" s="73"/>
      <c r="H76" s="73"/>
      <c r="I76" s="73"/>
      <c r="J76" s="73"/>
      <c r="K76" s="73"/>
      <c r="L76" s="73"/>
      <c r="M76" s="73"/>
    </row>
    <row r="77" spans="1:13" ht="31.5">
      <c r="A77" s="510"/>
      <c r="B77" s="351"/>
      <c r="C77" s="298" t="s">
        <v>199</v>
      </c>
      <c r="D77" s="350" t="s">
        <v>18</v>
      </c>
      <c r="E77" s="39"/>
      <c r="F77" s="64">
        <v>2.8847808000000006</v>
      </c>
      <c r="G77" s="73"/>
      <c r="H77" s="73"/>
      <c r="I77" s="73"/>
      <c r="J77" s="73"/>
      <c r="K77" s="73"/>
      <c r="L77" s="73"/>
      <c r="M77" s="73"/>
    </row>
    <row r="78" spans="1:13" ht="31.5">
      <c r="A78" s="510"/>
      <c r="B78" s="351"/>
      <c r="C78" s="113" t="s">
        <v>200</v>
      </c>
      <c r="D78" s="350" t="s">
        <v>18</v>
      </c>
      <c r="E78" s="39"/>
      <c r="F78" s="64">
        <v>3.0156983999999998</v>
      </c>
      <c r="G78" s="73"/>
      <c r="H78" s="73"/>
      <c r="I78" s="73"/>
      <c r="J78" s="73"/>
      <c r="K78" s="73"/>
      <c r="L78" s="73"/>
      <c r="M78" s="73"/>
    </row>
    <row r="79" spans="1:13" ht="31.5">
      <c r="A79" s="510"/>
      <c r="B79" s="351"/>
      <c r="C79" s="106" t="s">
        <v>232</v>
      </c>
      <c r="D79" s="350" t="s">
        <v>18</v>
      </c>
      <c r="E79" s="39"/>
      <c r="F79" s="64">
        <v>0.39168360000000002</v>
      </c>
      <c r="G79" s="73"/>
      <c r="H79" s="73"/>
      <c r="I79" s="73"/>
      <c r="J79" s="73"/>
      <c r="K79" s="73"/>
      <c r="L79" s="73"/>
      <c r="M79" s="73"/>
    </row>
    <row r="80" spans="1:13" ht="31.5">
      <c r="A80" s="510"/>
      <c r="B80" s="351"/>
      <c r="C80" s="298" t="s">
        <v>201</v>
      </c>
      <c r="D80" s="350" t="s">
        <v>18</v>
      </c>
      <c r="E80" s="353"/>
      <c r="F80" s="110">
        <v>9.5039999999999999E-2</v>
      </c>
      <c r="G80" s="73"/>
      <c r="H80" s="73"/>
      <c r="I80" s="73"/>
      <c r="J80" s="73"/>
      <c r="K80" s="73"/>
      <c r="L80" s="73"/>
      <c r="M80" s="73"/>
    </row>
    <row r="81" spans="1:13" ht="31.5">
      <c r="A81" s="510"/>
      <c r="B81" s="297"/>
      <c r="C81" s="145" t="s">
        <v>106</v>
      </c>
      <c r="D81" s="352" t="s">
        <v>17</v>
      </c>
      <c r="E81" s="51">
        <v>3.3</v>
      </c>
      <c r="F81" s="119">
        <f>F74*E81</f>
        <v>21.077769240000002</v>
      </c>
      <c r="G81" s="73"/>
      <c r="H81" s="73"/>
      <c r="I81" s="73"/>
      <c r="J81" s="73"/>
      <c r="K81" s="73"/>
      <c r="L81" s="73"/>
      <c r="M81" s="73"/>
    </row>
    <row r="82" spans="1:13" ht="15.75">
      <c r="A82" s="510"/>
      <c r="B82" s="297"/>
      <c r="C82" s="145" t="s">
        <v>46</v>
      </c>
      <c r="D82" s="352" t="s">
        <v>17</v>
      </c>
      <c r="E82" s="51">
        <v>15.2</v>
      </c>
      <c r="F82" s="119">
        <f>F74*E82</f>
        <v>97.085482560000003</v>
      </c>
      <c r="G82" s="73"/>
      <c r="H82" s="73"/>
      <c r="I82" s="73"/>
      <c r="J82" s="73"/>
      <c r="K82" s="73"/>
      <c r="L82" s="73"/>
      <c r="M82" s="73"/>
    </row>
    <row r="83" spans="1:13" ht="15.75">
      <c r="A83" s="511"/>
      <c r="B83" s="297"/>
      <c r="C83" s="145" t="s">
        <v>29</v>
      </c>
      <c r="D83" s="352" t="s">
        <v>19</v>
      </c>
      <c r="E83" s="51">
        <v>2.78</v>
      </c>
      <c r="F83" s="119">
        <f>F74*E83</f>
        <v>17.756423784000003</v>
      </c>
      <c r="G83" s="73"/>
      <c r="H83" s="73"/>
      <c r="I83" s="73"/>
      <c r="J83" s="73"/>
      <c r="K83" s="73"/>
      <c r="L83" s="73"/>
      <c r="M83" s="73"/>
    </row>
    <row r="84" spans="1:13" ht="47.25">
      <c r="A84" s="517" t="s">
        <v>90</v>
      </c>
      <c r="B84" s="356" t="s">
        <v>83</v>
      </c>
      <c r="C84" s="146" t="s">
        <v>107</v>
      </c>
      <c r="D84" s="158" t="s">
        <v>16</v>
      </c>
      <c r="E84" s="52"/>
      <c r="F84" s="361">
        <v>248.01600000000002</v>
      </c>
      <c r="G84" s="454"/>
      <c r="H84" s="73"/>
      <c r="I84" s="73"/>
      <c r="J84" s="73"/>
      <c r="K84" s="73"/>
      <c r="L84" s="73"/>
      <c r="M84" s="73"/>
    </row>
    <row r="85" spans="1:13" ht="27">
      <c r="A85" s="518"/>
      <c r="B85" s="310"/>
      <c r="C85" s="148" t="s">
        <v>21</v>
      </c>
      <c r="D85" s="105" t="s">
        <v>23</v>
      </c>
      <c r="E85" s="311">
        <f>68*0.01</f>
        <v>0.68</v>
      </c>
      <c r="F85" s="139">
        <f>F84*E85</f>
        <v>168.65088000000003</v>
      </c>
      <c r="G85" s="454"/>
      <c r="H85" s="73"/>
      <c r="I85" s="73"/>
      <c r="J85" s="73"/>
      <c r="K85" s="73"/>
      <c r="L85" s="73"/>
      <c r="M85" s="73"/>
    </row>
    <row r="86" spans="1:13" ht="15.75">
      <c r="A86" s="518"/>
      <c r="B86" s="356"/>
      <c r="C86" s="127" t="s">
        <v>22</v>
      </c>
      <c r="D86" s="449" t="s">
        <v>19</v>
      </c>
      <c r="E86" s="311">
        <v>2.9999999999999997E-4</v>
      </c>
      <c r="F86" s="452">
        <f>F84*E86</f>
        <v>7.4404799999999993E-2</v>
      </c>
      <c r="G86" s="454"/>
      <c r="H86" s="73"/>
      <c r="I86" s="73"/>
      <c r="J86" s="73"/>
      <c r="K86" s="73"/>
      <c r="L86" s="73"/>
      <c r="M86" s="73"/>
    </row>
    <row r="87" spans="1:13" ht="15.75">
      <c r="A87" s="518"/>
      <c r="B87" s="356"/>
      <c r="C87" s="127" t="s">
        <v>84</v>
      </c>
      <c r="D87" s="450" t="s">
        <v>56</v>
      </c>
      <c r="E87" s="41">
        <v>0.246</v>
      </c>
      <c r="F87" s="64">
        <f>E87*F84</f>
        <v>61.011936000000006</v>
      </c>
      <c r="G87" s="454"/>
      <c r="H87" s="73"/>
      <c r="I87" s="73"/>
      <c r="J87" s="73"/>
      <c r="K87" s="73"/>
      <c r="L87" s="73"/>
      <c r="M87" s="73"/>
    </row>
    <row r="88" spans="1:13" ht="15.75">
      <c r="A88" s="519"/>
      <c r="B88" s="356"/>
      <c r="C88" s="127" t="s">
        <v>29</v>
      </c>
      <c r="D88" s="449" t="s">
        <v>19</v>
      </c>
      <c r="E88" s="311">
        <v>1.9E-3</v>
      </c>
      <c r="F88" s="452">
        <f>F84*E88</f>
        <v>0.47123040000000005</v>
      </c>
      <c r="G88" s="454"/>
      <c r="H88" s="73"/>
      <c r="I88" s="73"/>
      <c r="J88" s="73"/>
      <c r="K88" s="73"/>
      <c r="L88" s="73"/>
      <c r="M88" s="73"/>
    </row>
    <row r="89" spans="1:13" ht="81.75" customHeight="1">
      <c r="A89" s="506" t="s">
        <v>286</v>
      </c>
      <c r="B89" s="449" t="s">
        <v>31</v>
      </c>
      <c r="C89" s="463" t="s">
        <v>276</v>
      </c>
      <c r="D89" s="356" t="s">
        <v>16</v>
      </c>
      <c r="E89" s="41"/>
      <c r="F89" s="65">
        <f>(40.3+20.3)*2*(4.5-1)</f>
        <v>424.19999999999993</v>
      </c>
      <c r="G89" s="468"/>
      <c r="H89" s="468"/>
      <c r="I89" s="468"/>
      <c r="J89" s="468"/>
      <c r="K89" s="468"/>
      <c r="L89" s="468"/>
      <c r="M89" s="468"/>
    </row>
    <row r="90" spans="1:13" ht="15.75">
      <c r="A90" s="506"/>
      <c r="B90" s="449"/>
      <c r="C90" s="152" t="s">
        <v>45</v>
      </c>
      <c r="D90" s="449" t="s">
        <v>16</v>
      </c>
      <c r="E90" s="48">
        <v>1</v>
      </c>
      <c r="F90" s="110">
        <f>F89*E90</f>
        <v>424.19999999999993</v>
      </c>
      <c r="G90" s="73"/>
      <c r="H90" s="73"/>
      <c r="I90" s="73"/>
      <c r="J90" s="73"/>
      <c r="K90" s="73"/>
      <c r="L90" s="439"/>
      <c r="M90" s="439"/>
    </row>
    <row r="91" spans="1:13" ht="47.25">
      <c r="A91" s="507"/>
      <c r="B91" s="449"/>
      <c r="C91" s="113" t="s">
        <v>203</v>
      </c>
      <c r="D91" s="449" t="s">
        <v>16</v>
      </c>
      <c r="E91" s="41">
        <v>1.05</v>
      </c>
      <c r="F91" s="64">
        <f>F89*E91</f>
        <v>445.40999999999997</v>
      </c>
      <c r="G91" s="73"/>
      <c r="H91" s="73"/>
      <c r="I91" s="73"/>
      <c r="J91" s="73"/>
      <c r="K91" s="73"/>
      <c r="L91" s="439"/>
      <c r="M91" s="439"/>
    </row>
    <row r="92" spans="1:13" ht="77.25" customHeight="1">
      <c r="A92" s="506" t="s">
        <v>287</v>
      </c>
      <c r="B92" s="464" t="s">
        <v>282</v>
      </c>
      <c r="C92" s="465" t="s">
        <v>277</v>
      </c>
      <c r="D92" s="356" t="s">
        <v>16</v>
      </c>
      <c r="E92" s="41"/>
      <c r="F92" s="65">
        <f>(40.3+20.3)*2*1</f>
        <v>121.19999999999999</v>
      </c>
      <c r="G92" s="468"/>
      <c r="H92" s="468"/>
      <c r="I92" s="468"/>
      <c r="J92" s="468"/>
      <c r="K92" s="468"/>
      <c r="L92" s="468"/>
      <c r="M92" s="468"/>
    </row>
    <row r="93" spans="1:13" ht="27">
      <c r="A93" s="506"/>
      <c r="B93" s="395"/>
      <c r="C93" s="360" t="s">
        <v>89</v>
      </c>
      <c r="D93" s="418" t="s">
        <v>118</v>
      </c>
      <c r="E93" s="400">
        <v>1.48</v>
      </c>
      <c r="F93" s="400">
        <f>F92*E93</f>
        <v>179.37599999999998</v>
      </c>
      <c r="G93" s="199"/>
      <c r="H93" s="199"/>
      <c r="I93" s="419"/>
      <c r="J93" s="199"/>
      <c r="K93" s="420"/>
      <c r="L93" s="199"/>
      <c r="M93" s="199"/>
    </row>
    <row r="94" spans="1:13" ht="27">
      <c r="A94" s="506"/>
      <c r="B94" s="388" t="s">
        <v>122</v>
      </c>
      <c r="C94" s="360" t="s">
        <v>278</v>
      </c>
      <c r="D94" s="418" t="s">
        <v>279</v>
      </c>
      <c r="E94" s="400">
        <v>3.7499999999999999E-2</v>
      </c>
      <c r="F94" s="400">
        <f>F92*E94</f>
        <v>4.544999999999999</v>
      </c>
      <c r="G94" s="199"/>
      <c r="H94" s="199"/>
      <c r="I94" s="419"/>
      <c r="J94" s="199"/>
      <c r="K94" s="420"/>
      <c r="L94" s="199"/>
      <c r="M94" s="199"/>
    </row>
    <row r="95" spans="1:13" ht="15.75">
      <c r="A95" s="506"/>
      <c r="B95" s="395"/>
      <c r="C95" s="360" t="s">
        <v>28</v>
      </c>
      <c r="D95" s="418" t="s">
        <v>19</v>
      </c>
      <c r="E95" s="400">
        <v>5.3400000000000003E-2</v>
      </c>
      <c r="F95" s="400">
        <f>F92*E95</f>
        <v>6.4720800000000001</v>
      </c>
      <c r="G95" s="199"/>
      <c r="H95" s="199"/>
      <c r="I95" s="199"/>
      <c r="J95" s="199"/>
      <c r="K95" s="420"/>
      <c r="L95" s="199"/>
      <c r="M95" s="199"/>
    </row>
    <row r="96" spans="1:13" ht="15.75">
      <c r="A96" s="506"/>
      <c r="B96" s="395"/>
      <c r="C96" s="392" t="s">
        <v>280</v>
      </c>
      <c r="D96" s="395" t="s">
        <v>16</v>
      </c>
      <c r="E96" s="400">
        <v>1.05</v>
      </c>
      <c r="F96" s="400">
        <f>F92*E96</f>
        <v>127.25999999999999</v>
      </c>
      <c r="G96" s="199"/>
      <c r="H96" s="199"/>
      <c r="I96" s="199"/>
      <c r="J96" s="199"/>
      <c r="K96" s="199"/>
      <c r="L96" s="199"/>
      <c r="M96" s="199"/>
    </row>
    <row r="97" spans="1:13" ht="15.75">
      <c r="A97" s="506"/>
      <c r="B97" s="395"/>
      <c r="C97" s="392" t="s">
        <v>281</v>
      </c>
      <c r="D97" s="395" t="s">
        <v>17</v>
      </c>
      <c r="E97" s="400">
        <v>7.2999999999999995E-2</v>
      </c>
      <c r="F97" s="400">
        <f>F92*E97</f>
        <v>8.8475999999999981</v>
      </c>
      <c r="G97" s="199"/>
      <c r="H97" s="199"/>
      <c r="I97" s="199"/>
      <c r="J97" s="199"/>
      <c r="K97" s="199"/>
      <c r="L97" s="199"/>
      <c r="M97" s="199"/>
    </row>
    <row r="98" spans="1:13" ht="15.75">
      <c r="A98" s="507"/>
      <c r="B98" s="395"/>
      <c r="C98" s="392" t="s">
        <v>26</v>
      </c>
      <c r="D98" s="395" t="s">
        <v>19</v>
      </c>
      <c r="E98" s="400">
        <v>2.3900000000000001E-2</v>
      </c>
      <c r="F98" s="400">
        <f>F92*E98</f>
        <v>2.8966799999999999</v>
      </c>
      <c r="G98" s="199"/>
      <c r="H98" s="199"/>
      <c r="I98" s="199"/>
      <c r="J98" s="199"/>
      <c r="K98" s="199"/>
      <c r="L98" s="199"/>
      <c r="M98" s="199"/>
    </row>
    <row r="99" spans="1:13" ht="47.25">
      <c r="A99" s="501" t="s">
        <v>288</v>
      </c>
      <c r="B99" s="433" t="s">
        <v>283</v>
      </c>
      <c r="C99" s="389" t="s">
        <v>284</v>
      </c>
      <c r="D99" s="388" t="s">
        <v>16</v>
      </c>
      <c r="E99" s="400"/>
      <c r="F99" s="423">
        <f>F92*2</f>
        <v>242.39999999999998</v>
      </c>
      <c r="G99" s="199"/>
      <c r="H99" s="199"/>
      <c r="I99" s="199"/>
      <c r="J99" s="199"/>
      <c r="K99" s="199"/>
      <c r="L99" s="199"/>
      <c r="M99" s="199"/>
    </row>
    <row r="100" spans="1:13" ht="33">
      <c r="A100" s="502"/>
      <c r="B100" s="446"/>
      <c r="C100" s="167" t="s">
        <v>27</v>
      </c>
      <c r="D100" s="421" t="s">
        <v>23</v>
      </c>
      <c r="E100" s="35">
        <v>0.72499999999999998</v>
      </c>
      <c r="F100" s="179">
        <f>F99*E100</f>
        <v>175.73999999999998</v>
      </c>
      <c r="G100" s="439"/>
      <c r="H100" s="439"/>
      <c r="I100" s="439"/>
      <c r="J100" s="439"/>
      <c r="K100" s="199"/>
      <c r="L100" s="439"/>
      <c r="M100" s="439"/>
    </row>
    <row r="101" spans="1:13" ht="31.5">
      <c r="A101" s="502"/>
      <c r="B101" s="446"/>
      <c r="C101" s="167" t="s">
        <v>285</v>
      </c>
      <c r="D101" s="422" t="s">
        <v>17</v>
      </c>
      <c r="E101" s="62">
        <v>0.20799999999999999</v>
      </c>
      <c r="F101" s="179">
        <f>F99*E101</f>
        <v>50.419199999999996</v>
      </c>
      <c r="G101" s="439"/>
      <c r="H101" s="439"/>
      <c r="I101" s="439"/>
      <c r="J101" s="439"/>
      <c r="K101" s="439"/>
      <c r="L101" s="439"/>
      <c r="M101" s="439"/>
    </row>
    <row r="102" spans="1:13" ht="16.5">
      <c r="A102" s="503"/>
      <c r="B102" s="446"/>
      <c r="C102" s="167" t="s">
        <v>26</v>
      </c>
      <c r="D102" s="422"/>
      <c r="E102" s="62">
        <v>1.1999999999999999E-3</v>
      </c>
      <c r="F102" s="179">
        <f>F99*E102</f>
        <v>0.29087999999999997</v>
      </c>
      <c r="G102" s="439"/>
      <c r="H102" s="439"/>
      <c r="I102" s="439"/>
      <c r="J102" s="439"/>
      <c r="K102" s="439"/>
      <c r="L102" s="439"/>
      <c r="M102" s="439"/>
    </row>
    <row r="103" spans="1:13" ht="31.5">
      <c r="A103" s="308"/>
      <c r="B103" s="356"/>
      <c r="C103" s="321" t="s">
        <v>225</v>
      </c>
      <c r="D103" s="356"/>
      <c r="E103" s="44"/>
      <c r="F103" s="65"/>
      <c r="G103" s="73"/>
      <c r="H103" s="73"/>
      <c r="I103" s="73"/>
      <c r="J103" s="73"/>
      <c r="K103" s="73"/>
      <c r="L103" s="439"/>
      <c r="M103" s="439"/>
    </row>
    <row r="104" spans="1:13" ht="47.25">
      <c r="A104" s="501" t="s">
        <v>103</v>
      </c>
      <c r="B104" s="456" t="s">
        <v>31</v>
      </c>
      <c r="C104" s="469" t="s">
        <v>233</v>
      </c>
      <c r="D104" s="230" t="s">
        <v>16</v>
      </c>
      <c r="E104" s="35"/>
      <c r="F104" s="34">
        <f>40.3*20.3</f>
        <v>818.08999999999992</v>
      </c>
      <c r="G104" s="439"/>
      <c r="H104" s="439"/>
      <c r="I104" s="439"/>
      <c r="J104" s="439"/>
      <c r="K104" s="439"/>
      <c r="L104" s="439"/>
      <c r="M104" s="439"/>
    </row>
    <row r="105" spans="1:13" ht="15.75">
      <c r="A105" s="502"/>
      <c r="B105" s="233"/>
      <c r="C105" s="152" t="s">
        <v>45</v>
      </c>
      <c r="D105" s="456" t="s">
        <v>16</v>
      </c>
      <c r="E105" s="36">
        <v>1</v>
      </c>
      <c r="F105" s="21">
        <f>F104*E105</f>
        <v>818.08999999999992</v>
      </c>
      <c r="G105" s="439"/>
      <c r="H105" s="439"/>
      <c r="I105" s="199"/>
      <c r="J105" s="439"/>
      <c r="K105" s="439"/>
      <c r="L105" s="439"/>
      <c r="M105" s="439"/>
    </row>
    <row r="106" spans="1:13" ht="63">
      <c r="A106" s="502"/>
      <c r="B106" s="351"/>
      <c r="C106" s="116" t="s">
        <v>234</v>
      </c>
      <c r="D106" s="351" t="s">
        <v>16</v>
      </c>
      <c r="E106" s="36">
        <v>1.1000000000000001</v>
      </c>
      <c r="F106" s="467">
        <f>F105*E106</f>
        <v>899.899</v>
      </c>
      <c r="G106" s="439"/>
      <c r="H106" s="439"/>
      <c r="I106" s="439"/>
      <c r="J106" s="439"/>
      <c r="K106" s="439"/>
      <c r="L106" s="439"/>
      <c r="M106" s="439"/>
    </row>
    <row r="107" spans="1:13" ht="47.25">
      <c r="A107" s="501" t="s">
        <v>110</v>
      </c>
      <c r="B107" s="466" t="s">
        <v>246</v>
      </c>
      <c r="C107" s="470" t="s">
        <v>247</v>
      </c>
      <c r="D107" s="458" t="s">
        <v>15</v>
      </c>
      <c r="E107" s="62"/>
      <c r="F107" s="378">
        <f>F104*0.015</f>
        <v>12.271349999999998</v>
      </c>
      <c r="G107" s="367"/>
      <c r="H107" s="367"/>
      <c r="I107" s="367"/>
      <c r="J107" s="367"/>
      <c r="K107" s="367"/>
      <c r="L107" s="367"/>
      <c r="M107" s="367"/>
    </row>
    <row r="108" spans="1:13" ht="27">
      <c r="A108" s="502"/>
      <c r="B108" s="368"/>
      <c r="C108" s="167" t="s">
        <v>21</v>
      </c>
      <c r="D108" s="330" t="s">
        <v>23</v>
      </c>
      <c r="E108" s="369">
        <v>0.8</v>
      </c>
      <c r="F108" s="370">
        <f>F107*E108</f>
        <v>9.8170799999999989</v>
      </c>
      <c r="G108" s="371"/>
      <c r="H108" s="199"/>
      <c r="I108" s="371"/>
      <c r="J108" s="199"/>
      <c r="K108" s="371"/>
      <c r="L108" s="199"/>
      <c r="M108" s="199"/>
    </row>
    <row r="109" spans="1:13" ht="15.75">
      <c r="A109" s="502"/>
      <c r="B109" s="368"/>
      <c r="C109" s="167" t="s">
        <v>22</v>
      </c>
      <c r="D109" s="456" t="s">
        <v>19</v>
      </c>
      <c r="E109" s="369">
        <v>0.32</v>
      </c>
      <c r="F109" s="370">
        <f>F107*E109</f>
        <v>3.9268319999999997</v>
      </c>
      <c r="G109" s="371"/>
      <c r="H109" s="199"/>
      <c r="I109" s="371"/>
      <c r="J109" s="199"/>
      <c r="K109" s="371"/>
      <c r="L109" s="199"/>
      <c r="M109" s="199"/>
    </row>
    <row r="110" spans="1:13" ht="15.75">
      <c r="A110" s="502"/>
      <c r="B110" s="368"/>
      <c r="C110" s="167" t="s">
        <v>248</v>
      </c>
      <c r="D110" s="330" t="s">
        <v>51</v>
      </c>
      <c r="E110" s="369">
        <v>1.1000000000000001</v>
      </c>
      <c r="F110" s="370">
        <f>F107*E110</f>
        <v>13.498484999999999</v>
      </c>
      <c r="G110" s="371"/>
      <c r="H110" s="199"/>
      <c r="I110" s="371"/>
      <c r="J110" s="199"/>
      <c r="K110" s="371"/>
      <c r="L110" s="199"/>
      <c r="M110" s="199"/>
    </row>
    <row r="111" spans="1:13" ht="15.75">
      <c r="A111" s="503"/>
      <c r="B111" s="368"/>
      <c r="C111" s="167" t="s">
        <v>29</v>
      </c>
      <c r="D111" s="456" t="s">
        <v>19</v>
      </c>
      <c r="E111" s="369">
        <v>0.02</v>
      </c>
      <c r="F111" s="370">
        <f>F107*E111</f>
        <v>0.24542699999999998</v>
      </c>
      <c r="G111" s="371"/>
      <c r="H111" s="199"/>
      <c r="I111" s="371"/>
      <c r="J111" s="199"/>
      <c r="K111" s="371"/>
      <c r="L111" s="199"/>
      <c r="M111" s="199"/>
    </row>
    <row r="112" spans="1:13" ht="78.75">
      <c r="A112" s="495" t="s">
        <v>109</v>
      </c>
      <c r="B112" s="388" t="s">
        <v>251</v>
      </c>
      <c r="C112" s="389" t="s">
        <v>252</v>
      </c>
      <c r="D112" s="388" t="s">
        <v>55</v>
      </c>
      <c r="E112" s="390"/>
      <c r="F112" s="391">
        <f>1.5+3</f>
        <v>4.5</v>
      </c>
      <c r="G112" s="199"/>
      <c r="H112" s="199"/>
      <c r="I112" s="199"/>
      <c r="J112" s="199"/>
      <c r="K112" s="199"/>
      <c r="L112" s="199"/>
      <c r="M112" s="199"/>
    </row>
    <row r="113" spans="1:13" ht="27">
      <c r="A113" s="496"/>
      <c r="B113" s="388"/>
      <c r="C113" s="392" t="s">
        <v>21</v>
      </c>
      <c r="D113" s="456" t="s">
        <v>23</v>
      </c>
      <c r="E113" s="390">
        <v>1.58</v>
      </c>
      <c r="F113" s="393">
        <f>F112*E113</f>
        <v>7.11</v>
      </c>
      <c r="G113" s="199"/>
      <c r="H113" s="199"/>
      <c r="I113" s="199"/>
      <c r="J113" s="199"/>
      <c r="K113" s="199"/>
      <c r="L113" s="199"/>
      <c r="M113" s="199"/>
    </row>
    <row r="114" spans="1:13" ht="31.5">
      <c r="A114" s="496"/>
      <c r="B114" s="230" t="s">
        <v>122</v>
      </c>
      <c r="C114" s="167" t="s">
        <v>253</v>
      </c>
      <c r="D114" s="456" t="s">
        <v>68</v>
      </c>
      <c r="E114" s="62">
        <f>20.5/100</f>
        <v>0.20499999999999999</v>
      </c>
      <c r="F114" s="247">
        <f>F112*E114</f>
        <v>0.92249999999999999</v>
      </c>
      <c r="G114" s="199"/>
      <c r="H114" s="199"/>
      <c r="I114" s="199"/>
      <c r="J114" s="199"/>
      <c r="K114" s="199"/>
      <c r="L114" s="199"/>
      <c r="M114" s="199"/>
    </row>
    <row r="115" spans="1:13" ht="15.75">
      <c r="A115" s="496"/>
      <c r="B115" s="230"/>
      <c r="C115" s="167" t="s">
        <v>22</v>
      </c>
      <c r="D115" s="456" t="s">
        <v>19</v>
      </c>
      <c r="E115" s="62">
        <f>4*0.01</f>
        <v>0.04</v>
      </c>
      <c r="F115" s="247">
        <f>F112*E115</f>
        <v>0.18</v>
      </c>
      <c r="G115" s="199"/>
      <c r="H115" s="199"/>
      <c r="I115" s="199"/>
      <c r="J115" s="199"/>
      <c r="K115" s="199"/>
      <c r="L115" s="199"/>
      <c r="M115" s="199"/>
    </row>
    <row r="116" spans="1:13" ht="15.75">
      <c r="A116" s="496"/>
      <c r="B116" s="230"/>
      <c r="C116" s="394" t="s">
        <v>254</v>
      </c>
      <c r="D116" s="442" t="s">
        <v>115</v>
      </c>
      <c r="E116" s="62">
        <f>1.41*0.01</f>
        <v>1.41E-2</v>
      </c>
      <c r="F116" s="247">
        <f>F112*E116</f>
        <v>6.3449999999999993E-2</v>
      </c>
      <c r="G116" s="199"/>
      <c r="H116" s="199"/>
      <c r="I116" s="199"/>
      <c r="J116" s="199"/>
      <c r="K116" s="199"/>
      <c r="L116" s="199"/>
      <c r="M116" s="199"/>
    </row>
    <row r="117" spans="1:13" ht="15.75">
      <c r="A117" s="496"/>
      <c r="B117" s="388"/>
      <c r="C117" s="392" t="s">
        <v>255</v>
      </c>
      <c r="D117" s="395" t="str">
        <f>D112</f>
        <v>grZ.m.</v>
      </c>
      <c r="E117" s="396">
        <v>1</v>
      </c>
      <c r="F117" s="393">
        <f>F112*E117</f>
        <v>4.5</v>
      </c>
      <c r="G117" s="199"/>
      <c r="H117" s="199"/>
      <c r="I117" s="199"/>
      <c r="J117" s="199"/>
      <c r="K117" s="199"/>
      <c r="L117" s="199"/>
      <c r="M117" s="199"/>
    </row>
    <row r="118" spans="1:13" ht="31.5">
      <c r="A118" s="496"/>
      <c r="B118" s="230"/>
      <c r="C118" s="394" t="s">
        <v>256</v>
      </c>
      <c r="D118" s="456" t="s">
        <v>56</v>
      </c>
      <c r="E118" s="62">
        <f>0.002*1000*0.01</f>
        <v>0.02</v>
      </c>
      <c r="F118" s="247">
        <f>F112*E118</f>
        <v>0.09</v>
      </c>
      <c r="G118" s="199"/>
      <c r="H118" s="199"/>
      <c r="I118" s="199"/>
      <c r="J118" s="199"/>
      <c r="K118" s="199"/>
      <c r="L118" s="199"/>
      <c r="M118" s="199"/>
    </row>
    <row r="119" spans="1:13" ht="15.75">
      <c r="A119" s="497"/>
      <c r="B119" s="230"/>
      <c r="C119" s="167" t="s">
        <v>29</v>
      </c>
      <c r="D119" s="456" t="s">
        <v>19</v>
      </c>
      <c r="E119" s="62">
        <f>6*0.01</f>
        <v>0.06</v>
      </c>
      <c r="F119" s="247">
        <f>F112*E119</f>
        <v>0.27</v>
      </c>
      <c r="G119" s="199"/>
      <c r="H119" s="199"/>
      <c r="I119" s="199"/>
      <c r="J119" s="199"/>
      <c r="K119" s="199"/>
      <c r="L119" s="199"/>
      <c r="M119" s="199"/>
    </row>
    <row r="120" spans="1:13" ht="78.75">
      <c r="A120" s="495" t="s">
        <v>108</v>
      </c>
      <c r="B120" s="388" t="s">
        <v>83</v>
      </c>
      <c r="C120" s="389" t="s">
        <v>257</v>
      </c>
      <c r="D120" s="388" t="s">
        <v>16</v>
      </c>
      <c r="E120" s="390"/>
      <c r="F120" s="391">
        <f>F112*1*2</f>
        <v>9</v>
      </c>
      <c r="G120" s="199"/>
      <c r="H120" s="199"/>
      <c r="I120" s="199"/>
      <c r="J120" s="199"/>
      <c r="K120" s="199"/>
      <c r="L120" s="199"/>
      <c r="M120" s="199"/>
    </row>
    <row r="121" spans="1:13" ht="27">
      <c r="A121" s="496"/>
      <c r="B121" s="445"/>
      <c r="C121" s="397" t="s">
        <v>21</v>
      </c>
      <c r="D121" s="398" t="s">
        <v>23</v>
      </c>
      <c r="E121" s="62">
        <f>68*0.01</f>
        <v>0.68</v>
      </c>
      <c r="F121" s="399">
        <f>F120*E121</f>
        <v>6.12</v>
      </c>
      <c r="G121" s="199"/>
      <c r="H121" s="199"/>
      <c r="I121" s="199"/>
      <c r="J121" s="199"/>
      <c r="K121" s="199"/>
      <c r="L121" s="199"/>
      <c r="M121" s="199"/>
    </row>
    <row r="122" spans="1:13" ht="15.75">
      <c r="A122" s="496"/>
      <c r="B122" s="388"/>
      <c r="C122" s="392" t="s">
        <v>22</v>
      </c>
      <c r="D122" s="395" t="s">
        <v>19</v>
      </c>
      <c r="E122" s="396">
        <f>0.03*0.01</f>
        <v>2.9999999999999997E-4</v>
      </c>
      <c r="F122" s="400">
        <f>F120*E122</f>
        <v>2.6999999999999997E-3</v>
      </c>
      <c r="G122" s="199"/>
      <c r="H122" s="199"/>
      <c r="I122" s="199"/>
      <c r="J122" s="199"/>
      <c r="K122" s="199"/>
      <c r="L122" s="199"/>
      <c r="M122" s="199"/>
    </row>
    <row r="123" spans="1:13" ht="15.75">
      <c r="A123" s="496"/>
      <c r="B123" s="388"/>
      <c r="C123" s="392" t="s">
        <v>84</v>
      </c>
      <c r="D123" s="401" t="s">
        <v>56</v>
      </c>
      <c r="E123" s="390">
        <v>0.35</v>
      </c>
      <c r="F123" s="393">
        <f>E123*F120</f>
        <v>3.15</v>
      </c>
      <c r="G123" s="199"/>
      <c r="H123" s="199"/>
      <c r="I123" s="199"/>
      <c r="J123" s="199"/>
      <c r="K123" s="199"/>
      <c r="L123" s="199"/>
      <c r="M123" s="199"/>
    </row>
    <row r="124" spans="1:13" ht="15.75">
      <c r="A124" s="496"/>
      <c r="B124" s="388"/>
      <c r="C124" s="392" t="s">
        <v>258</v>
      </c>
      <c r="D124" s="401" t="s">
        <v>56</v>
      </c>
      <c r="E124" s="390">
        <v>2.7E-2</v>
      </c>
      <c r="F124" s="393">
        <f>E124*F120</f>
        <v>0.24299999999999999</v>
      </c>
      <c r="G124" s="199"/>
      <c r="H124" s="199"/>
      <c r="I124" s="199"/>
      <c r="J124" s="199"/>
      <c r="K124" s="199"/>
      <c r="L124" s="199"/>
      <c r="M124" s="199"/>
    </row>
    <row r="125" spans="1:13" ht="15.75">
      <c r="A125" s="497"/>
      <c r="B125" s="388"/>
      <c r="C125" s="392" t="s">
        <v>29</v>
      </c>
      <c r="D125" s="395" t="s">
        <v>19</v>
      </c>
      <c r="E125" s="396">
        <v>1.9E-3</v>
      </c>
      <c r="F125" s="400">
        <f>F120*E125</f>
        <v>1.7100000000000001E-2</v>
      </c>
      <c r="G125" s="199"/>
      <c r="H125" s="199"/>
      <c r="I125" s="199"/>
      <c r="J125" s="199"/>
      <c r="K125" s="199"/>
      <c r="L125" s="199"/>
      <c r="M125" s="199"/>
    </row>
    <row r="126" spans="1:13" ht="15.75">
      <c r="A126" s="442"/>
      <c r="B126" s="368"/>
      <c r="C126" s="167"/>
      <c r="D126" s="456"/>
      <c r="E126" s="369"/>
      <c r="F126" s="370"/>
      <c r="G126" s="371"/>
      <c r="H126" s="199"/>
      <c r="I126" s="371"/>
      <c r="J126" s="199"/>
      <c r="K126" s="371"/>
      <c r="L126" s="199"/>
      <c r="M126" s="199"/>
    </row>
    <row r="127" spans="1:13" ht="47.25">
      <c r="A127" s="333"/>
      <c r="B127" s="128"/>
      <c r="C127" s="129" t="s">
        <v>204</v>
      </c>
      <c r="D127" s="128" t="s">
        <v>12</v>
      </c>
      <c r="E127" s="130"/>
      <c r="F127" s="131">
        <v>2</v>
      </c>
      <c r="G127" s="67"/>
      <c r="H127" s="67"/>
      <c r="I127" s="67"/>
      <c r="J127" s="67"/>
      <c r="K127" s="67"/>
      <c r="L127" s="67"/>
      <c r="M127" s="67"/>
    </row>
    <row r="128" spans="1:13" ht="78.75">
      <c r="A128" s="514" t="s">
        <v>91</v>
      </c>
      <c r="B128" s="76" t="s">
        <v>77</v>
      </c>
      <c r="C128" s="132" t="s">
        <v>205</v>
      </c>
      <c r="D128" s="76" t="s">
        <v>15</v>
      </c>
      <c r="E128" s="133"/>
      <c r="F128" s="79">
        <f>0.9*0.9*1*F127</f>
        <v>1.62</v>
      </c>
      <c r="G128" s="67"/>
      <c r="H128" s="67"/>
      <c r="I128" s="67"/>
      <c r="J128" s="67"/>
      <c r="K128" s="67"/>
      <c r="L128" s="67"/>
      <c r="M128" s="67"/>
    </row>
    <row r="129" spans="1:13" ht="30">
      <c r="A129" s="516"/>
      <c r="B129" s="76"/>
      <c r="C129" s="85" t="s">
        <v>45</v>
      </c>
      <c r="D129" s="134" t="s">
        <v>57</v>
      </c>
      <c r="E129" s="41">
        <v>2.06</v>
      </c>
      <c r="F129" s="64">
        <f>F128*E129</f>
        <v>3.3372000000000002</v>
      </c>
      <c r="G129" s="126"/>
      <c r="H129" s="80"/>
      <c r="I129" s="126"/>
      <c r="J129" s="80"/>
      <c r="K129" s="126"/>
      <c r="L129" s="80"/>
      <c r="M129" s="80"/>
    </row>
    <row r="130" spans="1:13" ht="47.25">
      <c r="A130" s="492" t="s">
        <v>92</v>
      </c>
      <c r="B130" s="331" t="s">
        <v>98</v>
      </c>
      <c r="C130" s="299" t="s">
        <v>102</v>
      </c>
      <c r="D130" s="356" t="s">
        <v>18</v>
      </c>
      <c r="E130" s="332"/>
      <c r="F130" s="123">
        <f>F128*1.95</f>
        <v>3.1590000000000003</v>
      </c>
      <c r="G130" s="115"/>
      <c r="H130" s="67"/>
      <c r="I130" s="115"/>
      <c r="J130" s="67"/>
      <c r="K130" s="115"/>
      <c r="L130" s="67"/>
      <c r="M130" s="67"/>
    </row>
    <row r="131" spans="1:13" ht="27">
      <c r="A131" s="493"/>
      <c r="B131" s="97"/>
      <c r="C131" s="169" t="s">
        <v>30</v>
      </c>
      <c r="D131" s="92" t="s">
        <v>23</v>
      </c>
      <c r="E131" s="332">
        <v>0.53</v>
      </c>
      <c r="F131" s="179">
        <f>F130*E131</f>
        <v>1.6742700000000001</v>
      </c>
      <c r="G131" s="115"/>
      <c r="H131" s="67"/>
      <c r="I131" s="115"/>
      <c r="J131" s="67"/>
      <c r="K131" s="115"/>
      <c r="L131" s="67"/>
      <c r="M131" s="67"/>
    </row>
    <row r="132" spans="1:13" ht="47.25">
      <c r="A132" s="494"/>
      <c r="B132" s="356" t="s">
        <v>147</v>
      </c>
      <c r="C132" s="357" t="s">
        <v>182</v>
      </c>
      <c r="D132" s="356" t="s">
        <v>18</v>
      </c>
      <c r="E132" s="332"/>
      <c r="F132" s="123">
        <f>F130</f>
        <v>3.1590000000000003</v>
      </c>
      <c r="G132" s="115"/>
      <c r="H132" s="67"/>
      <c r="I132" s="115"/>
      <c r="J132" s="67"/>
      <c r="K132" s="115"/>
      <c r="L132" s="67"/>
      <c r="M132" s="67"/>
    </row>
    <row r="133" spans="1:13" ht="63">
      <c r="A133" s="513" t="s">
        <v>48</v>
      </c>
      <c r="B133" s="356" t="s">
        <v>79</v>
      </c>
      <c r="C133" s="135" t="s">
        <v>206</v>
      </c>
      <c r="D133" s="356" t="s">
        <v>15</v>
      </c>
      <c r="E133" s="41"/>
      <c r="F133" s="65">
        <f>0.9*0.9*0.2*F127</f>
        <v>0.32400000000000007</v>
      </c>
      <c r="G133" s="67"/>
      <c r="H133" s="67"/>
      <c r="I133" s="67"/>
      <c r="J133" s="67"/>
      <c r="K133" s="67"/>
      <c r="L133" s="67"/>
      <c r="M133" s="67"/>
    </row>
    <row r="134" spans="1:13" ht="30">
      <c r="A134" s="506"/>
      <c r="B134" s="449"/>
      <c r="C134" s="85" t="s">
        <v>45</v>
      </c>
      <c r="D134" s="134" t="s">
        <v>57</v>
      </c>
      <c r="E134" s="41">
        <v>3.52</v>
      </c>
      <c r="F134" s="64">
        <f>F133*E134</f>
        <v>1.1404800000000002</v>
      </c>
      <c r="G134" s="126"/>
      <c r="H134" s="80"/>
      <c r="I134" s="126"/>
      <c r="J134" s="80"/>
      <c r="K134" s="126"/>
      <c r="L134" s="80"/>
      <c r="M134" s="80"/>
    </row>
    <row r="135" spans="1:13" ht="27">
      <c r="A135" s="506"/>
      <c r="B135" s="449"/>
      <c r="C135" s="113" t="s">
        <v>28</v>
      </c>
      <c r="D135" s="449" t="s">
        <v>24</v>
      </c>
      <c r="E135" s="41">
        <v>1.06</v>
      </c>
      <c r="F135" s="64">
        <f>F133*E135</f>
        <v>0.34344000000000008</v>
      </c>
      <c r="G135" s="80"/>
      <c r="H135" s="80"/>
      <c r="I135" s="80"/>
      <c r="J135" s="80"/>
      <c r="K135" s="80"/>
      <c r="L135" s="80"/>
      <c r="M135" s="80"/>
    </row>
    <row r="136" spans="1:13" ht="15.75">
      <c r="A136" s="506"/>
      <c r="B136" s="449"/>
      <c r="C136" s="136" t="s">
        <v>70</v>
      </c>
      <c r="D136" s="449" t="s">
        <v>15</v>
      </c>
      <c r="E136" s="41">
        <f>0.18+0.09+0.97</f>
        <v>1.24</v>
      </c>
      <c r="F136" s="64">
        <f>F133*E136</f>
        <v>0.40176000000000006</v>
      </c>
      <c r="G136" s="67"/>
      <c r="H136" s="67"/>
      <c r="I136" s="67"/>
      <c r="J136" s="67"/>
      <c r="K136" s="67"/>
      <c r="L136" s="67"/>
      <c r="M136" s="80"/>
    </row>
    <row r="137" spans="1:13" ht="15.75">
      <c r="A137" s="507"/>
      <c r="B137" s="449"/>
      <c r="C137" s="136" t="s">
        <v>207</v>
      </c>
      <c r="D137" s="449" t="s">
        <v>19</v>
      </c>
      <c r="E137" s="41">
        <v>0.02</v>
      </c>
      <c r="F137" s="64">
        <f>F133*E137</f>
        <v>6.4800000000000014E-3</v>
      </c>
      <c r="G137" s="67"/>
      <c r="H137" s="67"/>
      <c r="I137" s="67"/>
      <c r="J137" s="67"/>
      <c r="K137" s="67"/>
      <c r="L137" s="67"/>
      <c r="M137" s="80"/>
    </row>
    <row r="138" spans="1:13" ht="78.75">
      <c r="A138" s="513" t="s">
        <v>93</v>
      </c>
      <c r="B138" s="356" t="s">
        <v>87</v>
      </c>
      <c r="C138" s="135" t="s">
        <v>208</v>
      </c>
      <c r="D138" s="356" t="s">
        <v>15</v>
      </c>
      <c r="E138" s="41"/>
      <c r="F138" s="65">
        <f>0.1*F127</f>
        <v>0.2</v>
      </c>
      <c r="G138" s="67"/>
      <c r="H138" s="67"/>
      <c r="I138" s="67"/>
      <c r="J138" s="67"/>
      <c r="K138" s="67"/>
      <c r="L138" s="67"/>
      <c r="M138" s="67"/>
    </row>
    <row r="139" spans="1:13" ht="30">
      <c r="A139" s="506"/>
      <c r="B139" s="449"/>
      <c r="C139" s="85" t="s">
        <v>45</v>
      </c>
      <c r="D139" s="134" t="s">
        <v>57</v>
      </c>
      <c r="E139" s="41">
        <v>1.37</v>
      </c>
      <c r="F139" s="64">
        <f>F138*E139</f>
        <v>0.27400000000000002</v>
      </c>
      <c r="G139" s="126"/>
      <c r="H139" s="80"/>
      <c r="I139" s="126"/>
      <c r="J139" s="80"/>
      <c r="K139" s="126"/>
      <c r="L139" s="80"/>
      <c r="M139" s="80"/>
    </row>
    <row r="140" spans="1:13" ht="27">
      <c r="A140" s="506"/>
      <c r="B140" s="449"/>
      <c r="C140" s="113" t="s">
        <v>28</v>
      </c>
      <c r="D140" s="449" t="s">
        <v>24</v>
      </c>
      <c r="E140" s="41">
        <v>0.28299999999999997</v>
      </c>
      <c r="F140" s="64">
        <f>F138*E140</f>
        <v>5.6599999999999998E-2</v>
      </c>
      <c r="G140" s="80"/>
      <c r="H140" s="80"/>
      <c r="I140" s="80"/>
      <c r="J140" s="80"/>
      <c r="K140" s="80"/>
      <c r="L140" s="80"/>
      <c r="M140" s="80"/>
    </row>
    <row r="141" spans="1:13" ht="15.75">
      <c r="A141" s="506"/>
      <c r="B141" s="449"/>
      <c r="C141" s="136" t="s">
        <v>76</v>
      </c>
      <c r="D141" s="449" t="s">
        <v>15</v>
      </c>
      <c r="E141" s="41">
        <v>1.02</v>
      </c>
      <c r="F141" s="64">
        <f>F138*E141</f>
        <v>0.20400000000000001</v>
      </c>
      <c r="G141" s="67"/>
      <c r="H141" s="67"/>
      <c r="I141" s="67"/>
      <c r="J141" s="67"/>
      <c r="K141" s="67"/>
      <c r="L141" s="67"/>
      <c r="M141" s="80"/>
    </row>
    <row r="142" spans="1:13" ht="15.75">
      <c r="A142" s="507"/>
      <c r="B142" s="449"/>
      <c r="C142" s="136" t="s">
        <v>207</v>
      </c>
      <c r="D142" s="449" t="s">
        <v>19</v>
      </c>
      <c r="E142" s="41">
        <v>0.62</v>
      </c>
      <c r="F142" s="64">
        <f>F138*E142</f>
        <v>0.124</v>
      </c>
      <c r="G142" s="67"/>
      <c r="H142" s="67"/>
      <c r="I142" s="67"/>
      <c r="J142" s="67"/>
      <c r="K142" s="67"/>
      <c r="L142" s="67"/>
      <c r="M142" s="80"/>
    </row>
    <row r="143" spans="1:13" ht="47.25">
      <c r="A143" s="513" t="s">
        <v>33</v>
      </c>
      <c r="B143" s="356" t="s">
        <v>209</v>
      </c>
      <c r="C143" s="135" t="s">
        <v>210</v>
      </c>
      <c r="D143" s="356" t="s">
        <v>15</v>
      </c>
      <c r="E143" s="41"/>
      <c r="F143" s="65">
        <f>0.42*2</f>
        <v>0.84</v>
      </c>
      <c r="G143" s="67"/>
      <c r="H143" s="67"/>
      <c r="I143" s="67"/>
      <c r="J143" s="67"/>
      <c r="K143" s="67"/>
      <c r="L143" s="67"/>
      <c r="M143" s="67"/>
    </row>
    <row r="144" spans="1:13" ht="30">
      <c r="A144" s="506"/>
      <c r="B144" s="449"/>
      <c r="C144" s="85" t="s">
        <v>45</v>
      </c>
      <c r="D144" s="134" t="s">
        <v>57</v>
      </c>
      <c r="E144" s="41">
        <v>6.66</v>
      </c>
      <c r="F144" s="64">
        <f>F143*E144</f>
        <v>5.5944000000000003</v>
      </c>
      <c r="G144" s="126"/>
      <c r="H144" s="80"/>
      <c r="I144" s="126"/>
      <c r="J144" s="80"/>
      <c r="K144" s="126"/>
      <c r="L144" s="80"/>
      <c r="M144" s="80"/>
    </row>
    <row r="145" spans="1:13" ht="27">
      <c r="A145" s="506"/>
      <c r="B145" s="449"/>
      <c r="C145" s="113" t="s">
        <v>28</v>
      </c>
      <c r="D145" s="449" t="s">
        <v>24</v>
      </c>
      <c r="E145" s="41">
        <v>0.59</v>
      </c>
      <c r="F145" s="64">
        <f>F143*E145</f>
        <v>0.49559999999999993</v>
      </c>
      <c r="G145" s="80"/>
      <c r="H145" s="80"/>
      <c r="I145" s="80"/>
      <c r="J145" s="80"/>
      <c r="K145" s="80"/>
      <c r="L145" s="80"/>
      <c r="M145" s="80"/>
    </row>
    <row r="146" spans="1:13" ht="15.75">
      <c r="A146" s="506"/>
      <c r="B146" s="449"/>
      <c r="C146" s="136" t="s">
        <v>211</v>
      </c>
      <c r="D146" s="449" t="s">
        <v>15</v>
      </c>
      <c r="E146" s="41">
        <v>1.0149999999999999</v>
      </c>
      <c r="F146" s="64">
        <f>F143*E146</f>
        <v>0.85259999999999991</v>
      </c>
      <c r="G146" s="67"/>
      <c r="H146" s="67"/>
      <c r="I146" s="67"/>
      <c r="J146" s="67"/>
      <c r="K146" s="67"/>
      <c r="L146" s="67"/>
      <c r="M146" s="80"/>
    </row>
    <row r="147" spans="1:13" ht="15.75">
      <c r="A147" s="506"/>
      <c r="B147" s="449"/>
      <c r="C147" s="136" t="s">
        <v>197</v>
      </c>
      <c r="D147" s="449" t="s">
        <v>16</v>
      </c>
      <c r="E147" s="41">
        <v>1.6</v>
      </c>
      <c r="F147" s="84">
        <f>F143*E147</f>
        <v>1.3440000000000001</v>
      </c>
      <c r="G147" s="67"/>
      <c r="H147" s="67"/>
      <c r="I147" s="67"/>
      <c r="J147" s="67"/>
      <c r="K147" s="67"/>
      <c r="L147" s="67"/>
      <c r="M147" s="80"/>
    </row>
    <row r="148" spans="1:13" ht="15.75">
      <c r="A148" s="506"/>
      <c r="B148" s="449"/>
      <c r="C148" s="136" t="s">
        <v>75</v>
      </c>
      <c r="D148" s="449" t="s">
        <v>15</v>
      </c>
      <c r="E148" s="41">
        <v>1.83E-2</v>
      </c>
      <c r="F148" s="84">
        <f>F143*E148</f>
        <v>1.5372E-2</v>
      </c>
      <c r="G148" s="67"/>
      <c r="H148" s="67"/>
      <c r="I148" s="67"/>
      <c r="J148" s="67"/>
      <c r="K148" s="67"/>
      <c r="L148" s="67"/>
      <c r="M148" s="80"/>
    </row>
    <row r="149" spans="1:13" ht="15.75">
      <c r="A149" s="506"/>
      <c r="B149" s="449"/>
      <c r="C149" s="136" t="s">
        <v>26</v>
      </c>
      <c r="D149" s="449" t="s">
        <v>19</v>
      </c>
      <c r="E149" s="41">
        <v>0.4</v>
      </c>
      <c r="F149" s="84">
        <f>F143*E149</f>
        <v>0.33600000000000002</v>
      </c>
      <c r="G149" s="67"/>
      <c r="H149" s="67"/>
      <c r="I149" s="67"/>
      <c r="J149" s="67"/>
      <c r="K149" s="67"/>
      <c r="L149" s="67"/>
      <c r="M149" s="80"/>
    </row>
    <row r="150" spans="1:13" ht="15.75">
      <c r="A150" s="507"/>
      <c r="B150" s="449"/>
      <c r="C150" s="135" t="s">
        <v>212</v>
      </c>
      <c r="D150" s="449" t="s">
        <v>18</v>
      </c>
      <c r="E150" s="41">
        <v>1.03</v>
      </c>
      <c r="F150" s="79">
        <f>0.022*F127</f>
        <v>4.3999999999999997E-2</v>
      </c>
      <c r="G150" s="453"/>
      <c r="H150" s="453"/>
      <c r="I150" s="453"/>
      <c r="J150" s="453"/>
      <c r="K150" s="453"/>
      <c r="L150" s="453"/>
      <c r="M150" s="453"/>
    </row>
    <row r="151" spans="1:13" ht="47.25">
      <c r="A151" s="514" t="s">
        <v>88</v>
      </c>
      <c r="B151" s="76" t="s">
        <v>213</v>
      </c>
      <c r="C151" s="473" t="s">
        <v>214</v>
      </c>
      <c r="D151" s="443"/>
      <c r="E151" s="137"/>
      <c r="F151" s="344"/>
      <c r="G151" s="472"/>
      <c r="H151" s="472"/>
      <c r="I151" s="472"/>
      <c r="J151" s="472"/>
      <c r="K151" s="472"/>
      <c r="L151" s="472"/>
      <c r="M151" s="472"/>
    </row>
    <row r="152" spans="1:13" ht="31.5">
      <c r="A152" s="515"/>
      <c r="B152" s="443"/>
      <c r="C152" s="77" t="s">
        <v>219</v>
      </c>
      <c r="D152" s="76" t="s">
        <v>18</v>
      </c>
      <c r="E152" s="235"/>
      <c r="F152" s="474">
        <v>0.41903200000000007</v>
      </c>
      <c r="G152" s="472"/>
      <c r="H152" s="472"/>
      <c r="I152" s="472"/>
      <c r="J152" s="472"/>
      <c r="K152" s="472"/>
      <c r="L152" s="472"/>
      <c r="M152" s="472"/>
    </row>
    <row r="153" spans="1:13" ht="27">
      <c r="A153" s="515"/>
      <c r="B153" s="351"/>
      <c r="C153" s="152" t="s">
        <v>21</v>
      </c>
      <c r="D153" s="351" t="s">
        <v>23</v>
      </c>
      <c r="E153" s="353">
        <v>34.9</v>
      </c>
      <c r="F153" s="110">
        <f>F152*E153</f>
        <v>14.624216800000001</v>
      </c>
      <c r="G153" s="178"/>
      <c r="H153" s="178"/>
      <c r="I153" s="178"/>
      <c r="J153" s="178"/>
      <c r="K153" s="178"/>
      <c r="L153" s="178"/>
      <c r="M153" s="178"/>
    </row>
    <row r="154" spans="1:13" ht="31.5" customHeight="1">
      <c r="A154" s="515"/>
      <c r="B154" s="351"/>
      <c r="C154" s="152" t="s">
        <v>22</v>
      </c>
      <c r="D154" s="351" t="s">
        <v>19</v>
      </c>
      <c r="E154" s="353">
        <v>4.07</v>
      </c>
      <c r="F154" s="110">
        <f>F152*E154</f>
        <v>1.7054602400000005</v>
      </c>
      <c r="G154" s="73"/>
      <c r="H154" s="73"/>
      <c r="I154" s="73"/>
      <c r="J154" s="73"/>
      <c r="K154" s="73"/>
      <c r="L154" s="73"/>
      <c r="M154" s="73"/>
    </row>
    <row r="155" spans="1:13" ht="15.75">
      <c r="A155" s="515"/>
      <c r="B155" s="351"/>
      <c r="C155" s="122" t="s">
        <v>202</v>
      </c>
      <c r="D155" s="12" t="s">
        <v>18</v>
      </c>
      <c r="E155" s="39">
        <v>1</v>
      </c>
      <c r="F155" s="64">
        <f>F152*E155</f>
        <v>0.41903200000000007</v>
      </c>
      <c r="G155" s="73"/>
      <c r="H155" s="73"/>
      <c r="I155" s="73"/>
      <c r="J155" s="73"/>
      <c r="K155" s="73"/>
      <c r="L155" s="73"/>
      <c r="M155" s="73"/>
    </row>
    <row r="156" spans="1:13" ht="31.5">
      <c r="A156" s="515"/>
      <c r="B156" s="351"/>
      <c r="C156" s="328" t="s">
        <v>215</v>
      </c>
      <c r="D156" s="12" t="s">
        <v>18</v>
      </c>
      <c r="E156" s="39"/>
      <c r="F156" s="64">
        <v>0.37303200000000003</v>
      </c>
      <c r="G156" s="80"/>
      <c r="H156" s="80"/>
      <c r="I156" s="73"/>
      <c r="J156" s="73"/>
      <c r="K156" s="73"/>
      <c r="L156" s="73"/>
      <c r="M156" s="73"/>
    </row>
    <row r="157" spans="1:13" ht="31.5">
      <c r="A157" s="515"/>
      <c r="B157" s="443"/>
      <c r="C157" s="329" t="s">
        <v>216</v>
      </c>
      <c r="D157" s="443" t="s">
        <v>18</v>
      </c>
      <c r="E157" s="137"/>
      <c r="F157" s="84">
        <v>0.02</v>
      </c>
      <c r="G157" s="80"/>
      <c r="H157" s="80"/>
      <c r="I157" s="80"/>
      <c r="J157" s="80"/>
      <c r="K157" s="80"/>
      <c r="L157" s="80"/>
      <c r="M157" s="80"/>
    </row>
    <row r="158" spans="1:13" ht="31.5">
      <c r="A158" s="515"/>
      <c r="B158" s="443"/>
      <c r="C158" s="329" t="s">
        <v>217</v>
      </c>
      <c r="D158" s="443" t="s">
        <v>18</v>
      </c>
      <c r="E158" s="137"/>
      <c r="F158" s="84">
        <v>2.5999999999999999E-2</v>
      </c>
      <c r="G158" s="80"/>
      <c r="H158" s="80"/>
      <c r="I158" s="80"/>
      <c r="J158" s="80"/>
      <c r="K158" s="80"/>
      <c r="L158" s="80"/>
      <c r="M158" s="80"/>
    </row>
    <row r="159" spans="1:13" ht="63">
      <c r="A159" s="515"/>
      <c r="B159" s="443"/>
      <c r="C159" s="82" t="s">
        <v>220</v>
      </c>
      <c r="D159" s="443" t="s">
        <v>12</v>
      </c>
      <c r="E159" s="137"/>
      <c r="F159" s="84">
        <v>8</v>
      </c>
      <c r="G159" s="80"/>
      <c r="H159" s="80"/>
      <c r="I159" s="80"/>
      <c r="J159" s="80"/>
      <c r="K159" s="80"/>
      <c r="L159" s="80"/>
      <c r="M159" s="80"/>
    </row>
    <row r="160" spans="1:13" ht="31.5">
      <c r="A160" s="515"/>
      <c r="B160" s="297"/>
      <c r="C160" s="145" t="s">
        <v>106</v>
      </c>
      <c r="D160" s="352" t="s">
        <v>17</v>
      </c>
      <c r="E160" s="51">
        <v>3.3</v>
      </c>
      <c r="F160" s="119">
        <f>F152*E160</f>
        <v>1.3828056000000002</v>
      </c>
      <c r="G160" s="73"/>
      <c r="H160" s="73"/>
      <c r="I160" s="73"/>
      <c r="J160" s="73"/>
      <c r="K160" s="73"/>
      <c r="L160" s="73"/>
      <c r="M160" s="73"/>
    </row>
    <row r="161" spans="1:14" ht="15.75">
      <c r="A161" s="515"/>
      <c r="B161" s="297"/>
      <c r="C161" s="145" t="s">
        <v>46</v>
      </c>
      <c r="D161" s="352" t="s">
        <v>17</v>
      </c>
      <c r="E161" s="51">
        <v>15.2</v>
      </c>
      <c r="F161" s="119">
        <f>F152*E161</f>
        <v>6.3692864000000009</v>
      </c>
      <c r="G161" s="73"/>
      <c r="H161" s="73"/>
      <c r="I161" s="73"/>
      <c r="J161" s="73"/>
      <c r="K161" s="73"/>
      <c r="L161" s="73"/>
      <c r="M161" s="73"/>
    </row>
    <row r="162" spans="1:14" ht="15.75">
      <c r="A162" s="516"/>
      <c r="B162" s="297"/>
      <c r="C162" s="145" t="s">
        <v>29</v>
      </c>
      <c r="D162" s="352" t="s">
        <v>19</v>
      </c>
      <c r="E162" s="51">
        <v>2.78</v>
      </c>
      <c r="F162" s="119">
        <f>F152*E162</f>
        <v>1.1649089600000002</v>
      </c>
      <c r="G162" s="73"/>
      <c r="H162" s="73"/>
      <c r="I162" s="73"/>
      <c r="J162" s="73"/>
      <c r="K162" s="73"/>
      <c r="L162" s="73"/>
      <c r="M162" s="73"/>
    </row>
    <row r="163" spans="1:14" ht="78.75">
      <c r="A163" s="514" t="s">
        <v>94</v>
      </c>
      <c r="B163" s="24" t="s">
        <v>83</v>
      </c>
      <c r="C163" s="444" t="s">
        <v>221</v>
      </c>
      <c r="D163" s="76" t="s">
        <v>16</v>
      </c>
      <c r="E163" s="137"/>
      <c r="F163" s="79">
        <v>7.4999999999999991</v>
      </c>
      <c r="G163" s="80"/>
      <c r="H163" s="80"/>
      <c r="I163" s="80"/>
      <c r="J163" s="80"/>
      <c r="K163" s="80"/>
      <c r="L163" s="80"/>
      <c r="M163" s="80"/>
    </row>
    <row r="164" spans="1:14" ht="27">
      <c r="A164" s="515"/>
      <c r="B164" s="443"/>
      <c r="C164" s="138" t="s">
        <v>21</v>
      </c>
      <c r="D164" s="105" t="s">
        <v>23</v>
      </c>
      <c r="E164" s="311">
        <f>68*0.01</f>
        <v>0.68</v>
      </c>
      <c r="F164" s="139">
        <f>F163*E164</f>
        <v>5.0999999999999996</v>
      </c>
      <c r="G164" s="67"/>
      <c r="H164" s="67"/>
      <c r="I164" s="67"/>
      <c r="J164" s="67"/>
      <c r="K164" s="67"/>
      <c r="L164" s="67"/>
      <c r="M164" s="67"/>
    </row>
    <row r="165" spans="1:14" ht="15.75">
      <c r="A165" s="515"/>
      <c r="B165" s="443"/>
      <c r="C165" s="88" t="s">
        <v>22</v>
      </c>
      <c r="D165" s="297" t="s">
        <v>19</v>
      </c>
      <c r="E165" s="56">
        <f>0.03*0.01</f>
        <v>2.9999999999999997E-4</v>
      </c>
      <c r="F165" s="140">
        <f>F163*E165</f>
        <v>2.2499999999999994E-3</v>
      </c>
      <c r="G165" s="67"/>
      <c r="H165" s="67"/>
      <c r="I165" s="67"/>
      <c r="J165" s="67"/>
      <c r="K165" s="67"/>
      <c r="L165" s="67"/>
      <c r="M165" s="67"/>
    </row>
    <row r="166" spans="1:14" ht="15.75">
      <c r="A166" s="515"/>
      <c r="B166" s="443"/>
      <c r="C166" s="88" t="s">
        <v>84</v>
      </c>
      <c r="D166" s="447" t="s">
        <v>56</v>
      </c>
      <c r="E166" s="55">
        <v>0.246</v>
      </c>
      <c r="F166" s="89">
        <f>E166*F163</f>
        <v>1.8449999999999998</v>
      </c>
      <c r="G166" s="67"/>
      <c r="H166" s="67"/>
      <c r="I166" s="67"/>
      <c r="J166" s="67"/>
      <c r="K166" s="67"/>
      <c r="L166" s="67"/>
      <c r="M166" s="67"/>
    </row>
    <row r="167" spans="1:14" ht="15.75">
      <c r="A167" s="516"/>
      <c r="B167" s="443"/>
      <c r="C167" s="88" t="s">
        <v>29</v>
      </c>
      <c r="D167" s="297" t="s">
        <v>19</v>
      </c>
      <c r="E167" s="56">
        <v>1.9E-3</v>
      </c>
      <c r="F167" s="140">
        <f>F163*E167</f>
        <v>1.4249999999999999E-2</v>
      </c>
      <c r="G167" s="67"/>
      <c r="H167" s="67"/>
      <c r="I167" s="67"/>
      <c r="J167" s="67"/>
      <c r="K167" s="67"/>
      <c r="L167" s="67"/>
      <c r="M167" s="67"/>
      <c r="N167" s="335"/>
    </row>
    <row r="168" spans="1:14" ht="15.75">
      <c r="A168" s="441"/>
      <c r="B168" s="443"/>
      <c r="C168" s="88"/>
      <c r="D168" s="297"/>
      <c r="E168" s="56"/>
      <c r="F168" s="140"/>
      <c r="G168" s="67"/>
      <c r="H168" s="67"/>
      <c r="I168" s="67"/>
      <c r="J168" s="67"/>
      <c r="K168" s="67"/>
      <c r="L168" s="67"/>
      <c r="M168" s="67"/>
      <c r="N168" s="335"/>
    </row>
    <row r="169" spans="1:14" ht="141.75">
      <c r="A169" s="479" t="s">
        <v>180</v>
      </c>
      <c r="B169" s="379" t="s">
        <v>52</v>
      </c>
      <c r="C169" s="109" t="s">
        <v>126</v>
      </c>
      <c r="D169" s="233" t="s">
        <v>15</v>
      </c>
      <c r="E169" s="35"/>
      <c r="F169" s="21">
        <v>10</v>
      </c>
      <c r="G169" s="439"/>
      <c r="H169" s="439"/>
      <c r="I169" s="439"/>
      <c r="J169" s="439"/>
      <c r="K169" s="439"/>
      <c r="L169" s="439"/>
      <c r="M169" s="439"/>
      <c r="N169" s="335"/>
    </row>
    <row r="170" spans="1:14" ht="27">
      <c r="A170" s="512"/>
      <c r="B170" s="233"/>
      <c r="C170" s="380" t="s">
        <v>27</v>
      </c>
      <c r="D170" s="381" t="s">
        <v>23</v>
      </c>
      <c r="E170" s="382">
        <v>1.85</v>
      </c>
      <c r="F170" s="179">
        <f>F169*E170</f>
        <v>18.5</v>
      </c>
      <c r="G170" s="115"/>
      <c r="H170" s="439"/>
      <c r="I170" s="115"/>
      <c r="J170" s="439"/>
      <c r="K170" s="439"/>
      <c r="L170" s="439"/>
      <c r="M170" s="439"/>
      <c r="N170" s="335"/>
    </row>
    <row r="171" spans="1:14" ht="47.25">
      <c r="A171" s="512"/>
      <c r="B171" s="432" t="s">
        <v>98</v>
      </c>
      <c r="C171" s="383" t="s">
        <v>53</v>
      </c>
      <c r="D171" s="233" t="s">
        <v>18</v>
      </c>
      <c r="E171" s="382"/>
      <c r="F171" s="123">
        <f>F169*1.65</f>
        <v>16.5</v>
      </c>
      <c r="G171" s="115"/>
      <c r="H171" s="439"/>
      <c r="I171" s="115"/>
      <c r="J171" s="439"/>
      <c r="K171" s="115"/>
      <c r="L171" s="439"/>
      <c r="M171" s="439"/>
      <c r="N171" s="335"/>
    </row>
    <row r="172" spans="1:14" ht="27">
      <c r="A172" s="512"/>
      <c r="B172" s="379"/>
      <c r="C172" s="380" t="s">
        <v>30</v>
      </c>
      <c r="D172" s="381" t="s">
        <v>23</v>
      </c>
      <c r="E172" s="382">
        <v>0.53</v>
      </c>
      <c r="F172" s="179">
        <f>F171*E172</f>
        <v>8.745000000000001</v>
      </c>
      <c r="G172" s="115"/>
      <c r="H172" s="439"/>
      <c r="I172" s="115"/>
      <c r="J172" s="439"/>
      <c r="K172" s="115"/>
      <c r="L172" s="439"/>
      <c r="M172" s="439"/>
      <c r="N172" s="335"/>
    </row>
    <row r="173" spans="1:14" ht="31.5">
      <c r="A173" s="480"/>
      <c r="B173" s="233" t="s">
        <v>32</v>
      </c>
      <c r="C173" s="168" t="s">
        <v>249</v>
      </c>
      <c r="D173" s="233" t="s">
        <v>18</v>
      </c>
      <c r="E173" s="382"/>
      <c r="F173" s="123">
        <f>F171</f>
        <v>16.5</v>
      </c>
      <c r="G173" s="115"/>
      <c r="H173" s="439"/>
      <c r="I173" s="115"/>
      <c r="J173" s="439"/>
      <c r="K173" s="115"/>
      <c r="L173" s="439"/>
      <c r="M173" s="439"/>
      <c r="N173" s="335"/>
    </row>
    <row r="174" spans="1:14" ht="15.75">
      <c r="A174" s="441"/>
      <c r="B174" s="443"/>
      <c r="C174" s="88"/>
      <c r="D174" s="297"/>
      <c r="E174" s="56"/>
      <c r="F174" s="140"/>
      <c r="G174" s="67"/>
      <c r="H174" s="67"/>
      <c r="I174" s="67"/>
      <c r="J174" s="67"/>
      <c r="K174" s="67"/>
      <c r="L174" s="67"/>
      <c r="M174" s="67"/>
      <c r="N174" s="335"/>
    </row>
    <row r="175" spans="1:14" ht="15.75">
      <c r="A175" s="441"/>
      <c r="B175" s="443"/>
      <c r="C175" s="88"/>
      <c r="D175" s="297"/>
      <c r="E175" s="56"/>
      <c r="F175" s="140"/>
      <c r="G175" s="67"/>
      <c r="H175" s="67"/>
      <c r="I175" s="67"/>
      <c r="J175" s="67"/>
      <c r="K175" s="67"/>
      <c r="L175" s="67"/>
      <c r="M175" s="67"/>
      <c r="N175" s="335"/>
    </row>
    <row r="176" spans="1:14" ht="31.5">
      <c r="A176" s="334"/>
      <c r="B176" s="59"/>
      <c r="C176" s="19" t="s">
        <v>124</v>
      </c>
      <c r="D176" s="30"/>
      <c r="E176" s="47"/>
      <c r="F176" s="151"/>
      <c r="G176" s="91"/>
      <c r="H176" s="91"/>
      <c r="I176" s="91"/>
      <c r="J176" s="91"/>
      <c r="K176" s="91"/>
      <c r="L176" s="91"/>
      <c r="M176" s="91"/>
      <c r="N176" s="339">
        <f>H176+J176+L176</f>
        <v>0</v>
      </c>
    </row>
    <row r="177" spans="1:13" ht="31.5">
      <c r="A177" s="455"/>
      <c r="B177" s="153"/>
      <c r="C177" s="172" t="s">
        <v>127</v>
      </c>
      <c r="D177" s="153"/>
      <c r="E177" s="154"/>
      <c r="F177" s="267"/>
      <c r="G177" s="183"/>
      <c r="H177" s="183"/>
      <c r="I177" s="183"/>
      <c r="J177" s="183"/>
      <c r="K177" s="183"/>
      <c r="L177" s="183"/>
      <c r="M177" s="180"/>
    </row>
    <row r="178" spans="1:13" ht="15.75">
      <c r="A178" s="455"/>
      <c r="B178" s="153"/>
      <c r="C178" s="173" t="s">
        <v>41</v>
      </c>
      <c r="D178" s="153"/>
      <c r="E178" s="154"/>
      <c r="F178" s="184"/>
      <c r="G178" s="183"/>
      <c r="H178" s="183"/>
      <c r="I178" s="183"/>
      <c r="J178" s="183"/>
      <c r="K178" s="183"/>
      <c r="L178" s="183"/>
      <c r="M178" s="180"/>
    </row>
    <row r="179" spans="1:13" ht="15.75">
      <c r="A179" s="301"/>
      <c r="B179" s="98"/>
      <c r="C179" s="174" t="s">
        <v>42</v>
      </c>
      <c r="D179" s="8"/>
      <c r="E179" s="95"/>
      <c r="F179" s="269"/>
      <c r="G179" s="185"/>
      <c r="H179" s="185"/>
      <c r="I179" s="185"/>
      <c r="J179" s="185"/>
      <c r="K179" s="185"/>
      <c r="L179" s="185"/>
      <c r="M179" s="185"/>
    </row>
    <row r="180" spans="1:13" ht="15.75">
      <c r="A180" s="302"/>
      <c r="B180" s="99"/>
      <c r="C180" s="173" t="s">
        <v>41</v>
      </c>
      <c r="D180" s="9"/>
      <c r="E180" s="53"/>
      <c r="F180" s="186"/>
      <c r="G180" s="187"/>
      <c r="H180" s="187"/>
      <c r="I180" s="187"/>
      <c r="J180" s="187"/>
      <c r="K180" s="187"/>
      <c r="L180" s="187"/>
      <c r="M180" s="187"/>
    </row>
    <row r="181" spans="1:13" ht="15.75">
      <c r="A181" s="302"/>
      <c r="B181" s="99"/>
      <c r="C181" s="175" t="s">
        <v>36</v>
      </c>
      <c r="D181" s="9"/>
      <c r="E181" s="53"/>
      <c r="F181" s="294"/>
      <c r="G181" s="187"/>
      <c r="H181" s="187"/>
      <c r="I181" s="187"/>
      <c r="J181" s="187"/>
      <c r="K181" s="187"/>
      <c r="L181" s="187"/>
      <c r="M181" s="187"/>
    </row>
    <row r="182" spans="1:13" ht="15.75">
      <c r="A182" s="303"/>
      <c r="B182" s="100"/>
      <c r="C182" s="176" t="s">
        <v>41</v>
      </c>
      <c r="D182" s="57"/>
      <c r="E182" s="58"/>
      <c r="F182" s="188"/>
      <c r="G182" s="189"/>
      <c r="H182" s="189"/>
      <c r="I182" s="189"/>
      <c r="J182" s="189"/>
      <c r="K182" s="189"/>
      <c r="L182" s="189"/>
      <c r="M182" s="190"/>
    </row>
    <row r="183" spans="1:13" ht="54.75" customHeight="1">
      <c r="A183" s="356"/>
      <c r="B183" s="449"/>
      <c r="C183" s="113" t="s">
        <v>296</v>
      </c>
      <c r="D183" s="356"/>
      <c r="E183" s="64"/>
      <c r="F183" s="90"/>
      <c r="G183" s="67"/>
      <c r="H183" s="67"/>
      <c r="I183" s="67"/>
      <c r="J183" s="67"/>
      <c r="K183" s="67"/>
      <c r="L183" s="67"/>
      <c r="M183" s="67"/>
    </row>
    <row r="184" spans="1:13" ht="15.75">
      <c r="A184" s="356"/>
      <c r="B184" s="449"/>
      <c r="C184" s="173" t="s">
        <v>41</v>
      </c>
      <c r="D184" s="356"/>
      <c r="E184" s="64"/>
      <c r="F184" s="65"/>
      <c r="G184" s="67"/>
      <c r="H184" s="67"/>
      <c r="I184" s="67"/>
      <c r="J184" s="67"/>
      <c r="K184" s="67"/>
      <c r="L184" s="67"/>
      <c r="M184" s="67"/>
    </row>
    <row r="185" spans="1:13" ht="31.5" hidden="1">
      <c r="A185" s="194"/>
      <c r="B185" s="99"/>
      <c r="C185" s="286" t="s">
        <v>171</v>
      </c>
      <c r="D185" s="9"/>
      <c r="E185" s="53"/>
      <c r="F185" s="287"/>
      <c r="G185" s="187"/>
      <c r="H185" s="187"/>
      <c r="I185" s="187"/>
      <c r="J185" s="288"/>
      <c r="K185" s="187"/>
      <c r="L185" s="187"/>
      <c r="M185" s="187"/>
    </row>
    <row r="186" spans="1:13" ht="15.75" hidden="1">
      <c r="A186" s="194"/>
      <c r="B186" s="99"/>
      <c r="C186" s="173" t="s">
        <v>41</v>
      </c>
      <c r="D186" s="9"/>
      <c r="E186" s="53"/>
      <c r="F186" s="191"/>
      <c r="G186" s="187"/>
      <c r="H186" s="187"/>
      <c r="I186" s="187"/>
      <c r="J186" s="173"/>
      <c r="K186" s="187"/>
      <c r="L186" s="187"/>
      <c r="M186" s="187"/>
    </row>
    <row r="187" spans="1:13" ht="15.75">
      <c r="A187" s="356"/>
      <c r="B187" s="449"/>
      <c r="C187" s="113"/>
      <c r="D187" s="356"/>
      <c r="E187" s="64"/>
      <c r="F187" s="90" t="s">
        <v>82</v>
      </c>
      <c r="G187" s="67"/>
      <c r="H187" s="67"/>
      <c r="I187" s="67"/>
      <c r="J187" s="67"/>
      <c r="K187" s="67"/>
      <c r="L187" s="67"/>
      <c r="M187" s="67"/>
    </row>
    <row r="188" spans="1:13" ht="31.5">
      <c r="A188" s="18"/>
      <c r="B188" s="20"/>
      <c r="C188" s="19" t="s">
        <v>263</v>
      </c>
      <c r="D188" s="20"/>
      <c r="E188" s="42"/>
      <c r="F188" s="182"/>
      <c r="G188" s="17"/>
      <c r="H188" s="17"/>
      <c r="I188" s="17"/>
      <c r="J188" s="17"/>
      <c r="K188" s="17"/>
      <c r="L188" s="17"/>
      <c r="M188" s="190"/>
    </row>
    <row r="189" spans="1:13">
      <c r="B189" s="10"/>
      <c r="C189" s="206"/>
      <c r="D189" s="26"/>
      <c r="E189" s="61"/>
    </row>
    <row r="190" spans="1:13" ht="15.75">
      <c r="B190" s="10"/>
      <c r="C190" s="54"/>
      <c r="D190" s="96"/>
      <c r="E190" s="45"/>
      <c r="F190" s="7"/>
      <c r="G190" s="25"/>
      <c r="H190" s="25"/>
      <c r="I190" s="200"/>
      <c r="J190" s="200"/>
    </row>
    <row r="191" spans="1:13">
      <c r="B191" s="10"/>
      <c r="C191" s="27"/>
      <c r="D191" s="29"/>
      <c r="E191" s="46"/>
    </row>
    <row r="192" spans="1:13">
      <c r="B192" s="28"/>
      <c r="C192" s="201"/>
      <c r="D192" s="201"/>
      <c r="E192" s="201"/>
    </row>
  </sheetData>
  <mergeCells count="40">
    <mergeCell ref="A13:A15"/>
    <mergeCell ref="A16:A21"/>
    <mergeCell ref="A169:A173"/>
    <mergeCell ref="A39:A41"/>
    <mergeCell ref="A163:A167"/>
    <mergeCell ref="A138:A142"/>
    <mergeCell ref="A143:A150"/>
    <mergeCell ref="A151:A162"/>
    <mergeCell ref="A47:A54"/>
    <mergeCell ref="A55:A64"/>
    <mergeCell ref="A73:A83"/>
    <mergeCell ref="A84:A88"/>
    <mergeCell ref="A128:A129"/>
    <mergeCell ref="A133:A137"/>
    <mergeCell ref="A130:A132"/>
    <mergeCell ref="A112:A119"/>
    <mergeCell ref="A24:A31"/>
    <mergeCell ref="A32:A36"/>
    <mergeCell ref="A99:A102"/>
    <mergeCell ref="A65:A72"/>
    <mergeCell ref="A89:A91"/>
    <mergeCell ref="A92:A98"/>
    <mergeCell ref="A104:A106"/>
    <mergeCell ref="A42:A46"/>
    <mergeCell ref="A37:A38"/>
    <mergeCell ref="A120:A125"/>
    <mergeCell ref="A107:A111"/>
    <mergeCell ref="A1:M1"/>
    <mergeCell ref="A3:M3"/>
    <mergeCell ref="A5:M5"/>
    <mergeCell ref="A8:A9"/>
    <mergeCell ref="B8:B9"/>
    <mergeCell ref="C8:C9"/>
    <mergeCell ref="D8:D9"/>
    <mergeCell ref="E8:E9"/>
    <mergeCell ref="F8:F9"/>
    <mergeCell ref="G8:H8"/>
    <mergeCell ref="K8:L8"/>
    <mergeCell ref="M8:M9"/>
    <mergeCell ref="I8:J8"/>
  </mergeCells>
  <conditionalFormatting sqref="D134">
    <cfRule type="cellIs" dxfId="3" priority="8" stopIfTrue="1" operator="equal">
      <formula>8223.307275</formula>
    </cfRule>
  </conditionalFormatting>
  <conditionalFormatting sqref="D139">
    <cfRule type="cellIs" dxfId="2" priority="7" stopIfTrue="1" operator="equal">
      <formula>8223.307275</formula>
    </cfRule>
  </conditionalFormatting>
  <conditionalFormatting sqref="D144">
    <cfRule type="cellIs" dxfId="1" priority="6" stopIfTrue="1" operator="equal">
      <formula>8223.307275</formula>
    </cfRule>
  </conditionalFormatting>
  <conditionalFormatting sqref="D129">
    <cfRule type="cellIs" dxfId="0" priority="5" stopIfTrue="1" operator="equal">
      <formula>8223.307275</formula>
    </cfRule>
  </conditionalFormatting>
  <pageMargins left="0.6692913385826772" right="0.12" top="0.7" bottom="0.61" header="0.53" footer="0.41"/>
  <pageSetup paperSize="9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FF"/>
  </sheetPr>
  <dimension ref="A1:O111"/>
  <sheetViews>
    <sheetView topLeftCell="A55" zoomScale="80" zoomScaleNormal="80" workbookViewId="0">
      <selection activeCell="G81" sqref="G81:M93"/>
    </sheetView>
  </sheetViews>
  <sheetFormatPr defaultRowHeight="15"/>
  <cols>
    <col min="1" max="1" width="5" customWidth="1"/>
    <col min="2" max="2" width="7.140625" customWidth="1"/>
    <col min="3" max="3" width="32" customWidth="1"/>
    <col min="4" max="4" width="7.85546875" customWidth="1"/>
    <col min="8" max="8" width="10.5703125" customWidth="1"/>
    <col min="13" max="13" width="12.5703125" customWidth="1"/>
    <col min="14" max="14" width="19.85546875" customWidth="1"/>
    <col min="15" max="15" width="18.28515625" customWidth="1"/>
  </cols>
  <sheetData>
    <row r="1" spans="1:15" ht="29.25" customHeight="1">
      <c r="A1" s="522" t="str">
        <f>krebsiti!A3</f>
        <v>mcxeTis municipalitetis sofel cixisZirSi sportuli moednis moawyobis samuSaoebi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03"/>
      <c r="O1" s="103"/>
    </row>
    <row r="2" spans="1:15" ht="21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248"/>
      <c r="O2" s="103"/>
    </row>
    <row r="3" spans="1:15" ht="15.75">
      <c r="A3" s="522" t="s">
        <v>173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103"/>
      <c r="O3" s="103"/>
    </row>
    <row r="4" spans="1:15" ht="15.75">
      <c r="A4" s="245"/>
      <c r="B4" s="245"/>
      <c r="C4" s="245"/>
      <c r="D4" s="245"/>
      <c r="E4" s="245"/>
      <c r="F4" s="245"/>
      <c r="G4" s="33"/>
      <c r="H4" s="33"/>
      <c r="I4" s="33"/>
      <c r="J4" s="33"/>
      <c r="K4" s="33"/>
      <c r="L4" s="33"/>
      <c r="M4" s="33"/>
      <c r="N4" s="103"/>
      <c r="O4" s="103"/>
    </row>
    <row r="5" spans="1:15" ht="15.75">
      <c r="A5" s="522" t="s">
        <v>261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103"/>
      <c r="O5" s="103"/>
    </row>
    <row r="6" spans="1:15" ht="15.75">
      <c r="A6" s="249"/>
      <c r="B6" s="249"/>
      <c r="C6" s="249"/>
      <c r="D6" s="250"/>
      <c r="E6" s="210"/>
      <c r="F6" s="210"/>
      <c r="G6" s="211"/>
      <c r="H6" s="211"/>
      <c r="I6" s="211"/>
      <c r="J6" s="211"/>
      <c r="K6" s="211"/>
      <c r="L6" s="211"/>
      <c r="M6" s="211"/>
      <c r="N6" s="103"/>
      <c r="O6" s="103"/>
    </row>
    <row r="7" spans="1:15" ht="33.75" customHeight="1">
      <c r="A7" s="524" t="s">
        <v>0</v>
      </c>
      <c r="B7" s="524" t="s">
        <v>1</v>
      </c>
      <c r="C7" s="524" t="s">
        <v>2</v>
      </c>
      <c r="D7" s="524" t="s">
        <v>3</v>
      </c>
      <c r="E7" s="526" t="s">
        <v>4</v>
      </c>
      <c r="F7" s="526" t="s">
        <v>5</v>
      </c>
      <c r="G7" s="528" t="s">
        <v>6</v>
      </c>
      <c r="H7" s="529"/>
      <c r="I7" s="528" t="s">
        <v>7</v>
      </c>
      <c r="J7" s="529"/>
      <c r="K7" s="528" t="s">
        <v>25</v>
      </c>
      <c r="L7" s="529"/>
      <c r="M7" s="530" t="s">
        <v>8</v>
      </c>
      <c r="N7" s="103"/>
      <c r="O7" s="103"/>
    </row>
    <row r="8" spans="1:15" ht="31.5">
      <c r="A8" s="525"/>
      <c r="B8" s="525"/>
      <c r="C8" s="525"/>
      <c r="D8" s="525"/>
      <c r="E8" s="527"/>
      <c r="F8" s="527"/>
      <c r="G8" s="67" t="s">
        <v>9</v>
      </c>
      <c r="H8" s="67" t="s">
        <v>10</v>
      </c>
      <c r="I8" s="67" t="s">
        <v>9</v>
      </c>
      <c r="J8" s="67" t="s">
        <v>10</v>
      </c>
      <c r="K8" s="67" t="s">
        <v>9</v>
      </c>
      <c r="L8" s="67" t="s">
        <v>10</v>
      </c>
      <c r="M8" s="531"/>
      <c r="N8" s="103"/>
      <c r="O8" s="103"/>
    </row>
    <row r="9" spans="1:15" ht="16.5">
      <c r="A9" s="239">
        <v>1</v>
      </c>
      <c r="B9" s="239">
        <v>2</v>
      </c>
      <c r="C9" s="171">
        <v>3</v>
      </c>
      <c r="D9" s="239">
        <v>4</v>
      </c>
      <c r="E9" s="64">
        <v>5</v>
      </c>
      <c r="F9" s="41">
        <v>6</v>
      </c>
      <c r="G9" s="64">
        <v>7</v>
      </c>
      <c r="H9" s="41">
        <v>8</v>
      </c>
      <c r="I9" s="64">
        <v>9</v>
      </c>
      <c r="J9" s="41">
        <v>10</v>
      </c>
      <c r="K9" s="64">
        <v>11</v>
      </c>
      <c r="L9" s="41">
        <v>12</v>
      </c>
      <c r="M9" s="64">
        <v>13</v>
      </c>
      <c r="N9" s="102"/>
      <c r="O9" s="102"/>
    </row>
    <row r="10" spans="1:15" ht="31.5">
      <c r="A10" s="238" t="s">
        <v>174</v>
      </c>
      <c r="B10" s="251"/>
      <c r="C10" s="238" t="s">
        <v>179</v>
      </c>
      <c r="D10" s="251"/>
      <c r="E10" s="251"/>
      <c r="F10" s="251"/>
      <c r="G10" s="252"/>
      <c r="H10" s="252"/>
      <c r="I10" s="252"/>
      <c r="J10" s="252"/>
      <c r="K10" s="252"/>
      <c r="L10" s="252"/>
      <c r="M10" s="252"/>
      <c r="N10" s="102"/>
      <c r="O10" s="102"/>
    </row>
    <row r="11" spans="1:15" ht="16.5">
      <c r="A11" s="253"/>
      <c r="B11" s="253"/>
      <c r="C11" s="254" t="s">
        <v>138</v>
      </c>
      <c r="D11" s="255"/>
      <c r="E11" s="256"/>
      <c r="F11" s="256"/>
      <c r="G11" s="66"/>
      <c r="H11" s="67"/>
      <c r="I11" s="66"/>
      <c r="J11" s="67"/>
      <c r="K11" s="68"/>
      <c r="L11" s="67"/>
      <c r="M11" s="67"/>
      <c r="N11" s="102"/>
      <c r="O11" s="102"/>
    </row>
    <row r="12" spans="1:15" ht="31.5">
      <c r="A12" s="520"/>
      <c r="B12" s="520"/>
      <c r="C12" s="232" t="s">
        <v>226</v>
      </c>
      <c r="D12" s="242" t="s">
        <v>20</v>
      </c>
      <c r="E12" s="64"/>
      <c r="F12" s="65">
        <f>SUM(F13:F13)</f>
        <v>8</v>
      </c>
      <c r="G12" s="448"/>
      <c r="H12" s="448"/>
      <c r="I12" s="448"/>
      <c r="J12" s="448"/>
      <c r="K12" s="448"/>
      <c r="L12" s="448"/>
      <c r="M12" s="448"/>
      <c r="N12" s="102"/>
      <c r="O12" s="102"/>
    </row>
    <row r="13" spans="1:15" ht="47.25">
      <c r="A13" s="521"/>
      <c r="B13" s="521"/>
      <c r="C13" s="232" t="s">
        <v>265</v>
      </c>
      <c r="D13" s="309" t="s">
        <v>20</v>
      </c>
      <c r="E13" s="64"/>
      <c r="F13" s="65">
        <v>8</v>
      </c>
      <c r="G13" s="307"/>
      <c r="H13" s="307"/>
      <c r="I13" s="307"/>
      <c r="J13" s="307"/>
      <c r="K13" s="307"/>
      <c r="L13" s="307"/>
      <c r="M13" s="307"/>
      <c r="N13" s="102"/>
      <c r="O13" s="102"/>
    </row>
    <row r="14" spans="1:15" ht="31.5">
      <c r="A14" s="540">
        <v>1</v>
      </c>
      <c r="B14" s="213" t="s">
        <v>139</v>
      </c>
      <c r="C14" s="144" t="s">
        <v>140</v>
      </c>
      <c r="D14" s="213" t="s">
        <v>128</v>
      </c>
      <c r="E14" s="222"/>
      <c r="F14" s="214">
        <f>120*0.25*0.7</f>
        <v>21</v>
      </c>
      <c r="G14" s="66"/>
      <c r="H14" s="67"/>
      <c r="I14" s="66"/>
      <c r="J14" s="67"/>
      <c r="K14" s="68"/>
      <c r="L14" s="67"/>
      <c r="M14" s="67"/>
      <c r="N14" s="102"/>
      <c r="O14" s="102"/>
    </row>
    <row r="15" spans="1:15" ht="16.5">
      <c r="A15" s="541"/>
      <c r="B15" s="221"/>
      <c r="C15" s="69" t="s">
        <v>129</v>
      </c>
      <c r="D15" s="221" t="s">
        <v>57</v>
      </c>
      <c r="E15" s="222">
        <v>2.06</v>
      </c>
      <c r="F15" s="222">
        <f>F14*E15</f>
        <v>43.26</v>
      </c>
      <c r="G15" s="66"/>
      <c r="H15" s="67"/>
      <c r="I15" s="66"/>
      <c r="J15" s="67"/>
      <c r="K15" s="68"/>
      <c r="L15" s="67"/>
      <c r="M15" s="67"/>
      <c r="N15" s="102"/>
      <c r="O15" s="102"/>
    </row>
    <row r="16" spans="1:15" ht="31.5">
      <c r="A16" s="537" t="s">
        <v>92</v>
      </c>
      <c r="B16" s="215" t="s">
        <v>141</v>
      </c>
      <c r="C16" s="216" t="s">
        <v>142</v>
      </c>
      <c r="D16" s="215" t="s">
        <v>131</v>
      </c>
      <c r="E16" s="217"/>
      <c r="F16" s="218">
        <f>120*0.25*0.25</f>
        <v>7.5</v>
      </c>
      <c r="G16" s="66"/>
      <c r="H16" s="67"/>
      <c r="I16" s="66"/>
      <c r="J16" s="67"/>
      <c r="K16" s="68"/>
      <c r="L16" s="67"/>
      <c r="M16" s="67"/>
      <c r="N16" s="102"/>
      <c r="O16" s="102"/>
    </row>
    <row r="17" spans="1:15" ht="16.5">
      <c r="A17" s="538"/>
      <c r="B17" s="219"/>
      <c r="C17" s="220" t="s">
        <v>129</v>
      </c>
      <c r="D17" s="219" t="s">
        <v>57</v>
      </c>
      <c r="E17" s="217">
        <v>1.8</v>
      </c>
      <c r="F17" s="217">
        <f>F16*E17</f>
        <v>13.5</v>
      </c>
      <c r="G17" s="66"/>
      <c r="H17" s="67"/>
      <c r="I17" s="66"/>
      <c r="J17" s="67"/>
      <c r="K17" s="68"/>
      <c r="L17" s="67"/>
      <c r="M17" s="67"/>
      <c r="N17" s="102"/>
      <c r="O17" s="102"/>
    </row>
    <row r="18" spans="1:15" ht="16.5">
      <c r="A18" s="539"/>
      <c r="B18" s="219"/>
      <c r="C18" s="220" t="s">
        <v>130</v>
      </c>
      <c r="D18" s="219" t="s">
        <v>131</v>
      </c>
      <c r="E18" s="217">
        <v>1.1000000000000001</v>
      </c>
      <c r="F18" s="217">
        <f>F16*E18</f>
        <v>8.25</v>
      </c>
      <c r="G18" s="66"/>
      <c r="H18" s="67"/>
      <c r="I18" s="66"/>
      <c r="J18" s="67"/>
      <c r="K18" s="68"/>
      <c r="L18" s="67"/>
      <c r="M18" s="67"/>
      <c r="N18" s="102"/>
      <c r="O18" s="102"/>
    </row>
    <row r="19" spans="1:15" ht="46.5">
      <c r="A19" s="540" t="s">
        <v>48</v>
      </c>
      <c r="B19" s="213" t="s">
        <v>143</v>
      </c>
      <c r="C19" s="257" t="s">
        <v>144</v>
      </c>
      <c r="D19" s="213" t="s">
        <v>133</v>
      </c>
      <c r="E19" s="258"/>
      <c r="F19" s="214">
        <f>120</f>
        <v>120</v>
      </c>
      <c r="G19" s="66"/>
      <c r="H19" s="67"/>
      <c r="I19" s="66"/>
      <c r="J19" s="67"/>
      <c r="K19" s="68"/>
      <c r="L19" s="67"/>
      <c r="M19" s="67"/>
      <c r="N19" s="102"/>
      <c r="O19" s="102"/>
    </row>
    <row r="20" spans="1:15" ht="16.5">
      <c r="A20" s="541"/>
      <c r="B20" s="221"/>
      <c r="C20" s="69" t="s">
        <v>129</v>
      </c>
      <c r="D20" s="221" t="s">
        <v>57</v>
      </c>
      <c r="E20" s="258">
        <v>0.105</v>
      </c>
      <c r="F20" s="222">
        <f>F19*E20</f>
        <v>12.6</v>
      </c>
      <c r="G20" s="66"/>
      <c r="H20" s="67"/>
      <c r="I20" s="66"/>
      <c r="J20" s="67"/>
      <c r="K20" s="68"/>
      <c r="L20" s="67"/>
      <c r="M20" s="67"/>
      <c r="N20" s="102"/>
      <c r="O20" s="102"/>
    </row>
    <row r="21" spans="1:15" ht="16.5">
      <c r="A21" s="541"/>
      <c r="B21" s="221"/>
      <c r="C21" s="69" t="s">
        <v>62</v>
      </c>
      <c r="D21" s="221" t="s">
        <v>58</v>
      </c>
      <c r="E21" s="258">
        <v>5.3800000000000001E-2</v>
      </c>
      <c r="F21" s="222">
        <f>F19*E21</f>
        <v>6.4560000000000004</v>
      </c>
      <c r="G21" s="66"/>
      <c r="H21" s="67"/>
      <c r="I21" s="66"/>
      <c r="J21" s="67"/>
      <c r="K21" s="68"/>
      <c r="L21" s="67"/>
      <c r="M21" s="67"/>
      <c r="N21" s="102"/>
      <c r="O21" s="102"/>
    </row>
    <row r="22" spans="1:15" ht="30.75">
      <c r="A22" s="541"/>
      <c r="B22" s="221"/>
      <c r="C22" s="150" t="s">
        <v>145</v>
      </c>
      <c r="D22" s="221" t="s">
        <v>133</v>
      </c>
      <c r="E22" s="258">
        <v>1.01</v>
      </c>
      <c r="F22" s="222">
        <f>F19*E22</f>
        <v>121.2</v>
      </c>
      <c r="G22" s="66"/>
      <c r="H22" s="67"/>
      <c r="I22" s="66"/>
      <c r="J22" s="67"/>
      <c r="K22" s="68"/>
      <c r="L22" s="67"/>
      <c r="M22" s="67"/>
      <c r="N22" s="102"/>
      <c r="O22" s="102"/>
    </row>
    <row r="23" spans="1:15" ht="16.5">
      <c r="A23" s="542"/>
      <c r="B23" s="221"/>
      <c r="C23" s="69" t="s">
        <v>60</v>
      </c>
      <c r="D23" s="221" t="s">
        <v>58</v>
      </c>
      <c r="E23" s="258">
        <v>1.1999999999999999E-3</v>
      </c>
      <c r="F23" s="222">
        <f>F19*E23</f>
        <v>0.14399999999999999</v>
      </c>
      <c r="G23" s="66"/>
      <c r="H23" s="67"/>
      <c r="I23" s="66"/>
      <c r="J23" s="67"/>
      <c r="K23" s="68"/>
      <c r="L23" s="67"/>
      <c r="M23" s="67"/>
      <c r="N23" s="102"/>
      <c r="O23" s="102"/>
    </row>
    <row r="24" spans="1:15" ht="31.5">
      <c r="A24" s="543" t="s">
        <v>93</v>
      </c>
      <c r="B24" s="24" t="s">
        <v>146</v>
      </c>
      <c r="C24" s="147" t="s">
        <v>132</v>
      </c>
      <c r="D24" s="24" t="s">
        <v>133</v>
      </c>
      <c r="E24" s="149"/>
      <c r="F24" s="149">
        <f>120</f>
        <v>120</v>
      </c>
      <c r="G24" s="66"/>
      <c r="H24" s="67"/>
      <c r="I24" s="66"/>
      <c r="J24" s="67"/>
      <c r="K24" s="68"/>
      <c r="L24" s="67"/>
      <c r="M24" s="67"/>
      <c r="N24" s="102"/>
      <c r="O24" s="102"/>
    </row>
    <row r="25" spans="1:15" ht="16.5">
      <c r="A25" s="544"/>
      <c r="B25" s="241"/>
      <c r="C25" s="88" t="s">
        <v>129</v>
      </c>
      <c r="D25" s="221" t="s">
        <v>57</v>
      </c>
      <c r="E25" s="89">
        <f>11/1000</f>
        <v>1.0999999999999999E-2</v>
      </c>
      <c r="F25" s="89">
        <f>F24*E25</f>
        <v>1.3199999999999998</v>
      </c>
      <c r="G25" s="66"/>
      <c r="H25" s="67"/>
      <c r="I25" s="66"/>
      <c r="J25" s="67"/>
      <c r="K25" s="68"/>
      <c r="L25" s="67"/>
      <c r="M25" s="67"/>
      <c r="N25" s="102"/>
      <c r="O25" s="102"/>
    </row>
    <row r="26" spans="1:15" ht="16.5">
      <c r="A26" s="545"/>
      <c r="B26" s="223"/>
      <c r="C26" s="224" t="s">
        <v>134</v>
      </c>
      <c r="D26" s="225" t="s">
        <v>133</v>
      </c>
      <c r="E26" s="226"/>
      <c r="F26" s="226">
        <f>F24</f>
        <v>120</v>
      </c>
      <c r="G26" s="66"/>
      <c r="H26" s="67"/>
      <c r="I26" s="66"/>
      <c r="J26" s="67"/>
      <c r="K26" s="68"/>
      <c r="L26" s="67"/>
      <c r="M26" s="67"/>
      <c r="N26" s="102"/>
      <c r="O26" s="102"/>
    </row>
    <row r="27" spans="1:15" ht="31.5">
      <c r="A27" s="546" t="s">
        <v>33</v>
      </c>
      <c r="B27" s="227" t="s">
        <v>97</v>
      </c>
      <c r="C27" s="228" t="s">
        <v>135</v>
      </c>
      <c r="D27" s="227" t="s">
        <v>131</v>
      </c>
      <c r="E27" s="71"/>
      <c r="F27" s="72">
        <f>120*0.25*(0.7-0.25)</f>
        <v>13.499999999999998</v>
      </c>
      <c r="G27" s="66"/>
      <c r="H27" s="67"/>
      <c r="I27" s="66"/>
      <c r="J27" s="67"/>
      <c r="K27" s="68"/>
      <c r="L27" s="67"/>
      <c r="M27" s="67"/>
      <c r="N27" s="102"/>
      <c r="O27" s="102"/>
    </row>
    <row r="28" spans="1:15" ht="16.5">
      <c r="A28" s="547"/>
      <c r="B28" s="70"/>
      <c r="C28" s="229" t="s">
        <v>129</v>
      </c>
      <c r="D28" s="70" t="s">
        <v>57</v>
      </c>
      <c r="E28" s="71">
        <v>1.21</v>
      </c>
      <c r="F28" s="71">
        <f>F27*E28</f>
        <v>16.334999999999997</v>
      </c>
      <c r="G28" s="66"/>
      <c r="H28" s="67"/>
      <c r="I28" s="66"/>
      <c r="J28" s="67"/>
      <c r="K28" s="68"/>
      <c r="L28" s="67"/>
      <c r="M28" s="67"/>
      <c r="N28" s="102"/>
      <c r="O28" s="102"/>
    </row>
    <row r="29" spans="1:15" ht="31.5">
      <c r="A29" s="49"/>
      <c r="B29" s="49"/>
      <c r="C29" s="129" t="s">
        <v>148</v>
      </c>
      <c r="D29" s="259"/>
      <c r="E29" s="260"/>
      <c r="F29" s="125"/>
      <c r="G29" s="261"/>
      <c r="H29" s="262"/>
      <c r="I29" s="261"/>
      <c r="J29" s="262"/>
      <c r="K29" s="263"/>
      <c r="L29" s="262"/>
      <c r="M29" s="262"/>
      <c r="N29" s="264">
        <f>H29+J29+L29</f>
        <v>0</v>
      </c>
      <c r="O29" s="102"/>
    </row>
    <row r="30" spans="1:15" ht="63">
      <c r="A30" s="239"/>
      <c r="B30" s="101"/>
      <c r="C30" s="265" t="s">
        <v>149</v>
      </c>
      <c r="D30" s="63"/>
      <c r="E30" s="266"/>
      <c r="F30" s="267"/>
      <c r="G30" s="268"/>
      <c r="H30" s="268"/>
      <c r="I30" s="268"/>
      <c r="J30" s="268"/>
      <c r="K30" s="268"/>
      <c r="L30" s="268"/>
      <c r="M30" s="243"/>
      <c r="N30" s="102"/>
      <c r="O30" s="102"/>
    </row>
    <row r="31" spans="1:15" ht="16.5">
      <c r="A31" s="239"/>
      <c r="B31" s="101"/>
      <c r="C31" s="173" t="s">
        <v>41</v>
      </c>
      <c r="D31" s="63"/>
      <c r="E31" s="266"/>
      <c r="F31" s="266"/>
      <c r="G31" s="268"/>
      <c r="H31" s="268"/>
      <c r="I31" s="268"/>
      <c r="J31" s="268"/>
      <c r="K31" s="268"/>
      <c r="L31" s="268"/>
      <c r="M31" s="243"/>
      <c r="N31" s="102"/>
      <c r="O31" s="102"/>
    </row>
    <row r="32" spans="1:15" ht="16.5">
      <c r="A32" s="242"/>
      <c r="B32" s="63"/>
      <c r="C32" s="265" t="s">
        <v>150</v>
      </c>
      <c r="D32" s="63"/>
      <c r="E32" s="266"/>
      <c r="F32" s="269"/>
      <c r="G32" s="268"/>
      <c r="H32" s="268"/>
      <c r="I32" s="268"/>
      <c r="J32" s="268"/>
      <c r="K32" s="268"/>
      <c r="L32" s="268"/>
      <c r="M32" s="243"/>
      <c r="N32" s="102"/>
      <c r="O32" s="102"/>
    </row>
    <row r="33" spans="1:15" ht="16.5">
      <c r="A33" s="104"/>
      <c r="B33" s="270"/>
      <c r="C33" s="271" t="s">
        <v>151</v>
      </c>
      <c r="D33" s="270"/>
      <c r="E33" s="272"/>
      <c r="F33" s="272"/>
      <c r="G33" s="273"/>
      <c r="H33" s="273"/>
      <c r="I33" s="273"/>
      <c r="J33" s="273"/>
      <c r="K33" s="273"/>
      <c r="L33" s="273"/>
      <c r="M33" s="273"/>
      <c r="N33" s="102"/>
      <c r="O33" s="102"/>
    </row>
    <row r="34" spans="1:15" ht="16.5">
      <c r="A34" s="274"/>
      <c r="B34" s="274"/>
      <c r="C34" s="275" t="s">
        <v>152</v>
      </c>
      <c r="D34" s="276"/>
      <c r="E34" s="277"/>
      <c r="F34" s="277"/>
      <c r="G34" s="278"/>
      <c r="H34" s="244"/>
      <c r="I34" s="278"/>
      <c r="J34" s="244"/>
      <c r="K34" s="279"/>
      <c r="L34" s="244"/>
      <c r="M34" s="244"/>
      <c r="N34" s="102"/>
      <c r="O34" s="102"/>
    </row>
    <row r="35" spans="1:15" ht="47.25">
      <c r="A35" s="532" t="s">
        <v>99</v>
      </c>
      <c r="B35" s="280" t="s">
        <v>153</v>
      </c>
      <c r="C35" s="232" t="s">
        <v>154</v>
      </c>
      <c r="D35" s="239" t="s">
        <v>20</v>
      </c>
      <c r="E35" s="64"/>
      <c r="F35" s="65">
        <f>SUM(F38:F38)</f>
        <v>8</v>
      </c>
      <c r="G35" s="67"/>
      <c r="H35" s="67"/>
      <c r="I35" s="67"/>
      <c r="J35" s="67"/>
      <c r="K35" s="67"/>
      <c r="L35" s="67"/>
      <c r="M35" s="67"/>
      <c r="N35" s="102"/>
      <c r="O35" s="102"/>
    </row>
    <row r="36" spans="1:15" ht="16.5">
      <c r="A36" s="532"/>
      <c r="B36" s="70"/>
      <c r="C36" s="281" t="s">
        <v>129</v>
      </c>
      <c r="D36" s="70" t="s">
        <v>57</v>
      </c>
      <c r="E36" s="71">
        <v>1</v>
      </c>
      <c r="F36" s="71">
        <f>F35*E36</f>
        <v>8</v>
      </c>
      <c r="G36" s="66"/>
      <c r="H36" s="67"/>
      <c r="I36" s="66"/>
      <c r="J36" s="67"/>
      <c r="K36" s="68"/>
      <c r="L36" s="67"/>
      <c r="M36" s="67"/>
      <c r="N36" s="102"/>
      <c r="O36" s="102"/>
    </row>
    <row r="37" spans="1:15" ht="16.5">
      <c r="A37" s="532"/>
      <c r="B37" s="70"/>
      <c r="C37" s="281" t="s">
        <v>22</v>
      </c>
      <c r="D37" s="70" t="s">
        <v>19</v>
      </c>
      <c r="E37" s="71">
        <v>1.1599999999999999</v>
      </c>
      <c r="F37" s="71">
        <f>F35*E37</f>
        <v>9.2799999999999994</v>
      </c>
      <c r="G37" s="66"/>
      <c r="H37" s="67"/>
      <c r="I37" s="66"/>
      <c r="J37" s="67"/>
      <c r="K37" s="68"/>
      <c r="L37" s="67"/>
      <c r="M37" s="67"/>
      <c r="N37" s="102"/>
      <c r="O37" s="102"/>
    </row>
    <row r="38" spans="1:15" ht="31.5">
      <c r="A38" s="532"/>
      <c r="B38" s="306"/>
      <c r="C38" s="127" t="str">
        <f>C13</f>
        <v>dioduri sanaTi 250v 50vat                            (sp moednis)</v>
      </c>
      <c r="D38" s="309" t="s">
        <v>20</v>
      </c>
      <c r="E38" s="64"/>
      <c r="F38" s="64">
        <f>F13</f>
        <v>8</v>
      </c>
      <c r="G38" s="67"/>
      <c r="H38" s="67"/>
      <c r="I38" s="66"/>
      <c r="J38" s="67"/>
      <c r="K38" s="67"/>
      <c r="L38" s="67"/>
      <c r="M38" s="67"/>
      <c r="N38" s="102"/>
      <c r="O38" s="102"/>
    </row>
    <row r="39" spans="1:15" ht="16.5">
      <c r="A39" s="532"/>
      <c r="B39" s="239"/>
      <c r="C39" s="127" t="s">
        <v>26</v>
      </c>
      <c r="D39" s="239" t="s">
        <v>19</v>
      </c>
      <c r="E39" s="64">
        <v>0.05</v>
      </c>
      <c r="F39" s="64">
        <f>F35*E39</f>
        <v>0.4</v>
      </c>
      <c r="G39" s="67"/>
      <c r="H39" s="67"/>
      <c r="I39" s="66"/>
      <c r="J39" s="67"/>
      <c r="K39" s="67"/>
      <c r="L39" s="67"/>
      <c r="M39" s="67"/>
      <c r="N39" s="102"/>
      <c r="O39" s="102"/>
    </row>
    <row r="40" spans="1:15" ht="31.5">
      <c r="A40" s="520" t="s">
        <v>100</v>
      </c>
      <c r="B40" s="242" t="s">
        <v>64</v>
      </c>
      <c r="C40" s="195" t="s">
        <v>96</v>
      </c>
      <c r="D40" s="239" t="s">
        <v>65</v>
      </c>
      <c r="E40" s="41"/>
      <c r="F40" s="65">
        <f>F42+F43+F44</f>
        <v>200</v>
      </c>
      <c r="G40" s="112"/>
      <c r="H40" s="73"/>
      <c r="I40" s="112"/>
      <c r="J40" s="67"/>
      <c r="K40" s="67"/>
      <c r="L40" s="67"/>
      <c r="M40" s="67"/>
      <c r="N40" s="102"/>
      <c r="O40" s="102"/>
    </row>
    <row r="41" spans="1:15" ht="16.5">
      <c r="A41" s="521"/>
      <c r="B41" s="239"/>
      <c r="C41" s="127" t="s">
        <v>30</v>
      </c>
      <c r="D41" s="239" t="s">
        <v>61</v>
      </c>
      <c r="E41" s="41">
        <v>0.13900000000000001</v>
      </c>
      <c r="F41" s="64">
        <f>F40*E41</f>
        <v>27.800000000000004</v>
      </c>
      <c r="G41" s="67"/>
      <c r="H41" s="73"/>
      <c r="I41" s="67"/>
      <c r="J41" s="67"/>
      <c r="K41" s="67"/>
      <c r="L41" s="67"/>
      <c r="M41" s="67"/>
      <c r="N41" s="102"/>
      <c r="O41" s="102"/>
    </row>
    <row r="42" spans="1:15" ht="16.5">
      <c r="A42" s="521"/>
      <c r="B42" s="239"/>
      <c r="C42" s="127" t="s">
        <v>155</v>
      </c>
      <c r="D42" s="70" t="s">
        <v>11</v>
      </c>
      <c r="E42" s="282"/>
      <c r="F42" s="71">
        <v>50</v>
      </c>
      <c r="G42" s="66"/>
      <c r="H42" s="67"/>
      <c r="I42" s="66"/>
      <c r="J42" s="67"/>
      <c r="K42" s="68"/>
      <c r="L42" s="67"/>
      <c r="M42" s="67"/>
      <c r="N42" s="102"/>
      <c r="O42" s="102"/>
    </row>
    <row r="43" spans="1:15" ht="16.5">
      <c r="A43" s="521"/>
      <c r="B43" s="239"/>
      <c r="C43" s="127" t="s">
        <v>266</v>
      </c>
      <c r="D43" s="239" t="s">
        <v>11</v>
      </c>
      <c r="E43" s="41"/>
      <c r="F43" s="64">
        <v>100</v>
      </c>
      <c r="G43" s="67"/>
      <c r="H43" s="67"/>
      <c r="I43" s="66"/>
      <c r="J43" s="67"/>
      <c r="K43" s="67"/>
      <c r="L43" s="67"/>
      <c r="M43" s="67"/>
      <c r="N43" s="102"/>
      <c r="O43" s="102"/>
    </row>
    <row r="44" spans="1:15" ht="16.5">
      <c r="A44" s="521"/>
      <c r="B44" s="239"/>
      <c r="C44" s="127" t="s">
        <v>267</v>
      </c>
      <c r="D44" s="239" t="s">
        <v>11</v>
      </c>
      <c r="E44" s="41"/>
      <c r="F44" s="64">
        <v>50</v>
      </c>
      <c r="G44" s="67"/>
      <c r="H44" s="67"/>
      <c r="I44" s="66"/>
      <c r="J44" s="67"/>
      <c r="K44" s="67"/>
      <c r="L44" s="67"/>
      <c r="M44" s="67"/>
      <c r="N44" s="102"/>
      <c r="O44" s="102"/>
    </row>
    <row r="45" spans="1:15" ht="16.5">
      <c r="A45" s="533"/>
      <c r="B45" s="239"/>
      <c r="C45" s="127" t="s">
        <v>59</v>
      </c>
      <c r="D45" s="239" t="s">
        <v>58</v>
      </c>
      <c r="E45" s="41" t="s">
        <v>156</v>
      </c>
      <c r="F45" s="71">
        <f>F40*E45</f>
        <v>1.94</v>
      </c>
      <c r="G45" s="67"/>
      <c r="H45" s="73"/>
      <c r="I45" s="66"/>
      <c r="J45" s="67"/>
      <c r="K45" s="67"/>
      <c r="L45" s="67"/>
      <c r="M45" s="67"/>
      <c r="N45" s="102"/>
      <c r="O45" s="102"/>
    </row>
    <row r="46" spans="1:15" ht="16.5">
      <c r="A46" s="239"/>
      <c r="B46" s="239"/>
      <c r="C46" s="127"/>
      <c r="D46" s="239"/>
      <c r="E46" s="64"/>
      <c r="F46" s="64"/>
      <c r="G46" s="67"/>
      <c r="H46" s="67"/>
      <c r="I46" s="66"/>
      <c r="J46" s="67"/>
      <c r="K46" s="67"/>
      <c r="L46" s="67"/>
      <c r="M46" s="67"/>
      <c r="N46" s="102"/>
      <c r="O46" s="102"/>
    </row>
    <row r="47" spans="1:15" ht="27">
      <c r="A47" s="513" t="s">
        <v>92</v>
      </c>
      <c r="B47" s="242" t="s">
        <v>80</v>
      </c>
      <c r="C47" s="283" t="s">
        <v>157</v>
      </c>
      <c r="D47" s="239"/>
      <c r="E47" s="41"/>
      <c r="F47" s="71">
        <v>2</v>
      </c>
      <c r="G47" s="38"/>
      <c r="H47" s="212"/>
      <c r="I47" s="66"/>
      <c r="J47" s="67"/>
      <c r="K47" s="67"/>
      <c r="L47" s="67"/>
      <c r="M47" s="67"/>
      <c r="N47" s="102"/>
      <c r="O47" s="102"/>
    </row>
    <row r="48" spans="1:15" ht="16.5">
      <c r="A48" s="506"/>
      <c r="B48" s="239"/>
      <c r="C48" s="43" t="s">
        <v>30</v>
      </c>
      <c r="D48" s="239" t="s">
        <v>61</v>
      </c>
      <c r="E48" s="41">
        <v>7.05</v>
      </c>
      <c r="F48" s="41">
        <f>F47*E48</f>
        <v>14.1</v>
      </c>
      <c r="G48" s="38"/>
      <c r="H48" s="212"/>
      <c r="I48" s="38"/>
      <c r="J48" s="212"/>
      <c r="K48" s="38"/>
      <c r="L48" s="212"/>
      <c r="M48" s="67"/>
      <c r="N48" s="102"/>
      <c r="O48" s="102"/>
    </row>
    <row r="49" spans="1:15" ht="27">
      <c r="A49" s="506"/>
      <c r="B49" s="239"/>
      <c r="C49" s="43" t="s">
        <v>28</v>
      </c>
      <c r="D49" s="239" t="s">
        <v>63</v>
      </c>
      <c r="E49" s="41">
        <v>0</v>
      </c>
      <c r="F49" s="41">
        <f>F47*E49</f>
        <v>0</v>
      </c>
      <c r="G49" s="38"/>
      <c r="H49" s="212"/>
      <c r="I49" s="38"/>
      <c r="J49" s="212"/>
      <c r="K49" s="38"/>
      <c r="L49" s="212"/>
      <c r="M49" s="67"/>
      <c r="N49" s="102"/>
      <c r="O49" s="102"/>
    </row>
    <row r="50" spans="1:15" ht="40.5">
      <c r="A50" s="506"/>
      <c r="B50" s="239"/>
      <c r="C50" s="43" t="s">
        <v>227</v>
      </c>
      <c r="D50" s="239" t="s">
        <v>12</v>
      </c>
      <c r="E50" s="41"/>
      <c r="F50" s="41">
        <v>1</v>
      </c>
      <c r="G50" s="38"/>
      <c r="H50" s="67"/>
      <c r="I50" s="66"/>
      <c r="J50" s="67"/>
      <c r="K50" s="67"/>
      <c r="L50" s="67"/>
      <c r="M50" s="67"/>
      <c r="N50" s="102"/>
      <c r="O50" s="102"/>
    </row>
    <row r="51" spans="1:15" ht="26.25">
      <c r="A51" s="506"/>
      <c r="B51" s="37"/>
      <c r="C51" s="43" t="s">
        <v>176</v>
      </c>
      <c r="D51" s="239" t="s">
        <v>12</v>
      </c>
      <c r="E51" s="41"/>
      <c r="F51" s="71">
        <v>1</v>
      </c>
      <c r="G51" s="38"/>
      <c r="H51" s="67"/>
      <c r="I51" s="66"/>
      <c r="J51" s="67"/>
      <c r="K51" s="67"/>
      <c r="L51" s="67"/>
      <c r="M51" s="67"/>
      <c r="N51" s="102"/>
      <c r="O51" s="102"/>
    </row>
    <row r="52" spans="1:15" ht="26.25">
      <c r="A52" s="506"/>
      <c r="B52" s="239"/>
      <c r="C52" s="43" t="s">
        <v>158</v>
      </c>
      <c r="D52" s="239" t="s">
        <v>12</v>
      </c>
      <c r="E52" s="41"/>
      <c r="F52" s="71">
        <v>1</v>
      </c>
      <c r="G52" s="38"/>
      <c r="H52" s="67"/>
      <c r="I52" s="66"/>
      <c r="J52" s="67"/>
      <c r="K52" s="67"/>
      <c r="L52" s="67"/>
      <c r="M52" s="67"/>
      <c r="N52" s="102"/>
      <c r="O52" s="102"/>
    </row>
    <row r="53" spans="1:15" ht="26.25">
      <c r="A53" s="506"/>
      <c r="B53" s="239"/>
      <c r="C53" s="43" t="s">
        <v>175</v>
      </c>
      <c r="D53" s="239" t="s">
        <v>12</v>
      </c>
      <c r="E53" s="41"/>
      <c r="F53" s="71">
        <v>4</v>
      </c>
      <c r="G53" s="38"/>
      <c r="H53" s="67"/>
      <c r="I53" s="66"/>
      <c r="J53" s="67"/>
      <c r="K53" s="67"/>
      <c r="L53" s="67"/>
      <c r="M53" s="67"/>
      <c r="N53" s="102"/>
      <c r="O53" s="102"/>
    </row>
    <row r="54" spans="1:15" ht="16.5">
      <c r="A54" s="506"/>
      <c r="B54" s="239"/>
      <c r="C54" s="43" t="s">
        <v>268</v>
      </c>
      <c r="D54" s="239" t="s">
        <v>12</v>
      </c>
      <c r="E54" s="41"/>
      <c r="F54" s="71">
        <v>1</v>
      </c>
      <c r="G54" s="38"/>
      <c r="H54" s="67"/>
      <c r="I54" s="66"/>
      <c r="J54" s="67"/>
      <c r="K54" s="67"/>
      <c r="L54" s="67"/>
      <c r="M54" s="67"/>
      <c r="N54" s="102"/>
      <c r="O54" s="102"/>
    </row>
    <row r="55" spans="1:15" ht="27">
      <c r="A55" s="506"/>
      <c r="B55" s="239"/>
      <c r="C55" s="43" t="s">
        <v>228</v>
      </c>
      <c r="D55" s="239" t="s">
        <v>12</v>
      </c>
      <c r="E55" s="41"/>
      <c r="F55" s="71">
        <v>1</v>
      </c>
      <c r="G55" s="38"/>
      <c r="H55" s="67"/>
      <c r="I55" s="66"/>
      <c r="J55" s="67"/>
      <c r="K55" s="67"/>
      <c r="L55" s="67"/>
      <c r="M55" s="67"/>
      <c r="N55" s="102"/>
      <c r="O55" s="102"/>
    </row>
    <row r="56" spans="1:15" ht="16.5">
      <c r="A56" s="506"/>
      <c r="B56" s="239"/>
      <c r="C56" s="43" t="s">
        <v>269</v>
      </c>
      <c r="D56" s="239" t="s">
        <v>12</v>
      </c>
      <c r="E56" s="41"/>
      <c r="F56" s="71">
        <v>1</v>
      </c>
      <c r="G56" s="38"/>
      <c r="H56" s="67"/>
      <c r="I56" s="66"/>
      <c r="J56" s="67"/>
      <c r="K56" s="67"/>
      <c r="L56" s="67"/>
      <c r="M56" s="67"/>
      <c r="N56" s="102"/>
      <c r="O56" s="102"/>
    </row>
    <row r="57" spans="1:15" ht="16.5">
      <c r="A57" s="506"/>
      <c r="B57" s="239"/>
      <c r="C57" s="43" t="s">
        <v>270</v>
      </c>
      <c r="D57" s="239" t="s">
        <v>12</v>
      </c>
      <c r="E57" s="41"/>
      <c r="F57" s="71">
        <v>1</v>
      </c>
      <c r="G57" s="38"/>
      <c r="H57" s="67"/>
      <c r="I57" s="66"/>
      <c r="J57" s="67"/>
      <c r="K57" s="67"/>
      <c r="L57" s="67"/>
      <c r="M57" s="67"/>
      <c r="N57" s="102"/>
      <c r="O57" s="102"/>
    </row>
    <row r="58" spans="1:15" ht="27">
      <c r="A58" s="506"/>
      <c r="B58" s="239"/>
      <c r="C58" s="43" t="s">
        <v>229</v>
      </c>
      <c r="D58" s="239" t="s">
        <v>12</v>
      </c>
      <c r="E58" s="41"/>
      <c r="F58" s="71">
        <v>6</v>
      </c>
      <c r="G58" s="38"/>
      <c r="H58" s="67"/>
      <c r="I58" s="66"/>
      <c r="J58" s="67"/>
      <c r="K58" s="67"/>
      <c r="L58" s="67"/>
      <c r="M58" s="67"/>
      <c r="N58" s="102"/>
      <c r="O58" s="102"/>
    </row>
    <row r="59" spans="1:15" ht="33">
      <c r="A59" s="507"/>
      <c r="B59" s="239"/>
      <c r="C59" s="43" t="s">
        <v>271</v>
      </c>
      <c r="D59" s="37" t="s">
        <v>44</v>
      </c>
      <c r="E59" s="37"/>
      <c r="F59" s="37">
        <v>1</v>
      </c>
      <c r="G59" s="37"/>
      <c r="H59" s="67"/>
      <c r="I59" s="66"/>
      <c r="J59" s="67"/>
      <c r="K59" s="67"/>
      <c r="L59" s="67"/>
      <c r="M59" s="67"/>
      <c r="N59" s="102"/>
      <c r="O59" s="102"/>
    </row>
    <row r="60" spans="1:15" ht="31.5">
      <c r="A60" s="239" t="s">
        <v>93</v>
      </c>
      <c r="B60" s="239"/>
      <c r="C60" s="129" t="s">
        <v>67</v>
      </c>
      <c r="D60" s="239"/>
      <c r="E60" s="193"/>
      <c r="F60" s="193"/>
      <c r="G60" s="75"/>
      <c r="H60" s="75"/>
      <c r="I60" s="74"/>
      <c r="J60" s="75"/>
      <c r="K60" s="75"/>
      <c r="L60" s="75"/>
      <c r="M60" s="67"/>
      <c r="N60" s="102"/>
      <c r="O60" s="102"/>
    </row>
    <row r="61" spans="1:15" ht="67.5">
      <c r="A61" s="534" t="s">
        <v>159</v>
      </c>
      <c r="B61" s="76" t="s">
        <v>105</v>
      </c>
      <c r="C61" s="77" t="s">
        <v>160</v>
      </c>
      <c r="D61" s="459" t="s">
        <v>11</v>
      </c>
      <c r="E61" s="196"/>
      <c r="F61" s="79">
        <f>F64</f>
        <v>8</v>
      </c>
      <c r="G61" s="80"/>
      <c r="H61" s="81"/>
      <c r="I61" s="81"/>
      <c r="J61" s="81"/>
      <c r="K61" s="81"/>
      <c r="L61" s="81"/>
      <c r="M61" s="67"/>
      <c r="N61" s="102"/>
      <c r="O61" s="102"/>
    </row>
    <row r="62" spans="1:15" ht="16.5">
      <c r="A62" s="535"/>
      <c r="B62" s="246"/>
      <c r="C62" s="82" t="s">
        <v>21</v>
      </c>
      <c r="D62" s="78" t="s">
        <v>23</v>
      </c>
      <c r="E62" s="197">
        <v>0.12</v>
      </c>
      <c r="F62" s="84">
        <f>E62*F61</f>
        <v>0.96</v>
      </c>
      <c r="G62" s="80"/>
      <c r="H62" s="81"/>
      <c r="I62" s="81"/>
      <c r="J62" s="81"/>
      <c r="K62" s="81"/>
      <c r="L62" s="81"/>
      <c r="M62" s="67"/>
      <c r="N62" s="102"/>
      <c r="O62" s="102"/>
    </row>
    <row r="63" spans="1:15" ht="16.5">
      <c r="A63" s="535"/>
      <c r="B63" s="246"/>
      <c r="C63" s="85" t="s">
        <v>22</v>
      </c>
      <c r="D63" s="78" t="s">
        <v>19</v>
      </c>
      <c r="E63" s="197">
        <v>8.9999999999999993E-3</v>
      </c>
      <c r="F63" s="83">
        <f>E63*F61</f>
        <v>7.1999999999999995E-2</v>
      </c>
      <c r="G63" s="80"/>
      <c r="H63" s="81"/>
      <c r="I63" s="81"/>
      <c r="J63" s="81"/>
      <c r="K63" s="81"/>
      <c r="L63" s="81"/>
      <c r="M63" s="67"/>
      <c r="N63" s="102"/>
      <c r="O63" s="102"/>
    </row>
    <row r="64" spans="1:15" ht="31.5">
      <c r="A64" s="535"/>
      <c r="B64" s="86"/>
      <c r="C64" s="85" t="s">
        <v>161</v>
      </c>
      <c r="D64" s="87" t="s">
        <v>11</v>
      </c>
      <c r="E64" s="198"/>
      <c r="F64" s="84">
        <v>8</v>
      </c>
      <c r="G64" s="80"/>
      <c r="H64" s="81"/>
      <c r="I64" s="81"/>
      <c r="J64" s="81"/>
      <c r="K64" s="81"/>
      <c r="L64" s="81"/>
      <c r="M64" s="67"/>
      <c r="N64" s="102"/>
      <c r="O64" s="102"/>
    </row>
    <row r="65" spans="1:15" ht="16.5">
      <c r="A65" s="536"/>
      <c r="B65" s="246"/>
      <c r="C65" s="82" t="s">
        <v>29</v>
      </c>
      <c r="D65" s="78" t="s">
        <v>19</v>
      </c>
      <c r="E65" s="197">
        <v>0.14000000000000001</v>
      </c>
      <c r="F65" s="84">
        <f>E65*F61</f>
        <v>1.1200000000000001</v>
      </c>
      <c r="G65" s="80"/>
      <c r="H65" s="81"/>
      <c r="I65" s="80"/>
      <c r="J65" s="81"/>
      <c r="K65" s="80"/>
      <c r="L65" s="81"/>
      <c r="M65" s="67"/>
      <c r="N65" s="102"/>
      <c r="O65" s="102"/>
    </row>
    <row r="66" spans="1:15" ht="16.5">
      <c r="A66" s="240" t="s">
        <v>162</v>
      </c>
      <c r="B66" s="86"/>
      <c r="C66" s="85" t="s">
        <v>163</v>
      </c>
      <c r="D66" s="459" t="s">
        <v>12</v>
      </c>
      <c r="E66" s="198"/>
      <c r="F66" s="79">
        <v>1</v>
      </c>
      <c r="G66" s="80"/>
      <c r="H66" s="81"/>
      <c r="I66" s="81"/>
      <c r="J66" s="81"/>
      <c r="K66" s="81"/>
      <c r="L66" s="81"/>
      <c r="M66" s="67"/>
      <c r="N66" s="102"/>
      <c r="O66" s="102"/>
    </row>
    <row r="67" spans="1:15" ht="67.5">
      <c r="A67" s="534" t="s">
        <v>164</v>
      </c>
      <c r="B67" s="76" t="s">
        <v>112</v>
      </c>
      <c r="C67" s="77" t="s">
        <v>113</v>
      </c>
      <c r="D67" s="459" t="s">
        <v>11</v>
      </c>
      <c r="E67" s="196"/>
      <c r="F67" s="79">
        <f>F70</f>
        <v>12</v>
      </c>
      <c r="G67" s="80"/>
      <c r="H67" s="81"/>
      <c r="I67" s="81"/>
      <c r="J67" s="81"/>
      <c r="K67" s="81"/>
      <c r="L67" s="81"/>
      <c r="M67" s="67"/>
      <c r="N67" s="102"/>
      <c r="O67" s="102"/>
    </row>
    <row r="68" spans="1:15" ht="16.5">
      <c r="A68" s="535"/>
      <c r="B68" s="246"/>
      <c r="C68" s="82" t="s">
        <v>21</v>
      </c>
      <c r="D68" s="78" t="s">
        <v>23</v>
      </c>
      <c r="E68" s="197">
        <v>0.26</v>
      </c>
      <c r="F68" s="84">
        <f>E68*F67</f>
        <v>3.12</v>
      </c>
      <c r="G68" s="80"/>
      <c r="H68" s="81"/>
      <c r="I68" s="81"/>
      <c r="J68" s="81"/>
      <c r="K68" s="81"/>
      <c r="L68" s="81"/>
      <c r="M68" s="67"/>
      <c r="N68" s="102"/>
      <c r="O68" s="102"/>
    </row>
    <row r="69" spans="1:15" ht="16.5">
      <c r="A69" s="535"/>
      <c r="B69" s="246"/>
      <c r="C69" s="85" t="s">
        <v>22</v>
      </c>
      <c r="D69" s="78" t="s">
        <v>19</v>
      </c>
      <c r="E69" s="197">
        <v>1.6E-2</v>
      </c>
      <c r="F69" s="83">
        <f>E69*F67</f>
        <v>0.192</v>
      </c>
      <c r="G69" s="80"/>
      <c r="H69" s="81"/>
      <c r="I69" s="81"/>
      <c r="J69" s="81"/>
      <c r="K69" s="81"/>
      <c r="L69" s="81"/>
      <c r="M69" s="67"/>
      <c r="N69" s="102"/>
      <c r="O69" s="102"/>
    </row>
    <row r="70" spans="1:15" ht="31.5">
      <c r="A70" s="535"/>
      <c r="B70" s="86"/>
      <c r="C70" s="85" t="s">
        <v>166</v>
      </c>
      <c r="D70" s="87" t="s">
        <v>11</v>
      </c>
      <c r="E70" s="198"/>
      <c r="F70" s="79">
        <v>12</v>
      </c>
      <c r="G70" s="80"/>
      <c r="H70" s="81"/>
      <c r="I70" s="81"/>
      <c r="J70" s="81"/>
      <c r="K70" s="81"/>
      <c r="L70" s="81"/>
      <c r="M70" s="67"/>
      <c r="N70" s="102"/>
      <c r="O70" s="102"/>
    </row>
    <row r="71" spans="1:15" ht="16.5">
      <c r="A71" s="536"/>
      <c r="B71" s="246"/>
      <c r="C71" s="82" t="s">
        <v>29</v>
      </c>
      <c r="D71" s="78" t="s">
        <v>19</v>
      </c>
      <c r="E71" s="197">
        <v>0.35299999999999998</v>
      </c>
      <c r="F71" s="84">
        <f>E71*F67</f>
        <v>4.2359999999999998</v>
      </c>
      <c r="G71" s="80"/>
      <c r="H71" s="81"/>
      <c r="I71" s="80"/>
      <c r="J71" s="81"/>
      <c r="K71" s="80"/>
      <c r="L71" s="81"/>
      <c r="M71" s="67"/>
      <c r="N71" s="102"/>
      <c r="O71" s="102"/>
    </row>
    <row r="72" spans="1:15" ht="54">
      <c r="A72" s="534" t="s">
        <v>159</v>
      </c>
      <c r="B72" s="76" t="s">
        <v>104</v>
      </c>
      <c r="C72" s="77" t="s">
        <v>111</v>
      </c>
      <c r="D72" s="460" t="s">
        <v>12</v>
      </c>
      <c r="E72" s="196"/>
      <c r="F72" s="79">
        <f>F75</f>
        <v>6</v>
      </c>
      <c r="G72" s="80"/>
      <c r="H72" s="81"/>
      <c r="I72" s="81"/>
      <c r="J72" s="81"/>
      <c r="K72" s="81"/>
      <c r="L72" s="81"/>
      <c r="M72" s="67"/>
      <c r="N72" s="102"/>
      <c r="O72" s="102"/>
    </row>
    <row r="73" spans="1:15" ht="16.5">
      <c r="A73" s="535"/>
      <c r="B73" s="246"/>
      <c r="C73" s="82" t="s">
        <v>21</v>
      </c>
      <c r="D73" s="78" t="s">
        <v>23</v>
      </c>
      <c r="E73" s="197">
        <v>0.9</v>
      </c>
      <c r="F73" s="84">
        <f>E73*F72</f>
        <v>5.4</v>
      </c>
      <c r="G73" s="80"/>
      <c r="H73" s="81"/>
      <c r="I73" s="81"/>
      <c r="J73" s="81"/>
      <c r="K73" s="81"/>
      <c r="L73" s="81"/>
      <c r="M73" s="67"/>
      <c r="N73" s="102"/>
      <c r="O73" s="102"/>
    </row>
    <row r="74" spans="1:15" ht="16.5">
      <c r="A74" s="535"/>
      <c r="B74" s="246"/>
      <c r="C74" s="85" t="s">
        <v>22</v>
      </c>
      <c r="D74" s="78" t="s">
        <v>19</v>
      </c>
      <c r="E74" s="197">
        <v>7.0000000000000007E-2</v>
      </c>
      <c r="F74" s="83">
        <f>E74*F72</f>
        <v>0.42000000000000004</v>
      </c>
      <c r="G74" s="80"/>
      <c r="H74" s="81"/>
      <c r="I74" s="81"/>
      <c r="J74" s="81"/>
      <c r="K74" s="81"/>
      <c r="L74" s="81"/>
      <c r="M74" s="67"/>
      <c r="N74" s="102"/>
      <c r="O74" s="102"/>
    </row>
    <row r="75" spans="1:15" ht="31.5">
      <c r="A75" s="535"/>
      <c r="B75" s="86"/>
      <c r="C75" s="85" t="s">
        <v>177</v>
      </c>
      <c r="D75" s="87" t="s">
        <v>12</v>
      </c>
      <c r="E75" s="198"/>
      <c r="F75" s="84">
        <v>6</v>
      </c>
      <c r="G75" s="80"/>
      <c r="H75" s="81"/>
      <c r="I75" s="81"/>
      <c r="J75" s="81"/>
      <c r="K75" s="81"/>
      <c r="L75" s="81"/>
      <c r="M75" s="67"/>
      <c r="N75" s="102"/>
      <c r="O75" s="102"/>
    </row>
    <row r="76" spans="1:15" ht="16.5">
      <c r="A76" s="535"/>
      <c r="B76" s="86"/>
      <c r="C76" s="85" t="s">
        <v>165</v>
      </c>
      <c r="D76" s="87" t="s">
        <v>12</v>
      </c>
      <c r="E76" s="198"/>
      <c r="F76" s="84">
        <f>F72</f>
        <v>6</v>
      </c>
      <c r="G76" s="80"/>
      <c r="H76" s="81"/>
      <c r="I76" s="81"/>
      <c r="J76" s="81"/>
      <c r="K76" s="81"/>
      <c r="L76" s="81"/>
      <c r="M76" s="67"/>
      <c r="N76" s="102"/>
      <c r="O76" s="102"/>
    </row>
    <row r="77" spans="1:15" ht="16.5">
      <c r="A77" s="536"/>
      <c r="B77" s="246"/>
      <c r="C77" s="82" t="s">
        <v>29</v>
      </c>
      <c r="D77" s="78" t="s">
        <v>19</v>
      </c>
      <c r="E77" s="197">
        <v>0.14000000000000001</v>
      </c>
      <c r="F77" s="84">
        <f>E77*F72</f>
        <v>0.84000000000000008</v>
      </c>
      <c r="G77" s="80"/>
      <c r="H77" s="81"/>
      <c r="I77" s="80"/>
      <c r="J77" s="81"/>
      <c r="K77" s="80"/>
      <c r="L77" s="81"/>
      <c r="M77" s="67"/>
      <c r="N77" s="102"/>
      <c r="O77" s="102"/>
    </row>
    <row r="78" spans="1:15" ht="16.5">
      <c r="A78" s="246"/>
      <c r="B78" s="246"/>
      <c r="C78" s="82"/>
      <c r="D78" s="78"/>
      <c r="E78" s="83"/>
      <c r="F78" s="84"/>
      <c r="G78" s="80"/>
      <c r="H78" s="81"/>
      <c r="I78" s="80"/>
      <c r="J78" s="81"/>
      <c r="K78" s="80"/>
      <c r="L78" s="81"/>
      <c r="M78" s="81"/>
      <c r="N78" s="102"/>
      <c r="O78" s="102"/>
    </row>
    <row r="79" spans="1:15" ht="16.5">
      <c r="A79" s="234"/>
      <c r="B79" s="86"/>
      <c r="C79" s="85"/>
      <c r="D79" s="87"/>
      <c r="E79" s="284"/>
      <c r="F79" s="84"/>
      <c r="G79" s="80"/>
      <c r="H79" s="81"/>
      <c r="I79" s="81"/>
      <c r="J79" s="81"/>
      <c r="K79" s="81"/>
      <c r="L79" s="81"/>
      <c r="M79" s="81"/>
      <c r="N79" s="102"/>
      <c r="O79" s="102"/>
    </row>
    <row r="80" spans="1:15" ht="31.5">
      <c r="A80" s="49"/>
      <c r="B80" s="49"/>
      <c r="C80" s="129" t="s">
        <v>148</v>
      </c>
      <c r="D80" s="49"/>
      <c r="E80" s="125"/>
      <c r="F80" s="125"/>
      <c r="G80" s="262"/>
      <c r="H80" s="262"/>
      <c r="I80" s="262"/>
      <c r="J80" s="262"/>
      <c r="K80" s="262"/>
      <c r="L80" s="262"/>
      <c r="M80" s="262"/>
      <c r="N80" s="264">
        <f>H80+J80+L80</f>
        <v>0</v>
      </c>
      <c r="O80" s="102"/>
    </row>
    <row r="81" spans="1:15" ht="63">
      <c r="A81" s="239"/>
      <c r="B81" s="101"/>
      <c r="C81" s="265" t="s">
        <v>149</v>
      </c>
      <c r="D81" s="63"/>
      <c r="E81" s="266"/>
      <c r="F81" s="267"/>
      <c r="G81" s="268"/>
      <c r="H81" s="268"/>
      <c r="I81" s="268"/>
      <c r="J81" s="268"/>
      <c r="K81" s="268"/>
      <c r="L81" s="268"/>
      <c r="M81" s="243"/>
      <c r="N81" s="102"/>
      <c r="O81" s="102"/>
    </row>
    <row r="82" spans="1:15" ht="16.5">
      <c r="A82" s="239"/>
      <c r="B82" s="101"/>
      <c r="C82" s="173" t="s">
        <v>41</v>
      </c>
      <c r="D82" s="63"/>
      <c r="E82" s="266"/>
      <c r="F82" s="266"/>
      <c r="G82" s="268"/>
      <c r="H82" s="268"/>
      <c r="I82" s="268"/>
      <c r="J82" s="268"/>
      <c r="K82" s="268"/>
      <c r="L82" s="268"/>
      <c r="M82" s="268"/>
      <c r="N82" s="102"/>
      <c r="O82" s="102"/>
    </row>
    <row r="83" spans="1:15" ht="47.25">
      <c r="A83" s="239"/>
      <c r="B83" s="239"/>
      <c r="C83" s="171" t="s">
        <v>167</v>
      </c>
      <c r="D83" s="242"/>
      <c r="E83" s="64"/>
      <c r="F83" s="285"/>
      <c r="G83" s="67"/>
      <c r="H83" s="67"/>
      <c r="I83" s="67"/>
      <c r="J83" s="67"/>
      <c r="K83" s="67"/>
      <c r="L83" s="67"/>
      <c r="M83" s="67"/>
      <c r="N83" s="102"/>
      <c r="O83" s="102"/>
    </row>
    <row r="84" spans="1:15" ht="16.5">
      <c r="A84" s="49"/>
      <c r="B84" s="49"/>
      <c r="C84" s="129" t="s">
        <v>168</v>
      </c>
      <c r="D84" s="49"/>
      <c r="E84" s="125"/>
      <c r="F84" s="125"/>
      <c r="G84" s="262"/>
      <c r="H84" s="262"/>
      <c r="I84" s="262"/>
      <c r="J84" s="262"/>
      <c r="K84" s="262"/>
      <c r="L84" s="262"/>
      <c r="M84" s="262"/>
      <c r="N84" s="102"/>
      <c r="O84" s="102"/>
    </row>
    <row r="85" spans="1:15" ht="16.5">
      <c r="A85" s="18"/>
      <c r="B85" s="20"/>
      <c r="C85" s="19" t="s">
        <v>169</v>
      </c>
      <c r="D85" s="20"/>
      <c r="E85" s="42"/>
      <c r="F85" s="182"/>
      <c r="G85" s="17"/>
      <c r="H85" s="17"/>
      <c r="I85" s="17"/>
      <c r="J85" s="17"/>
      <c r="K85" s="17"/>
      <c r="L85" s="17"/>
      <c r="M85" s="17"/>
      <c r="N85" s="264"/>
      <c r="O85" s="102"/>
    </row>
    <row r="86" spans="1:15" ht="47.25">
      <c r="A86" s="239"/>
      <c r="B86" s="239"/>
      <c r="C86" s="171" t="s">
        <v>170</v>
      </c>
      <c r="D86" s="242"/>
      <c r="E86" s="64"/>
      <c r="F86" s="285"/>
      <c r="G86" s="67"/>
      <c r="H86" s="67"/>
      <c r="I86" s="67"/>
      <c r="J86" s="67"/>
      <c r="K86" s="67"/>
      <c r="L86" s="67"/>
      <c r="M86" s="67"/>
      <c r="N86" s="102"/>
      <c r="O86" s="102"/>
    </row>
    <row r="87" spans="1:15" ht="31.5">
      <c r="A87" s="18"/>
      <c r="B87" s="20"/>
      <c r="C87" s="19" t="s">
        <v>178</v>
      </c>
      <c r="D87" s="20"/>
      <c r="E87" s="42"/>
      <c r="F87" s="182"/>
      <c r="G87" s="17"/>
      <c r="H87" s="17"/>
      <c r="I87" s="17"/>
      <c r="J87" s="17"/>
      <c r="K87" s="17"/>
      <c r="L87" s="17"/>
      <c r="M87" s="190"/>
      <c r="N87" s="102"/>
      <c r="O87" s="102"/>
    </row>
    <row r="88" spans="1:15" ht="57.75" customHeight="1">
      <c r="A88" s="242"/>
      <c r="B88" s="239"/>
      <c r="C88" s="113" t="s">
        <v>297</v>
      </c>
      <c r="D88" s="242"/>
      <c r="E88" s="64"/>
      <c r="F88" s="90"/>
      <c r="G88" s="67"/>
      <c r="H88" s="67"/>
      <c r="I88" s="67"/>
      <c r="J88" s="67"/>
      <c r="K88" s="67"/>
      <c r="L88" s="67"/>
      <c r="M88" s="67"/>
      <c r="N88" s="102"/>
      <c r="O88" s="102"/>
    </row>
    <row r="89" spans="1:15" ht="16.5">
      <c r="A89" s="242"/>
      <c r="B89" s="239"/>
      <c r="C89" s="173" t="s">
        <v>41</v>
      </c>
      <c r="D89" s="242"/>
      <c r="E89" s="64"/>
      <c r="F89" s="65"/>
      <c r="G89" s="67"/>
      <c r="H89" s="67"/>
      <c r="I89" s="67"/>
      <c r="J89" s="67"/>
      <c r="K89" s="67"/>
      <c r="L89" s="67"/>
      <c r="M89" s="67"/>
      <c r="N89" s="102"/>
      <c r="O89" s="102"/>
    </row>
    <row r="90" spans="1:15" ht="31.5" hidden="1">
      <c r="A90" s="194"/>
      <c r="B90" s="99"/>
      <c r="C90" s="286" t="s">
        <v>171</v>
      </c>
      <c r="D90" s="9"/>
      <c r="E90" s="53"/>
      <c r="F90" s="287">
        <v>0</v>
      </c>
      <c r="G90" s="187"/>
      <c r="H90" s="187"/>
      <c r="I90" s="187"/>
      <c r="J90" s="288"/>
      <c r="K90" s="187"/>
      <c r="L90" s="187"/>
      <c r="M90" s="187"/>
      <c r="N90" s="102"/>
      <c r="O90" s="102"/>
    </row>
    <row r="91" spans="1:15" ht="16.5" hidden="1">
      <c r="A91" s="194"/>
      <c r="B91" s="99"/>
      <c r="C91" s="173" t="s">
        <v>41</v>
      </c>
      <c r="D91" s="9"/>
      <c r="E91" s="53"/>
      <c r="F91" s="191"/>
      <c r="G91" s="187"/>
      <c r="H91" s="187"/>
      <c r="I91" s="187"/>
      <c r="J91" s="173"/>
      <c r="K91" s="187"/>
      <c r="L91" s="187"/>
      <c r="M91" s="187"/>
      <c r="N91" s="102"/>
      <c r="O91" s="102"/>
    </row>
    <row r="92" spans="1:15" ht="16.5">
      <c r="A92" s="242"/>
      <c r="B92" s="239"/>
      <c r="C92" s="113"/>
      <c r="D92" s="242"/>
      <c r="E92" s="64"/>
      <c r="F92" s="90" t="s">
        <v>82</v>
      </c>
      <c r="G92" s="67"/>
      <c r="H92" s="67"/>
      <c r="I92" s="67"/>
      <c r="J92" s="67"/>
      <c r="K92" s="67"/>
      <c r="L92" s="67"/>
      <c r="M92" s="67"/>
      <c r="N92" s="102"/>
      <c r="O92" s="102"/>
    </row>
    <row r="93" spans="1:15" ht="31.5">
      <c r="A93" s="18"/>
      <c r="B93" s="20"/>
      <c r="C93" s="19" t="s">
        <v>262</v>
      </c>
      <c r="D93" s="20"/>
      <c r="E93" s="42"/>
      <c r="F93" s="182"/>
      <c r="G93" s="17"/>
      <c r="H93" s="17"/>
      <c r="I93" s="17"/>
      <c r="J93" s="17"/>
      <c r="K93" s="17"/>
      <c r="L93" s="17"/>
      <c r="M93" s="190"/>
      <c r="N93" s="102"/>
      <c r="O93" s="102"/>
    </row>
    <row r="94" spans="1:15" ht="16.5">
      <c r="A94" s="31"/>
      <c r="B94" s="31"/>
      <c r="C94" s="289"/>
      <c r="D94" s="31"/>
      <c r="E94" s="208"/>
      <c r="F94" s="60"/>
      <c r="G94" s="209"/>
      <c r="H94" s="209"/>
      <c r="I94" s="209"/>
      <c r="J94" s="209"/>
      <c r="K94" s="209"/>
      <c r="L94" s="209"/>
      <c r="M94" s="290"/>
      <c r="N94" s="102"/>
      <c r="O94" s="102"/>
    </row>
    <row r="95" spans="1:15" ht="16.5">
      <c r="A95" s="207"/>
      <c r="B95" s="207"/>
      <c r="C95" s="54" t="s">
        <v>172</v>
      </c>
      <c r="D95" s="96"/>
      <c r="E95" s="204"/>
      <c r="F95" s="204"/>
      <c r="G95" s="32"/>
      <c r="H95" s="32"/>
      <c r="I95" s="32"/>
      <c r="J95" s="32"/>
      <c r="K95" s="32"/>
      <c r="L95" s="32"/>
      <c r="M95" s="32"/>
      <c r="N95" s="102"/>
      <c r="O95" s="102"/>
    </row>
    <row r="96" spans="1:15" ht="16.5">
      <c r="A96" s="207"/>
      <c r="B96" s="207"/>
      <c r="C96" s="291"/>
      <c r="D96" s="96"/>
      <c r="E96" s="204"/>
      <c r="F96" s="204"/>
      <c r="G96" s="32"/>
      <c r="H96" s="32"/>
      <c r="I96" s="32"/>
      <c r="J96" s="32"/>
      <c r="K96" s="32"/>
      <c r="L96" s="32"/>
      <c r="M96" s="32"/>
      <c r="N96" s="102"/>
      <c r="O96" s="102"/>
    </row>
    <row r="97" spans="5:13">
      <c r="E97" s="292"/>
      <c r="F97" s="292"/>
      <c r="G97" s="293"/>
      <c r="H97" s="293"/>
      <c r="I97" s="293"/>
      <c r="J97" s="293"/>
      <c r="K97" s="293"/>
      <c r="L97" s="293"/>
      <c r="M97" s="293"/>
    </row>
    <row r="98" spans="5:13">
      <c r="E98" s="292"/>
      <c r="F98" s="292"/>
      <c r="G98" s="293"/>
      <c r="H98" s="293"/>
      <c r="I98" s="293"/>
      <c r="J98" s="293"/>
      <c r="K98" s="293"/>
      <c r="L98" s="293"/>
      <c r="M98" s="293"/>
    </row>
    <row r="99" spans="5:13">
      <c r="E99" s="292"/>
      <c r="F99" s="292"/>
      <c r="G99" s="293"/>
      <c r="H99" s="293"/>
      <c r="I99" s="293"/>
      <c r="J99" s="293"/>
      <c r="K99" s="293"/>
      <c r="L99" s="293"/>
      <c r="M99" s="293"/>
    </row>
    <row r="100" spans="5:13">
      <c r="E100" s="292"/>
      <c r="F100" s="292"/>
      <c r="G100" s="293"/>
      <c r="H100" s="293"/>
      <c r="I100" s="293"/>
      <c r="J100" s="293"/>
      <c r="K100" s="293"/>
      <c r="L100" s="293"/>
      <c r="M100" s="293"/>
    </row>
    <row r="101" spans="5:13">
      <c r="E101" s="292"/>
      <c r="F101" s="292"/>
      <c r="G101" s="293"/>
      <c r="H101" s="293"/>
      <c r="I101" s="293"/>
      <c r="J101" s="293"/>
      <c r="K101" s="293"/>
      <c r="L101" s="293"/>
      <c r="M101" s="293"/>
    </row>
    <row r="102" spans="5:13">
      <c r="E102" s="292"/>
      <c r="F102" s="292"/>
      <c r="G102" s="293"/>
      <c r="H102" s="293"/>
      <c r="I102" s="293"/>
      <c r="J102" s="293"/>
      <c r="K102" s="293"/>
      <c r="L102" s="293"/>
      <c r="M102" s="293"/>
    </row>
    <row r="103" spans="5:13">
      <c r="E103" s="292"/>
      <c r="F103" s="292"/>
      <c r="G103" s="293"/>
      <c r="H103" s="293"/>
      <c r="I103" s="293"/>
      <c r="J103" s="293"/>
      <c r="K103" s="293"/>
      <c r="L103" s="293"/>
      <c r="M103" s="293"/>
    </row>
    <row r="104" spans="5:13">
      <c r="E104" s="292"/>
      <c r="F104" s="292"/>
      <c r="G104" s="293"/>
      <c r="H104" s="293"/>
      <c r="I104" s="293"/>
      <c r="J104" s="293"/>
      <c r="K104" s="293"/>
      <c r="L104" s="293"/>
      <c r="M104" s="293"/>
    </row>
    <row r="105" spans="5:13">
      <c r="E105" s="292"/>
      <c r="F105" s="292"/>
      <c r="G105" s="293"/>
      <c r="H105" s="293"/>
      <c r="I105" s="293"/>
      <c r="J105" s="293"/>
      <c r="K105" s="293"/>
      <c r="L105" s="293"/>
      <c r="M105" s="293"/>
    </row>
    <row r="106" spans="5:13">
      <c r="E106" s="292"/>
      <c r="F106" s="292"/>
      <c r="G106" s="293"/>
      <c r="H106" s="293"/>
      <c r="I106" s="293"/>
      <c r="J106" s="293"/>
      <c r="K106" s="293"/>
      <c r="L106" s="293"/>
      <c r="M106" s="293"/>
    </row>
    <row r="107" spans="5:13">
      <c r="E107" s="292"/>
      <c r="F107" s="292"/>
      <c r="G107" s="293"/>
      <c r="H107" s="293"/>
      <c r="I107" s="293"/>
      <c r="J107" s="293"/>
      <c r="K107" s="293"/>
      <c r="L107" s="293"/>
      <c r="M107" s="293"/>
    </row>
    <row r="108" spans="5:13">
      <c r="E108" s="292"/>
      <c r="F108" s="292"/>
      <c r="G108" s="293"/>
      <c r="H108" s="293"/>
      <c r="I108" s="293"/>
      <c r="J108" s="293"/>
      <c r="K108" s="293"/>
      <c r="L108" s="293"/>
      <c r="M108" s="293"/>
    </row>
    <row r="109" spans="5:13">
      <c r="E109" s="292"/>
      <c r="F109" s="292"/>
      <c r="G109" s="293"/>
      <c r="H109" s="293"/>
      <c r="I109" s="293"/>
      <c r="J109" s="293"/>
      <c r="K109" s="293"/>
      <c r="L109" s="293"/>
      <c r="M109" s="293"/>
    </row>
    <row r="110" spans="5:13">
      <c r="E110" s="292"/>
      <c r="F110" s="292"/>
      <c r="G110" s="293"/>
      <c r="H110" s="293"/>
      <c r="I110" s="293"/>
      <c r="J110" s="293"/>
      <c r="K110" s="293"/>
      <c r="L110" s="293"/>
      <c r="M110" s="293"/>
    </row>
    <row r="111" spans="5:13">
      <c r="E111" s="292"/>
      <c r="F111" s="292"/>
      <c r="G111" s="293"/>
      <c r="H111" s="293"/>
      <c r="I111" s="293"/>
      <c r="J111" s="293"/>
      <c r="K111" s="293"/>
      <c r="L111" s="293"/>
      <c r="M111" s="293"/>
    </row>
  </sheetData>
  <mergeCells count="27">
    <mergeCell ref="A16:A18"/>
    <mergeCell ref="A19:A23"/>
    <mergeCell ref="A24:A26"/>
    <mergeCell ref="A27:A28"/>
    <mergeCell ref="A14:A15"/>
    <mergeCell ref="A35:A39"/>
    <mergeCell ref="A40:A45"/>
    <mergeCell ref="A47:A59"/>
    <mergeCell ref="A61:A65"/>
    <mergeCell ref="A72:A77"/>
    <mergeCell ref="A67:A71"/>
    <mergeCell ref="A12:A13"/>
    <mergeCell ref="B12:B13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phoneticPr fontId="93" type="noConversion"/>
  <pageMargins left="0.70866141732283472" right="0.15" top="0.81" bottom="0.56999999999999995" header="0.4" footer="0.31496062992125984"/>
  <pageSetup paperSize="9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E115"/>
  <sheetViews>
    <sheetView topLeftCell="A76" zoomScale="80" zoomScaleNormal="80" workbookViewId="0">
      <selection activeCell="F90" sqref="F90"/>
    </sheetView>
  </sheetViews>
  <sheetFormatPr defaultColWidth="8.85546875" defaultRowHeight="16.5"/>
  <cols>
    <col min="1" max="1" width="7.5703125" style="5" customWidth="1"/>
    <col min="2" max="2" width="49.42578125" style="5" customWidth="1"/>
    <col min="3" max="3" width="9.28515625" style="5" customWidth="1"/>
    <col min="4" max="4" width="16.5703125" style="341" customWidth="1"/>
    <col min="5" max="5" width="11" style="2" customWidth="1"/>
    <col min="6" max="16384" width="8.85546875" style="1"/>
  </cols>
  <sheetData>
    <row r="1" spans="1:5" ht="42" customHeight="1">
      <c r="A1" s="552" t="str">
        <f>krebsiti!A3</f>
        <v>mcxeTis municipalitetis sofel cixisZirSi sportuli moednis moawyobis samuSaoebi</v>
      </c>
      <c r="B1" s="552"/>
      <c r="C1" s="552"/>
      <c r="D1" s="552"/>
      <c r="E1" s="552"/>
    </row>
    <row r="3" spans="1:5" ht="21">
      <c r="A3" s="553" t="s">
        <v>14</v>
      </c>
      <c r="B3" s="553"/>
      <c r="C3" s="553"/>
      <c r="D3" s="553"/>
      <c r="E3" s="553"/>
    </row>
    <row r="5" spans="1:5" ht="47.25">
      <c r="A5" s="435" t="s">
        <v>0</v>
      </c>
      <c r="B5" s="160" t="s">
        <v>2</v>
      </c>
      <c r="C5" s="160" t="s">
        <v>3</v>
      </c>
      <c r="D5" s="340" t="s">
        <v>5</v>
      </c>
      <c r="E5" s="22" t="s">
        <v>13</v>
      </c>
    </row>
    <row r="6" spans="1:5">
      <c r="A6" s="312">
        <v>1</v>
      </c>
      <c r="B6" s="160">
        <v>2</v>
      </c>
      <c r="C6" s="160">
        <v>3</v>
      </c>
      <c r="D6" s="312">
        <v>4</v>
      </c>
      <c r="E6" s="22">
        <v>5</v>
      </c>
    </row>
    <row r="7" spans="1:5" s="4" customFormat="1" ht="25.5">
      <c r="A7" s="416" t="s">
        <v>273</v>
      </c>
      <c r="B7" s="385" t="s">
        <v>184</v>
      </c>
      <c r="C7" s="385"/>
      <c r="D7" s="387"/>
      <c r="E7" s="22"/>
    </row>
    <row r="8" spans="1:5" s="4" customFormat="1" ht="31.5">
      <c r="A8" s="434"/>
      <c r="B8" s="403" t="s">
        <v>259</v>
      </c>
      <c r="C8" s="403"/>
      <c r="D8" s="405"/>
      <c r="E8" s="22"/>
    </row>
    <row r="9" spans="1:5" s="4" customFormat="1" ht="63">
      <c r="A9" s="359" t="s">
        <v>92</v>
      </c>
      <c r="B9" s="417" t="s">
        <v>274</v>
      </c>
      <c r="C9" s="233" t="s">
        <v>12</v>
      </c>
      <c r="D9" s="163">
        <v>2</v>
      </c>
      <c r="E9" s="22"/>
    </row>
    <row r="10" spans="1:5" s="4" customFormat="1" ht="47.25">
      <c r="A10" s="359" t="s">
        <v>93</v>
      </c>
      <c r="B10" s="116" t="s">
        <v>275</v>
      </c>
      <c r="C10" s="233" t="s">
        <v>12</v>
      </c>
      <c r="D10" s="163">
        <v>1</v>
      </c>
      <c r="E10" s="22"/>
    </row>
    <row r="11" spans="1:5" s="4" customFormat="1" ht="31.5">
      <c r="A11" s="436"/>
      <c r="B11" s="403" t="s">
        <v>260</v>
      </c>
      <c r="C11" s="407"/>
      <c r="D11" s="409"/>
      <c r="E11" s="22"/>
    </row>
    <row r="12" spans="1:5" s="4" customFormat="1" ht="47.25">
      <c r="A12" s="429" t="s">
        <v>91</v>
      </c>
      <c r="B12" s="111" t="s">
        <v>186</v>
      </c>
      <c r="C12" s="356" t="s">
        <v>16</v>
      </c>
      <c r="D12" s="65">
        <v>1500</v>
      </c>
      <c r="E12" s="22"/>
    </row>
    <row r="13" spans="1:5" s="4" customFormat="1" ht="47.25">
      <c r="A13" s="430" t="s">
        <v>92</v>
      </c>
      <c r="B13" s="111" t="s">
        <v>192</v>
      </c>
      <c r="C13" s="356" t="s">
        <v>15</v>
      </c>
      <c r="D13" s="65">
        <v>245.42699999999996</v>
      </c>
      <c r="E13" s="22"/>
    </row>
    <row r="14" spans="1:5" s="4" customFormat="1" ht="47.25">
      <c r="A14" s="429" t="s">
        <v>48</v>
      </c>
      <c r="B14" s="111" t="s">
        <v>231</v>
      </c>
      <c r="C14" s="356" t="s">
        <v>15</v>
      </c>
      <c r="D14" s="65">
        <v>13.3</v>
      </c>
      <c r="E14" s="22"/>
    </row>
    <row r="15" spans="1:5" s="4" customFormat="1" ht="31.5">
      <c r="A15" s="549" t="s">
        <v>93</v>
      </c>
      <c r="B15" s="141" t="s">
        <v>102</v>
      </c>
      <c r="C15" s="16" t="s">
        <v>78</v>
      </c>
      <c r="D15" s="142">
        <v>504.51764999999995</v>
      </c>
      <c r="E15" s="22"/>
    </row>
    <row r="16" spans="1:5" s="4" customFormat="1">
      <c r="A16" s="549"/>
      <c r="B16" s="111" t="s">
        <v>230</v>
      </c>
      <c r="C16" s="356" t="s">
        <v>69</v>
      </c>
      <c r="D16" s="123">
        <v>504.51764999999995</v>
      </c>
      <c r="E16" s="22"/>
    </row>
    <row r="17" spans="1:5" s="4" customFormat="1" ht="47.25">
      <c r="A17" s="424" t="s">
        <v>33</v>
      </c>
      <c r="B17" s="111" t="s">
        <v>193</v>
      </c>
      <c r="C17" s="356" t="s">
        <v>15</v>
      </c>
      <c r="D17" s="65">
        <v>124.01349999999998</v>
      </c>
      <c r="E17" s="22"/>
    </row>
    <row r="18" spans="1:5" s="4" customFormat="1" ht="47.25">
      <c r="A18" s="560" t="s">
        <v>88</v>
      </c>
      <c r="B18" s="317" t="s">
        <v>223</v>
      </c>
      <c r="C18" s="158" t="s">
        <v>15</v>
      </c>
      <c r="D18" s="124">
        <v>13.108000000000001</v>
      </c>
      <c r="E18" s="22"/>
    </row>
    <row r="19" spans="1:5" s="4" customFormat="1">
      <c r="A19" s="560"/>
      <c r="B19" s="162" t="s">
        <v>194</v>
      </c>
      <c r="C19" s="352" t="s">
        <v>18</v>
      </c>
      <c r="D19" s="124">
        <v>8.4624800000000014E-2</v>
      </c>
      <c r="E19" s="22"/>
    </row>
    <row r="20" spans="1:5" s="4" customFormat="1" ht="47.25">
      <c r="A20" s="560" t="s">
        <v>94</v>
      </c>
      <c r="B20" s="317" t="s">
        <v>196</v>
      </c>
      <c r="C20" s="158" t="s">
        <v>114</v>
      </c>
      <c r="D20" s="124">
        <v>10.799999999999999</v>
      </c>
      <c r="E20" s="22"/>
    </row>
    <row r="21" spans="1:5" s="4" customFormat="1">
      <c r="A21" s="560"/>
      <c r="B21" s="162" t="s">
        <v>194</v>
      </c>
      <c r="C21" s="352" t="s">
        <v>18</v>
      </c>
      <c r="D21" s="124">
        <v>0.43902720000000006</v>
      </c>
      <c r="E21" s="22"/>
    </row>
    <row r="22" spans="1:5" s="4" customFormat="1">
      <c r="A22" s="560"/>
      <c r="B22" s="162" t="s">
        <v>195</v>
      </c>
      <c r="C22" s="352" t="s">
        <v>18</v>
      </c>
      <c r="D22" s="124">
        <v>0.21978799200000002</v>
      </c>
      <c r="E22" s="22"/>
    </row>
    <row r="23" spans="1:5" s="4" customFormat="1" ht="47.25">
      <c r="A23" s="560" t="s">
        <v>34</v>
      </c>
      <c r="B23" s="319" t="s">
        <v>250</v>
      </c>
      <c r="C23" s="320" t="s">
        <v>15</v>
      </c>
      <c r="D23" s="124">
        <v>123.38849999999998</v>
      </c>
      <c r="E23" s="22"/>
    </row>
    <row r="24" spans="1:5" s="4" customFormat="1">
      <c r="A24" s="560"/>
      <c r="B24" s="162" t="s">
        <v>194</v>
      </c>
      <c r="C24" s="158" t="s">
        <v>18</v>
      </c>
      <c r="D24" s="124">
        <v>5.3254386639999991</v>
      </c>
      <c r="E24" s="22"/>
    </row>
    <row r="25" spans="1:5" s="4" customFormat="1" ht="31.5">
      <c r="A25" s="561" t="s">
        <v>43</v>
      </c>
      <c r="B25" s="321" t="s">
        <v>224</v>
      </c>
      <c r="C25" s="350"/>
      <c r="D25" s="110"/>
      <c r="E25" s="22"/>
    </row>
    <row r="26" spans="1:5" s="4" customFormat="1" ht="31.5">
      <c r="A26" s="561"/>
      <c r="B26" s="322" t="s">
        <v>199</v>
      </c>
      <c r="C26" s="350" t="s">
        <v>11</v>
      </c>
      <c r="D26" s="304">
        <v>306.24000000000007</v>
      </c>
      <c r="E26" s="22"/>
    </row>
    <row r="27" spans="1:5" s="4" customFormat="1">
      <c r="A27" s="561"/>
      <c r="B27" s="323"/>
      <c r="C27" s="350" t="s">
        <v>18</v>
      </c>
      <c r="D27" s="304">
        <v>2.8847808000000006</v>
      </c>
      <c r="E27" s="22"/>
    </row>
    <row r="28" spans="1:5" s="4" customFormat="1">
      <c r="A28" s="561"/>
      <c r="B28" s="166" t="s">
        <v>200</v>
      </c>
      <c r="C28" s="350" t="s">
        <v>11</v>
      </c>
      <c r="D28" s="181">
        <v>799.92</v>
      </c>
      <c r="E28" s="22"/>
    </row>
    <row r="29" spans="1:5" s="4" customFormat="1">
      <c r="A29" s="561"/>
      <c r="B29" s="136"/>
      <c r="C29" s="350" t="s">
        <v>18</v>
      </c>
      <c r="D29" s="181">
        <v>3.0156983999999998</v>
      </c>
      <c r="E29" s="22"/>
    </row>
    <row r="30" spans="1:5" s="4" customFormat="1" ht="31.5">
      <c r="A30" s="561"/>
      <c r="B30" s="106" t="s">
        <v>232</v>
      </c>
      <c r="C30" s="351" t="s">
        <v>11</v>
      </c>
      <c r="D30" s="347">
        <v>27.720000000000002</v>
      </c>
      <c r="E30" s="22"/>
    </row>
    <row r="31" spans="1:5" s="4" customFormat="1">
      <c r="A31" s="561"/>
      <c r="B31" s="108"/>
      <c r="C31" s="351" t="s">
        <v>18</v>
      </c>
      <c r="D31" s="347">
        <v>0.39168360000000002</v>
      </c>
      <c r="E31" s="22"/>
    </row>
    <row r="32" spans="1:5" s="4" customFormat="1">
      <c r="A32" s="561"/>
      <c r="B32" s="322" t="s">
        <v>201</v>
      </c>
      <c r="C32" s="350" t="s">
        <v>11</v>
      </c>
      <c r="D32" s="304">
        <v>23.759999999999998</v>
      </c>
      <c r="E32" s="22"/>
    </row>
    <row r="33" spans="1:5" s="4" customFormat="1">
      <c r="A33" s="561"/>
      <c r="B33" s="323"/>
      <c r="C33" s="350" t="s">
        <v>18</v>
      </c>
      <c r="D33" s="304">
        <v>9.5039999999999999E-2</v>
      </c>
      <c r="E33" s="22"/>
    </row>
    <row r="34" spans="1:5" s="4" customFormat="1">
      <c r="A34" s="561"/>
      <c r="B34" s="170" t="s">
        <v>49</v>
      </c>
      <c r="C34" s="11" t="s">
        <v>18</v>
      </c>
      <c r="D34" s="343">
        <v>6.3872028000000007</v>
      </c>
      <c r="E34" s="22"/>
    </row>
    <row r="35" spans="1:5" s="4" customFormat="1" ht="31.5">
      <c r="A35" s="358" t="s">
        <v>90</v>
      </c>
      <c r="B35" s="146" t="s">
        <v>107</v>
      </c>
      <c r="C35" s="158" t="s">
        <v>16</v>
      </c>
      <c r="D35" s="361">
        <v>248.01600000000002</v>
      </c>
      <c r="E35" s="22"/>
    </row>
    <row r="36" spans="1:5" s="4" customFormat="1" ht="27" customHeight="1">
      <c r="A36" s="549" t="s">
        <v>286</v>
      </c>
      <c r="B36" s="554" t="s">
        <v>276</v>
      </c>
      <c r="C36" s="356" t="s">
        <v>11</v>
      </c>
      <c r="D36" s="65">
        <v>121.19999999999999</v>
      </c>
      <c r="E36" s="22"/>
    </row>
    <row r="37" spans="1:5" s="4" customFormat="1" ht="37.5" customHeight="1">
      <c r="A37" s="549"/>
      <c r="B37" s="555"/>
      <c r="C37" s="356" t="s">
        <v>16</v>
      </c>
      <c r="D37" s="65">
        <v>424.19999999999993</v>
      </c>
      <c r="E37" s="22"/>
    </row>
    <row r="38" spans="1:5" s="4" customFormat="1" ht="27.75" customHeight="1">
      <c r="A38" s="549" t="s">
        <v>287</v>
      </c>
      <c r="B38" s="556" t="s">
        <v>277</v>
      </c>
      <c r="C38" s="356" t="s">
        <v>11</v>
      </c>
      <c r="D38" s="65">
        <v>121.19999999999999</v>
      </c>
      <c r="E38" s="22"/>
    </row>
    <row r="39" spans="1:5" s="4" customFormat="1" ht="27.75" customHeight="1">
      <c r="A39" s="549"/>
      <c r="B39" s="555"/>
      <c r="C39" s="356" t="s">
        <v>16</v>
      </c>
      <c r="D39" s="65">
        <v>121.19999999999999</v>
      </c>
      <c r="E39" s="22"/>
    </row>
    <row r="40" spans="1:5" s="4" customFormat="1" ht="31.5">
      <c r="A40" s="354" t="s">
        <v>288</v>
      </c>
      <c r="B40" s="389" t="s">
        <v>284</v>
      </c>
      <c r="C40" s="388" t="s">
        <v>16</v>
      </c>
      <c r="D40" s="423">
        <v>242.39999999999998</v>
      </c>
      <c r="E40" s="22"/>
    </row>
    <row r="41" spans="1:5" s="4" customFormat="1" ht="24.75" customHeight="1">
      <c r="A41" s="410"/>
      <c r="B41" s="321" t="s">
        <v>225</v>
      </c>
      <c r="C41" s="356"/>
      <c r="D41" s="65"/>
      <c r="E41" s="22"/>
    </row>
    <row r="42" spans="1:5" s="4" customFormat="1" ht="31.5">
      <c r="A42" s="562" t="s">
        <v>103</v>
      </c>
      <c r="B42" s="111" t="s">
        <v>233</v>
      </c>
      <c r="C42" s="230" t="s">
        <v>16</v>
      </c>
      <c r="D42" s="34">
        <v>818.08999999999992</v>
      </c>
      <c r="E42" s="22"/>
    </row>
    <row r="43" spans="1:5" s="4" customFormat="1" ht="47.25">
      <c r="A43" s="562"/>
      <c r="B43" s="106" t="s">
        <v>234</v>
      </c>
      <c r="C43" s="425"/>
      <c r="D43" s="362"/>
      <c r="E43" s="22"/>
    </row>
    <row r="44" spans="1:5" s="4" customFormat="1" ht="31.5">
      <c r="A44" s="562"/>
      <c r="B44" s="363" t="s">
        <v>235</v>
      </c>
      <c r="C44" s="372"/>
      <c r="D44" s="373"/>
      <c r="E44" s="22"/>
    </row>
    <row r="45" spans="1:5" s="4" customFormat="1">
      <c r="A45" s="562"/>
      <c r="B45" s="364" t="s">
        <v>236</v>
      </c>
      <c r="C45" s="374"/>
      <c r="D45" s="375"/>
      <c r="E45" s="22"/>
    </row>
    <row r="46" spans="1:5" s="4" customFormat="1">
      <c r="A46" s="562"/>
      <c r="B46" s="364" t="s">
        <v>237</v>
      </c>
      <c r="C46" s="374"/>
      <c r="D46" s="375"/>
      <c r="E46" s="22"/>
    </row>
    <row r="47" spans="1:5" s="4" customFormat="1">
      <c r="A47" s="562"/>
      <c r="B47" s="364" t="s">
        <v>238</v>
      </c>
      <c r="C47" s="374"/>
      <c r="D47" s="375"/>
      <c r="E47" s="22"/>
    </row>
    <row r="48" spans="1:5" s="4" customFormat="1">
      <c r="A48" s="562"/>
      <c r="B48" s="364" t="s">
        <v>239</v>
      </c>
      <c r="C48" s="374"/>
      <c r="D48" s="375"/>
      <c r="E48" s="22"/>
    </row>
    <row r="49" spans="1:5" s="4" customFormat="1">
      <c r="A49" s="562"/>
      <c r="B49" s="365" t="s">
        <v>240</v>
      </c>
      <c r="C49" s="374"/>
      <c r="D49" s="375"/>
      <c r="E49" s="22"/>
    </row>
    <row r="50" spans="1:5" s="4" customFormat="1">
      <c r="A50" s="562"/>
      <c r="B50" s="365" t="s">
        <v>241</v>
      </c>
      <c r="C50" s="374"/>
      <c r="D50" s="375"/>
      <c r="E50" s="22"/>
    </row>
    <row r="51" spans="1:5" s="4" customFormat="1">
      <c r="A51" s="562"/>
      <c r="B51" s="364" t="s">
        <v>242</v>
      </c>
      <c r="C51" s="374"/>
      <c r="D51" s="375"/>
      <c r="E51" s="22"/>
    </row>
    <row r="52" spans="1:5" s="4" customFormat="1">
      <c r="A52" s="562"/>
      <c r="B52" s="365" t="s">
        <v>243</v>
      </c>
      <c r="C52" s="374"/>
      <c r="D52" s="375"/>
      <c r="E52" s="22"/>
    </row>
    <row r="53" spans="1:5" s="4" customFormat="1">
      <c r="A53" s="562"/>
      <c r="B53" s="365" t="s">
        <v>244</v>
      </c>
      <c r="C53" s="374"/>
      <c r="D53" s="375"/>
      <c r="E53" s="22"/>
    </row>
    <row r="54" spans="1:5" s="4" customFormat="1">
      <c r="A54" s="562"/>
      <c r="B54" s="366" t="s">
        <v>245</v>
      </c>
      <c r="C54" s="376"/>
      <c r="D54" s="377"/>
      <c r="E54" s="22"/>
    </row>
    <row r="55" spans="1:5" s="4" customFormat="1" ht="31.5">
      <c r="A55" s="354" t="s">
        <v>110</v>
      </c>
      <c r="B55" s="231" t="s">
        <v>247</v>
      </c>
      <c r="C55" s="458" t="s">
        <v>15</v>
      </c>
      <c r="D55" s="378">
        <v>12.271349999999998</v>
      </c>
      <c r="E55" s="22"/>
    </row>
    <row r="56" spans="1:5" s="4" customFormat="1" ht="47.25">
      <c r="A56" s="437" t="s">
        <v>109</v>
      </c>
      <c r="B56" s="389" t="s">
        <v>252</v>
      </c>
      <c r="C56" s="388" t="s">
        <v>55</v>
      </c>
      <c r="D56" s="391">
        <v>4.5</v>
      </c>
      <c r="E56" s="22"/>
    </row>
    <row r="57" spans="1:5" s="4" customFormat="1" ht="31.5">
      <c r="A57" s="437" t="s">
        <v>108</v>
      </c>
      <c r="B57" s="389" t="s">
        <v>257</v>
      </c>
      <c r="C57" s="388" t="s">
        <v>16</v>
      </c>
      <c r="D57" s="391">
        <v>9</v>
      </c>
      <c r="E57" s="22"/>
    </row>
    <row r="58" spans="1:5" s="4" customFormat="1" ht="31.5">
      <c r="A58" s="333"/>
      <c r="B58" s="129" t="s">
        <v>204</v>
      </c>
      <c r="C58" s="128" t="s">
        <v>12</v>
      </c>
      <c r="D58" s="131">
        <v>2</v>
      </c>
      <c r="E58" s="22"/>
    </row>
    <row r="59" spans="1:5" s="4" customFormat="1" ht="47.25">
      <c r="A59" s="428" t="s">
        <v>91</v>
      </c>
      <c r="B59" s="132" t="s">
        <v>205</v>
      </c>
      <c r="C59" s="76" t="s">
        <v>15</v>
      </c>
      <c r="D59" s="79">
        <v>1.62</v>
      </c>
      <c r="E59" s="22"/>
    </row>
    <row r="60" spans="1:5" s="4" customFormat="1" ht="31.5">
      <c r="A60" s="548" t="s">
        <v>92</v>
      </c>
      <c r="B60" s="299" t="s">
        <v>102</v>
      </c>
      <c r="C60" s="356" t="s">
        <v>18</v>
      </c>
      <c r="D60" s="123">
        <v>3.1590000000000003</v>
      </c>
      <c r="E60" s="22"/>
    </row>
    <row r="61" spans="1:5" s="4" customFormat="1" ht="31.5">
      <c r="A61" s="548"/>
      <c r="B61" s="357" t="s">
        <v>182</v>
      </c>
      <c r="C61" s="356" t="s">
        <v>18</v>
      </c>
      <c r="D61" s="123">
        <v>3.1590000000000003</v>
      </c>
      <c r="E61" s="22"/>
    </row>
    <row r="62" spans="1:5" s="4" customFormat="1" ht="31.5">
      <c r="A62" s="355" t="s">
        <v>48</v>
      </c>
      <c r="B62" s="135" t="s">
        <v>206</v>
      </c>
      <c r="C62" s="356" t="s">
        <v>15</v>
      </c>
      <c r="D62" s="65">
        <v>0.32400000000000007</v>
      </c>
      <c r="E62" s="22"/>
    </row>
    <row r="63" spans="1:5" s="4" customFormat="1" ht="47.25">
      <c r="A63" s="355" t="s">
        <v>93</v>
      </c>
      <c r="B63" s="135" t="s">
        <v>208</v>
      </c>
      <c r="C63" s="356" t="s">
        <v>15</v>
      </c>
      <c r="D63" s="65">
        <v>0.2</v>
      </c>
      <c r="E63" s="22"/>
    </row>
    <row r="64" spans="1:5" s="4" customFormat="1" ht="31.5">
      <c r="A64" s="549" t="s">
        <v>33</v>
      </c>
      <c r="B64" s="135" t="s">
        <v>210</v>
      </c>
      <c r="C64" s="356" t="s">
        <v>15</v>
      </c>
      <c r="D64" s="65">
        <v>0.84</v>
      </c>
      <c r="E64" s="22"/>
    </row>
    <row r="65" spans="1:5" s="4" customFormat="1">
      <c r="A65" s="549"/>
      <c r="B65" s="135" t="s">
        <v>212</v>
      </c>
      <c r="C65" s="431" t="s">
        <v>18</v>
      </c>
      <c r="D65" s="79">
        <v>4.3999999999999997E-2</v>
      </c>
      <c r="E65" s="22"/>
    </row>
    <row r="66" spans="1:5" s="4" customFormat="1" ht="31.5">
      <c r="A66" s="550" t="s">
        <v>88</v>
      </c>
      <c r="B66" s="77" t="s">
        <v>214</v>
      </c>
      <c r="C66" s="426"/>
      <c r="D66" s="344"/>
      <c r="E66" s="22"/>
    </row>
    <row r="67" spans="1:5" s="4" customFormat="1">
      <c r="A67" s="550"/>
      <c r="B67" s="558" t="s">
        <v>215</v>
      </c>
      <c r="C67" s="426" t="s">
        <v>11</v>
      </c>
      <c r="D67" s="345">
        <v>13.200000000000001</v>
      </c>
      <c r="E67" s="22"/>
    </row>
    <row r="68" spans="1:5" s="4" customFormat="1">
      <c r="A68" s="550"/>
      <c r="B68" s="559"/>
      <c r="C68" s="325" t="s">
        <v>18</v>
      </c>
      <c r="D68" s="345">
        <v>0.37303200000000003</v>
      </c>
      <c r="E68" s="22"/>
    </row>
    <row r="69" spans="1:5" s="4" customFormat="1">
      <c r="A69" s="550"/>
      <c r="B69" s="326" t="s">
        <v>216</v>
      </c>
      <c r="C69" s="325" t="s">
        <v>16</v>
      </c>
      <c r="D69" s="345">
        <v>0.04</v>
      </c>
      <c r="E69" s="22"/>
    </row>
    <row r="70" spans="1:5" s="4" customFormat="1">
      <c r="A70" s="550"/>
      <c r="B70" s="327"/>
      <c r="C70" s="325" t="s">
        <v>18</v>
      </c>
      <c r="D70" s="345">
        <v>0.02</v>
      </c>
      <c r="E70" s="22"/>
    </row>
    <row r="71" spans="1:5" s="4" customFormat="1">
      <c r="A71" s="550"/>
      <c r="B71" s="326" t="s">
        <v>217</v>
      </c>
      <c r="C71" s="325" t="s">
        <v>16</v>
      </c>
      <c r="D71" s="345">
        <v>0.26</v>
      </c>
      <c r="E71" s="22"/>
    </row>
    <row r="72" spans="1:5" s="4" customFormat="1">
      <c r="A72" s="550"/>
      <c r="B72" s="327"/>
      <c r="C72" s="325" t="s">
        <v>18</v>
      </c>
      <c r="D72" s="345">
        <v>2.5999999999999999E-2</v>
      </c>
      <c r="E72" s="22"/>
    </row>
    <row r="73" spans="1:5" s="4" customFormat="1" ht="31.5">
      <c r="A73" s="550"/>
      <c r="B73" s="77" t="s">
        <v>218</v>
      </c>
      <c r="C73" s="76" t="s">
        <v>12</v>
      </c>
      <c r="D73" s="345">
        <v>8</v>
      </c>
      <c r="E73" s="22"/>
    </row>
    <row r="74" spans="1:5" s="4" customFormat="1">
      <c r="A74" s="550"/>
      <c r="B74" s="77" t="s">
        <v>219</v>
      </c>
      <c r="C74" s="76" t="s">
        <v>18</v>
      </c>
      <c r="D74" s="346">
        <v>0.41903200000000007</v>
      </c>
      <c r="E74" s="22"/>
    </row>
    <row r="75" spans="1:5" s="4" customFormat="1" ht="47.25">
      <c r="A75" s="428" t="s">
        <v>94</v>
      </c>
      <c r="B75" s="427" t="s">
        <v>221</v>
      </c>
      <c r="C75" s="76" t="s">
        <v>16</v>
      </c>
      <c r="D75" s="79">
        <v>7.4999999999999991</v>
      </c>
      <c r="E75" s="22"/>
    </row>
    <row r="76" spans="1:5" s="4" customFormat="1" ht="78.75">
      <c r="A76" s="557" t="s">
        <v>180</v>
      </c>
      <c r="B76" s="109" t="s">
        <v>126</v>
      </c>
      <c r="C76" s="233" t="s">
        <v>15</v>
      </c>
      <c r="D76" s="21">
        <v>10</v>
      </c>
      <c r="E76" s="22"/>
    </row>
    <row r="77" spans="1:5" s="4" customFormat="1" ht="31.5">
      <c r="A77" s="557"/>
      <c r="B77" s="383" t="s">
        <v>53</v>
      </c>
      <c r="C77" s="233" t="s">
        <v>18</v>
      </c>
      <c r="D77" s="123">
        <v>16.5</v>
      </c>
      <c r="E77" s="22"/>
    </row>
    <row r="78" spans="1:5" s="4" customFormat="1">
      <c r="A78" s="557"/>
      <c r="B78" s="168" t="s">
        <v>249</v>
      </c>
      <c r="C78" s="233" t="s">
        <v>18</v>
      </c>
      <c r="D78" s="123">
        <v>16.5</v>
      </c>
      <c r="E78" s="22"/>
    </row>
    <row r="79" spans="1:5" s="4" customFormat="1" ht="32.25" customHeight="1">
      <c r="A79" s="238" t="s">
        <v>174</v>
      </c>
      <c r="B79" s="238" t="s">
        <v>179</v>
      </c>
      <c r="C79" s="251"/>
      <c r="D79" s="251"/>
      <c r="E79" s="22"/>
    </row>
    <row r="80" spans="1:5" s="4" customFormat="1">
      <c r="A80" s="253"/>
      <c r="B80" s="254" t="s">
        <v>138</v>
      </c>
      <c r="C80" s="255"/>
      <c r="D80" s="256"/>
      <c r="E80" s="22"/>
    </row>
    <row r="81" spans="1:5" s="4" customFormat="1">
      <c r="A81" s="532"/>
      <c r="B81" s="232" t="s">
        <v>226</v>
      </c>
      <c r="C81" s="356" t="s">
        <v>20</v>
      </c>
      <c r="D81" s="65">
        <v>8</v>
      </c>
      <c r="E81" s="22"/>
    </row>
    <row r="82" spans="1:5" s="4" customFormat="1" ht="31.5">
      <c r="A82" s="532"/>
      <c r="B82" s="232" t="s">
        <v>265</v>
      </c>
      <c r="C82" s="356"/>
      <c r="D82" s="65"/>
      <c r="E82" s="22"/>
    </row>
    <row r="83" spans="1:5" s="4" customFormat="1">
      <c r="A83" s="221">
        <v>1</v>
      </c>
      <c r="B83" s="144" t="s">
        <v>140</v>
      </c>
      <c r="C83" s="213" t="s">
        <v>128</v>
      </c>
      <c r="D83" s="214">
        <v>21</v>
      </c>
      <c r="E83" s="22"/>
    </row>
    <row r="84" spans="1:5" s="4" customFormat="1">
      <c r="A84" s="219" t="s">
        <v>92</v>
      </c>
      <c r="B84" s="216" t="s">
        <v>142</v>
      </c>
      <c r="C84" s="215" t="s">
        <v>131</v>
      </c>
      <c r="D84" s="218">
        <v>7.5</v>
      </c>
      <c r="E84" s="22"/>
    </row>
    <row r="85" spans="1:5" s="4" customFormat="1" ht="31.5">
      <c r="A85" s="221" t="s">
        <v>48</v>
      </c>
      <c r="B85" s="257" t="s">
        <v>144</v>
      </c>
      <c r="C85" s="213" t="s">
        <v>133</v>
      </c>
      <c r="D85" s="214">
        <v>120</v>
      </c>
      <c r="E85" s="22"/>
    </row>
    <row r="86" spans="1:5" s="4" customFormat="1">
      <c r="A86" s="297" t="s">
        <v>93</v>
      </c>
      <c r="B86" s="147" t="s">
        <v>132</v>
      </c>
      <c r="C86" s="24" t="s">
        <v>133</v>
      </c>
      <c r="D86" s="149">
        <v>120</v>
      </c>
      <c r="E86" s="22"/>
    </row>
    <row r="87" spans="1:5" s="4" customFormat="1" ht="31.5">
      <c r="A87" s="70" t="s">
        <v>33</v>
      </c>
      <c r="B87" s="228" t="s">
        <v>135</v>
      </c>
      <c r="C87" s="227" t="s">
        <v>131</v>
      </c>
      <c r="D87" s="72">
        <v>13.499999999999998</v>
      </c>
      <c r="E87" s="22"/>
    </row>
    <row r="88" spans="1:5" s="4" customFormat="1">
      <c r="A88" s="253"/>
      <c r="B88" s="275" t="s">
        <v>152</v>
      </c>
      <c r="C88" s="276"/>
      <c r="D88" s="277"/>
      <c r="E88" s="22"/>
    </row>
    <row r="89" spans="1:5" s="4" customFormat="1" ht="31.5">
      <c r="A89" s="532" t="s">
        <v>99</v>
      </c>
      <c r="B89" s="232" t="s">
        <v>154</v>
      </c>
      <c r="C89" s="356" t="s">
        <v>20</v>
      </c>
      <c r="D89" s="65">
        <v>8</v>
      </c>
      <c r="E89" s="22"/>
    </row>
    <row r="90" spans="1:5" s="4" customFormat="1" ht="31.5">
      <c r="A90" s="532"/>
      <c r="B90" s="127" t="str">
        <f>B82</f>
        <v>dioduri sanaTi 250v 50vat                            (sp moednis)</v>
      </c>
      <c r="C90" s="356"/>
      <c r="D90" s="64"/>
      <c r="E90" s="22"/>
    </row>
    <row r="91" spans="1:5" s="4" customFormat="1">
      <c r="A91" s="532" t="s">
        <v>100</v>
      </c>
      <c r="B91" s="195" t="s">
        <v>96</v>
      </c>
      <c r="C91" s="356" t="s">
        <v>65</v>
      </c>
      <c r="D91" s="65">
        <v>200</v>
      </c>
      <c r="E91" s="22"/>
    </row>
    <row r="92" spans="1:5" s="4" customFormat="1">
      <c r="A92" s="532"/>
      <c r="B92" s="127" t="s">
        <v>155</v>
      </c>
      <c r="C92" s="70" t="s">
        <v>11</v>
      </c>
      <c r="D92" s="71">
        <v>50</v>
      </c>
      <c r="E92" s="22"/>
    </row>
    <row r="93" spans="1:5" s="4" customFormat="1">
      <c r="A93" s="532"/>
      <c r="B93" s="127" t="s">
        <v>266</v>
      </c>
      <c r="C93" s="431" t="s">
        <v>11</v>
      </c>
      <c r="D93" s="64">
        <v>100</v>
      </c>
      <c r="E93" s="22"/>
    </row>
    <row r="94" spans="1:5" s="4" customFormat="1">
      <c r="A94" s="532"/>
      <c r="B94" s="127" t="s">
        <v>267</v>
      </c>
      <c r="C94" s="431" t="s">
        <v>11</v>
      </c>
      <c r="D94" s="64">
        <v>50</v>
      </c>
      <c r="E94" s="22"/>
    </row>
    <row r="95" spans="1:5" s="4" customFormat="1">
      <c r="A95" s="549" t="s">
        <v>92</v>
      </c>
      <c r="B95" s="283" t="s">
        <v>157</v>
      </c>
      <c r="C95" s="431"/>
      <c r="D95" s="71">
        <v>2</v>
      </c>
      <c r="E95" s="22"/>
    </row>
    <row r="96" spans="1:5" s="4" customFormat="1" ht="27">
      <c r="A96" s="549"/>
      <c r="B96" s="43" t="s">
        <v>227</v>
      </c>
      <c r="C96" s="431" t="s">
        <v>12</v>
      </c>
      <c r="D96" s="41">
        <v>1</v>
      </c>
      <c r="E96" s="22"/>
    </row>
    <row r="97" spans="1:5" s="4" customFormat="1">
      <c r="A97" s="549"/>
      <c r="B97" s="43" t="s">
        <v>176</v>
      </c>
      <c r="C97" s="431" t="s">
        <v>12</v>
      </c>
      <c r="D97" s="71">
        <v>1</v>
      </c>
      <c r="E97" s="22"/>
    </row>
    <row r="98" spans="1:5" s="4" customFormat="1">
      <c r="A98" s="549"/>
      <c r="B98" s="43" t="s">
        <v>158</v>
      </c>
      <c r="C98" s="431" t="s">
        <v>12</v>
      </c>
      <c r="D98" s="71">
        <v>1</v>
      </c>
      <c r="E98" s="22"/>
    </row>
    <row r="99" spans="1:5" s="4" customFormat="1">
      <c r="A99" s="549"/>
      <c r="B99" s="43" t="s">
        <v>175</v>
      </c>
      <c r="C99" s="431" t="s">
        <v>12</v>
      </c>
      <c r="D99" s="71">
        <v>4</v>
      </c>
      <c r="E99" s="22"/>
    </row>
    <row r="100" spans="1:5" s="4" customFormat="1">
      <c r="A100" s="549"/>
      <c r="B100" s="43" t="s">
        <v>268</v>
      </c>
      <c r="C100" s="431" t="s">
        <v>12</v>
      </c>
      <c r="D100" s="71">
        <v>1</v>
      </c>
      <c r="E100" s="22"/>
    </row>
    <row r="101" spans="1:5" s="4" customFormat="1" ht="27">
      <c r="A101" s="549"/>
      <c r="B101" s="43" t="s">
        <v>228</v>
      </c>
      <c r="C101" s="431" t="s">
        <v>12</v>
      </c>
      <c r="D101" s="71">
        <v>1</v>
      </c>
      <c r="E101" s="22"/>
    </row>
    <row r="102" spans="1:5" s="4" customFormat="1">
      <c r="A102" s="549"/>
      <c r="B102" s="43" t="s">
        <v>269</v>
      </c>
      <c r="C102" s="431" t="s">
        <v>12</v>
      </c>
      <c r="D102" s="71">
        <v>1</v>
      </c>
      <c r="E102" s="22"/>
    </row>
    <row r="103" spans="1:5" s="4" customFormat="1">
      <c r="A103" s="549"/>
      <c r="B103" s="43" t="s">
        <v>270</v>
      </c>
      <c r="C103" s="431" t="s">
        <v>12</v>
      </c>
      <c r="D103" s="71">
        <v>1</v>
      </c>
      <c r="E103" s="22"/>
    </row>
    <row r="104" spans="1:5" s="4" customFormat="1">
      <c r="A104" s="549"/>
      <c r="B104" s="43" t="s">
        <v>229</v>
      </c>
      <c r="C104" s="431" t="s">
        <v>12</v>
      </c>
      <c r="D104" s="71">
        <v>6</v>
      </c>
      <c r="E104" s="22"/>
    </row>
    <row r="105" spans="1:5" s="4" customFormat="1">
      <c r="A105" s="549"/>
      <c r="B105" s="43" t="s">
        <v>271</v>
      </c>
      <c r="C105" s="37" t="s">
        <v>44</v>
      </c>
      <c r="D105" s="37">
        <v>1</v>
      </c>
      <c r="E105" s="22"/>
    </row>
    <row r="106" spans="1:5" s="4" customFormat="1">
      <c r="A106" s="431" t="s">
        <v>93</v>
      </c>
      <c r="B106" s="129" t="s">
        <v>67</v>
      </c>
      <c r="C106" s="431"/>
      <c r="D106" s="193"/>
      <c r="E106" s="22"/>
    </row>
    <row r="107" spans="1:5" s="4" customFormat="1" ht="31.5">
      <c r="A107" s="551" t="s">
        <v>159</v>
      </c>
      <c r="B107" s="77" t="s">
        <v>160</v>
      </c>
      <c r="C107" s="459" t="s">
        <v>11</v>
      </c>
      <c r="D107" s="79">
        <v>8</v>
      </c>
      <c r="E107" s="22"/>
    </row>
    <row r="108" spans="1:5" s="4" customFormat="1">
      <c r="A108" s="551"/>
      <c r="B108" s="85" t="s">
        <v>161</v>
      </c>
      <c r="C108" s="459"/>
      <c r="D108" s="79"/>
      <c r="E108" s="22"/>
    </row>
    <row r="109" spans="1:5" s="4" customFormat="1">
      <c r="A109" s="426" t="s">
        <v>162</v>
      </c>
      <c r="B109" s="85" t="s">
        <v>163</v>
      </c>
      <c r="C109" s="459" t="s">
        <v>12</v>
      </c>
      <c r="D109" s="79">
        <v>1</v>
      </c>
      <c r="E109" s="22"/>
    </row>
    <row r="110" spans="1:5" s="4" customFormat="1" ht="31.5">
      <c r="A110" s="551" t="s">
        <v>164</v>
      </c>
      <c r="B110" s="77" t="s">
        <v>113</v>
      </c>
      <c r="C110" s="459" t="s">
        <v>11</v>
      </c>
      <c r="D110" s="79">
        <v>12</v>
      </c>
      <c r="E110" s="22"/>
    </row>
    <row r="111" spans="1:5" s="4" customFormat="1">
      <c r="A111" s="551"/>
      <c r="B111" s="85" t="s">
        <v>166</v>
      </c>
      <c r="C111" s="459"/>
      <c r="D111" s="79"/>
      <c r="E111" s="22"/>
    </row>
    <row r="112" spans="1:5" s="4" customFormat="1" ht="31.5">
      <c r="A112" s="551" t="s">
        <v>159</v>
      </c>
      <c r="B112" s="77" t="s">
        <v>111</v>
      </c>
      <c r="C112" s="460" t="s">
        <v>12</v>
      </c>
      <c r="D112" s="79">
        <v>6</v>
      </c>
      <c r="E112" s="22"/>
    </row>
    <row r="113" spans="1:5" s="4" customFormat="1" ht="31.5">
      <c r="A113" s="551"/>
      <c r="B113" s="85" t="s">
        <v>177</v>
      </c>
      <c r="C113" s="459"/>
      <c r="D113" s="79"/>
      <c r="E113" s="22"/>
    </row>
    <row r="115" spans="1:5">
      <c r="B115" s="54" t="s">
        <v>101</v>
      </c>
    </row>
  </sheetData>
  <mergeCells count="24">
    <mergeCell ref="A1:E1"/>
    <mergeCell ref="A3:E3"/>
    <mergeCell ref="B36:B37"/>
    <mergeCell ref="B38:B39"/>
    <mergeCell ref="A76:A78"/>
    <mergeCell ref="B67:B68"/>
    <mergeCell ref="A15:A16"/>
    <mergeCell ref="A18:A19"/>
    <mergeCell ref="A20:A22"/>
    <mergeCell ref="A23:A24"/>
    <mergeCell ref="A25:A34"/>
    <mergeCell ref="A42:A54"/>
    <mergeCell ref="A36:A37"/>
    <mergeCell ref="A38:A39"/>
    <mergeCell ref="A81:A82"/>
    <mergeCell ref="A60:A61"/>
    <mergeCell ref="A64:A65"/>
    <mergeCell ref="A66:A74"/>
    <mergeCell ref="A112:A113"/>
    <mergeCell ref="A95:A105"/>
    <mergeCell ref="A107:A108"/>
    <mergeCell ref="A110:A111"/>
    <mergeCell ref="A89:A90"/>
    <mergeCell ref="A91:A94"/>
  </mergeCells>
  <pageMargins left="0.59055118110236227" right="0.11811023622047245" top="1.27" bottom="0.76" header="1.03" footer="0.53"/>
  <pageSetup paperSize="9" orientation="portrait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krebsiti</vt:lpstr>
      <vt:lpstr>#1</vt:lpstr>
      <vt:lpstr>#2</vt:lpstr>
      <vt:lpstr>moc.uwy.</vt:lpstr>
      <vt:lpstr>'#1'!Print_Area</vt:lpstr>
      <vt:lpstr>'#2'!Print_Area</vt:lpstr>
      <vt:lpstr>krebsiti!Print_Area</vt:lpstr>
      <vt:lpstr>moc.uwy.!Print_Area</vt:lpstr>
      <vt:lpstr>'#1'!Print_Titles</vt:lpstr>
      <vt:lpstr>'#2'!Print_Titles</vt:lpstr>
      <vt:lpstr>krebsiti!Print_Titles</vt:lpstr>
      <vt:lpstr>moc.uwy.!Print_Titles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2020-08-07T15:03:11Z</dcterms:modified>
</cp:coreProperties>
</file>