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 tabRatio="576"/>
  </bookViews>
  <sheets>
    <sheet name="სამშენებლო        " sheetId="39" r:id="rId1"/>
  </sheets>
  <definedNames>
    <definedName name="_xlnm._FilterDatabase" localSheetId="0" hidden="1">'სამშენებლო        '!$B$1:$M$134</definedName>
    <definedName name="_xlnm.Print_Area" localSheetId="0">'სამშენებლო        '!$A$2:$M$136</definedName>
    <definedName name="_xlnm.Print_Titles" localSheetId="0">'სამშენებლო        '!$10:$10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39"/>
  <c r="F110" l="1"/>
  <c r="F113" s="1"/>
  <c r="F97"/>
  <c r="E101"/>
  <c r="E99"/>
  <c r="F96"/>
  <c r="F98" l="1"/>
  <c r="F99" l="1"/>
  <c r="F101"/>
  <c r="F100"/>
  <c r="F46" l="1"/>
  <c r="F47" s="1"/>
  <c r="E45"/>
  <c r="F45" s="1"/>
  <c r="E44"/>
  <c r="F44" s="1"/>
  <c r="E43"/>
  <c r="F43" s="1"/>
  <c r="F42"/>
  <c r="F41"/>
  <c r="E39"/>
  <c r="F39" s="1"/>
  <c r="E38"/>
  <c r="F36"/>
  <c r="F37" s="1"/>
  <c r="F89"/>
  <c r="F76"/>
  <c r="F71"/>
  <c r="F83"/>
  <c r="E93"/>
  <c r="F66"/>
  <c r="F69" s="1"/>
  <c r="F49"/>
  <c r="F53" s="1"/>
  <c r="F57" s="1"/>
  <c r="E63"/>
  <c r="E50"/>
  <c r="F29"/>
  <c r="F30" s="1"/>
  <c r="F27"/>
  <c r="F28" s="1"/>
  <c r="F24"/>
  <c r="F19"/>
  <c r="F16"/>
  <c r="F11"/>
  <c r="E26"/>
  <c r="E25"/>
  <c r="F22"/>
  <c r="F38" l="1"/>
  <c r="F48"/>
  <c r="F75"/>
  <c r="F82"/>
  <c r="F87"/>
  <c r="F88"/>
  <c r="F84"/>
  <c r="F85"/>
  <c r="F86"/>
  <c r="F90"/>
  <c r="F91"/>
  <c r="F93"/>
  <c r="F92"/>
  <c r="F94"/>
  <c r="F73"/>
  <c r="F72"/>
  <c r="F78"/>
  <c r="F68"/>
  <c r="F67"/>
  <c r="F70"/>
  <c r="F62"/>
  <c r="F63" s="1"/>
  <c r="F31"/>
  <c r="F33" s="1"/>
  <c r="F35" s="1"/>
  <c r="F51"/>
  <c r="F50"/>
  <c r="F56"/>
  <c r="F55"/>
  <c r="F65"/>
  <c r="F52"/>
  <c r="F58"/>
  <c r="F64"/>
  <c r="F23"/>
  <c r="F77" l="1"/>
  <c r="F79"/>
  <c r="F34"/>
  <c r="F59"/>
  <c r="F61" l="1"/>
  <c r="F60"/>
  <c r="F20" l="1"/>
  <c r="F18" l="1"/>
  <c r="F17"/>
  <c r="E15"/>
  <c r="F15" s="1"/>
  <c r="F32" s="1"/>
  <c r="E14"/>
  <c r="F14" s="1"/>
  <c r="E13"/>
  <c r="F13" s="1"/>
  <c r="F12"/>
  <c r="F107" l="1"/>
  <c r="F102"/>
  <c r="F104" s="1"/>
  <c r="F103" l="1"/>
  <c r="F106"/>
  <c r="F105"/>
  <c r="F116" l="1"/>
  <c r="F112"/>
  <c r="F111" l="1"/>
  <c r="F115"/>
  <c r="F109"/>
  <c r="F108"/>
  <c r="F117"/>
  <c r="F118"/>
  <c r="F114"/>
  <c r="F25" l="1"/>
  <c r="F26"/>
  <c r="K6" l="1"/>
</calcChain>
</file>

<file path=xl/sharedStrings.xml><?xml version="1.0" encoding="utf-8"?>
<sst xmlns="http://schemas.openxmlformats.org/spreadsheetml/2006/main" count="294" uniqueCount="160">
  <si>
    <t>კაც/სთ</t>
  </si>
  <si>
    <t>სხვა მანქანები</t>
  </si>
  <si>
    <t>ლარი</t>
  </si>
  <si>
    <t>საერთო სამშენებლო სამუშაოები</t>
  </si>
  <si>
    <t>მასალები</t>
  </si>
  <si>
    <t>ხელფასი</t>
  </si>
  <si>
    <t>ჯამი</t>
  </si>
  <si>
    <t>სულ</t>
  </si>
  <si>
    <t>მ2</t>
  </si>
  <si>
    <t>მ3</t>
  </si>
  <si>
    <t>კგ</t>
  </si>
  <si>
    <t>მასალების ტრანსპორტირება</t>
  </si>
  <si>
    <t xml:space="preserve">დღგ </t>
  </si>
  <si>
    <t>სხვა მასალები</t>
  </si>
  <si>
    <t>სამუშაოს დასახელება</t>
  </si>
  <si>
    <t>ტ</t>
  </si>
  <si>
    <t>მანქ/სთ</t>
  </si>
  <si>
    <t>ოლიფა</t>
  </si>
  <si>
    <t>საფუძველი</t>
  </si>
  <si>
    <t>ნორმატიული რესურსი</t>
  </si>
  <si>
    <t>ტრანსპორტი და მექანიზმები</t>
  </si>
  <si>
    <t>ერთ</t>
  </si>
  <si>
    <t>სახარჯთაღირცხვო ღირებულება:</t>
  </si>
  <si>
    <t>100 მ2</t>
  </si>
  <si>
    <t>შრომითი დანახარჯები</t>
  </si>
  <si>
    <t>100 მ3</t>
  </si>
  <si>
    <t>100 მ</t>
  </si>
  <si>
    <t>არასაყოფაცხოვრებო წყალი</t>
  </si>
  <si>
    <t>ამწე საავტომობილო სვლაზე 6.3 ტ-ანი</t>
  </si>
  <si>
    <t>განზომილება</t>
  </si>
  <si>
    <t>11-8-3-4,</t>
  </si>
  <si>
    <t>შრომის დანახარჯი</t>
  </si>
  <si>
    <t>კ/სთ</t>
  </si>
  <si>
    <t>მანქანები</t>
  </si>
  <si>
    <t>ბეტონი მ-200</t>
  </si>
  <si>
    <t>27-19-1.</t>
  </si>
  <si>
    <t>grZ/m</t>
  </si>
  <si>
    <t xml:space="preserve">Sromis danaxarji </t>
  </si>
  <si>
    <t>k/sT</t>
  </si>
  <si>
    <t>qviSa-cementis xsnari m-200</t>
  </si>
  <si>
    <t>m3</t>
  </si>
  <si>
    <t>sxva manqanebi</t>
  </si>
  <si>
    <t>lari</t>
  </si>
  <si>
    <t>sxva masalebi</t>
  </si>
  <si>
    <t>ბორდიურების ქვეშ ბეტონის საფუძვლის მოწყობა სისქით 4 სმ</t>
  </si>
  <si>
    <t>Sromis danaxarji</t>
  </si>
  <si>
    <t>48–18–4</t>
  </si>
  <si>
    <t>m2</t>
  </si>
  <si>
    <t>7-21-10</t>
  </si>
  <si>
    <t>სამონტაჟო დეტალები</t>
  </si>
  <si>
    <t>15-164-8</t>
  </si>
  <si>
    <t>ანტიკოროზიული ზეთოვანი საღებავი</t>
  </si>
  <si>
    <t>ცალი</t>
  </si>
  <si>
    <t>jami</t>
  </si>
  <si>
    <t xml:space="preserve">zednadebi xarjebi </t>
  </si>
  <si>
    <t>gegmiuri dagroveba</t>
  </si>
  <si>
    <t xml:space="preserve">jami </t>
  </si>
  <si>
    <t>18%</t>
  </si>
  <si>
    <t>48-18-6</t>
  </si>
  <si>
    <t xml:space="preserve">gazonis mowyoba beltiT </t>
  </si>
  <si>
    <t>SromiTi resursebi</t>
  </si>
  <si>
    <t>_ wyali</t>
  </si>
  <si>
    <t>_ sabaRe gazoni /belti</t>
  </si>
  <si>
    <r>
      <t>m</t>
    </r>
    <r>
      <rPr>
        <vertAlign val="superscript"/>
        <sz val="9"/>
        <rFont val="AcadNusx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</si>
  <si>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9"/>
        <rFont val="AcadNusx"/>
      </rPr>
      <t>3</t>
    </r>
  </si>
  <si>
    <t>მ³</t>
  </si>
  <si>
    <t>მოსარწყავ-მოსარეცხი მანქანა 6000 ლ-ანი</t>
  </si>
  <si>
    <t>100 მ³</t>
  </si>
  <si>
    <t>6-1-20.</t>
  </si>
  <si>
    <t>ბეტონი მ-250</t>
  </si>
  <si>
    <t>ელექტროდი შედუღების</t>
  </si>
  <si>
    <t>N</t>
  </si>
  <si>
    <t>6-1-13.</t>
  </si>
  <si>
    <t>betoni m-250</t>
  </si>
  <si>
    <t>6_16-1</t>
  </si>
  <si>
    <t>kub.m.</t>
  </si>
  <si>
    <t>27-04-016-01</t>
  </si>
  <si>
    <t>1000 მ2</t>
  </si>
  <si>
    <t>ГЭСН</t>
  </si>
  <si>
    <t xml:space="preserve">გეოტექსტილი </t>
  </si>
  <si>
    <t>11-01-056-03</t>
  </si>
  <si>
    <t>ატრაქციონზე კაუჩუკის საფარის მოწყობა (პროექტის მიხედვით)</t>
  </si>
  <si>
    <t>ბიტუმის ემულსია</t>
  </si>
  <si>
    <t>საფითხნი პოლიმერული</t>
  </si>
  <si>
    <t>პოლირეტანის წებო ორკომპონენტიანი</t>
  </si>
  <si>
    <t>კაუჩუკის დეკორატიული საფარი (2.0 სმ. სისქის)</t>
  </si>
  <si>
    <r>
      <t>m</t>
    </r>
    <r>
      <rPr>
        <vertAlign val="superscript"/>
        <sz val="9"/>
        <rFont val="AcadNusx"/>
      </rPr>
      <t>2</t>
    </r>
  </si>
  <si>
    <t>kg</t>
  </si>
  <si>
    <t>27-43-1; -2</t>
  </si>
  <si>
    <t>ქვიშა (კ-1,12)</t>
  </si>
  <si>
    <t>1000 მ²</t>
  </si>
  <si>
    <t>მ²</t>
  </si>
  <si>
    <t>წებო-ცემენტი</t>
  </si>
  <si>
    <t>პრო</t>
  </si>
  <si>
    <t xml:space="preserve">betonis bordiuri kveTiT: 10X20 sm, </t>
  </si>
  <si>
    <t>betonis wertilovani saZirkvlebis mowyoba atraqcionis liTonis dgarebisTvis</t>
  </si>
  <si>
    <t xml:space="preserve">                შემსრულებელი ინსპექტორი:               გ. კალანდაძე</t>
  </si>
  <si>
    <t>(inspeqtirebis Sedegad dakoreqtirebuli xarjTaRrircxva)</t>
  </si>
  <si>
    <t>15-168-5</t>
  </si>
  <si>
    <t>bordiuris SeRebva 2-jer, TeTr da ლურჯ ferebSi. (შეღებვა პროპორციულად, 1  მეტრi TeTri feris, 1 metri lurji feris)</t>
  </si>
  <si>
    <t>saRebavi betonze wasasmeli</t>
  </si>
  <si>
    <t>ქ. მცხეთაში, ღართიკარის დასახლებაში (ჯეოსელის ოფისის მიმდებარედ) არსებული სკვერის რეაბილიტაცია</t>
  </si>
  <si>
    <t>10–31–1.</t>
  </si>
  <si>
    <t>ტერიტორიის შემოღობვა ხის დროებითი ღობით</t>
  </si>
  <si>
    <t>ხე–მასალა დახერხილი</t>
  </si>
  <si>
    <t>ფიცარი ჩამოგანილი 19–22 მმ</t>
  </si>
  <si>
    <t>27-9-5.</t>
  </si>
  <si>
    <t xml:space="preserve">საპროექტო ტერიტორიაზე არსებული ბეტონის საფარის (ტორტუარის) დაშლა </t>
  </si>
  <si>
    <t>13-1-333</t>
  </si>
  <si>
    <t>სანგრევი ჩაქუჩები მომუშავე მოძრავ კომპრესორზე</t>
  </si>
  <si>
    <t>27-9-7.</t>
  </si>
  <si>
    <t>46-23-2</t>
  </si>
  <si>
    <t>48-288-1</t>
  </si>
  <si>
    <t>მ</t>
  </si>
  <si>
    <t>1000 მ</t>
  </si>
  <si>
    <t>კ=06; -07; -05</t>
  </si>
  <si>
    <t>Е2-1-54/1-в   ЕНиР</t>
  </si>
  <si>
    <t>Е20-1-255/1   ЕНиР</t>
  </si>
  <si>
    <t>1-22/1-а</t>
  </si>
  <si>
    <t xml:space="preserve">სამშენებლო ნარჩენების და ზედმეტი გრუნტის დატვირთვა ავტოთვითმცლელებზე </t>
  </si>
  <si>
    <t>ЕНиР</t>
  </si>
  <si>
    <t>სამშენებლო ნარჩენების და ზედმეტი გრუნტის განატანა ნაყარში</t>
  </si>
  <si>
    <t>Е2-1-61/1-в</t>
  </si>
  <si>
    <t>ბილიკებისთვის  გრუნტის   ვაკისის მოსწორება ხელით, ზედაპირის დაპროფილებით</t>
  </si>
  <si>
    <t xml:space="preserve">არსებული   ბეტონის   ბორდიურების დემონტაჟი </t>
  </si>
  <si>
    <t>არსებული მოაჯირის  საძირკვლების დემონტაჟი ლითონის  დგარების ამოსაღებად</t>
  </si>
  <si>
    <t>არსებული მოაჯირის  დემონტაჟი დამკვეთის მიერ მითითებულ ადგილზე დასაწყობებით</t>
  </si>
  <si>
    <t>III კატეგორიის გრუნტის გათხრა ხელით საპროექტო მოაჯირის და ბორდიურის  საძირკვლების მოსაწყობად</t>
  </si>
  <si>
    <t xml:space="preserve">სამშენებლო ნარჩენების და ზედმეტი გრუნტის შეგროვება-გამოტანა ა/თვითმცლელზე დასატვირთად </t>
  </si>
  <si>
    <t>27-7-1.</t>
  </si>
  <si>
    <t>ქვიშის საფუძვლის მოწყობა სისქით 5 სმ (ჩატკეპნით)</t>
  </si>
  <si>
    <t>1-118-11</t>
  </si>
  <si>
    <t>mtkepnavi xelis</t>
  </si>
  <si>
    <t>m/sT</t>
  </si>
  <si>
    <t>27-17-1</t>
  </si>
  <si>
    <t>RorRi 20-40  (k-1,26)</t>
  </si>
  <si>
    <t xml:space="preserve">balastis fenebis datkepna meqanizmebiT </t>
  </si>
  <si>
    <t>ბუნებრივი გრანიტის ქვა სიგანით 0,30-0,35 მ, სისქით მინიმუმ 3 მმ, წითელი და ნაცრისფერი</t>
  </si>
  <si>
    <t>ლითონის ღობისთვის  მონოლითური ბეტონის ლენტური საძირკვლისა და ზეძირკვლის მოწყობა (პრო. მიხ)</t>
  </si>
  <si>
    <t>ბუნებრივი  გრანიტის ფილების  მოწყობა  (პრო. მიხ)</t>
  </si>
  <si>
    <t>6-9-6.</t>
  </si>
  <si>
    <t>9-17-5</t>
  </si>
  <si>
    <t>ლითონის ღობის მოწყობა</t>
  </si>
  <si>
    <t>ღობის და ჭიშკრის ლითონ–კონსტრუქციის შეღებვა ანტიკოროზიული საღებავით ორჯერ</t>
  </si>
  <si>
    <t>ღობის ბოძების მოწყობა (პრო.მიხ)</t>
  </si>
  <si>
    <t>ლითონის ღობის  დამზადება (პრო.მიხ)</t>
  </si>
  <si>
    <t>პროფილის მილი 200x200x4 მმ</t>
  </si>
  <si>
    <t>მართკუთხა პროფილის მილი 30x40x2 მმ</t>
  </si>
  <si>
    <t>მართკუთხა პროფილის მილი 20x20x2 მმ</t>
  </si>
  <si>
    <t xml:space="preserve">ბილიკებზე (ტროტუარზე) ღორღის სafuZvlis ფენის მოწყობა სისქით საშუალოდ 10 სმ </t>
  </si>
  <si>
    <t>ბილიკების (ტროტუარის) garSemo bordiuris mowyoba (პრო.მიხ)</t>
  </si>
  <si>
    <t>გაზონის adgilze Semotanili gruntis gaSla-mosworeba ხელით (proeqtis mix)</t>
  </si>
  <si>
    <t>qviSa-Slami სისქით 10 სმ (mcenareuli miwa)</t>
  </si>
  <si>
    <t>atraqcionis safaris mosawyobad  მონოლითური ბეტონის ფენილის მოწყობა sisqiT 10 sm</t>
  </si>
  <si>
    <t>ატრაქციონის  ტერიტორიაზე ჰიდროიზოლაციის მოწყობა გეოტექსტილით</t>
  </si>
  <si>
    <t>სახელშეკ</t>
  </si>
  <si>
    <t>არსებული ატრაქციონების დემონტაჟი და აღდგენა პირვანდელი მდგომარეობით</t>
  </si>
  <si>
    <t>ხის საბაღე სკამების მოწყობა საზურგე ინ ვენტარით (პრო. მიხ)</t>
  </si>
  <si>
    <t>შესრულებული სამუაშაოს ექსპერტიზა</t>
  </si>
  <si>
    <t>გაუთვალისწინებელი ხარჯები - ფიქსირებული თანხა 1002ლარი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</si>
</sst>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#,##0.0000"/>
    <numFmt numFmtId="167" formatCode="#,##0.000"/>
    <numFmt numFmtId="168" formatCode="0;\-0;;@"/>
    <numFmt numFmtId="169" formatCode="#,##0.0"/>
    <numFmt numFmtId="170" formatCode="0.0"/>
    <numFmt numFmtId="171" formatCode="0.0000"/>
    <numFmt numFmtId="172" formatCode="#,##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b/>
      <sz val="9"/>
      <name val="AcadNusx"/>
    </font>
    <font>
      <sz val="10"/>
      <name val="Arial Cyr"/>
      <charset val="204"/>
    </font>
    <font>
      <vertAlign val="superscript"/>
      <sz val="9"/>
      <name val="AcadNusx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9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2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trike/>
      <sz val="9"/>
      <name val="Arial"/>
      <family val="2"/>
      <charset val="204"/>
    </font>
    <font>
      <sz val="9"/>
      <name val="Sylfaen"/>
      <family val="1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3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distributed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distributed"/>
    </xf>
    <xf numFmtId="4" fontId="15" fillId="0" borderId="1" xfId="23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distributed"/>
    </xf>
    <xf numFmtId="4" fontId="15" fillId="0" borderId="1" xfId="3" applyNumberFormat="1" applyFont="1" applyFill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distributed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" fontId="11" fillId="0" borderId="1" xfId="14" applyNumberFormat="1" applyFont="1" applyBorder="1" applyAlignment="1">
      <alignment horizontal="center" vertical="center" shrinkToFit="1"/>
    </xf>
    <xf numFmtId="3" fontId="11" fillId="0" borderId="1" xfId="14" applyNumberFormat="1" applyFont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7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15" fillId="0" borderId="1" xfId="7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15" applyFont="1" applyBorder="1" applyAlignment="1">
      <alignment horizontal="center" vertical="center"/>
    </xf>
    <xf numFmtId="169" fontId="11" fillId="0" borderId="1" xfId="14" applyNumberFormat="1" applyFont="1" applyBorder="1" applyAlignment="1">
      <alignment horizontal="center" vertical="center" shrinkToFit="1"/>
    </xf>
    <xf numFmtId="166" fontId="1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distributed"/>
    </xf>
    <xf numFmtId="0" fontId="12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distributed"/>
    </xf>
    <xf numFmtId="2" fontId="5" fillId="0" borderId="1" xfId="0" applyNumberFormat="1" applyFont="1" applyBorder="1" applyAlignment="1">
      <alignment horizontal="center" vertical="center"/>
    </xf>
    <xf numFmtId="2" fontId="8" fillId="2" borderId="1" xfId="2" quotePrefix="1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left" vertical="distributed"/>
    </xf>
    <xf numFmtId="2" fontId="8" fillId="2" borderId="1" xfId="2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 applyProtection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distributed"/>
    </xf>
    <xf numFmtId="4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" fontId="15" fillId="2" borderId="1" xfId="2" applyNumberFormat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 applyProtection="1">
      <alignment horizontal="center" vertical="center"/>
    </xf>
    <xf numFmtId="49" fontId="13" fillId="0" borderId="1" xfId="15" applyNumberFormat="1" applyFont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vertical="center"/>
    </xf>
    <xf numFmtId="0" fontId="15" fillId="0" borderId="1" xfId="14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shrinkToFit="1"/>
    </xf>
    <xf numFmtId="4" fontId="11" fillId="0" borderId="1" xfId="15" applyNumberFormat="1" applyFont="1" applyBorder="1" applyAlignment="1">
      <alignment horizontal="center" vertical="center" shrinkToFit="1"/>
    </xf>
    <xf numFmtId="170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1" fillId="0" borderId="1" xfId="14" applyNumberFormat="1" applyFont="1" applyBorder="1" applyAlignment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 shrinkToFit="1"/>
    </xf>
    <xf numFmtId="49" fontId="15" fillId="0" borderId="1" xfId="15" applyNumberFormat="1" applyFont="1" applyBorder="1" applyAlignment="1">
      <alignment horizontal="center" vertical="center"/>
    </xf>
    <xf numFmtId="0" fontId="15" fillId="0" borderId="1" xfId="14" applyFont="1" applyBorder="1" applyAlignment="1">
      <alignment horizontal="left" vertical="center"/>
    </xf>
    <xf numFmtId="4" fontId="11" fillId="0" borderId="1" xfId="11" applyNumberFormat="1" applyFont="1" applyBorder="1" applyAlignment="1">
      <alignment horizontal="center" vertical="center" shrinkToFit="1"/>
    </xf>
    <xf numFmtId="49" fontId="12" fillId="0" borderId="1" xfId="12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" fontId="14" fillId="0" borderId="1" xfId="14" applyNumberFormat="1" applyFont="1" applyBorder="1" applyAlignment="1">
      <alignment horizontal="center" vertical="center" shrinkToFit="1"/>
    </xf>
    <xf numFmtId="3" fontId="11" fillId="0" borderId="1" xfId="0" applyNumberFormat="1" applyFont="1" applyBorder="1" applyAlignment="1">
      <alignment horizontal="center" vertical="center" shrinkToFit="1"/>
    </xf>
    <xf numFmtId="171" fontId="8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72" fontId="14" fillId="0" borderId="1" xfId="1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distributed"/>
    </xf>
    <xf numFmtId="168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167" fontId="21" fillId="2" borderId="1" xfId="0" applyNumberFormat="1" applyFont="1" applyFill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4" fontId="16" fillId="2" borderId="1" xfId="1" applyNumberFormat="1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vertical="center"/>
    </xf>
    <xf numFmtId="4" fontId="15" fillId="2" borderId="1" xfId="5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4" fontId="24" fillId="2" borderId="1" xfId="5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4" fontId="11" fillId="3" borderId="1" xfId="14" applyNumberFormat="1" applyFont="1" applyFill="1" applyBorder="1" applyAlignment="1">
      <alignment horizontal="center" vertical="center" shrinkToFit="1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distributed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24">
    <cellStyle name="Comma" xfId="1" builtinId="3"/>
    <cellStyle name="Comma 12 2" xfId="6"/>
    <cellStyle name="Normal" xfId="0" builtinId="0"/>
    <cellStyle name="Normal 10" xfId="21"/>
    <cellStyle name="Normal 11 2" xfId="3"/>
    <cellStyle name="Normal 13 3 3" xfId="4"/>
    <cellStyle name="Normal 13 5 3 3" xfId="8"/>
    <cellStyle name="Normal 2" xfId="9"/>
    <cellStyle name="Normal 2 11" xfId="10"/>
    <cellStyle name="Normal 2 3" xfId="5"/>
    <cellStyle name="Normal 3" xfId="2"/>
    <cellStyle name="Normal_gare wyalsadfenigagarini 10" xfId="23"/>
    <cellStyle name="Normal_mTisZiris q. keTilmowyoba" xfId="13"/>
    <cellStyle name="Percent 2" xfId="22"/>
    <cellStyle name="silfain" xfId="18"/>
    <cellStyle name="Обычный 2" xfId="7"/>
    <cellStyle name="Обычный 2 2" xfId="19"/>
    <cellStyle name="Обычный 2 2 2" xfId="16"/>
    <cellStyle name="Обычный 2 3 2" xfId="15"/>
    <cellStyle name="Обычный 3" xfId="12"/>
    <cellStyle name="Обычный 4" xfId="14"/>
    <cellStyle name="Обычный 4 2" xfId="17"/>
    <cellStyle name="Обычный_Лист1" xfId="11"/>
    <cellStyle name="ჩვეულებრივი 2 2 2" xfId="20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0066"/>
      <color rgb="FFD60093"/>
      <color rgb="FF0F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136"/>
  <sheetViews>
    <sheetView tabSelected="1" view="pageBreakPreview" zoomScale="90" zoomScaleNormal="120" zoomScaleSheetLayoutView="90" workbookViewId="0">
      <selection activeCell="D122" sqref="D122:D128"/>
    </sheetView>
  </sheetViews>
  <sheetFormatPr defaultColWidth="8.85546875" defaultRowHeight="12.75"/>
  <cols>
    <col min="1" max="1" width="4.140625" style="60" customWidth="1"/>
    <col min="2" max="2" width="12.42578125" style="108" customWidth="1"/>
    <col min="3" max="3" width="80.42578125" style="54" customWidth="1"/>
    <col min="4" max="4" width="8.7109375" style="38" customWidth="1"/>
    <col min="5" max="5" width="9.140625" style="38" customWidth="1"/>
    <col min="6" max="6" width="10.85546875" style="38" customWidth="1"/>
    <col min="7" max="7" width="8.5703125" style="39" customWidth="1"/>
    <col min="8" max="8" width="10.28515625" style="38" customWidth="1"/>
    <col min="9" max="10" width="10" style="38" customWidth="1"/>
    <col min="11" max="11" width="9.7109375" style="38" customWidth="1"/>
    <col min="12" max="13" width="9.5703125" style="38" customWidth="1"/>
    <col min="14" max="14" width="11" style="62" bestFit="1" customWidth="1"/>
    <col min="15" max="42" width="8.85546875" style="62"/>
    <col min="43" max="16384" width="8.85546875" style="63"/>
  </cols>
  <sheetData>
    <row r="1" spans="1:42" s="58" customFormat="1">
      <c r="A1" s="56"/>
      <c r="B1" s="1"/>
      <c r="C1" s="6"/>
      <c r="D1" s="2"/>
      <c r="E1" s="2"/>
      <c r="F1" s="2"/>
      <c r="G1" s="3"/>
      <c r="H1" s="2"/>
      <c r="I1" s="2"/>
      <c r="J1" s="2"/>
      <c r="K1" s="2"/>
      <c r="L1" s="2"/>
      <c r="M1" s="2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s="58" customFormat="1" ht="30" customHeight="1">
      <c r="A2" s="56"/>
      <c r="B2" s="212" t="s">
        <v>101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42" s="58" customFormat="1" ht="18.75" customHeight="1">
      <c r="A3" s="56"/>
      <c r="B3" s="213" t="s">
        <v>97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s="58" customFormat="1">
      <c r="A4" s="56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s="58" customFormat="1" ht="15.75" customHeight="1">
      <c r="A5" s="56"/>
      <c r="B5" s="213" t="s">
        <v>3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1:42" s="58" customFormat="1" ht="15" customHeight="1">
      <c r="A6" s="56"/>
      <c r="B6" s="109"/>
      <c r="C6" s="59"/>
      <c r="D6" s="110"/>
      <c r="E6" s="110"/>
      <c r="F6" s="17"/>
      <c r="G6" s="110"/>
      <c r="H6" s="214" t="s">
        <v>22</v>
      </c>
      <c r="I6" s="214"/>
      <c r="J6" s="214"/>
      <c r="K6" s="109">
        <f>M133</f>
        <v>0</v>
      </c>
      <c r="L6" s="109" t="s">
        <v>2</v>
      </c>
      <c r="M6" s="109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42">
      <c r="B7" s="19"/>
      <c r="C7" s="43"/>
      <c r="D7" s="110"/>
      <c r="E7" s="110"/>
      <c r="F7" s="17"/>
      <c r="G7" s="18"/>
      <c r="H7" s="18"/>
      <c r="I7" s="18"/>
      <c r="J7" s="18"/>
      <c r="K7" s="19"/>
      <c r="L7" s="19"/>
      <c r="M7" s="61"/>
    </row>
    <row r="8" spans="1:42" ht="45.75" customHeight="1">
      <c r="A8" s="201" t="s">
        <v>71</v>
      </c>
      <c r="B8" s="209" t="s">
        <v>18</v>
      </c>
      <c r="C8" s="209" t="s">
        <v>14</v>
      </c>
      <c r="D8" s="215" t="s">
        <v>29</v>
      </c>
      <c r="E8" s="215" t="s">
        <v>19</v>
      </c>
      <c r="F8" s="215"/>
      <c r="G8" s="209" t="s">
        <v>4</v>
      </c>
      <c r="H8" s="209"/>
      <c r="I8" s="209" t="s">
        <v>5</v>
      </c>
      <c r="J8" s="209"/>
      <c r="K8" s="215" t="s">
        <v>20</v>
      </c>
      <c r="L8" s="215"/>
      <c r="M8" s="209" t="s">
        <v>6</v>
      </c>
    </row>
    <row r="9" spans="1:42" ht="24" customHeight="1">
      <c r="A9" s="203"/>
      <c r="B9" s="209"/>
      <c r="C9" s="209"/>
      <c r="D9" s="215"/>
      <c r="E9" s="107" t="s">
        <v>21</v>
      </c>
      <c r="F9" s="107" t="s">
        <v>7</v>
      </c>
      <c r="G9" s="107" t="s">
        <v>21</v>
      </c>
      <c r="H9" s="107" t="s">
        <v>7</v>
      </c>
      <c r="I9" s="107" t="s">
        <v>21</v>
      </c>
      <c r="J9" s="107" t="s">
        <v>7</v>
      </c>
      <c r="K9" s="107" t="s">
        <v>21</v>
      </c>
      <c r="L9" s="107" t="s">
        <v>7</v>
      </c>
      <c r="M9" s="209"/>
    </row>
    <row r="10" spans="1:42" ht="15.75" customHeight="1">
      <c r="A10" s="64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</row>
    <row r="11" spans="1:42" ht="15.75" customHeight="1">
      <c r="A11" s="199">
        <v>1</v>
      </c>
      <c r="B11" s="113" t="s">
        <v>102</v>
      </c>
      <c r="C11" s="114" t="s">
        <v>103</v>
      </c>
      <c r="D11" s="115" t="s">
        <v>8</v>
      </c>
      <c r="E11" s="116"/>
      <c r="F11" s="24">
        <f>140*1</f>
        <v>140</v>
      </c>
      <c r="G11" s="117"/>
      <c r="H11" s="118"/>
      <c r="I11" s="119"/>
      <c r="J11" s="118"/>
      <c r="K11" s="119"/>
      <c r="L11" s="118"/>
      <c r="M11" s="118"/>
    </row>
    <row r="12" spans="1:42" ht="15.75" customHeight="1">
      <c r="A12" s="210"/>
      <c r="B12" s="113"/>
      <c r="C12" s="120" t="s">
        <v>24</v>
      </c>
      <c r="D12" s="121" t="s">
        <v>0</v>
      </c>
      <c r="E12" s="119">
        <v>1.81</v>
      </c>
      <c r="F12" s="119">
        <f>E12*F11</f>
        <v>253.4</v>
      </c>
      <c r="G12" s="117"/>
      <c r="H12" s="118"/>
      <c r="I12" s="119"/>
      <c r="J12" s="118"/>
      <c r="K12" s="119"/>
      <c r="L12" s="118"/>
      <c r="M12" s="118"/>
    </row>
    <row r="13" spans="1:42" ht="15.75" customHeight="1">
      <c r="A13" s="210"/>
      <c r="B13" s="122"/>
      <c r="C13" s="120" t="s">
        <v>1</v>
      </c>
      <c r="D13" s="121" t="s">
        <v>16</v>
      </c>
      <c r="E13" s="123">
        <f>7.1/100</f>
        <v>7.0999999999999994E-2</v>
      </c>
      <c r="F13" s="119">
        <f>E13*F11</f>
        <v>9.94</v>
      </c>
      <c r="G13" s="117"/>
      <c r="H13" s="118"/>
      <c r="I13" s="119"/>
      <c r="J13" s="118"/>
      <c r="K13" s="119"/>
      <c r="L13" s="118"/>
      <c r="M13" s="118"/>
    </row>
    <row r="14" spans="1:42" ht="15.75" customHeight="1">
      <c r="A14" s="210"/>
      <c r="B14" s="113"/>
      <c r="C14" s="124" t="s">
        <v>104</v>
      </c>
      <c r="D14" s="125" t="s">
        <v>9</v>
      </c>
      <c r="E14" s="126">
        <f>1.37/100</f>
        <v>1.37E-2</v>
      </c>
      <c r="F14" s="119">
        <f>E14*F11</f>
        <v>1.9180000000000001</v>
      </c>
      <c r="G14" s="117"/>
      <c r="H14" s="118"/>
      <c r="I14" s="119"/>
      <c r="J14" s="118"/>
      <c r="K14" s="119"/>
      <c r="L14" s="118"/>
      <c r="M14" s="118"/>
    </row>
    <row r="15" spans="1:42" ht="15.75" customHeight="1">
      <c r="A15" s="200"/>
      <c r="B15" s="113"/>
      <c r="C15" s="124" t="s">
        <v>105</v>
      </c>
      <c r="D15" s="125" t="s">
        <v>9</v>
      </c>
      <c r="E15" s="126">
        <f>2.59/100</f>
        <v>2.5899999999999999E-2</v>
      </c>
      <c r="F15" s="119">
        <f>E15*F11</f>
        <v>3.6259999999999999</v>
      </c>
      <c r="G15" s="117"/>
      <c r="H15" s="118"/>
      <c r="I15" s="119"/>
      <c r="J15" s="118"/>
      <c r="K15" s="119"/>
      <c r="L15" s="118"/>
      <c r="M15" s="118"/>
    </row>
    <row r="16" spans="1:42" ht="28.5" customHeight="1">
      <c r="A16" s="199">
        <v>2</v>
      </c>
      <c r="B16" s="90" t="s">
        <v>106</v>
      </c>
      <c r="C16" s="127" t="s">
        <v>107</v>
      </c>
      <c r="D16" s="90" t="s">
        <v>25</v>
      </c>
      <c r="E16" s="90"/>
      <c r="F16" s="90">
        <f>55*0.1/100</f>
        <v>5.5E-2</v>
      </c>
      <c r="G16" s="128"/>
      <c r="H16" s="92"/>
      <c r="I16" s="92"/>
      <c r="J16" s="92"/>
      <c r="K16" s="92"/>
      <c r="L16" s="92"/>
      <c r="M16" s="92"/>
    </row>
    <row r="17" spans="1:13" ht="15.75" customHeight="1">
      <c r="A17" s="210"/>
      <c r="B17" s="90"/>
      <c r="C17" s="93" t="s">
        <v>24</v>
      </c>
      <c r="D17" s="94" t="s">
        <v>0</v>
      </c>
      <c r="E17" s="92">
        <v>50.5</v>
      </c>
      <c r="F17" s="92">
        <f>E17*F16</f>
        <v>2.7774999999999999</v>
      </c>
      <c r="G17" s="128"/>
      <c r="H17" s="92"/>
      <c r="I17" s="92"/>
      <c r="J17" s="92"/>
      <c r="K17" s="92"/>
      <c r="L17" s="92"/>
      <c r="M17" s="92"/>
    </row>
    <row r="18" spans="1:13" ht="15.75" customHeight="1">
      <c r="A18" s="200"/>
      <c r="B18" s="90" t="s">
        <v>108</v>
      </c>
      <c r="C18" s="93" t="s">
        <v>109</v>
      </c>
      <c r="D18" s="94" t="s">
        <v>16</v>
      </c>
      <c r="E18" s="92">
        <v>77.5</v>
      </c>
      <c r="F18" s="92">
        <f>E18*F16</f>
        <v>4.2625000000000002</v>
      </c>
      <c r="G18" s="128"/>
      <c r="H18" s="92"/>
      <c r="I18" s="92"/>
      <c r="J18" s="92"/>
      <c r="K18" s="92"/>
      <c r="L18" s="92"/>
      <c r="M18" s="92"/>
    </row>
    <row r="19" spans="1:13" ht="15.75" customHeight="1">
      <c r="A19" s="204">
        <v>3</v>
      </c>
      <c r="B19" s="115" t="s">
        <v>110</v>
      </c>
      <c r="C19" s="134" t="s">
        <v>124</v>
      </c>
      <c r="D19" s="115" t="s">
        <v>26</v>
      </c>
      <c r="E19" s="135"/>
      <c r="F19" s="136">
        <f>35/100</f>
        <v>0.35</v>
      </c>
      <c r="G19" s="118"/>
      <c r="H19" s="118"/>
      <c r="I19" s="118"/>
      <c r="J19" s="118"/>
      <c r="K19" s="118"/>
      <c r="L19" s="118"/>
      <c r="M19" s="118"/>
    </row>
    <row r="20" spans="1:13" ht="15.75" customHeight="1">
      <c r="A20" s="206"/>
      <c r="B20" s="115"/>
      <c r="C20" s="120" t="s">
        <v>24</v>
      </c>
      <c r="D20" s="121" t="s">
        <v>0</v>
      </c>
      <c r="E20" s="118">
        <v>78.5</v>
      </c>
      <c r="F20" s="118">
        <f>E20*F19</f>
        <v>27.474999999999998</v>
      </c>
      <c r="G20" s="118"/>
      <c r="H20" s="118"/>
      <c r="I20" s="118"/>
      <c r="J20" s="118"/>
      <c r="K20" s="118"/>
      <c r="L20" s="118"/>
      <c r="M20" s="118"/>
    </row>
    <row r="21" spans="1:13" ht="27.75" customHeight="1">
      <c r="A21" s="204">
        <v>4</v>
      </c>
      <c r="B21" s="137" t="s">
        <v>111</v>
      </c>
      <c r="C21" s="138" t="s">
        <v>125</v>
      </c>
      <c r="D21" s="115" t="s">
        <v>9</v>
      </c>
      <c r="E21" s="135"/>
      <c r="F21" s="135">
        <v>1</v>
      </c>
      <c r="G21" s="118"/>
      <c r="H21" s="118"/>
      <c r="I21" s="118"/>
      <c r="J21" s="118"/>
      <c r="K21" s="118"/>
      <c r="L21" s="118"/>
      <c r="M21" s="118"/>
    </row>
    <row r="22" spans="1:13" ht="15.75" customHeight="1">
      <c r="A22" s="205"/>
      <c r="B22" s="139"/>
      <c r="C22" s="120" t="s">
        <v>24</v>
      </c>
      <c r="D22" s="121" t="s">
        <v>0</v>
      </c>
      <c r="E22" s="118">
        <v>13.2</v>
      </c>
      <c r="F22" s="118">
        <f>F21*E22</f>
        <v>13.2</v>
      </c>
      <c r="G22" s="118"/>
      <c r="H22" s="118"/>
      <c r="I22" s="118"/>
      <c r="J22" s="118"/>
      <c r="K22" s="118"/>
      <c r="L22" s="118"/>
      <c r="M22" s="119"/>
    </row>
    <row r="23" spans="1:13" ht="15.75" customHeight="1">
      <c r="A23" s="206"/>
      <c r="B23" s="140"/>
      <c r="C23" s="120" t="s">
        <v>1</v>
      </c>
      <c r="D23" s="121" t="s">
        <v>2</v>
      </c>
      <c r="E23" s="119">
        <v>9.6300000000000008</v>
      </c>
      <c r="F23" s="119">
        <f>E23*F21</f>
        <v>9.6300000000000008</v>
      </c>
      <c r="G23" s="119"/>
      <c r="H23" s="118"/>
      <c r="I23" s="119"/>
      <c r="J23" s="118"/>
      <c r="K23" s="119"/>
      <c r="L23" s="118"/>
      <c r="M23" s="119"/>
    </row>
    <row r="24" spans="1:13" ht="29.25" customHeight="1">
      <c r="A24" s="201">
        <v>5</v>
      </c>
      <c r="B24" s="141" t="s">
        <v>112</v>
      </c>
      <c r="C24" s="134" t="s">
        <v>126</v>
      </c>
      <c r="D24" s="115" t="s">
        <v>114</v>
      </c>
      <c r="E24" s="135"/>
      <c r="F24" s="136">
        <f>21/1000</f>
        <v>2.1000000000000001E-2</v>
      </c>
      <c r="G24" s="118"/>
      <c r="H24" s="118"/>
      <c r="I24" s="118"/>
      <c r="J24" s="118"/>
      <c r="K24" s="118"/>
      <c r="L24" s="118"/>
      <c r="M24" s="118"/>
    </row>
    <row r="25" spans="1:13" ht="15.75" customHeight="1">
      <c r="A25" s="202"/>
      <c r="B25" s="140" t="s">
        <v>115</v>
      </c>
      <c r="C25" s="120" t="s">
        <v>24</v>
      </c>
      <c r="D25" s="121" t="s">
        <v>0</v>
      </c>
      <c r="E25" s="119">
        <f>0.6*170</f>
        <v>102</v>
      </c>
      <c r="F25" s="119">
        <f>E25*F24</f>
        <v>2.1420000000000003</v>
      </c>
      <c r="G25" s="119"/>
      <c r="H25" s="119"/>
      <c r="I25" s="119"/>
      <c r="J25" s="118"/>
      <c r="K25" s="119"/>
      <c r="L25" s="119"/>
      <c r="M25" s="119"/>
    </row>
    <row r="26" spans="1:13" ht="15.75" customHeight="1">
      <c r="A26" s="203"/>
      <c r="B26" s="140"/>
      <c r="C26" s="120" t="s">
        <v>1</v>
      </c>
      <c r="D26" s="121" t="s">
        <v>2</v>
      </c>
      <c r="E26" s="119">
        <f>0.7*0.39</f>
        <v>0.27299999999999996</v>
      </c>
      <c r="F26" s="119">
        <f>E26*F24</f>
        <v>5.7329999999999994E-3</v>
      </c>
      <c r="G26" s="119"/>
      <c r="H26" s="119"/>
      <c r="I26" s="119"/>
      <c r="J26" s="119"/>
      <c r="K26" s="119"/>
      <c r="L26" s="118"/>
      <c r="M26" s="119"/>
    </row>
    <row r="27" spans="1:13" ht="29.25" customHeight="1">
      <c r="A27" s="204">
        <v>6</v>
      </c>
      <c r="B27" s="142" t="s">
        <v>116</v>
      </c>
      <c r="C27" s="138" t="s">
        <v>127</v>
      </c>
      <c r="D27" s="115" t="s">
        <v>25</v>
      </c>
      <c r="E27" s="135"/>
      <c r="F27" s="136">
        <f>50*0.3*0.5/100</f>
        <v>7.4999999999999997E-2</v>
      </c>
      <c r="G27" s="118"/>
      <c r="H27" s="118"/>
      <c r="I27" s="118"/>
      <c r="J27" s="118"/>
      <c r="K27" s="118"/>
      <c r="L27" s="118"/>
      <c r="M27" s="118"/>
    </row>
    <row r="28" spans="1:13" ht="15.75" customHeight="1">
      <c r="A28" s="206"/>
      <c r="B28" s="143"/>
      <c r="C28" s="120" t="s">
        <v>24</v>
      </c>
      <c r="D28" s="121" t="s">
        <v>0</v>
      </c>
      <c r="E28" s="119">
        <v>210</v>
      </c>
      <c r="F28" s="119">
        <f>E28*F27</f>
        <v>15.75</v>
      </c>
      <c r="G28" s="119"/>
      <c r="H28" s="119"/>
      <c r="I28" s="119"/>
      <c r="J28" s="118"/>
      <c r="K28" s="119"/>
      <c r="L28" s="119"/>
      <c r="M28" s="119"/>
    </row>
    <row r="29" spans="1:13" ht="28.5" customHeight="1">
      <c r="A29" s="207">
        <v>7</v>
      </c>
      <c r="B29" s="148" t="s">
        <v>122</v>
      </c>
      <c r="C29" s="99" t="s">
        <v>123</v>
      </c>
      <c r="D29" s="100" t="s">
        <v>65</v>
      </c>
      <c r="E29" s="149"/>
      <c r="F29" s="149">
        <f>140*0.07</f>
        <v>9.8000000000000007</v>
      </c>
      <c r="G29" s="149"/>
      <c r="H29" s="149"/>
      <c r="I29" s="149"/>
      <c r="J29" s="149"/>
      <c r="K29" s="149"/>
      <c r="L29" s="149"/>
      <c r="M29" s="149"/>
    </row>
    <row r="30" spans="1:13" ht="15.75" customHeight="1">
      <c r="A30" s="208"/>
      <c r="B30" s="148" t="s">
        <v>120</v>
      </c>
      <c r="C30" s="150" t="s">
        <v>24</v>
      </c>
      <c r="D30" s="151" t="s">
        <v>0</v>
      </c>
      <c r="E30" s="152">
        <v>2.1</v>
      </c>
      <c r="F30" s="152">
        <f>E30*F29</f>
        <v>20.580000000000002</v>
      </c>
      <c r="G30" s="152"/>
      <c r="H30" s="152"/>
      <c r="I30" s="152"/>
      <c r="J30" s="153"/>
      <c r="K30" s="152"/>
      <c r="L30" s="152"/>
      <c r="M30" s="153"/>
    </row>
    <row r="31" spans="1:13" ht="27.75" customHeight="1">
      <c r="A31" s="204">
        <v>8</v>
      </c>
      <c r="B31" s="142" t="s">
        <v>117</v>
      </c>
      <c r="C31" s="144" t="s">
        <v>128</v>
      </c>
      <c r="D31" s="115" t="s">
        <v>9</v>
      </c>
      <c r="E31" s="135"/>
      <c r="F31" s="135">
        <f>F29+F21+6+7.5</f>
        <v>24.3</v>
      </c>
      <c r="G31" s="118"/>
      <c r="H31" s="118"/>
      <c r="I31" s="118"/>
      <c r="J31" s="118"/>
      <c r="K31" s="118"/>
      <c r="L31" s="118"/>
      <c r="M31" s="118"/>
    </row>
    <row r="32" spans="1:13" ht="15.75" customHeight="1">
      <c r="A32" s="206"/>
      <c r="B32" s="145"/>
      <c r="C32" s="120" t="s">
        <v>24</v>
      </c>
      <c r="D32" s="121" t="s">
        <v>0</v>
      </c>
      <c r="E32" s="146">
        <v>0.6</v>
      </c>
      <c r="F32" s="118">
        <f>F31*E32</f>
        <v>14.58</v>
      </c>
      <c r="G32" s="147"/>
      <c r="H32" s="118"/>
      <c r="I32" s="147"/>
      <c r="J32" s="118"/>
      <c r="K32" s="118"/>
      <c r="L32" s="118"/>
      <c r="M32" s="119"/>
    </row>
    <row r="33" spans="1:13" ht="33.75" customHeight="1">
      <c r="A33" s="199">
        <v>9</v>
      </c>
      <c r="B33" s="129" t="s">
        <v>118</v>
      </c>
      <c r="C33" s="130" t="s">
        <v>119</v>
      </c>
      <c r="D33" s="90" t="s">
        <v>15</v>
      </c>
      <c r="E33" s="131"/>
      <c r="F33" s="90">
        <f>F31*1.65</f>
        <v>40.094999999999999</v>
      </c>
      <c r="G33" s="21"/>
      <c r="H33" s="92"/>
      <c r="I33" s="132"/>
      <c r="J33" s="92"/>
      <c r="K33" s="132"/>
      <c r="L33" s="92"/>
      <c r="M33" s="92"/>
    </row>
    <row r="34" spans="1:13" ht="15.75" customHeight="1">
      <c r="A34" s="200"/>
      <c r="B34" s="129" t="s">
        <v>120</v>
      </c>
      <c r="C34" s="93" t="s">
        <v>24</v>
      </c>
      <c r="D34" s="94" t="s">
        <v>0</v>
      </c>
      <c r="E34" s="133">
        <v>0.53</v>
      </c>
      <c r="F34" s="92">
        <f>F33*E34</f>
        <v>21.250350000000001</v>
      </c>
      <c r="G34" s="21"/>
      <c r="H34" s="92"/>
      <c r="I34" s="132"/>
      <c r="J34" s="92"/>
      <c r="K34" s="132"/>
      <c r="L34" s="92"/>
      <c r="M34" s="92"/>
    </row>
    <row r="35" spans="1:13" ht="15.75" customHeight="1">
      <c r="A35" s="112">
        <v>10</v>
      </c>
      <c r="B35" s="90"/>
      <c r="C35" s="91" t="s">
        <v>121</v>
      </c>
      <c r="D35" s="90" t="s">
        <v>15</v>
      </c>
      <c r="E35" s="131"/>
      <c r="F35" s="90">
        <f>F33</f>
        <v>40.094999999999999</v>
      </c>
      <c r="G35" s="21"/>
      <c r="H35" s="92"/>
      <c r="I35" s="132"/>
      <c r="J35" s="92"/>
      <c r="K35" s="94"/>
      <c r="L35" s="94"/>
      <c r="M35" s="94"/>
    </row>
    <row r="36" spans="1:13" ht="15.75" customHeight="1">
      <c r="A36" s="201">
        <v>11</v>
      </c>
      <c r="B36" s="1" t="s">
        <v>30</v>
      </c>
      <c r="C36" s="5" t="s">
        <v>44</v>
      </c>
      <c r="D36" s="1" t="s">
        <v>8</v>
      </c>
      <c r="E36" s="1"/>
      <c r="F36" s="1">
        <f>F40*0.1</f>
        <v>5</v>
      </c>
      <c r="G36" s="107"/>
      <c r="H36" s="2"/>
      <c r="I36" s="1"/>
      <c r="J36" s="3"/>
      <c r="K36" s="1"/>
      <c r="L36" s="3"/>
      <c r="M36" s="3"/>
    </row>
    <row r="37" spans="1:13" ht="15.75" customHeight="1">
      <c r="A37" s="202"/>
      <c r="B37" s="1"/>
      <c r="C37" s="6" t="s">
        <v>31</v>
      </c>
      <c r="D37" s="2" t="s">
        <v>32</v>
      </c>
      <c r="E37" s="2">
        <v>0.31</v>
      </c>
      <c r="F37" s="2">
        <f>E37*F36</f>
        <v>1.55</v>
      </c>
      <c r="G37" s="3"/>
      <c r="H37" s="2"/>
      <c r="I37" s="2"/>
      <c r="J37" s="3"/>
      <c r="K37" s="2"/>
      <c r="L37" s="3"/>
      <c r="M37" s="3"/>
    </row>
    <row r="38" spans="1:13" ht="15.75" customHeight="1">
      <c r="A38" s="202"/>
      <c r="B38" s="1"/>
      <c r="C38" s="6" t="s">
        <v>33</v>
      </c>
      <c r="D38" s="2" t="s">
        <v>2</v>
      </c>
      <c r="E38" s="2">
        <f>2.24/100</f>
        <v>2.2400000000000003E-2</v>
      </c>
      <c r="F38" s="2">
        <f>E38*F36</f>
        <v>0.11200000000000002</v>
      </c>
      <c r="G38" s="3"/>
      <c r="H38" s="2"/>
      <c r="I38" s="2"/>
      <c r="J38" s="3"/>
      <c r="K38" s="2"/>
      <c r="L38" s="3"/>
      <c r="M38" s="3"/>
    </row>
    <row r="39" spans="1:13" ht="15.75" customHeight="1">
      <c r="A39" s="203"/>
      <c r="B39" s="1"/>
      <c r="C39" s="6" t="s">
        <v>34</v>
      </c>
      <c r="D39" s="2" t="s">
        <v>9</v>
      </c>
      <c r="E39" s="2">
        <f>4.08/100</f>
        <v>4.0800000000000003E-2</v>
      </c>
      <c r="F39" s="2">
        <f>E39*F36</f>
        <v>0.20400000000000001</v>
      </c>
      <c r="G39" s="3"/>
      <c r="H39" s="2"/>
      <c r="I39" s="2"/>
      <c r="J39" s="3"/>
      <c r="K39" s="2"/>
      <c r="L39" s="3"/>
      <c r="M39" s="3"/>
    </row>
    <row r="40" spans="1:13" ht="15.75" customHeight="1">
      <c r="A40" s="201">
        <v>12</v>
      </c>
      <c r="B40" s="107" t="s">
        <v>35</v>
      </c>
      <c r="C40" s="44" t="s">
        <v>150</v>
      </c>
      <c r="D40" s="107" t="s">
        <v>36</v>
      </c>
      <c r="E40" s="2"/>
      <c r="F40" s="1">
        <v>50</v>
      </c>
      <c r="G40" s="3"/>
      <c r="H40" s="2"/>
      <c r="I40" s="2"/>
      <c r="J40" s="3"/>
      <c r="K40" s="2"/>
      <c r="L40" s="3"/>
      <c r="M40" s="3"/>
    </row>
    <row r="41" spans="1:13" ht="15.75" customHeight="1">
      <c r="A41" s="202"/>
      <c r="B41" s="107"/>
      <c r="C41" s="4" t="s">
        <v>37</v>
      </c>
      <c r="D41" s="2" t="s">
        <v>38</v>
      </c>
      <c r="E41" s="2">
        <v>0.74</v>
      </c>
      <c r="F41" s="2">
        <f>E41*F40</f>
        <v>37</v>
      </c>
      <c r="G41" s="3"/>
      <c r="H41" s="2"/>
      <c r="I41" s="197"/>
      <c r="J41" s="2"/>
      <c r="K41" s="2"/>
      <c r="L41" s="2"/>
      <c r="M41" s="2"/>
    </row>
    <row r="42" spans="1:13" ht="15.75" customHeight="1">
      <c r="A42" s="202"/>
      <c r="B42" s="107"/>
      <c r="C42" s="4" t="s">
        <v>94</v>
      </c>
      <c r="D42" s="2" t="s">
        <v>36</v>
      </c>
      <c r="E42" s="2"/>
      <c r="F42" s="2">
        <f>F40</f>
        <v>50</v>
      </c>
      <c r="G42" s="3"/>
      <c r="H42" s="2"/>
      <c r="I42" s="2"/>
      <c r="J42" s="2"/>
      <c r="K42" s="2"/>
      <c r="L42" s="2"/>
      <c r="M42" s="2"/>
    </row>
    <row r="43" spans="1:13" ht="15.75" customHeight="1">
      <c r="A43" s="202"/>
      <c r="B43" s="107"/>
      <c r="C43" s="4" t="s">
        <v>39</v>
      </c>
      <c r="D43" s="2" t="s">
        <v>40</v>
      </c>
      <c r="E43" s="2">
        <f>3.9/100</f>
        <v>3.9E-2</v>
      </c>
      <c r="F43" s="2">
        <f>F40*E43</f>
        <v>1.95</v>
      </c>
      <c r="G43" s="3"/>
      <c r="H43" s="2"/>
      <c r="I43" s="2"/>
      <c r="J43" s="2"/>
      <c r="K43" s="2"/>
      <c r="L43" s="2"/>
      <c r="M43" s="2"/>
    </row>
    <row r="44" spans="1:13" ht="15.75" customHeight="1">
      <c r="A44" s="202"/>
      <c r="B44" s="107"/>
      <c r="C44" s="4" t="s">
        <v>41</v>
      </c>
      <c r="D44" s="2" t="s">
        <v>42</v>
      </c>
      <c r="E44" s="2">
        <f>0.71/100</f>
        <v>7.0999999999999995E-3</v>
      </c>
      <c r="F44" s="2">
        <f>F40*E44</f>
        <v>0.35499999999999998</v>
      </c>
      <c r="G44" s="3"/>
      <c r="H44" s="2"/>
      <c r="I44" s="2"/>
      <c r="J44" s="2"/>
      <c r="K44" s="2"/>
      <c r="L44" s="2"/>
      <c r="M44" s="2"/>
    </row>
    <row r="45" spans="1:13" ht="15.75" customHeight="1">
      <c r="A45" s="203"/>
      <c r="B45" s="107"/>
      <c r="C45" s="4" t="s">
        <v>43</v>
      </c>
      <c r="D45" s="2" t="s">
        <v>42</v>
      </c>
      <c r="E45" s="2">
        <f>9.6/100</f>
        <v>9.6000000000000002E-2</v>
      </c>
      <c r="F45" s="2">
        <f>F40*E45</f>
        <v>4.8</v>
      </c>
      <c r="G45" s="3"/>
      <c r="H45" s="2"/>
      <c r="I45" s="2"/>
      <c r="J45" s="2"/>
      <c r="K45" s="2"/>
      <c r="L45" s="2"/>
      <c r="M45" s="2"/>
    </row>
    <row r="46" spans="1:13" ht="25.5" customHeight="1">
      <c r="A46" s="219">
        <v>13</v>
      </c>
      <c r="B46" s="72" t="s">
        <v>98</v>
      </c>
      <c r="C46" s="40" t="s">
        <v>99</v>
      </c>
      <c r="D46" s="28" t="s">
        <v>47</v>
      </c>
      <c r="E46" s="30"/>
      <c r="F46" s="107">
        <f>F40*0.3*2</f>
        <v>30</v>
      </c>
      <c r="G46" s="41"/>
      <c r="H46" s="41"/>
      <c r="I46" s="41"/>
      <c r="J46" s="41"/>
      <c r="K46" s="41"/>
      <c r="L46" s="41"/>
      <c r="M46" s="41"/>
    </row>
    <row r="47" spans="1:13" ht="15.75" customHeight="1">
      <c r="A47" s="220"/>
      <c r="B47" s="72"/>
      <c r="C47" s="14" t="s">
        <v>37</v>
      </c>
      <c r="D47" s="30" t="s">
        <v>38</v>
      </c>
      <c r="E47" s="30">
        <v>0.24</v>
      </c>
      <c r="F47" s="34">
        <f>E47*F46</f>
        <v>7.1999999999999993</v>
      </c>
      <c r="G47" s="31"/>
      <c r="H47" s="35"/>
      <c r="I47" s="35"/>
      <c r="J47" s="35"/>
      <c r="K47" s="31"/>
      <c r="L47" s="35"/>
      <c r="M47" s="35"/>
    </row>
    <row r="48" spans="1:13" ht="15.75" customHeight="1">
      <c r="A48" s="221"/>
      <c r="B48" s="72"/>
      <c r="C48" s="14" t="s">
        <v>100</v>
      </c>
      <c r="D48" s="30" t="s">
        <v>87</v>
      </c>
      <c r="E48" s="30">
        <v>0.63</v>
      </c>
      <c r="F48" s="34">
        <f>E48*F46</f>
        <v>18.899999999999999</v>
      </c>
      <c r="G48" s="154"/>
      <c r="H48" s="35"/>
      <c r="I48" s="35"/>
      <c r="J48" s="35"/>
      <c r="K48" s="31"/>
      <c r="L48" s="35"/>
      <c r="M48" s="35"/>
    </row>
    <row r="49" spans="1:13" ht="28.5" customHeight="1">
      <c r="A49" s="199">
        <v>14</v>
      </c>
      <c r="B49" s="122" t="s">
        <v>88</v>
      </c>
      <c r="C49" s="91" t="s">
        <v>149</v>
      </c>
      <c r="D49" s="90" t="s">
        <v>23</v>
      </c>
      <c r="E49" s="90"/>
      <c r="F49" s="175">
        <f>140.4/100</f>
        <v>1.4040000000000001</v>
      </c>
      <c r="G49" s="128"/>
      <c r="H49" s="92"/>
      <c r="I49" s="92"/>
      <c r="J49" s="92"/>
      <c r="K49" s="92"/>
      <c r="L49" s="92"/>
      <c r="M49" s="92"/>
    </row>
    <row r="50" spans="1:13" ht="15.75" customHeight="1">
      <c r="A50" s="210"/>
      <c r="B50" s="122"/>
      <c r="C50" s="93" t="s">
        <v>24</v>
      </c>
      <c r="D50" s="94" t="s">
        <v>0</v>
      </c>
      <c r="E50" s="94">
        <f>25.6+3*0.57</f>
        <v>27.310000000000002</v>
      </c>
      <c r="F50" s="94">
        <f>E50*F49</f>
        <v>38.343240000000009</v>
      </c>
      <c r="G50" s="128"/>
      <c r="H50" s="92"/>
      <c r="I50" s="197"/>
      <c r="J50" s="92"/>
      <c r="K50" s="94"/>
      <c r="L50" s="92"/>
      <c r="M50" s="92"/>
    </row>
    <row r="51" spans="1:13" ht="15.75" customHeight="1">
      <c r="A51" s="210"/>
      <c r="B51" s="159"/>
      <c r="C51" s="160" t="s">
        <v>66</v>
      </c>
      <c r="D51" s="156" t="s">
        <v>16</v>
      </c>
      <c r="E51" s="161">
        <v>0.55000000000000004</v>
      </c>
      <c r="F51" s="96">
        <f>E51*F49</f>
        <v>0.77220000000000011</v>
      </c>
      <c r="G51" s="96"/>
      <c r="H51" s="96"/>
      <c r="I51" s="96"/>
      <c r="J51" s="96"/>
      <c r="K51" s="157"/>
      <c r="L51" s="158"/>
      <c r="M51" s="158"/>
    </row>
    <row r="52" spans="1:13" ht="15.75" customHeight="1">
      <c r="A52" s="210"/>
      <c r="B52" s="122"/>
      <c r="C52" s="93" t="s">
        <v>27</v>
      </c>
      <c r="D52" s="94" t="s">
        <v>9</v>
      </c>
      <c r="E52" s="94">
        <v>2</v>
      </c>
      <c r="F52" s="94">
        <f>E52*F49</f>
        <v>2.8080000000000003</v>
      </c>
      <c r="G52" s="128"/>
      <c r="H52" s="92"/>
      <c r="I52" s="94"/>
      <c r="J52" s="92"/>
      <c r="K52" s="94"/>
      <c r="L52" s="92"/>
      <c r="M52" s="92"/>
    </row>
    <row r="53" spans="1:13" ht="15.75" customHeight="1">
      <c r="A53" s="200"/>
      <c r="B53" s="162"/>
      <c r="C53" s="98" t="s">
        <v>135</v>
      </c>
      <c r="D53" s="92" t="s">
        <v>9</v>
      </c>
      <c r="E53" s="94">
        <v>1.26</v>
      </c>
      <c r="F53" s="94">
        <f>F49*100*0.1*1.26</f>
        <v>17.6904</v>
      </c>
      <c r="G53" s="128"/>
      <c r="H53" s="92"/>
      <c r="I53" s="94"/>
      <c r="J53" s="92"/>
      <c r="K53" s="94"/>
      <c r="L53" s="92"/>
      <c r="M53" s="92"/>
    </row>
    <row r="54" spans="1:13" ht="15.75" customHeight="1">
      <c r="A54" s="199">
        <v>15</v>
      </c>
      <c r="B54" s="163" t="s">
        <v>129</v>
      </c>
      <c r="C54" s="99" t="s">
        <v>130</v>
      </c>
      <c r="D54" s="100" t="s">
        <v>67</v>
      </c>
      <c r="E54" s="149"/>
      <c r="F54" s="177">
        <f>F49*0.05</f>
        <v>7.0200000000000012E-2</v>
      </c>
      <c r="G54" s="152"/>
      <c r="H54" s="152"/>
      <c r="I54" s="152"/>
      <c r="J54" s="152"/>
      <c r="K54" s="152"/>
      <c r="L54" s="152"/>
      <c r="M54" s="152"/>
    </row>
    <row r="55" spans="1:13" ht="15.75" customHeight="1">
      <c r="A55" s="210"/>
      <c r="B55" s="155"/>
      <c r="C55" s="95" t="s">
        <v>24</v>
      </c>
      <c r="D55" s="156" t="s">
        <v>0</v>
      </c>
      <c r="E55" s="161">
        <v>14.9</v>
      </c>
      <c r="F55" s="152">
        <f>E55*F54</f>
        <v>1.0459800000000001</v>
      </c>
      <c r="G55" s="152"/>
      <c r="H55" s="152"/>
      <c r="I55" s="152"/>
      <c r="J55" s="152"/>
      <c r="K55" s="152"/>
      <c r="L55" s="152"/>
      <c r="M55" s="152"/>
    </row>
    <row r="56" spans="1:13" ht="15.75" customHeight="1">
      <c r="A56" s="210"/>
      <c r="B56" s="159"/>
      <c r="C56" s="160" t="s">
        <v>66</v>
      </c>
      <c r="D56" s="156" t="s">
        <v>16</v>
      </c>
      <c r="E56" s="161">
        <v>0.69</v>
      </c>
      <c r="F56" s="96">
        <f>E56*F54</f>
        <v>4.8438000000000002E-2</v>
      </c>
      <c r="G56" s="96"/>
      <c r="H56" s="96"/>
      <c r="I56" s="96"/>
      <c r="J56" s="96"/>
      <c r="K56" s="96"/>
      <c r="L56" s="152"/>
      <c r="M56" s="152"/>
    </row>
    <row r="57" spans="1:13" ht="15.75" customHeight="1">
      <c r="A57" s="210"/>
      <c r="B57" s="155"/>
      <c r="C57" s="101" t="s">
        <v>27</v>
      </c>
      <c r="D57" s="102" t="s">
        <v>65</v>
      </c>
      <c r="E57" s="161">
        <v>5</v>
      </c>
      <c r="F57" s="96">
        <f>E57*F54</f>
        <v>0.35100000000000009</v>
      </c>
      <c r="G57" s="96"/>
      <c r="H57" s="96"/>
      <c r="I57" s="96"/>
      <c r="J57" s="96"/>
      <c r="K57" s="96"/>
      <c r="L57" s="96"/>
      <c r="M57" s="152"/>
    </row>
    <row r="58" spans="1:13" ht="15.75" customHeight="1">
      <c r="A58" s="200"/>
      <c r="B58" s="155"/>
      <c r="C58" s="95" t="s">
        <v>89</v>
      </c>
      <c r="D58" s="102" t="s">
        <v>65</v>
      </c>
      <c r="E58" s="161">
        <v>112</v>
      </c>
      <c r="F58" s="96">
        <f>E58*F54</f>
        <v>7.8624000000000009</v>
      </c>
      <c r="G58" s="164"/>
      <c r="H58" s="96"/>
      <c r="I58" s="96"/>
      <c r="J58" s="96"/>
      <c r="K58" s="96"/>
      <c r="L58" s="96"/>
      <c r="M58" s="152"/>
    </row>
    <row r="59" spans="1:13" ht="15.75" customHeight="1">
      <c r="A59" s="222">
        <v>16</v>
      </c>
      <c r="B59" s="165" t="s">
        <v>131</v>
      </c>
      <c r="C59" s="166" t="s">
        <v>136</v>
      </c>
      <c r="D59" s="165" t="s">
        <v>40</v>
      </c>
      <c r="E59" s="165"/>
      <c r="F59" s="167">
        <f>F58+F53</f>
        <v>25.552800000000001</v>
      </c>
      <c r="G59" s="165"/>
      <c r="H59" s="168"/>
      <c r="I59" s="165"/>
      <c r="J59" s="169"/>
      <c r="K59" s="165"/>
      <c r="L59" s="169"/>
      <c r="M59" s="169"/>
    </row>
    <row r="60" spans="1:13" ht="15.75" customHeight="1">
      <c r="A60" s="223"/>
      <c r="B60" s="165"/>
      <c r="C60" s="170" t="s">
        <v>45</v>
      </c>
      <c r="D60" s="168" t="s">
        <v>38</v>
      </c>
      <c r="E60" s="168">
        <v>0.13400000000000001</v>
      </c>
      <c r="F60" s="171">
        <f>E60*F59</f>
        <v>3.4240752000000003</v>
      </c>
      <c r="G60" s="171"/>
      <c r="H60" s="171"/>
      <c r="I60" s="171"/>
      <c r="J60" s="176"/>
      <c r="K60" s="171"/>
      <c r="L60" s="176"/>
      <c r="M60" s="176"/>
    </row>
    <row r="61" spans="1:13" ht="15.75" customHeight="1">
      <c r="A61" s="224"/>
      <c r="B61" s="165"/>
      <c r="C61" s="170" t="s">
        <v>132</v>
      </c>
      <c r="D61" s="168" t="s">
        <v>133</v>
      </c>
      <c r="E61" s="168">
        <v>0.13</v>
      </c>
      <c r="F61" s="171">
        <f>E61*F59</f>
        <v>3.3218640000000001</v>
      </c>
      <c r="G61" s="171"/>
      <c r="H61" s="171"/>
      <c r="I61" s="171"/>
      <c r="J61" s="176"/>
      <c r="K61" s="176"/>
      <c r="L61" s="176"/>
      <c r="M61" s="176"/>
    </row>
    <row r="62" spans="1:13" ht="15.75" customHeight="1">
      <c r="A62" s="199">
        <v>17</v>
      </c>
      <c r="B62" s="172" t="s">
        <v>134</v>
      </c>
      <c r="C62" s="103" t="s">
        <v>139</v>
      </c>
      <c r="D62" s="100" t="s">
        <v>90</v>
      </c>
      <c r="E62" s="173"/>
      <c r="F62" s="177">
        <f>F49/10</f>
        <v>0.14040000000000002</v>
      </c>
      <c r="G62" s="97"/>
      <c r="H62" s="97"/>
      <c r="I62" s="96"/>
      <c r="J62" s="97"/>
      <c r="K62" s="96"/>
      <c r="L62" s="96"/>
      <c r="M62" s="96"/>
    </row>
    <row r="63" spans="1:13" ht="15.75" customHeight="1">
      <c r="A63" s="210"/>
      <c r="B63" s="155"/>
      <c r="C63" s="95" t="s">
        <v>24</v>
      </c>
      <c r="D63" s="156" t="s">
        <v>0</v>
      </c>
      <c r="E63" s="96">
        <f>542-2*6.25</f>
        <v>529.5</v>
      </c>
      <c r="F63" s="97">
        <f>E63*F62</f>
        <v>74.341800000000006</v>
      </c>
      <c r="G63" s="97"/>
      <c r="H63" s="97"/>
      <c r="I63" s="198"/>
      <c r="J63" s="174"/>
      <c r="K63" s="96"/>
      <c r="L63" s="96"/>
      <c r="M63" s="152"/>
    </row>
    <row r="64" spans="1:13" ht="25.5" customHeight="1">
      <c r="A64" s="210"/>
      <c r="B64" s="155"/>
      <c r="C64" s="178" t="s">
        <v>137</v>
      </c>
      <c r="D64" s="104" t="s">
        <v>91</v>
      </c>
      <c r="E64" s="96">
        <v>1000</v>
      </c>
      <c r="F64" s="96">
        <f>F62*E64</f>
        <v>140.40000000000003</v>
      </c>
      <c r="G64" s="105"/>
      <c r="H64" s="97"/>
      <c r="I64" s="96"/>
      <c r="J64" s="96"/>
      <c r="K64" s="96"/>
      <c r="L64" s="96"/>
      <c r="M64" s="152"/>
    </row>
    <row r="65" spans="1:13" ht="15.75" customHeight="1">
      <c r="A65" s="200"/>
      <c r="B65" s="155"/>
      <c r="C65" s="95" t="s">
        <v>92</v>
      </c>
      <c r="D65" s="102" t="s">
        <v>10</v>
      </c>
      <c r="E65" s="96">
        <v>1200</v>
      </c>
      <c r="F65" s="97">
        <f>E65*F62</f>
        <v>168.48000000000002</v>
      </c>
      <c r="G65" s="164"/>
      <c r="H65" s="97"/>
      <c r="I65" s="96"/>
      <c r="J65" s="96"/>
      <c r="K65" s="96"/>
      <c r="L65" s="96"/>
      <c r="M65" s="152"/>
    </row>
    <row r="66" spans="1:13" ht="26.25" customHeight="1">
      <c r="A66" s="201">
        <v>18</v>
      </c>
      <c r="B66" s="68" t="s">
        <v>68</v>
      </c>
      <c r="C66" s="50" t="s">
        <v>138</v>
      </c>
      <c r="D66" s="47" t="s">
        <v>25</v>
      </c>
      <c r="E66" s="24"/>
      <c r="F66" s="23">
        <f>2.2/100</f>
        <v>2.2000000000000002E-2</v>
      </c>
      <c r="G66" s="24"/>
      <c r="H66" s="24"/>
      <c r="I66" s="24"/>
      <c r="J66" s="24"/>
      <c r="K66" s="24"/>
      <c r="L66" s="24"/>
      <c r="M66" s="24"/>
    </row>
    <row r="67" spans="1:13" ht="15.75" customHeight="1">
      <c r="A67" s="202"/>
      <c r="B67" s="69"/>
      <c r="C67" s="45" t="s">
        <v>24</v>
      </c>
      <c r="D67" s="49" t="s">
        <v>0</v>
      </c>
      <c r="E67" s="25">
        <v>286</v>
      </c>
      <c r="F67" s="25">
        <f>E67*F66</f>
        <v>6.2920000000000007</v>
      </c>
      <c r="G67" s="25"/>
      <c r="H67" s="25"/>
      <c r="I67" s="25"/>
      <c r="J67" s="26"/>
      <c r="K67" s="25"/>
      <c r="L67" s="25"/>
      <c r="M67" s="25"/>
    </row>
    <row r="68" spans="1:13" ht="15.75" customHeight="1">
      <c r="A68" s="202"/>
      <c r="B68" s="70"/>
      <c r="C68" s="45" t="s">
        <v>1</v>
      </c>
      <c r="D68" s="49" t="s">
        <v>2</v>
      </c>
      <c r="E68" s="25">
        <v>76</v>
      </c>
      <c r="F68" s="25">
        <f>F66*E68</f>
        <v>1.6720000000000002</v>
      </c>
      <c r="G68" s="25"/>
      <c r="H68" s="25"/>
      <c r="I68" s="25"/>
      <c r="J68" s="25"/>
      <c r="K68" s="25"/>
      <c r="L68" s="26"/>
      <c r="M68" s="25"/>
    </row>
    <row r="69" spans="1:13" ht="15.75" customHeight="1">
      <c r="A69" s="202"/>
      <c r="B69" s="71"/>
      <c r="C69" s="45" t="s">
        <v>69</v>
      </c>
      <c r="D69" s="46" t="s">
        <v>9</v>
      </c>
      <c r="E69" s="25">
        <v>102</v>
      </c>
      <c r="F69" s="25">
        <f>E69*F66</f>
        <v>2.2440000000000002</v>
      </c>
      <c r="G69" s="25"/>
      <c r="H69" s="26"/>
      <c r="I69" s="25"/>
      <c r="J69" s="25"/>
      <c r="K69" s="25"/>
      <c r="L69" s="25"/>
      <c r="M69" s="25"/>
    </row>
    <row r="70" spans="1:13" ht="15.75" customHeight="1">
      <c r="A70" s="203"/>
      <c r="B70" s="70"/>
      <c r="C70" s="51" t="s">
        <v>13</v>
      </c>
      <c r="D70" s="49" t="s">
        <v>2</v>
      </c>
      <c r="E70" s="25">
        <v>13</v>
      </c>
      <c r="F70" s="25">
        <f>F66*E70</f>
        <v>0.28600000000000003</v>
      </c>
      <c r="G70" s="25"/>
      <c r="H70" s="26"/>
      <c r="I70" s="25"/>
      <c r="J70" s="25"/>
      <c r="K70" s="25"/>
      <c r="L70" s="25"/>
      <c r="M70" s="25"/>
    </row>
    <row r="71" spans="1:13" ht="15.75" customHeight="1">
      <c r="A71" s="216">
        <v>19</v>
      </c>
      <c r="B71" s="179" t="s">
        <v>140</v>
      </c>
      <c r="C71" s="180" t="s">
        <v>144</v>
      </c>
      <c r="D71" s="113" t="s">
        <v>15</v>
      </c>
      <c r="E71" s="116"/>
      <c r="F71" s="181">
        <f>F74*25.1/1000</f>
        <v>0.31625999999999999</v>
      </c>
      <c r="G71" s="119"/>
      <c r="H71" s="119"/>
      <c r="I71" s="119"/>
      <c r="J71" s="119"/>
      <c r="K71" s="119"/>
      <c r="L71" s="119"/>
      <c r="M71" s="119"/>
    </row>
    <row r="72" spans="1:13" ht="15.75" customHeight="1">
      <c r="A72" s="217"/>
      <c r="B72" s="182"/>
      <c r="C72" s="183" t="s">
        <v>24</v>
      </c>
      <c r="D72" s="121" t="s">
        <v>0</v>
      </c>
      <c r="E72" s="119">
        <v>39.200000000000003</v>
      </c>
      <c r="F72" s="119">
        <f>E72*F71</f>
        <v>12.397392</v>
      </c>
      <c r="G72" s="119"/>
      <c r="H72" s="119"/>
      <c r="I72" s="119"/>
      <c r="J72" s="119"/>
      <c r="K72" s="119"/>
      <c r="L72" s="119"/>
      <c r="M72" s="119"/>
    </row>
    <row r="73" spans="1:13" ht="15.75" customHeight="1">
      <c r="A73" s="217"/>
      <c r="B73" s="182"/>
      <c r="C73" s="183" t="s">
        <v>1</v>
      </c>
      <c r="D73" s="121" t="s">
        <v>2</v>
      </c>
      <c r="E73" s="119">
        <v>14.8</v>
      </c>
      <c r="F73" s="119">
        <f>E73*F71</f>
        <v>4.6806479999999997</v>
      </c>
      <c r="G73" s="119"/>
      <c r="H73" s="119"/>
      <c r="I73" s="119"/>
      <c r="J73" s="119"/>
      <c r="K73" s="119"/>
      <c r="L73" s="119"/>
      <c r="M73" s="119"/>
    </row>
    <row r="74" spans="1:13" ht="15.75" customHeight="1">
      <c r="A74" s="217"/>
      <c r="B74" s="184"/>
      <c r="C74" s="124" t="s">
        <v>146</v>
      </c>
      <c r="D74" s="121" t="s">
        <v>113</v>
      </c>
      <c r="E74" s="119" t="s">
        <v>93</v>
      </c>
      <c r="F74" s="119">
        <v>12.6</v>
      </c>
      <c r="G74" s="119"/>
      <c r="H74" s="118"/>
      <c r="I74" s="119"/>
      <c r="J74" s="119"/>
      <c r="K74" s="119"/>
      <c r="L74" s="119"/>
      <c r="M74" s="119"/>
    </row>
    <row r="75" spans="1:13" ht="15.75" customHeight="1">
      <c r="A75" s="218"/>
      <c r="B75" s="182"/>
      <c r="C75" s="183" t="s">
        <v>13</v>
      </c>
      <c r="D75" s="121" t="s">
        <v>2</v>
      </c>
      <c r="E75" s="119">
        <v>0.4</v>
      </c>
      <c r="F75" s="119">
        <f>E75*F71</f>
        <v>0.12650400000000001</v>
      </c>
      <c r="G75" s="119"/>
      <c r="H75" s="119"/>
      <c r="I75" s="119"/>
      <c r="J75" s="119"/>
      <c r="K75" s="119"/>
      <c r="L75" s="119"/>
      <c r="M75" s="119"/>
    </row>
    <row r="76" spans="1:13" ht="15.75" customHeight="1">
      <c r="A76" s="216">
        <v>20</v>
      </c>
      <c r="B76" s="179" t="s">
        <v>141</v>
      </c>
      <c r="C76" s="180" t="s">
        <v>145</v>
      </c>
      <c r="D76" s="113" t="s">
        <v>15</v>
      </c>
      <c r="E76" s="116"/>
      <c r="F76" s="181">
        <f>274/1000</f>
        <v>0.27400000000000002</v>
      </c>
      <c r="G76" s="119"/>
      <c r="H76" s="119"/>
      <c r="I76" s="119"/>
      <c r="J76" s="119"/>
      <c r="K76" s="119"/>
      <c r="L76" s="119"/>
      <c r="M76" s="119"/>
    </row>
    <row r="77" spans="1:13" ht="15.75" customHeight="1">
      <c r="A77" s="217"/>
      <c r="B77" s="182"/>
      <c r="C77" s="120" t="s">
        <v>24</v>
      </c>
      <c r="D77" s="121" t="s">
        <v>0</v>
      </c>
      <c r="E77" s="119">
        <v>34.9</v>
      </c>
      <c r="F77" s="119">
        <f>E77*F76</f>
        <v>9.5625999999999998</v>
      </c>
      <c r="G77" s="119"/>
      <c r="H77" s="119"/>
      <c r="I77" s="119"/>
      <c r="J77" s="118"/>
      <c r="K77" s="119"/>
      <c r="L77" s="119"/>
      <c r="M77" s="119"/>
    </row>
    <row r="78" spans="1:13" ht="15.75" customHeight="1">
      <c r="A78" s="217"/>
      <c r="B78" s="140"/>
      <c r="C78" s="120" t="s">
        <v>1</v>
      </c>
      <c r="D78" s="121" t="s">
        <v>2</v>
      </c>
      <c r="E78" s="119">
        <v>4.07</v>
      </c>
      <c r="F78" s="119">
        <f>E78*F76</f>
        <v>1.1151800000000001</v>
      </c>
      <c r="G78" s="119"/>
      <c r="H78" s="119"/>
      <c r="I78" s="119"/>
      <c r="J78" s="119"/>
      <c r="K78" s="119"/>
      <c r="L78" s="118"/>
      <c r="M78" s="119"/>
    </row>
    <row r="79" spans="1:13" ht="15.75" customHeight="1">
      <c r="A79" s="217"/>
      <c r="B79" s="182"/>
      <c r="C79" s="183" t="s">
        <v>70</v>
      </c>
      <c r="D79" s="125" t="s">
        <v>10</v>
      </c>
      <c r="E79" s="119">
        <v>15.2</v>
      </c>
      <c r="F79" s="119">
        <f>E79*F76</f>
        <v>4.1648000000000005</v>
      </c>
      <c r="G79" s="119"/>
      <c r="H79" s="118"/>
      <c r="I79" s="119"/>
      <c r="J79" s="119"/>
      <c r="K79" s="119"/>
      <c r="L79" s="119"/>
      <c r="M79" s="119"/>
    </row>
    <row r="80" spans="1:13" ht="15.75" customHeight="1">
      <c r="A80" s="217"/>
      <c r="B80" s="182"/>
      <c r="C80" s="183" t="s">
        <v>147</v>
      </c>
      <c r="D80" s="121" t="s">
        <v>113</v>
      </c>
      <c r="E80" s="119" t="s">
        <v>93</v>
      </c>
      <c r="F80" s="119">
        <v>26.5</v>
      </c>
      <c r="G80" s="119"/>
      <c r="H80" s="118"/>
      <c r="I80" s="119"/>
      <c r="J80" s="119"/>
      <c r="K80" s="119"/>
      <c r="L80" s="119"/>
      <c r="M80" s="119"/>
    </row>
    <row r="81" spans="1:13" ht="15.75" customHeight="1">
      <c r="A81" s="217"/>
      <c r="B81" s="182"/>
      <c r="C81" s="183" t="s">
        <v>148</v>
      </c>
      <c r="D81" s="121" t="s">
        <v>113</v>
      </c>
      <c r="E81" s="123" t="s">
        <v>93</v>
      </c>
      <c r="F81" s="185">
        <v>172.6</v>
      </c>
      <c r="G81" s="119"/>
      <c r="H81" s="118"/>
      <c r="I81" s="119"/>
      <c r="J81" s="119"/>
      <c r="K81" s="119"/>
      <c r="L81" s="119"/>
      <c r="M81" s="119"/>
    </row>
    <row r="82" spans="1:13" ht="15.75" customHeight="1">
      <c r="A82" s="218"/>
      <c r="B82" s="182"/>
      <c r="C82" s="124" t="s">
        <v>13</v>
      </c>
      <c r="D82" s="121" t="s">
        <v>2</v>
      </c>
      <c r="E82" s="119">
        <v>2.78</v>
      </c>
      <c r="F82" s="119">
        <f>E82*F76</f>
        <v>0.76171999999999995</v>
      </c>
      <c r="G82" s="119"/>
      <c r="H82" s="118"/>
      <c r="I82" s="119"/>
      <c r="J82" s="119"/>
      <c r="K82" s="119"/>
      <c r="L82" s="119"/>
      <c r="M82" s="119"/>
    </row>
    <row r="83" spans="1:13" ht="15.75" customHeight="1">
      <c r="A83" s="201">
        <v>21</v>
      </c>
      <c r="B83" s="179" t="s">
        <v>48</v>
      </c>
      <c r="C83" s="180" t="s">
        <v>142</v>
      </c>
      <c r="D83" s="113" t="s">
        <v>26</v>
      </c>
      <c r="E83" s="116"/>
      <c r="F83" s="181">
        <f>21.4/100</f>
        <v>0.214</v>
      </c>
      <c r="G83" s="119"/>
      <c r="H83" s="119"/>
      <c r="I83" s="119"/>
      <c r="J83" s="119"/>
      <c r="K83" s="119"/>
      <c r="L83" s="119"/>
      <c r="M83" s="119"/>
    </row>
    <row r="84" spans="1:13" ht="15.75" customHeight="1">
      <c r="A84" s="202"/>
      <c r="B84" s="182"/>
      <c r="C84" s="120" t="s">
        <v>24</v>
      </c>
      <c r="D84" s="121" t="s">
        <v>0</v>
      </c>
      <c r="E84" s="119">
        <v>158</v>
      </c>
      <c r="F84" s="119">
        <f>E84*F83</f>
        <v>33.811999999999998</v>
      </c>
      <c r="G84" s="119"/>
      <c r="H84" s="119"/>
      <c r="I84" s="119"/>
      <c r="J84" s="118"/>
      <c r="K84" s="119"/>
      <c r="L84" s="119"/>
      <c r="M84" s="119"/>
    </row>
    <row r="85" spans="1:13" s="62" customFormat="1" ht="15" customHeight="1">
      <c r="A85" s="202"/>
      <c r="B85" s="186"/>
      <c r="C85" s="187" t="s">
        <v>28</v>
      </c>
      <c r="D85" s="184" t="s">
        <v>16</v>
      </c>
      <c r="E85" s="188">
        <v>20.5</v>
      </c>
      <c r="F85" s="188">
        <f>E85*F83</f>
        <v>4.3869999999999996</v>
      </c>
      <c r="G85" s="118"/>
      <c r="H85" s="118"/>
      <c r="I85" s="188"/>
      <c r="J85" s="118"/>
      <c r="K85" s="188"/>
      <c r="L85" s="118"/>
      <c r="M85" s="119"/>
    </row>
    <row r="86" spans="1:13" s="62" customFormat="1" ht="12">
      <c r="A86" s="202"/>
      <c r="B86" s="140"/>
      <c r="C86" s="120" t="s">
        <v>1</v>
      </c>
      <c r="D86" s="121" t="s">
        <v>2</v>
      </c>
      <c r="E86" s="119">
        <v>4</v>
      </c>
      <c r="F86" s="119">
        <f>E86*F83</f>
        <v>0.85599999999999998</v>
      </c>
      <c r="G86" s="119"/>
      <c r="H86" s="119"/>
      <c r="I86" s="119"/>
      <c r="J86" s="119"/>
      <c r="K86" s="119"/>
      <c r="L86" s="118"/>
      <c r="M86" s="119"/>
    </row>
    <row r="87" spans="1:13" s="62" customFormat="1" ht="18.75" customHeight="1">
      <c r="A87" s="202"/>
      <c r="B87" s="125"/>
      <c r="C87" s="120" t="s">
        <v>49</v>
      </c>
      <c r="D87" s="121" t="s">
        <v>10</v>
      </c>
      <c r="E87" s="119">
        <v>2</v>
      </c>
      <c r="F87" s="119">
        <f>F83*E87</f>
        <v>0.42799999999999999</v>
      </c>
      <c r="G87" s="119"/>
      <c r="H87" s="118"/>
      <c r="I87" s="119"/>
      <c r="J87" s="118"/>
      <c r="K87" s="119"/>
      <c r="L87" s="118"/>
      <c r="M87" s="118"/>
    </row>
    <row r="88" spans="1:13" s="65" customFormat="1" ht="12">
      <c r="A88" s="203"/>
      <c r="B88" s="182"/>
      <c r="C88" s="124" t="s">
        <v>13</v>
      </c>
      <c r="D88" s="121" t="s">
        <v>2</v>
      </c>
      <c r="E88" s="119">
        <v>6</v>
      </c>
      <c r="F88" s="119">
        <f>E88*F83</f>
        <v>1.284</v>
      </c>
      <c r="G88" s="119"/>
      <c r="H88" s="118"/>
      <c r="I88" s="119"/>
      <c r="J88" s="119"/>
      <c r="K88" s="119"/>
      <c r="L88" s="119"/>
      <c r="M88" s="119"/>
    </row>
    <row r="89" spans="1:13" s="65" customFormat="1" ht="24">
      <c r="A89" s="201">
        <v>22</v>
      </c>
      <c r="B89" s="189" t="s">
        <v>50</v>
      </c>
      <c r="C89" s="190" t="s">
        <v>143</v>
      </c>
      <c r="D89" s="113" t="s">
        <v>23</v>
      </c>
      <c r="E89" s="116"/>
      <c r="F89" s="191">
        <f>51.6/100</f>
        <v>0.51600000000000001</v>
      </c>
      <c r="G89" s="119"/>
      <c r="H89" s="119"/>
      <c r="I89" s="119"/>
      <c r="J89" s="119"/>
      <c r="K89" s="118"/>
      <c r="L89" s="119"/>
      <c r="M89" s="119"/>
    </row>
    <row r="90" spans="1:13" s="65" customFormat="1" ht="12">
      <c r="A90" s="202"/>
      <c r="B90" s="184"/>
      <c r="C90" s="120" t="s">
        <v>24</v>
      </c>
      <c r="D90" s="121" t="s">
        <v>0</v>
      </c>
      <c r="E90" s="119">
        <v>68</v>
      </c>
      <c r="F90" s="119">
        <f>E90*F89</f>
        <v>35.088000000000001</v>
      </c>
      <c r="G90" s="119"/>
      <c r="H90" s="119"/>
      <c r="I90" s="119"/>
      <c r="J90" s="118"/>
      <c r="K90" s="118"/>
      <c r="L90" s="185"/>
      <c r="M90" s="119"/>
    </row>
    <row r="91" spans="1:13" s="65" customFormat="1" ht="12">
      <c r="A91" s="202"/>
      <c r="B91" s="140"/>
      <c r="C91" s="120" t="s">
        <v>1</v>
      </c>
      <c r="D91" s="121" t="s">
        <v>2</v>
      </c>
      <c r="E91" s="119">
        <v>0.03</v>
      </c>
      <c r="F91" s="119">
        <f>E91*F89</f>
        <v>1.5480000000000001E-2</v>
      </c>
      <c r="G91" s="185"/>
      <c r="H91" s="185"/>
      <c r="I91" s="185"/>
      <c r="J91" s="185"/>
      <c r="K91" s="119"/>
      <c r="L91" s="118"/>
      <c r="M91" s="119"/>
    </row>
    <row r="92" spans="1:13" s="65" customFormat="1" ht="15.75" customHeight="1">
      <c r="A92" s="202"/>
      <c r="B92" s="121"/>
      <c r="C92" s="124" t="s">
        <v>17</v>
      </c>
      <c r="D92" s="125" t="s">
        <v>10</v>
      </c>
      <c r="E92" s="119">
        <v>2.7</v>
      </c>
      <c r="F92" s="119">
        <f>F89*E92</f>
        <v>1.3932000000000002</v>
      </c>
      <c r="G92" s="119"/>
      <c r="H92" s="118"/>
      <c r="I92" s="185"/>
      <c r="J92" s="185"/>
      <c r="K92" s="118"/>
      <c r="L92" s="119"/>
      <c r="M92" s="119"/>
    </row>
    <row r="93" spans="1:13" s="65" customFormat="1" ht="12">
      <c r="A93" s="202"/>
      <c r="B93" s="121"/>
      <c r="C93" s="124" t="s">
        <v>51</v>
      </c>
      <c r="D93" s="125" t="s">
        <v>10</v>
      </c>
      <c r="E93" s="119">
        <f>25.1+0.2</f>
        <v>25.3</v>
      </c>
      <c r="F93" s="119">
        <f>F89*E93</f>
        <v>13.0548</v>
      </c>
      <c r="G93" s="119"/>
      <c r="H93" s="118"/>
      <c r="I93" s="185"/>
      <c r="J93" s="185"/>
      <c r="K93" s="118"/>
      <c r="L93" s="119"/>
      <c r="M93" s="119"/>
    </row>
    <row r="94" spans="1:13" s="65" customFormat="1" ht="12">
      <c r="A94" s="203"/>
      <c r="B94" s="121"/>
      <c r="C94" s="124" t="s">
        <v>13</v>
      </c>
      <c r="D94" s="121" t="s">
        <v>2</v>
      </c>
      <c r="E94" s="119">
        <v>0.19</v>
      </c>
      <c r="F94" s="119">
        <f>E94*F89</f>
        <v>9.8040000000000002E-2</v>
      </c>
      <c r="G94" s="118"/>
      <c r="H94" s="118"/>
      <c r="I94" s="188"/>
      <c r="J94" s="118"/>
      <c r="K94" s="192"/>
      <c r="L94" s="193"/>
      <c r="M94" s="119"/>
    </row>
    <row r="95" spans="1:13" s="65" customFormat="1" ht="25.5">
      <c r="A95" s="201">
        <v>23</v>
      </c>
      <c r="B95" s="107" t="s">
        <v>46</v>
      </c>
      <c r="C95" s="44" t="s">
        <v>151</v>
      </c>
      <c r="D95" s="1" t="s">
        <v>8</v>
      </c>
      <c r="E95" s="2"/>
      <c r="F95" s="1">
        <v>230</v>
      </c>
      <c r="G95" s="107"/>
      <c r="H95" s="1"/>
      <c r="I95" s="2"/>
      <c r="J95" s="1"/>
      <c r="K95" s="1"/>
      <c r="L95" s="1"/>
      <c r="M95" s="27"/>
    </row>
    <row r="96" spans="1:13" s="65" customFormat="1">
      <c r="A96" s="202"/>
      <c r="B96" s="107"/>
      <c r="C96" s="4" t="s">
        <v>45</v>
      </c>
      <c r="D96" s="2" t="s">
        <v>38</v>
      </c>
      <c r="E96" s="2">
        <v>0.38</v>
      </c>
      <c r="F96" s="2">
        <f>E96*F95</f>
        <v>87.4</v>
      </c>
      <c r="G96" s="3"/>
      <c r="H96" s="2"/>
      <c r="I96" s="2"/>
      <c r="J96" s="2"/>
      <c r="K96" s="2"/>
      <c r="L96" s="2"/>
      <c r="M96" s="2"/>
    </row>
    <row r="97" spans="1:13" s="65" customFormat="1">
      <c r="A97" s="203"/>
      <c r="B97" s="107"/>
      <c r="C97" s="4" t="s">
        <v>152</v>
      </c>
      <c r="D97" s="2" t="s">
        <v>9</v>
      </c>
      <c r="E97" s="2"/>
      <c r="F97" s="2">
        <f>F95*0.1</f>
        <v>23</v>
      </c>
      <c r="G97" s="3"/>
      <c r="H97" s="2"/>
      <c r="I97" s="2"/>
      <c r="J97" s="2"/>
      <c r="K97" s="2"/>
      <c r="L97" s="2"/>
      <c r="M97" s="2"/>
    </row>
    <row r="98" spans="1:13" s="65" customFormat="1" ht="18.75" customHeight="1">
      <c r="A98" s="201">
        <v>24</v>
      </c>
      <c r="B98" s="8" t="s">
        <v>58</v>
      </c>
      <c r="C98" s="9" t="s">
        <v>59</v>
      </c>
      <c r="D98" s="8" t="s">
        <v>47</v>
      </c>
      <c r="E98" s="8"/>
      <c r="F98" s="10">
        <f>F95</f>
        <v>230</v>
      </c>
      <c r="G98" s="11"/>
      <c r="H98" s="12"/>
      <c r="I98" s="11"/>
      <c r="J98" s="62"/>
      <c r="K98" s="11"/>
      <c r="L98" s="11"/>
      <c r="M98" s="13"/>
    </row>
    <row r="99" spans="1:13" s="65" customFormat="1" ht="15">
      <c r="A99" s="202"/>
      <c r="B99" s="8"/>
      <c r="C99" s="14" t="s">
        <v>60</v>
      </c>
      <c r="D99" s="15" t="s">
        <v>86</v>
      </c>
      <c r="E99" s="11">
        <f>4.39/100</f>
        <v>4.3899999999999995E-2</v>
      </c>
      <c r="F99" s="67">
        <f>F98*E99</f>
        <v>10.097</v>
      </c>
      <c r="G99" s="11"/>
      <c r="H99" s="12"/>
      <c r="I99" s="12"/>
      <c r="J99" s="12"/>
      <c r="K99" s="11"/>
      <c r="L99" s="11"/>
      <c r="M99" s="13"/>
    </row>
    <row r="100" spans="1:13" s="65" customFormat="1" ht="15">
      <c r="A100" s="202"/>
      <c r="B100" s="8"/>
      <c r="C100" s="14" t="s">
        <v>62</v>
      </c>
      <c r="D100" s="15" t="s">
        <v>63</v>
      </c>
      <c r="E100" s="11">
        <v>1</v>
      </c>
      <c r="F100" s="11">
        <f>F98*E100</f>
        <v>230</v>
      </c>
      <c r="G100" s="12"/>
      <c r="H100" s="12"/>
      <c r="I100" s="11"/>
      <c r="J100" s="11"/>
      <c r="K100" s="11"/>
      <c r="L100" s="11"/>
      <c r="M100" s="13"/>
    </row>
    <row r="101" spans="1:13" s="65" customFormat="1" ht="15">
      <c r="A101" s="203"/>
      <c r="B101" s="8"/>
      <c r="C101" s="14" t="s">
        <v>61</v>
      </c>
      <c r="D101" s="15" t="s">
        <v>64</v>
      </c>
      <c r="E101" s="11">
        <f>10/100</f>
        <v>0.1</v>
      </c>
      <c r="F101" s="11">
        <f>F98*E101</f>
        <v>23</v>
      </c>
      <c r="G101" s="12"/>
      <c r="H101" s="11"/>
      <c r="I101" s="16"/>
      <c r="J101" s="16"/>
      <c r="K101" s="11"/>
      <c r="L101" s="11"/>
      <c r="M101" s="13"/>
    </row>
    <row r="102" spans="1:13" s="62" customFormat="1" ht="30" customHeight="1">
      <c r="A102" s="225">
        <v>25</v>
      </c>
      <c r="B102" s="72" t="s">
        <v>72</v>
      </c>
      <c r="C102" s="40" t="s">
        <v>95</v>
      </c>
      <c r="D102" s="28" t="s">
        <v>40</v>
      </c>
      <c r="E102" s="30"/>
      <c r="F102" s="107">
        <f>0.15*8</f>
        <v>1.2</v>
      </c>
      <c r="G102" s="41"/>
      <c r="H102" s="41"/>
      <c r="I102" s="41"/>
      <c r="J102" s="41"/>
      <c r="K102" s="41"/>
      <c r="L102" s="41"/>
      <c r="M102" s="42"/>
    </row>
    <row r="103" spans="1:13" s="62" customFormat="1" ht="15" customHeight="1">
      <c r="A103" s="226"/>
      <c r="B103" s="72"/>
      <c r="C103" s="14" t="s">
        <v>37</v>
      </c>
      <c r="D103" s="30" t="s">
        <v>38</v>
      </c>
      <c r="E103" s="30">
        <v>5.07</v>
      </c>
      <c r="F103" s="34">
        <f>E103*F102</f>
        <v>6.0840000000000005</v>
      </c>
      <c r="G103" s="31"/>
      <c r="H103" s="35"/>
      <c r="I103" s="35"/>
      <c r="J103" s="35"/>
      <c r="K103" s="31"/>
      <c r="L103" s="35"/>
      <c r="M103" s="36"/>
    </row>
    <row r="104" spans="1:13" s="62" customFormat="1" ht="15" customHeight="1">
      <c r="A104" s="226"/>
      <c r="B104" s="72"/>
      <c r="C104" s="111" t="s">
        <v>69</v>
      </c>
      <c r="D104" s="30" t="s">
        <v>40</v>
      </c>
      <c r="E104" s="30">
        <v>1.02</v>
      </c>
      <c r="F104" s="34">
        <f>E104*F102</f>
        <v>1.224</v>
      </c>
      <c r="G104" s="35"/>
      <c r="H104" s="35"/>
      <c r="I104" s="35"/>
      <c r="J104" s="35"/>
      <c r="K104" s="31"/>
      <c r="L104" s="35"/>
      <c r="M104" s="36"/>
    </row>
    <row r="105" spans="1:13" s="62" customFormat="1" ht="15" customHeight="1">
      <c r="A105" s="226"/>
      <c r="B105" s="72"/>
      <c r="C105" s="14" t="s">
        <v>41</v>
      </c>
      <c r="D105" s="30" t="s">
        <v>42</v>
      </c>
      <c r="E105" s="30">
        <v>1.1399999999999999</v>
      </c>
      <c r="F105" s="34">
        <f>F102*E105</f>
        <v>1.3679999999999999</v>
      </c>
      <c r="G105" s="31"/>
      <c r="H105" s="35"/>
      <c r="I105" s="35"/>
      <c r="J105" s="35"/>
      <c r="K105" s="35"/>
      <c r="L105" s="35"/>
      <c r="M105" s="36"/>
    </row>
    <row r="106" spans="1:13" s="62" customFormat="1" ht="15" customHeight="1">
      <c r="A106" s="227"/>
      <c r="B106" s="72"/>
      <c r="C106" s="14" t="s">
        <v>43</v>
      </c>
      <c r="D106" s="30" t="s">
        <v>42</v>
      </c>
      <c r="E106" s="30">
        <v>0.25</v>
      </c>
      <c r="F106" s="34">
        <f>F102*E106</f>
        <v>0.3</v>
      </c>
      <c r="G106" s="31"/>
      <c r="H106" s="35"/>
      <c r="I106" s="35"/>
      <c r="J106" s="35"/>
      <c r="K106" s="31"/>
      <c r="L106" s="35"/>
      <c r="M106" s="36"/>
    </row>
    <row r="107" spans="1:13" s="62" customFormat="1" ht="27.75" customHeight="1">
      <c r="A107" s="201">
        <v>26</v>
      </c>
      <c r="B107" s="8" t="s">
        <v>74</v>
      </c>
      <c r="C107" s="40" t="s">
        <v>153</v>
      </c>
      <c r="D107" s="28" t="s">
        <v>40</v>
      </c>
      <c r="E107" s="78"/>
      <c r="F107" s="195">
        <f>F110*100*0.1</f>
        <v>0.10800000000000001</v>
      </c>
      <c r="G107" s="30"/>
      <c r="H107" s="29"/>
      <c r="I107" s="79"/>
      <c r="J107" s="79"/>
      <c r="K107" s="30"/>
      <c r="L107" s="30"/>
      <c r="M107" s="29"/>
    </row>
    <row r="108" spans="1:13" s="62" customFormat="1" ht="19.5" customHeight="1">
      <c r="A108" s="202"/>
      <c r="B108" s="8"/>
      <c r="C108" s="14" t="s">
        <v>60</v>
      </c>
      <c r="D108" s="30"/>
      <c r="E108" s="30">
        <v>8.4</v>
      </c>
      <c r="F108" s="29">
        <f>E108*F107</f>
        <v>0.90720000000000012</v>
      </c>
      <c r="G108" s="30"/>
      <c r="H108" s="29"/>
      <c r="I108" s="29"/>
      <c r="J108" s="22"/>
      <c r="K108" s="30"/>
      <c r="L108" s="30"/>
      <c r="M108" s="29"/>
    </row>
    <row r="109" spans="1:13" s="62" customFormat="1" ht="19.5" customHeight="1">
      <c r="A109" s="203"/>
      <c r="B109" s="28"/>
      <c r="C109" s="55" t="s">
        <v>73</v>
      </c>
      <c r="D109" s="30" t="s">
        <v>75</v>
      </c>
      <c r="E109" s="30">
        <v>1.01</v>
      </c>
      <c r="F109" s="29">
        <f>E109*F107</f>
        <v>0.10908000000000001</v>
      </c>
      <c r="G109" s="30"/>
      <c r="H109" s="29"/>
      <c r="I109" s="79"/>
      <c r="J109" s="79"/>
      <c r="K109" s="30"/>
      <c r="L109" s="30"/>
      <c r="M109" s="29"/>
    </row>
    <row r="110" spans="1:13" s="62" customFormat="1" ht="20.25" customHeight="1">
      <c r="A110" s="201">
        <v>27</v>
      </c>
      <c r="B110" s="80" t="s">
        <v>76</v>
      </c>
      <c r="C110" s="81" t="s">
        <v>154</v>
      </c>
      <c r="D110" s="48" t="s">
        <v>77</v>
      </c>
      <c r="E110" s="32"/>
      <c r="F110" s="194">
        <f>10.8/1000</f>
        <v>1.0800000000000001E-2</v>
      </c>
      <c r="G110" s="82"/>
      <c r="H110" s="26"/>
      <c r="I110" s="82"/>
      <c r="J110" s="26"/>
      <c r="K110" s="82"/>
      <c r="L110" s="26"/>
      <c r="M110" s="83"/>
    </row>
    <row r="111" spans="1:13" s="62" customFormat="1" ht="19.5" customHeight="1">
      <c r="A111" s="202"/>
      <c r="B111" s="66" t="s">
        <v>78</v>
      </c>
      <c r="C111" s="45" t="s">
        <v>24</v>
      </c>
      <c r="D111" s="49" t="s">
        <v>0</v>
      </c>
      <c r="E111" s="26">
        <v>20.6</v>
      </c>
      <c r="F111" s="26">
        <f>F110*E111</f>
        <v>0.22248000000000004</v>
      </c>
      <c r="G111" s="26"/>
      <c r="H111" s="26"/>
      <c r="I111" s="82"/>
      <c r="J111" s="26"/>
      <c r="K111" s="82"/>
      <c r="L111" s="26"/>
      <c r="M111" s="33"/>
    </row>
    <row r="112" spans="1:13" s="62" customFormat="1" ht="19.5" customHeight="1">
      <c r="A112" s="203"/>
      <c r="B112" s="66"/>
      <c r="C112" s="84" t="s">
        <v>79</v>
      </c>
      <c r="D112" s="49" t="s">
        <v>8</v>
      </c>
      <c r="E112" s="26">
        <v>1100</v>
      </c>
      <c r="F112" s="26">
        <f>F110*E112</f>
        <v>11.88</v>
      </c>
      <c r="G112" s="82"/>
      <c r="H112" s="26"/>
      <c r="I112" s="26"/>
      <c r="J112" s="26"/>
      <c r="K112" s="82"/>
      <c r="L112" s="26"/>
      <c r="M112" s="33"/>
    </row>
    <row r="113" spans="1:14" s="62" customFormat="1" ht="21.75" customHeight="1">
      <c r="A113" s="201">
        <v>28</v>
      </c>
      <c r="B113" s="85" t="s">
        <v>80</v>
      </c>
      <c r="C113" s="86" t="s">
        <v>81</v>
      </c>
      <c r="D113" s="48" t="s">
        <v>23</v>
      </c>
      <c r="E113" s="24"/>
      <c r="F113" s="106">
        <f>F110*10</f>
        <v>0.10800000000000001</v>
      </c>
      <c r="G113" s="25"/>
      <c r="H113" s="26"/>
      <c r="I113" s="25"/>
      <c r="J113" s="26"/>
      <c r="K113" s="25"/>
      <c r="L113" s="26"/>
      <c r="M113" s="83"/>
    </row>
    <row r="114" spans="1:14" s="62" customFormat="1" ht="19.5" customHeight="1">
      <c r="A114" s="202"/>
      <c r="B114" s="66" t="s">
        <v>78</v>
      </c>
      <c r="C114" s="45" t="s">
        <v>24</v>
      </c>
      <c r="D114" s="49" t="s">
        <v>0</v>
      </c>
      <c r="E114" s="87">
        <v>28</v>
      </c>
      <c r="F114" s="87">
        <f>F113*E114</f>
        <v>3.0240000000000005</v>
      </c>
      <c r="G114" s="25"/>
      <c r="H114" s="26"/>
      <c r="I114" s="25"/>
      <c r="J114" s="26"/>
      <c r="K114" s="25"/>
      <c r="L114" s="26"/>
      <c r="M114" s="33"/>
    </row>
    <row r="115" spans="1:14" s="62" customFormat="1" ht="19.5" customHeight="1">
      <c r="A115" s="202"/>
      <c r="B115" s="88"/>
      <c r="C115" s="45" t="s">
        <v>82</v>
      </c>
      <c r="D115" s="46" t="s">
        <v>10</v>
      </c>
      <c r="E115" s="87">
        <v>69</v>
      </c>
      <c r="F115" s="87">
        <f>E115*F113</f>
        <v>7.4520000000000008</v>
      </c>
      <c r="G115" s="25"/>
      <c r="H115" s="26"/>
      <c r="I115" s="25"/>
      <c r="J115" s="26"/>
      <c r="K115" s="25"/>
      <c r="L115" s="26"/>
      <c r="M115" s="33"/>
    </row>
    <row r="116" spans="1:14" s="62" customFormat="1" ht="19.5" customHeight="1">
      <c r="A116" s="202"/>
      <c r="B116" s="88"/>
      <c r="C116" s="45" t="s">
        <v>83</v>
      </c>
      <c r="D116" s="46" t="s">
        <v>10</v>
      </c>
      <c r="E116" s="87">
        <v>1.9</v>
      </c>
      <c r="F116" s="87">
        <f>E116*F113</f>
        <v>0.20520000000000002</v>
      </c>
      <c r="G116" s="25"/>
      <c r="H116" s="26"/>
      <c r="I116" s="25"/>
      <c r="J116" s="26"/>
      <c r="K116" s="25"/>
      <c r="L116" s="26"/>
      <c r="M116" s="33"/>
    </row>
    <row r="117" spans="1:14" s="62" customFormat="1" ht="19.5" customHeight="1">
      <c r="A117" s="202"/>
      <c r="B117" s="88"/>
      <c r="C117" s="45" t="s">
        <v>84</v>
      </c>
      <c r="D117" s="46" t="s">
        <v>10</v>
      </c>
      <c r="E117" s="87">
        <v>0.5</v>
      </c>
      <c r="F117" s="87">
        <f>E117*F113</f>
        <v>5.4000000000000006E-2</v>
      </c>
      <c r="G117" s="25"/>
      <c r="H117" s="26"/>
      <c r="I117" s="25"/>
      <c r="J117" s="26"/>
      <c r="K117" s="25"/>
      <c r="L117" s="26"/>
      <c r="M117" s="33"/>
    </row>
    <row r="118" spans="1:14" s="62" customFormat="1" ht="19.5" customHeight="1">
      <c r="A118" s="203"/>
      <c r="B118" s="88"/>
      <c r="C118" s="89" t="s">
        <v>85</v>
      </c>
      <c r="D118" s="49" t="s">
        <v>8</v>
      </c>
      <c r="E118" s="87">
        <v>102</v>
      </c>
      <c r="F118" s="87">
        <f>F113*E118</f>
        <v>11.016000000000002</v>
      </c>
      <c r="G118" s="25"/>
      <c r="H118" s="26"/>
      <c r="I118" s="25"/>
      <c r="J118" s="26"/>
      <c r="K118" s="25"/>
      <c r="L118" s="26"/>
      <c r="M118" s="33"/>
    </row>
    <row r="119" spans="1:14" s="62" customFormat="1" ht="19.5" customHeight="1">
      <c r="A119" s="64">
        <v>29</v>
      </c>
      <c r="B119" s="85" t="s">
        <v>155</v>
      </c>
      <c r="C119" s="86" t="s">
        <v>157</v>
      </c>
      <c r="D119" s="48" t="s">
        <v>52</v>
      </c>
      <c r="E119" s="24"/>
      <c r="F119" s="32">
        <v>4</v>
      </c>
      <c r="G119" s="25"/>
      <c r="H119" s="26"/>
      <c r="I119" s="25"/>
      <c r="J119" s="26"/>
      <c r="K119" s="25"/>
      <c r="L119" s="26"/>
      <c r="M119" s="83"/>
    </row>
    <row r="120" spans="1:14" s="62" customFormat="1" ht="27" customHeight="1">
      <c r="A120" s="64">
        <v>30</v>
      </c>
      <c r="B120" s="85" t="s">
        <v>155</v>
      </c>
      <c r="C120" s="86" t="s">
        <v>156</v>
      </c>
      <c r="D120" s="48" t="s">
        <v>52</v>
      </c>
      <c r="E120" s="24"/>
      <c r="F120" s="32">
        <v>2</v>
      </c>
      <c r="G120" s="25"/>
      <c r="H120" s="26"/>
      <c r="I120" s="25"/>
      <c r="J120" s="26"/>
      <c r="K120" s="25"/>
      <c r="L120" s="26"/>
      <c r="M120" s="83"/>
    </row>
    <row r="121" spans="1:14" s="62" customFormat="1" ht="19.5" customHeight="1">
      <c r="A121" s="73"/>
      <c r="B121" s="1"/>
      <c r="C121" s="1" t="s">
        <v>53</v>
      </c>
      <c r="D121" s="1"/>
      <c r="E121" s="2"/>
      <c r="F121" s="2"/>
      <c r="G121" s="3"/>
      <c r="H121" s="1"/>
      <c r="I121" s="2"/>
      <c r="J121" s="1"/>
      <c r="K121" s="1"/>
      <c r="L121" s="1"/>
      <c r="M121" s="1"/>
      <c r="N121" s="196"/>
    </row>
    <row r="122" spans="1:14" s="62" customFormat="1" ht="19.5" customHeight="1">
      <c r="A122" s="73"/>
      <c r="B122" s="1"/>
      <c r="C122" s="1" t="s">
        <v>54</v>
      </c>
      <c r="D122" s="1"/>
      <c r="E122" s="2"/>
      <c r="F122" s="2"/>
      <c r="G122" s="3"/>
      <c r="H122" s="2"/>
      <c r="I122" s="2"/>
      <c r="J122" s="2"/>
      <c r="K122" s="2"/>
      <c r="L122" s="2"/>
      <c r="M122" s="2"/>
      <c r="N122" s="196"/>
    </row>
    <row r="123" spans="1:14" s="62" customFormat="1" ht="19.5" customHeight="1">
      <c r="A123" s="73"/>
      <c r="B123" s="1"/>
      <c r="C123" s="1" t="s">
        <v>53</v>
      </c>
      <c r="D123" s="1"/>
      <c r="E123" s="2"/>
      <c r="F123" s="2"/>
      <c r="G123" s="3"/>
      <c r="H123" s="2"/>
      <c r="I123" s="2"/>
      <c r="J123" s="2"/>
      <c r="K123" s="2"/>
      <c r="L123" s="2"/>
      <c r="M123" s="1"/>
    </row>
    <row r="124" spans="1:14" s="62" customFormat="1" ht="19.5" customHeight="1">
      <c r="A124" s="73"/>
      <c r="B124" s="1"/>
      <c r="C124" s="1" t="s">
        <v>55</v>
      </c>
      <c r="D124" s="1"/>
      <c r="E124" s="2"/>
      <c r="F124" s="2"/>
      <c r="G124" s="3"/>
      <c r="H124" s="2"/>
      <c r="I124" s="2"/>
      <c r="J124" s="2"/>
      <c r="K124" s="2"/>
      <c r="L124" s="2"/>
      <c r="M124" s="2"/>
      <c r="N124" s="196"/>
    </row>
    <row r="125" spans="1:14" s="62" customFormat="1" ht="19.5" customHeight="1">
      <c r="A125" s="73"/>
      <c r="B125" s="1"/>
      <c r="C125" s="1" t="s">
        <v>56</v>
      </c>
      <c r="D125" s="1"/>
      <c r="E125" s="1"/>
      <c r="F125" s="2"/>
      <c r="G125" s="3"/>
      <c r="H125" s="2"/>
      <c r="I125" s="2"/>
      <c r="J125" s="2"/>
      <c r="K125" s="2"/>
      <c r="L125" s="2"/>
      <c r="M125" s="1"/>
    </row>
    <row r="126" spans="1:14" s="62" customFormat="1" ht="19.5" customHeight="1">
      <c r="A126" s="73"/>
      <c r="B126" s="74"/>
      <c r="C126" s="1" t="s">
        <v>11</v>
      </c>
      <c r="D126" s="1"/>
      <c r="E126" s="2"/>
      <c r="F126" s="2"/>
      <c r="G126" s="3"/>
      <c r="H126" s="2"/>
      <c r="I126" s="2"/>
      <c r="J126" s="2"/>
      <c r="K126" s="2"/>
      <c r="L126" s="2"/>
      <c r="M126" s="2"/>
      <c r="N126" s="196"/>
    </row>
    <row r="127" spans="1:14" s="62" customFormat="1" ht="19.5" customHeight="1">
      <c r="A127" s="73"/>
      <c r="B127" s="74"/>
      <c r="C127" s="1" t="s">
        <v>6</v>
      </c>
      <c r="D127" s="1"/>
      <c r="E127" s="2"/>
      <c r="F127" s="2"/>
      <c r="G127" s="3"/>
      <c r="H127" s="2"/>
      <c r="I127" s="2"/>
      <c r="J127" s="2"/>
      <c r="K127" s="2"/>
      <c r="L127" s="2"/>
      <c r="M127" s="1"/>
    </row>
    <row r="128" spans="1:14" s="62" customFormat="1" ht="19.5" customHeight="1">
      <c r="A128" s="73"/>
      <c r="B128" s="74"/>
      <c r="C128" s="1" t="s">
        <v>159</v>
      </c>
      <c r="D128" s="1"/>
      <c r="E128" s="74"/>
      <c r="F128" s="2"/>
      <c r="G128" s="37"/>
      <c r="H128" s="2"/>
      <c r="I128" s="2"/>
      <c r="J128" s="2"/>
      <c r="K128" s="2"/>
      <c r="L128" s="2"/>
      <c r="M128" s="2"/>
      <c r="N128" s="196"/>
    </row>
    <row r="129" spans="1:14" s="62" customFormat="1" ht="19.5" customHeight="1">
      <c r="A129" s="73"/>
      <c r="B129" s="74"/>
      <c r="C129" s="1" t="s">
        <v>6</v>
      </c>
      <c r="D129" s="1"/>
      <c r="E129" s="74"/>
      <c r="F129" s="2"/>
      <c r="G129" s="37"/>
      <c r="H129" s="2"/>
      <c r="I129" s="2"/>
      <c r="J129" s="2"/>
      <c r="K129" s="2"/>
      <c r="L129" s="2"/>
      <c r="M129" s="2"/>
      <c r="N129" s="196"/>
    </row>
    <row r="130" spans="1:14" s="62" customFormat="1" ht="19.5" customHeight="1">
      <c r="A130" s="73"/>
      <c r="B130" s="74"/>
      <c r="C130" s="1" t="s">
        <v>158</v>
      </c>
      <c r="D130" s="1"/>
      <c r="E130" s="74"/>
      <c r="F130" s="2"/>
      <c r="G130" s="37"/>
      <c r="H130" s="2"/>
      <c r="I130" s="2"/>
      <c r="J130" s="2"/>
      <c r="K130" s="2"/>
      <c r="L130" s="2"/>
      <c r="M130" s="2"/>
      <c r="N130" s="196"/>
    </row>
    <row r="131" spans="1:14" s="62" customFormat="1" ht="19.5" customHeight="1">
      <c r="A131" s="73"/>
      <c r="B131" s="74"/>
      <c r="C131" s="1" t="s">
        <v>6</v>
      </c>
      <c r="D131" s="1"/>
      <c r="E131" s="2"/>
      <c r="F131" s="7"/>
      <c r="G131" s="3"/>
      <c r="H131" s="2"/>
      <c r="I131" s="2"/>
      <c r="J131" s="7"/>
      <c r="K131" s="2"/>
      <c r="L131" s="2"/>
      <c r="M131" s="1"/>
    </row>
    <row r="132" spans="1:14" s="62" customFormat="1" ht="19.5" customHeight="1">
      <c r="A132" s="73"/>
      <c r="B132" s="74"/>
      <c r="C132" s="1" t="s">
        <v>12</v>
      </c>
      <c r="D132" s="1" t="s">
        <v>57</v>
      </c>
      <c r="E132" s="2"/>
      <c r="F132" s="2"/>
      <c r="G132" s="107"/>
      <c r="H132" s="2"/>
      <c r="I132" s="2"/>
      <c r="J132" s="2"/>
      <c r="K132" s="2"/>
      <c r="L132" s="2"/>
      <c r="M132" s="2"/>
      <c r="N132" s="196"/>
    </row>
    <row r="133" spans="1:14" s="62" customFormat="1" ht="19.5" customHeight="1">
      <c r="A133" s="73"/>
      <c r="B133" s="74"/>
      <c r="C133" s="1" t="s">
        <v>6</v>
      </c>
      <c r="D133" s="1"/>
      <c r="E133" s="2"/>
      <c r="F133" s="2"/>
      <c r="G133" s="3"/>
      <c r="H133" s="2"/>
      <c r="I133" s="2"/>
      <c r="J133" s="2"/>
      <c r="K133" s="2"/>
      <c r="L133" s="2"/>
      <c r="M133" s="1"/>
    </row>
    <row r="134" spans="1:14" s="76" customFormat="1">
      <c r="A134" s="75"/>
      <c r="B134" s="108"/>
      <c r="C134" s="52"/>
      <c r="D134" s="38"/>
      <c r="E134" s="108"/>
      <c r="F134" s="38"/>
      <c r="G134" s="39"/>
      <c r="H134" s="38"/>
      <c r="I134" s="38"/>
      <c r="J134" s="38"/>
      <c r="K134" s="38"/>
      <c r="L134" s="38"/>
      <c r="M134" s="38"/>
    </row>
    <row r="135" spans="1:14" s="62" customFormat="1" ht="18" customHeight="1">
      <c r="A135" s="77"/>
      <c r="B135" s="108"/>
      <c r="C135" s="211" t="s">
        <v>96</v>
      </c>
      <c r="D135" s="211"/>
      <c r="E135" s="211"/>
      <c r="F135" s="211"/>
      <c r="G135" s="39"/>
      <c r="H135" s="38"/>
      <c r="I135" s="38"/>
      <c r="J135" s="38"/>
      <c r="K135" s="38"/>
      <c r="L135" s="38"/>
      <c r="M135" s="38"/>
    </row>
    <row r="136" spans="1:14" s="62" customFormat="1">
      <c r="A136" s="77"/>
      <c r="B136" s="108"/>
      <c r="C136" s="53"/>
      <c r="D136" s="38"/>
      <c r="E136" s="38"/>
      <c r="F136" s="39"/>
      <c r="G136" s="39"/>
      <c r="H136" s="38"/>
      <c r="I136" s="38"/>
      <c r="J136" s="38"/>
      <c r="K136" s="38"/>
      <c r="L136" s="38"/>
      <c r="M136" s="38"/>
    </row>
  </sheetData>
  <autoFilter ref="B1:M134"/>
  <mergeCells count="41">
    <mergeCell ref="A110:A112"/>
    <mergeCell ref="A113:A118"/>
    <mergeCell ref="A89:A94"/>
    <mergeCell ref="A95:A97"/>
    <mergeCell ref="A98:A101"/>
    <mergeCell ref="A102:A106"/>
    <mergeCell ref="A107:A109"/>
    <mergeCell ref="A66:A70"/>
    <mergeCell ref="A71:A75"/>
    <mergeCell ref="A76:A82"/>
    <mergeCell ref="A83:A88"/>
    <mergeCell ref="A46:A48"/>
    <mergeCell ref="A49:A53"/>
    <mergeCell ref="A54:A58"/>
    <mergeCell ref="A59:A61"/>
    <mergeCell ref="A62:A65"/>
    <mergeCell ref="M8:M9"/>
    <mergeCell ref="C135:F135"/>
    <mergeCell ref="B2:M2"/>
    <mergeCell ref="B3:M3"/>
    <mergeCell ref="B5:M5"/>
    <mergeCell ref="H6:J6"/>
    <mergeCell ref="G8:H8"/>
    <mergeCell ref="C8:C9"/>
    <mergeCell ref="D8:D9"/>
    <mergeCell ref="E8:F8"/>
    <mergeCell ref="I8:J8"/>
    <mergeCell ref="K8:L8"/>
    <mergeCell ref="A8:A9"/>
    <mergeCell ref="B8:B9"/>
    <mergeCell ref="A11:A15"/>
    <mergeCell ref="A16:A18"/>
    <mergeCell ref="A19:A20"/>
    <mergeCell ref="A33:A34"/>
    <mergeCell ref="A36:A39"/>
    <mergeCell ref="A40:A45"/>
    <mergeCell ref="A21:A23"/>
    <mergeCell ref="A24:A26"/>
    <mergeCell ref="A27:A28"/>
    <mergeCell ref="A29:A30"/>
    <mergeCell ref="A31:A32"/>
  </mergeCells>
  <conditionalFormatting sqref="B110:B118 E55:E58 A62">
    <cfRule type="cellIs" dxfId="17" priority="47" stopIfTrue="1" operator="equal">
      <formula>8223.307275</formula>
    </cfRule>
  </conditionalFormatting>
  <conditionalFormatting sqref="C115:G118 E114:I114 K114:L114 C113:M113 I111:L112 C111:G112 H111 C110:M110 I115:L118">
    <cfRule type="cellIs" dxfId="16" priority="37" stopIfTrue="1" operator="equal">
      <formula>8223.307275</formula>
    </cfRule>
  </conditionalFormatting>
  <conditionalFormatting sqref="F102">
    <cfRule type="cellIs" dxfId="15" priority="23" stopIfTrue="1" operator="equal">
      <formula>8223.307275</formula>
    </cfRule>
  </conditionalFormatting>
  <conditionalFormatting sqref="E51">
    <cfRule type="cellIs" dxfId="14" priority="17" stopIfTrue="1" operator="equal">
      <formula>8223.307275</formula>
    </cfRule>
  </conditionalFormatting>
  <conditionalFormatting sqref="F62">
    <cfRule type="cellIs" dxfId="13" priority="15" stopIfTrue="1" operator="equal">
      <formula>8223.307275</formula>
    </cfRule>
  </conditionalFormatting>
  <conditionalFormatting sqref="B65">
    <cfRule type="cellIs" dxfId="12" priority="14" stopIfTrue="1" operator="equal">
      <formula>8223.307275</formula>
    </cfRule>
  </conditionalFormatting>
  <conditionalFormatting sqref="G65">
    <cfRule type="cellIs" dxfId="11" priority="13" stopIfTrue="1" operator="equal">
      <formula>8223.307275</formula>
    </cfRule>
  </conditionalFormatting>
  <conditionalFormatting sqref="B58">
    <cfRule type="cellIs" dxfId="10" priority="10" stopIfTrue="1" operator="equal">
      <formula>8223.307275</formula>
    </cfRule>
  </conditionalFormatting>
  <conditionalFormatting sqref="G58">
    <cfRule type="cellIs" dxfId="9" priority="9" stopIfTrue="1" operator="equal">
      <formula>8223.307275</formula>
    </cfRule>
  </conditionalFormatting>
  <conditionalFormatting sqref="B57:C57">
    <cfRule type="cellIs" dxfId="8" priority="11" stopIfTrue="1" operator="equal">
      <formula>8223.307275</formula>
    </cfRule>
  </conditionalFormatting>
  <conditionalFormatting sqref="E54:F54">
    <cfRule type="cellIs" dxfId="7" priority="8" stopIfTrue="1" operator="equal">
      <formula>8223.307275</formula>
    </cfRule>
  </conditionalFormatting>
  <conditionalFormatting sqref="F66">
    <cfRule type="cellIs" dxfId="6" priority="7" stopIfTrue="1" operator="equal">
      <formula>8223.307275</formula>
    </cfRule>
  </conditionalFormatting>
  <conditionalFormatting sqref="D79 D92:D93">
    <cfRule type="cellIs" dxfId="5" priority="6" stopIfTrue="1" operator="equal">
      <formula>8223.307275</formula>
    </cfRule>
  </conditionalFormatting>
  <conditionalFormatting sqref="F46">
    <cfRule type="cellIs" dxfId="4" priority="5" stopIfTrue="1" operator="equal">
      <formula>8223.307275</formula>
    </cfRule>
  </conditionalFormatting>
  <conditionalFormatting sqref="B120">
    <cfRule type="cellIs" dxfId="3" priority="4" stopIfTrue="1" operator="equal">
      <formula>8223.307275</formula>
    </cfRule>
  </conditionalFormatting>
  <conditionalFormatting sqref="C120:M120">
    <cfRule type="cellIs" dxfId="2" priority="3" stopIfTrue="1" operator="equal">
      <formula>8223.307275</formula>
    </cfRule>
  </conditionalFormatting>
  <conditionalFormatting sqref="B119">
    <cfRule type="cellIs" dxfId="1" priority="2" stopIfTrue="1" operator="equal">
      <formula>8223.307275</formula>
    </cfRule>
  </conditionalFormatting>
  <conditionalFormatting sqref="C119:M119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74" fitToHeight="0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სამშენებლო        </vt:lpstr>
      <vt:lpstr>'სამშენებლო        '!Print_Area</vt:lpstr>
      <vt:lpstr>'სამშენებლო      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2020-07-29T09:39:02Z</dcterms:modified>
</cp:coreProperties>
</file>