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71" activeTab="0"/>
  </bookViews>
  <sheets>
    <sheet name="სოფ. ბოსლები - კორექტირებული" sheetId="1" r:id="rId1"/>
    <sheet name="სოფ. გომარეთი - კორექტირებული" sheetId="2" r:id="rId2"/>
    <sheet name="სოფ. ჯავახი გზა 1-კორექტირებული" sheetId="3" r:id="rId3"/>
    <sheet name="სოფ. ჯავახი გზა 2-კორექტირებული" sheetId="4" r:id="rId4"/>
    <sheet name="სოფ. ჯავახი გზა #3 - კორექტირებ" sheetId="5" r:id="rId5"/>
    <sheet name="Sheet1" sheetId="6" r:id="rId6"/>
  </sheets>
  <definedNames>
    <definedName name="_xlnm.Print_Area" localSheetId="0">'სოფ. ბოსლები - კორექტირებული'!$B$1:$L$256</definedName>
    <definedName name="_xlnm.Print_Area" localSheetId="1">'სოფ. გომარეთი - კორექტირებული'!$A$1:$L$146</definedName>
    <definedName name="_xlnm.Print_Area" localSheetId="4">'სოფ. ჯავახი გზა #3 - კორექტირებ'!$A$1:$L$95</definedName>
    <definedName name="_xlnm.Print_Area" localSheetId="2">'სოფ. ჯავახი გზა 1-კორექტირებული'!$A$1:$L$104</definedName>
    <definedName name="_xlnm.Print_Area" localSheetId="3">'სოფ. ჯავახი გზა 2-კორექტირებული'!$A$1:$L$103</definedName>
    <definedName name="_xlnm.Print_Titles" localSheetId="1">'სოფ. გომარეთი - კორექტირებული'!$4:$6</definedName>
    <definedName name="_xlnm.Print_Titles" localSheetId="4">'სოფ. ჯავახი გზა #3 - კორექტირებ'!$2:$4</definedName>
    <definedName name="Summary" localSheetId="1">#REF!</definedName>
    <definedName name="Summary">#REF!</definedName>
    <definedName name="არმატურა">'სოფ. ბოსლები - კორექტირებული'!$F$97</definedName>
    <definedName name="ბალასტი">'სოფ. ბოსლები - კორექტირებული'!#REF!</definedName>
    <definedName name="ბეტონი">'სოფ. ბოსლები - კორექტირებული'!#REF!</definedName>
    <definedName name="ემულსია">'სოფ. ბოსლები - კორექტირებული'!#REF!</definedName>
    <definedName name="კმ_2">'სოფ. ბოსლები - კორექტირებული'!$J$25</definedName>
    <definedName name="კმ_60">'სოფ. ბოსლები - კორექტირებული'!#REF!</definedName>
    <definedName name="მანქანა">'სოფ. ბოსლები - კორექტირებული'!$J$14</definedName>
    <definedName name="მსხვილი">'სოფ. ბოსლები - კორექტირებული'!#REF!</definedName>
    <definedName name="სხვა">'სოფ. ბოსლები - კორექტირებული'!$J$18</definedName>
    <definedName name="ღორღი">'სოფ. ბოსლები - კორექტირებული'!$F$20</definedName>
    <definedName name="შრომა">'სოფ. ბოსლები - კორექტირებული'!$H$10</definedName>
    <definedName name="წვრილი">'სოფ. ბოსლები - კორექტირებული'!$F$44</definedName>
    <definedName name="წყალი">'სოფ. ბოსლები - კორექტირებული'!#REF!</definedName>
    <definedName name="ხის_მასალა">'სოფ. ბოსლები - კორექტირებული'!#REF!</definedName>
  </definedNames>
  <calcPr fullCalcOnLoad="1"/>
</workbook>
</file>

<file path=xl/sharedStrings.xml><?xml version="1.0" encoding="utf-8"?>
<sst xmlns="http://schemas.openxmlformats.org/spreadsheetml/2006/main" count="1705" uniqueCount="571">
  <si>
    <t>N</t>
  </si>
  <si>
    <t>ჯამი</t>
  </si>
  <si>
    <t>სამუშაოს დასახელება</t>
  </si>
  <si>
    <t>განზ. ერთ.</t>
  </si>
  <si>
    <t>ნორმა ერთ-ზე</t>
  </si>
  <si>
    <t>რაოდენობა</t>
  </si>
  <si>
    <t>მასალები</t>
  </si>
  <si>
    <t>ხელფასი</t>
  </si>
  <si>
    <t>მანქანა-მექანიზმები</t>
  </si>
  <si>
    <t>სულ</t>
  </si>
  <si>
    <t>ერთ. ფასი</t>
  </si>
  <si>
    <t>(ლარი)</t>
  </si>
  <si>
    <t>თავი I</t>
  </si>
  <si>
    <t>ტერიტორიის ათვისება და მოსამზადებელი სამუშაოები</t>
  </si>
  <si>
    <t>trasis aRdgena-damagreba</t>
  </si>
  <si>
    <t>კმ</t>
  </si>
  <si>
    <t>შრომის დანახარჯი</t>
  </si>
  <si>
    <t>კაც/სთ</t>
  </si>
  <si>
    <t>სულ თავი 1-ის მიხედვით</t>
  </si>
  <si>
    <t>ლარი</t>
  </si>
  <si>
    <t>თავი 2. მიწის ვაკისი</t>
  </si>
  <si>
    <t>sagzao samosis varclis mosawyobad arsebuli gzis saval nawilze da gverdulebze arsebuli gaTixianebuli teqnogenuri xreSovani gruntis zeda fenis moxsna buldozeriT, Segroveba 30m</t>
  </si>
  <si>
    <t>მ/ს</t>
  </si>
  <si>
    <t>damuSavebuli gruntis datvirTva eqskavatoriT 0.5m3 a/TviTmclelebze</t>
  </si>
  <si>
    <t>_Sromis danaxarji</t>
  </si>
  <si>
    <t>k/sT</t>
  </si>
  <si>
    <t>_eqskavatori 0.5m3</t>
  </si>
  <si>
    <t>m-sT</t>
  </si>
  <si>
    <t>_sxva manqanebi</t>
  </si>
  <si>
    <t>lari</t>
  </si>
  <si>
    <t xml:space="preserve">gruntis damuSaveba xeliT </t>
  </si>
  <si>
    <t>Sromis danaxarji</t>
  </si>
  <si>
    <t>gruntis datvirTva xeliT a/TviTmclelze</t>
  </si>
  <si>
    <t xml:space="preserve">zedmeti gruntis gatana nayarSi 2 km-ze </t>
  </si>
  <si>
    <t>ტნ</t>
  </si>
  <si>
    <t>planireba greideriT</t>
  </si>
  <si>
    <t>მ2</t>
  </si>
  <si>
    <t>სულ თავი 2-ის მიხედვით</t>
  </si>
  <si>
    <t>თავი 3. საგზაო სამოსი</t>
  </si>
  <si>
    <t xml:space="preserve">Sromis danaxarjebi </t>
  </si>
  <si>
    <t>kac/sT</t>
  </si>
  <si>
    <t>manq/sT</t>
  </si>
  <si>
    <t>TviTmavali satkepni 18t-mde</t>
  </si>
  <si>
    <t>mosarwyav-mosarecxi manqana 6000l</t>
  </si>
  <si>
    <t>materialuri resursebi</t>
  </si>
  <si>
    <t>qviSa-xreSovani narevi</t>
  </si>
  <si>
    <t>m3</t>
  </si>
  <si>
    <t>wyali</t>
  </si>
  <si>
    <t xml:space="preserve">qviSa-xreSovani narevis transportireba 35km-dan </t>
  </si>
  <si>
    <t xml:space="preserve">qvis namtvrevebis manawilebeli </t>
  </si>
  <si>
    <t>RorRi fr. 0-40mm</t>
  </si>
  <si>
    <t>RorRis transportireba 35km-dan</t>
  </si>
  <si>
    <t>Txevadi bitumis emulsiis mosxma 0,6l/m2</t>
  </si>
  <si>
    <t>tn</t>
  </si>
  <si>
    <t>avtogudronatori 3500l</t>
  </si>
  <si>
    <t>bitumis emulsia</t>
  </si>
  <si>
    <t>bitumis transportireba 60km-dan</t>
  </si>
  <si>
    <t>m2</t>
  </si>
  <si>
    <t xml:space="preserve">asfaltobetonis damgebi </t>
  </si>
  <si>
    <t xml:space="preserve">sxva manqana </t>
  </si>
  <si>
    <t xml:space="preserve">msxvilmarcvlovani asfaltobetoni </t>
  </si>
  <si>
    <t>t</t>
  </si>
  <si>
    <t>sxva masala</t>
  </si>
  <si>
    <t>asfaltobetonis transportireba 60km-dan</t>
  </si>
  <si>
    <t>Txevadi bitumis emulsiis mosxma 0,3l/m2</t>
  </si>
  <si>
    <t xml:space="preserve">wvrilmarcvlovani asfaltobetoni </t>
  </si>
  <si>
    <t>misayreli gverdulebis mowyoba qviSa-xreSovani nareviT saS. sisqiT 12 sm</t>
  </si>
  <si>
    <t>სულ თავი 3-ის მიხედვით</t>
  </si>
  <si>
    <t>თავი 4. ხელოვნური ნაგებობები</t>
  </si>
  <si>
    <t>eqskavatori CamCis tevadobiT 0,5 m3</t>
  </si>
  <si>
    <t xml:space="preserve">igive, xeliT meqanizmebisaTvis miudgomel adgilebSi </t>
  </si>
  <si>
    <t>qviSa-xreSovani baliSis mowyoba Raris qveS sisqiT 10 sm</t>
  </si>
  <si>
    <t>sxva manqanebi</t>
  </si>
  <si>
    <t>sxva masalebi</t>
  </si>
  <si>
    <t xml:space="preserve">qviSa-xreSovani narevis transportireba saS. 35km-dan </t>
  </si>
  <si>
    <t>m</t>
  </si>
  <si>
    <t xml:space="preserve">gruntis Cayra buldozeriT </t>
  </si>
  <si>
    <t>m/s</t>
  </si>
  <si>
    <t>igive, xeliT</t>
  </si>
  <si>
    <t>darCenili gruntis datvirTva 0.5m3 CamCis moc. eqskavatoriT a/TviTmclelebze</t>
  </si>
  <si>
    <t xml:space="preserve">gruntis gatana nayarSi 2 km-ze </t>
  </si>
  <si>
    <t>liTonis cxaurebis mowyoba kuTxovanebiTa da milkvadratebiT</t>
  </si>
  <si>
    <t>kuTxovana 50X50X4</t>
  </si>
  <si>
    <t>samSeneblo naWedi</t>
  </si>
  <si>
    <t>liTonis transportireba saS. 60km-dan</t>
  </si>
  <si>
    <t>გარცმის მილები</t>
  </si>
  <si>
    <t>milis qveS qviSa-xreSovani sagebis mowyoba sisqiT 10 sm</t>
  </si>
  <si>
    <t>foladis mili d-200 mm</t>
  </si>
  <si>
    <t>foladis mili d-100 mm</t>
  </si>
  <si>
    <t xml:space="preserve">milebis transportireba saS. 60km-dan </t>
  </si>
  <si>
    <t>სულ თავი 4-ის მიხედვით</t>
  </si>
  <si>
    <t>თავი 5. გზის კუთვნილება და კეთილმოწყობა</t>
  </si>
  <si>
    <t>მიერთებები</t>
  </si>
  <si>
    <t>mierTebebis farTis gawmenda TixaSi azelili gruntisagan buldozeriT, Segroveba 30m</t>
  </si>
  <si>
    <t xml:space="preserve">Semasworebeli fenis mowyoba qviSa-xreSovani nareviT </t>
  </si>
  <si>
    <t>ეზოში შესასვლელები</t>
  </si>
  <si>
    <t>foladis mili d-400 mm</t>
  </si>
  <si>
    <t xml:space="preserve">betonis transportireba saS. 60km-dan </t>
  </si>
  <si>
    <t>სულ თავი 5-ის მიხედვით</t>
  </si>
  <si>
    <t>ყველა თავების ჯამი</t>
  </si>
  <si>
    <t>ზედნადები ხარჯები</t>
  </si>
  <si>
    <t>%</t>
  </si>
  <si>
    <t>სახარჯთაღრიცხვო მოგება</t>
  </si>
  <si>
    <t>გაუთვალისწინებელი ხარჯები</t>
  </si>
  <si>
    <t>დღგ</t>
  </si>
  <si>
    <t>სულ ხარჯთაღრიცხვით</t>
  </si>
  <si>
    <t>buldozeri 59 კვტ (80 ცხ.ძ.)
0.0191+0.0144*2</t>
  </si>
  <si>
    <t>_eqskavatori პნევმოთვლიან სვლაზე ციცხვით 0.5m3</t>
  </si>
  <si>
    <t>ღორღი</t>
  </si>
  <si>
    <t>buldozeri 79 კვტ (108 cx. Z)</t>
  </si>
  <si>
    <t>avtogreideri საშვალო სიმძლავრის 79 კვტ (108 cx. Z)</t>
  </si>
  <si>
    <r>
      <t>მ</t>
    </r>
    <r>
      <rPr>
        <b/>
        <vertAlign val="superscript"/>
        <sz val="11"/>
        <color indexed="8"/>
        <rFont val="AcadNusx"/>
        <family val="0"/>
      </rPr>
      <t>3</t>
    </r>
  </si>
  <si>
    <t>avtogreideri saSualo საშვალო სიმზლავრის 79 კვტ (108 cx.Z.)</t>
  </si>
  <si>
    <t>სატკეპნი საგზაო თვითმავალი გლუვი 5 ტ</t>
  </si>
  <si>
    <t>სატკეპნი საგზაო თვითმავალი გლუვი 10 ტ</t>
  </si>
  <si>
    <t>III jg. gruntis damuSaveba (V-0.5 m3) CamCis moc. eqskavatoriT gruntis gverdze dayriT</t>
  </si>
  <si>
    <t>ტ</t>
  </si>
  <si>
    <t>buldozeri 59 კვტ ( 80 cx. Z)</t>
  </si>
  <si>
    <r>
      <t>m</t>
    </r>
    <r>
      <rPr>
        <b/>
        <vertAlign val="superscript"/>
        <sz val="12"/>
        <color indexed="8"/>
        <rFont val="AcadNusx"/>
        <family val="0"/>
      </rPr>
      <t>3</t>
    </r>
  </si>
  <si>
    <t>III jg. gruntis damuSaveba  (V-0.25 m3)  CamCis moc. eqskavatoriT gruntis gverdze dayriT</t>
  </si>
  <si>
    <t>eqskavatori CamCis tevadobiT 0,25 m3</t>
  </si>
  <si>
    <t>pk0+96, pk1+83, pk2+17, pk2+30 ezoebis win d=400 mm ℓ=5.0m foladis milebis mowyoba 4 cali</t>
  </si>
  <si>
    <t>მუშა-მოსამსახურეების შრომის ანაზღაურება</t>
  </si>
  <si>
    <t>ამწე საავტომობილო სვლაზე 10ტ.</t>
  </si>
  <si>
    <t>მანქ/სთ</t>
  </si>
  <si>
    <t>სხვა მანქანები</t>
  </si>
  <si>
    <t>პ/ე</t>
  </si>
  <si>
    <t>ქვიშა-ცემენტის ხსნარი მ-150</t>
  </si>
  <si>
    <t>საყალიბე ფარები 25მმ</t>
  </si>
  <si>
    <t>სამშენებლო ბოლტები</t>
  </si>
  <si>
    <t>კგ</t>
  </si>
  <si>
    <t>ჩასატანებელი დეტალები</t>
  </si>
  <si>
    <t>სხვა მასალები</t>
  </si>
  <si>
    <t>darCenili gruntis datvirTva 0.25m3 CamCis moc. eqskavatoriT a/TviTmclelebze</t>
  </si>
  <si>
    <t>III jg. gruntis adre damuSavebuli  (V-0.25 m3)  CamCis moc. eqskavatoriT uku Cayra</t>
  </si>
  <si>
    <t>TviTmavali satkepni 5t-mde gluvi</t>
  </si>
  <si>
    <t>1</t>
  </si>
  <si>
    <t>1.1</t>
  </si>
  <si>
    <t>2</t>
  </si>
  <si>
    <t>2.1</t>
  </si>
  <si>
    <t>3</t>
  </si>
  <si>
    <t>3.1</t>
  </si>
  <si>
    <t>3.2</t>
  </si>
  <si>
    <t>3.3</t>
  </si>
  <si>
    <t>3.4</t>
  </si>
  <si>
    <t>3.5</t>
  </si>
  <si>
    <t>4</t>
  </si>
  <si>
    <t>4.1</t>
  </si>
  <si>
    <t>5</t>
  </si>
  <si>
    <t>5.1</t>
  </si>
  <si>
    <t>6</t>
  </si>
  <si>
    <t>7</t>
  </si>
  <si>
    <t>7.1</t>
  </si>
  <si>
    <t>7.2</t>
  </si>
  <si>
    <t>16</t>
  </si>
  <si>
    <t>16.1</t>
  </si>
  <si>
    <t>16.2</t>
  </si>
  <si>
    <t>16.3</t>
  </si>
  <si>
    <t>17</t>
  </si>
  <si>
    <t>18</t>
  </si>
  <si>
    <t>18.1</t>
  </si>
  <si>
    <t>18.2</t>
  </si>
  <si>
    <t>18.3</t>
  </si>
  <si>
    <t>18.4</t>
  </si>
  <si>
    <t>18.5</t>
  </si>
  <si>
    <t>18.6</t>
  </si>
  <si>
    <t>18.7</t>
  </si>
  <si>
    <t>18.8</t>
  </si>
  <si>
    <t>19</t>
  </si>
  <si>
    <t>20</t>
  </si>
  <si>
    <t>20.1</t>
  </si>
  <si>
    <t>20.2</t>
  </si>
  <si>
    <t>20.3</t>
  </si>
  <si>
    <t>20.4</t>
  </si>
  <si>
    <t>20.5</t>
  </si>
  <si>
    <t>20.6</t>
  </si>
  <si>
    <t>20.7</t>
  </si>
  <si>
    <t>21</t>
  </si>
  <si>
    <t>22</t>
  </si>
  <si>
    <t>23</t>
  </si>
  <si>
    <t>23.1</t>
  </si>
  <si>
    <t>23.2</t>
  </si>
  <si>
    <t>24</t>
  </si>
  <si>
    <t>24.1</t>
  </si>
  <si>
    <t>25</t>
  </si>
  <si>
    <t>25.1</t>
  </si>
  <si>
    <t>25.2</t>
  </si>
  <si>
    <t>25.3</t>
  </si>
  <si>
    <t>25.4</t>
  </si>
  <si>
    <t>25.5</t>
  </si>
  <si>
    <t>26</t>
  </si>
  <si>
    <t>27</t>
  </si>
  <si>
    <t>27.1</t>
  </si>
  <si>
    <t>27.2</t>
  </si>
  <si>
    <t>27.3</t>
  </si>
  <si>
    <t>27.4</t>
  </si>
  <si>
    <t>27.5</t>
  </si>
  <si>
    <t>27.6</t>
  </si>
  <si>
    <t>30</t>
  </si>
  <si>
    <t>30.1</t>
  </si>
  <si>
    <t>30.2</t>
  </si>
  <si>
    <t>30.3</t>
  </si>
  <si>
    <t>30.4</t>
  </si>
  <si>
    <t>31</t>
  </si>
  <si>
    <t>31.1</t>
  </si>
  <si>
    <t>32</t>
  </si>
  <si>
    <t>32.1</t>
  </si>
  <si>
    <t>33</t>
  </si>
  <si>
    <t>33.1</t>
  </si>
  <si>
    <t>33.2</t>
  </si>
  <si>
    <t>33.3</t>
  </si>
  <si>
    <t>33.4</t>
  </si>
  <si>
    <t>34</t>
  </si>
  <si>
    <t>35</t>
  </si>
  <si>
    <t>35.1</t>
  </si>
  <si>
    <t>35.2</t>
  </si>
  <si>
    <t>35.3</t>
  </si>
  <si>
    <t>35.4</t>
  </si>
  <si>
    <t>35.5</t>
  </si>
  <si>
    <t>35.6</t>
  </si>
  <si>
    <t>35.7</t>
  </si>
  <si>
    <t>36</t>
  </si>
  <si>
    <t>37</t>
  </si>
  <si>
    <t>37.1</t>
  </si>
  <si>
    <t>37.2</t>
  </si>
  <si>
    <t>38</t>
  </si>
  <si>
    <t>38.1</t>
  </si>
  <si>
    <t>39</t>
  </si>
  <si>
    <t>39.1</t>
  </si>
  <si>
    <t>39.2</t>
  </si>
  <si>
    <t>39.3</t>
  </si>
  <si>
    <t>40</t>
  </si>
  <si>
    <t>41</t>
  </si>
  <si>
    <t>41.1</t>
  </si>
  <si>
    <t>41.2</t>
  </si>
  <si>
    <t>41.3</t>
  </si>
  <si>
    <t>41.4</t>
  </si>
  <si>
    <t>41.5</t>
  </si>
  <si>
    <t>42</t>
  </si>
  <si>
    <t>42.1</t>
  </si>
  <si>
    <t>42.2</t>
  </si>
  <si>
    <t>42.3</t>
  </si>
  <si>
    <t>42.4</t>
  </si>
  <si>
    <t>42.5</t>
  </si>
  <si>
    <t>43</t>
  </si>
  <si>
    <t>44</t>
  </si>
  <si>
    <t>44.1</t>
  </si>
  <si>
    <t>44.2</t>
  </si>
  <si>
    <t>45</t>
  </si>
  <si>
    <t>45.1</t>
  </si>
  <si>
    <t>46</t>
  </si>
  <si>
    <t>46.1</t>
  </si>
  <si>
    <t>46.2</t>
  </si>
  <si>
    <t>47</t>
  </si>
  <si>
    <t>48</t>
  </si>
  <si>
    <t>48.1</t>
  </si>
  <si>
    <t>49</t>
  </si>
  <si>
    <t>49.1</t>
  </si>
  <si>
    <t>49.2</t>
  </si>
  <si>
    <t>49.3</t>
  </si>
  <si>
    <t>49.4</t>
  </si>
  <si>
    <t>50</t>
  </si>
  <si>
    <t>51</t>
  </si>
  <si>
    <t>51.1</t>
  </si>
  <si>
    <t>51.2</t>
  </si>
  <si>
    <t>51.3</t>
  </si>
  <si>
    <t>51.4</t>
  </si>
  <si>
    <t>51.5</t>
  </si>
  <si>
    <t>51.6</t>
  </si>
  <si>
    <t>51.7</t>
  </si>
  <si>
    <t>52</t>
  </si>
  <si>
    <t>53</t>
  </si>
  <si>
    <t>53.1</t>
  </si>
  <si>
    <t>53.2</t>
  </si>
  <si>
    <t>53.3</t>
  </si>
  <si>
    <t>53.4</t>
  </si>
  <si>
    <t>53.5</t>
  </si>
  <si>
    <t>53.6</t>
  </si>
  <si>
    <t>53.7</t>
  </si>
  <si>
    <t>53.8</t>
  </si>
  <si>
    <t>53.9</t>
  </si>
  <si>
    <t>54</t>
  </si>
  <si>
    <t>55</t>
  </si>
  <si>
    <t>55.1</t>
  </si>
  <si>
    <t>55.2</t>
  </si>
  <si>
    <t>55.3</t>
  </si>
  <si>
    <t>56</t>
  </si>
  <si>
    <t>57</t>
  </si>
  <si>
    <t>57.1</t>
  </si>
  <si>
    <t>57.2</t>
  </si>
  <si>
    <t>57.3</t>
  </si>
  <si>
    <t>57.4</t>
  </si>
  <si>
    <t>57.5</t>
  </si>
  <si>
    <t>57.6</t>
  </si>
  <si>
    <t>57.7</t>
  </si>
  <si>
    <t>57.8</t>
  </si>
  <si>
    <t>58</t>
  </si>
  <si>
    <t>59</t>
  </si>
  <si>
    <t>59.1</t>
  </si>
  <si>
    <t>59.2</t>
  </si>
  <si>
    <t>59.3</t>
  </si>
  <si>
    <t>60</t>
  </si>
  <si>
    <t>61</t>
  </si>
  <si>
    <t>61.1</t>
  </si>
  <si>
    <t>61.2</t>
  </si>
  <si>
    <t>61.3</t>
  </si>
  <si>
    <t>61.4</t>
  </si>
  <si>
    <t>61.5</t>
  </si>
  <si>
    <t>61.6</t>
  </si>
  <si>
    <t>61.7</t>
  </si>
  <si>
    <t>61.8</t>
  </si>
  <si>
    <t>62</t>
  </si>
  <si>
    <t>63</t>
  </si>
  <si>
    <t>63.1</t>
  </si>
  <si>
    <t>63.2</t>
  </si>
  <si>
    <t>63.3</t>
  </si>
  <si>
    <t>63.4</t>
  </si>
  <si>
    <t>63.5</t>
  </si>
  <si>
    <t>64</t>
  </si>
  <si>
    <t>65</t>
  </si>
  <si>
    <t>65.1</t>
  </si>
  <si>
    <t>65.2</t>
  </si>
  <si>
    <t>65.3</t>
  </si>
  <si>
    <t>65.4</t>
  </si>
  <si>
    <t>65.5</t>
  </si>
  <si>
    <t>65.6</t>
  </si>
  <si>
    <t>65.7</t>
  </si>
  <si>
    <t>65.8</t>
  </si>
  <si>
    <t>65.9</t>
  </si>
  <si>
    <t>65.10</t>
  </si>
  <si>
    <t>65.11</t>
  </si>
  <si>
    <t>65.12</t>
  </si>
  <si>
    <t>66</t>
  </si>
  <si>
    <t>67</t>
  </si>
  <si>
    <t>67.1</t>
  </si>
  <si>
    <t>67.2</t>
  </si>
  <si>
    <t>67.3</t>
  </si>
  <si>
    <t>67.4</t>
  </si>
  <si>
    <t>67.5</t>
  </si>
  <si>
    <t>67.6</t>
  </si>
  <si>
    <t>67.7</t>
  </si>
  <si>
    <t>67.8</t>
  </si>
  <si>
    <t>67.9</t>
  </si>
  <si>
    <t>68</t>
  </si>
  <si>
    <t>69</t>
  </si>
  <si>
    <t>69.1</t>
  </si>
  <si>
    <t>69.2</t>
  </si>
  <si>
    <t>69.3</t>
  </si>
  <si>
    <t>70</t>
  </si>
  <si>
    <t>71.1</t>
  </si>
  <si>
    <t>71.2</t>
  </si>
  <si>
    <t>71.3</t>
  </si>
  <si>
    <t>71.4</t>
  </si>
  <si>
    <t>71.5</t>
  </si>
  <si>
    <t>71.6</t>
  </si>
  <si>
    <t>71.7</t>
  </si>
  <si>
    <t>71.8</t>
  </si>
  <si>
    <t>71.9</t>
  </si>
  <si>
    <t>72</t>
  </si>
  <si>
    <t>73</t>
  </si>
  <si>
    <t>74</t>
  </si>
  <si>
    <t>ჯამი სულ:</t>
  </si>
  <si>
    <t>დ.ღ.გ.</t>
  </si>
  <si>
    <t>ჯამი:</t>
  </si>
  <si>
    <t>მოგება</t>
  </si>
  <si>
    <t>მასალის ტრანსპორტი</t>
  </si>
  <si>
    <t>samontaJi liTomkonstruqcia</t>
  </si>
  <si>
    <t>cementis xsnari 1:3</t>
  </si>
  <si>
    <t>ფოლადის ზოლი 65*5 მმ</t>
  </si>
  <si>
    <t>ფოლადია კვადრატი 10*10 მმ</t>
  </si>
  <si>
    <t>კუთხოვანა 50*5 მმ</t>
  </si>
  <si>
    <t>kac.sT</t>
  </si>
  <si>
    <t xml:space="preserve">liTonis cxaurebis mowyoba </t>
  </si>
  <si>
    <r>
      <t>m</t>
    </r>
    <r>
      <rPr>
        <vertAlign val="superscript"/>
        <sz val="11"/>
        <rFont val="AcadNusx"/>
        <family val="0"/>
      </rPr>
      <t>3</t>
    </r>
  </si>
  <si>
    <t>betoni m-300</t>
  </si>
  <si>
    <r>
      <t>m</t>
    </r>
    <r>
      <rPr>
        <b/>
        <vertAlign val="superscript"/>
        <sz val="11"/>
        <rFont val="AcadNusx"/>
        <family val="0"/>
      </rPr>
      <t>3</t>
    </r>
  </si>
  <si>
    <r>
      <t>მ</t>
    </r>
    <r>
      <rPr>
        <vertAlign val="superscript"/>
        <sz val="11"/>
        <color indexed="8"/>
        <rFont val="AcadNusx"/>
        <family val="0"/>
      </rPr>
      <t>3</t>
    </r>
  </si>
  <si>
    <t>muSa-mSeneblebis Sromis danaxarji</t>
  </si>
  <si>
    <t xml:space="preserve">გრუნტის ზიდვა 5კმ მანძილზე და გადაყრა </t>
  </si>
  <si>
    <t xml:space="preserve"> გრუნტის გატანა ნაგავსაყრელზე საშუალოდ 5 კმ-მდე</t>
  </si>
  <si>
    <t>ბულდოზერი 108 ც/ძ</t>
  </si>
  <si>
    <t>zedmeti gruntis a/T-ze datvirTva xeliT</t>
  </si>
  <si>
    <t>gruntis ukuCayra xeliT</t>
  </si>
  <si>
    <t xml:space="preserve">III კატეგორიის გრუნტის დამუშავება ხელით  </t>
  </si>
  <si>
    <t>5. კიუვეტები</t>
  </si>
  <si>
    <t>წყალი</t>
  </si>
  <si>
    <t xml:space="preserve">ქვიშა-ხრეში </t>
  </si>
  <si>
    <t>სარწყავ-სარეცხი მანქანა 6000ლ</t>
  </si>
  <si>
    <t>თვითმავალი საგზაო დამტკეპნი 18ტ. პნევმოსვლაზე</t>
  </si>
  <si>
    <t>ავტოგრეიდერი საშუალო ტიპის 108ც/ძ</t>
  </si>
  <si>
    <t>მიერთებებზე ხრეშოვანი გვერდულის მოწყობა</t>
  </si>
  <si>
    <t>ტ.</t>
  </si>
  <si>
    <t>წვრილმარცვლოვანი ასფალტო–ბეტონის ნარევი</t>
  </si>
  <si>
    <t>თვითმავალი საგზაო დამტკეპნი 10ტ. გლუვი</t>
  </si>
  <si>
    <t>თვითმავალი საგზაო დამტკეპნი 5ტ. გლუვი</t>
  </si>
  <si>
    <t>ასფალტობეტონის დამგები</t>
  </si>
  <si>
    <t>საფარის  მოწყობა წვრილმარცვლოვანი  ა/ბეტონის ცხელი ნარევით. სისქით 5 სმ.</t>
  </si>
  <si>
    <t>თხევადი ბიტუმი (ბიტუმის ემულსია)</t>
  </si>
  <si>
    <t>ავტოგუდრონატორი 3500ლ</t>
  </si>
  <si>
    <r>
      <t>საფუძვლის ზედა  ფენის დამუშავება ბიტუმით, მთელ ფართობზე მოსხმით, (0,7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</si>
  <si>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ღორღი ფრაქციით 0÷40მმ</t>
  </si>
  <si>
    <t>მიერთებებზე და კერძო მისასვლელებზე საფუძვლის მოწყობა 0÷40მმ ფრაქციის ღორღით, ადგილზე გაშლა და დატკეპნა (სისქით 15 სმ)</t>
  </si>
  <si>
    <t>4. მიერთებები და კერძო მისასვლელები</t>
  </si>
  <si>
    <t>ქვიშა-ხრეში ფრაქციით 0÷40მმ</t>
  </si>
  <si>
    <t>ხრეშოვანი გვერდულის მოწყობა</t>
  </si>
  <si>
    <t>საფარის ზედა ფენის მოწყობა წვრილმარცვლოვანი მკვრივი  ა/ბეტონის ცხელი ნარევით. სისქით 4 სმ.</t>
  </si>
  <si>
    <r>
      <t>საფუძვლის ზედა  ფენის დამუშავება ბიტუმით, მთელ ფართობზე მოსხმით, (0,3 ლ/მ</t>
    </r>
    <r>
      <rPr>
        <b/>
        <vertAlign val="superscript"/>
        <sz val="12"/>
        <rFont val="Sylfaen"/>
        <family val="1"/>
      </rPr>
      <t>2</t>
    </r>
    <r>
      <rPr>
        <b/>
        <sz val="12"/>
        <rFont val="Sylfaen"/>
        <family val="1"/>
      </rPr>
      <t>).</t>
    </r>
  </si>
  <si>
    <t>მსხვილმარცვლოვანი ასფალტო–ბეტონის ნარევი</t>
  </si>
  <si>
    <t>საფარის ქვედა ფენის მოწყობა მსხვილმარცვლოვანი  ა/ბეტონის ცხელი ნარევით. სისქით 6 სმ.</t>
  </si>
  <si>
    <t>საფუძვლის  მოწყობა 0÷40მმ ფრაქციის ღორღით, ადგილზე გაშლა და დატკეპნა (სისქით 15 სმ);</t>
  </si>
  <si>
    <t>3. საგზაო სამოსი</t>
  </si>
  <si>
    <t>ქვიშა-ხრეში ფრაქციით 0÷70მმ</t>
  </si>
  <si>
    <t>შემასწორებელი ფენის მოწყობა ქვიშა-ხრეშოვანი ნარევით</t>
  </si>
  <si>
    <t>არსებული გრუნტის გატანა ნაგავსაყრელზე საშუალოდ 5 კმ-მდე</t>
  </si>
  <si>
    <t>არსებული გრუნტის დამუშავება ხელით   და დატვირთვა ა/თვითმცლელებზე</t>
  </si>
  <si>
    <t>არსებული გრუნტის დამუშავება მექნიზმით და დატვირთვა ა/თვითმცლელებზე</t>
  </si>
  <si>
    <t>2. მიწის ვაკისი</t>
  </si>
  <si>
    <t>km</t>
  </si>
  <si>
    <t>trasis aRdgena da damagreba</t>
  </si>
  <si>
    <t>1. მოსამზადებელი სამუშაოები</t>
  </si>
  <si>
    <t>ერთეული</t>
  </si>
  <si>
    <t>ერთეულზე</t>
  </si>
  <si>
    <t>მექანიზმები</t>
  </si>
  <si>
    <t>ნორმატიული რესურსი</t>
  </si>
  <si>
    <t>განზ.
ერთ.</t>
  </si>
  <si>
    <t>No.</t>
  </si>
  <si>
    <t>ამოღებული გრუნტის უკუჩაყრა ხელით</t>
  </si>
  <si>
    <t>ლითონკონსტრუქციები</t>
  </si>
  <si>
    <t>ფოლადის ცხაურის მოტანა მონტაჟი</t>
  </si>
  <si>
    <t>ქვიშა</t>
  </si>
  <si>
    <t>ბულდოზერი 79 კბტ (108 ც/ძ)</t>
  </si>
  <si>
    <t>მუშაობა ნაყარში</t>
  </si>
  <si>
    <t>8ბ</t>
  </si>
  <si>
    <t>III კატეგორიის გრუნტის დატვირთვა ა/თვითმცლელებზე ხელით</t>
  </si>
  <si>
    <t>8ა</t>
  </si>
  <si>
    <t>არსებული,  III კატეგორიის გრუნტის დამუშავება ხელით</t>
  </si>
  <si>
    <t>ბულდოზერი 79კვტ (108ცხ.ძ.)</t>
  </si>
  <si>
    <t>არსებული,  III კატეგორიის გრუნტის დამუშავება მექანიზმით  და დატვირთვა ა/თვითმცლელებზე</t>
  </si>
  <si>
    <t>3, არხები და წყალსატარი მილები</t>
  </si>
  <si>
    <t>ავტოგრეიდერი საშუალო ტიპის 79 კვტ 108ც/ძ</t>
  </si>
  <si>
    <t>მიერთებებზე და კერძო მისასვლელებზე ქვიშა-ხრეშოვანი საფარის მოწყობა 0÷40მმ ფრაქცით, ადგილზე გაშლა და დატკეპნა (სისქით 20 სმ);</t>
  </si>
  <si>
    <t>საფუძვლის ზედა ფენის მოწყობა 0÷40მმ ფრაქციის ღორღით, ადგილზე გაშლა და დატკეპნა (სისქით 20 სმ);</t>
  </si>
  <si>
    <t>2. საგზაო სამოსი</t>
  </si>
  <si>
    <t>მოსარწყავი მანქანა 6000 ლ.</t>
  </si>
  <si>
    <t>სატკეპნი საზაო თვითმავალი პნევმოთვლიან სვლაზე 16 ტ</t>
  </si>
  <si>
    <t>სატკეპნი საზაო თვითმავალი გლუვი 10 ტ</t>
  </si>
  <si>
    <t>არსებული საფარის დამუშავება და მოსწორება</t>
  </si>
  <si>
    <t>2ბ</t>
  </si>
  <si>
    <t>დამუშავებული გრუნტის დატვირთვა ხელით ა/თვითმცლელებზე</t>
  </si>
  <si>
    <t>2ა</t>
  </si>
  <si>
    <t>არსებული გრუნტის დამუშავება ხელით</t>
  </si>
  <si>
    <t>არსებული გრუნტის დამუშავება მექნიზმით  და დატვირთვა ა/თვითმცლელებზე</t>
  </si>
  <si>
    <t>1. მიწის სამუშაოები</t>
  </si>
  <si>
    <t>ხის ფიცარი 4 ხარისხის 40მმ</t>
  </si>
  <si>
    <t>არსებული რკინა-ბეტონის მილების დემონტაჟი და განატნა ნაგავსაყრელზე</t>
  </si>
  <si>
    <t>არსებული საფარის მოგრეიდერება</t>
  </si>
  <si>
    <r>
      <t>მ</t>
    </r>
    <r>
      <rPr>
        <b/>
        <vertAlign val="superscript"/>
        <sz val="12"/>
        <color indexed="8"/>
        <rFont val="Calibri"/>
        <family val="2"/>
      </rPr>
      <t>3</t>
    </r>
  </si>
  <si>
    <r>
      <t xml:space="preserve">safaris qveda fenis mowyoba msxvilmarcvlovani forovani RorRovani asfalt-betonis cxeli nareviT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-6sm.</t>
    </r>
  </si>
  <si>
    <r>
      <t xml:space="preserve">safaris zeda fenis mowyoba wvrilmarcvlovani mkvrivi RorRovani asfalt-betonis cxeli nareviT tipi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,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-4sm.</t>
    </r>
  </si>
  <si>
    <r>
      <t xml:space="preserve">armatura </t>
    </r>
    <r>
      <rPr>
        <sz val="10"/>
        <rFont val="_Chveulebrivi"/>
        <family val="2"/>
      </rPr>
      <t>D=</t>
    </r>
    <r>
      <rPr>
        <sz val="10"/>
        <rFont val="AcadNusx"/>
        <family val="0"/>
      </rPr>
      <t>22 mm</t>
    </r>
  </si>
  <si>
    <r>
      <t xml:space="preserve">foladis milis SeZena-montaJi </t>
    </r>
    <r>
      <rPr>
        <b/>
        <sz val="10"/>
        <color indexed="8"/>
        <rFont val="Times New Roman"/>
        <family val="1"/>
      </rPr>
      <t>d</t>
    </r>
    <r>
      <rPr>
        <b/>
        <sz val="10"/>
        <color indexed="8"/>
        <rFont val="LitNusx"/>
        <family val="0"/>
      </rPr>
      <t xml:space="preserve">=200 mm  </t>
    </r>
  </si>
  <si>
    <r>
      <t xml:space="preserve">foladis milis SeZena-montaJi </t>
    </r>
    <r>
      <rPr>
        <b/>
        <sz val="10"/>
        <color indexed="8"/>
        <rFont val="Times New Roman"/>
        <family val="1"/>
      </rPr>
      <t>d</t>
    </r>
    <r>
      <rPr>
        <b/>
        <sz val="10"/>
        <color indexed="8"/>
        <rFont val="LitNusx"/>
        <family val="0"/>
      </rPr>
      <t xml:space="preserve">=100 mm  </t>
    </r>
  </si>
  <si>
    <r>
      <t>safuZvlis mowyoba fraqciuli RorRiT (0-40) mm.KsisqiT-7 sm. (</t>
    </r>
    <r>
      <rPr>
        <b/>
        <sz val="10"/>
        <color indexed="8"/>
        <rFont val="Sylfaen"/>
        <family val="1"/>
      </rPr>
      <t>ГОСТ</t>
    </r>
    <r>
      <rPr>
        <b/>
        <sz val="10"/>
        <color indexed="8"/>
        <rFont val="AcadNusx"/>
        <family val="0"/>
      </rPr>
      <t xml:space="preserve"> 25607-83) SemdgomSi misi satkepniT Semkvriveba.</t>
    </r>
  </si>
  <si>
    <r>
      <t xml:space="preserve">monoliTuri betonis saTavisebis mowyoba </t>
    </r>
    <r>
      <rPr>
        <b/>
        <sz val="10"/>
        <rFont val="Arial"/>
        <family val="2"/>
      </rPr>
      <t>B-20, F-200, W-6</t>
    </r>
  </si>
  <si>
    <r>
      <t xml:space="preserve">betoni </t>
    </r>
    <r>
      <rPr>
        <sz val="10"/>
        <rFont val="Arial"/>
        <family val="2"/>
      </rPr>
      <t>B-20</t>
    </r>
  </si>
  <si>
    <r>
      <t xml:space="preserve">safaris mowyoba wvrilmarcvlovani mkvrivi RorRovani asfalt-betonis cxeli nareviT tipi </t>
    </r>
    <r>
      <rPr>
        <b/>
        <sz val="10"/>
        <rFont val="Arial"/>
        <family val="2"/>
      </rPr>
      <t>B</t>
    </r>
    <r>
      <rPr>
        <b/>
        <sz val="10"/>
        <rFont val="AcadNusx"/>
        <family val="0"/>
      </rPr>
      <t xml:space="preserve">, marka II, </t>
    </r>
    <r>
      <rPr>
        <b/>
        <sz val="10"/>
        <rFont val="Arial"/>
        <family val="2"/>
      </rPr>
      <t>h</t>
    </r>
    <r>
      <rPr>
        <b/>
        <sz val="10"/>
        <rFont val="AcadNusx"/>
        <family val="0"/>
      </rPr>
      <t>-5sm.</t>
    </r>
  </si>
  <si>
    <r>
      <t>ექსკავატორი ჩამჩის ტევადობით 0.65მ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</si>
  <si>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2"/>
        <rFont val="Sylfaen"/>
        <family val="1"/>
      </rPr>
      <t>3</t>
    </r>
  </si>
  <si>
    <r>
      <t>მ</t>
    </r>
    <r>
      <rPr>
        <vertAlign val="superscript"/>
        <sz val="11"/>
        <rFont val="Sylfaen"/>
        <family val="1"/>
      </rPr>
      <t>3</t>
    </r>
  </si>
  <si>
    <r>
      <t>მ</t>
    </r>
    <r>
      <rPr>
        <b/>
        <vertAlign val="superscript"/>
        <sz val="12"/>
        <rFont val="Calibri"/>
        <family val="1"/>
      </rPr>
      <t>2</t>
    </r>
  </si>
  <si>
    <r>
      <t>მ</t>
    </r>
    <r>
      <rPr>
        <b/>
        <vertAlign val="superscript"/>
        <sz val="12"/>
        <color indexed="8"/>
        <rFont val="Calibri"/>
        <family val="2"/>
      </rPr>
      <t>2</t>
    </r>
  </si>
  <si>
    <r>
      <t>მ</t>
    </r>
    <r>
      <rPr>
        <b/>
        <vertAlign val="superscript"/>
        <sz val="11"/>
        <rFont val="Calibri"/>
        <family val="2"/>
      </rPr>
      <t>3</t>
    </r>
  </si>
  <si>
    <r>
      <t>მ</t>
    </r>
    <r>
      <rPr>
        <b/>
        <vertAlign val="superscript"/>
        <sz val="10"/>
        <color indexed="8"/>
        <rFont val="Calibri"/>
        <family val="2"/>
      </rPr>
      <t>3</t>
    </r>
  </si>
  <si>
    <r>
      <t>მ</t>
    </r>
    <r>
      <rPr>
        <b/>
        <vertAlign val="superscript"/>
        <sz val="10"/>
        <rFont val="Calibri"/>
        <family val="1"/>
      </rPr>
      <t>2</t>
    </r>
  </si>
  <si>
    <r>
      <t>მ</t>
    </r>
    <r>
      <rPr>
        <b/>
        <vertAlign val="superscript"/>
        <sz val="11"/>
        <color indexed="8"/>
        <rFont val="Calibri"/>
        <family val="2"/>
      </rPr>
      <t>3</t>
    </r>
  </si>
  <si>
    <r>
      <t>მ</t>
    </r>
    <r>
      <rPr>
        <b/>
        <vertAlign val="superscript"/>
        <sz val="10"/>
        <color indexed="8"/>
        <rFont val="Calibri"/>
        <family val="2"/>
      </rPr>
      <t>3</t>
    </r>
  </si>
  <si>
    <r>
      <t>მ</t>
    </r>
    <r>
      <rPr>
        <b/>
        <vertAlign val="superscript"/>
        <sz val="11"/>
        <color indexed="8"/>
        <rFont val="Calibri"/>
        <family val="2"/>
      </rPr>
      <t>2</t>
    </r>
  </si>
  <si>
    <r>
      <t>მ</t>
    </r>
    <r>
      <rPr>
        <b/>
        <vertAlign val="superscript"/>
        <sz val="11"/>
        <rFont val="Calibri"/>
        <family val="1"/>
      </rPr>
      <t>2</t>
    </r>
  </si>
  <si>
    <r>
      <t>მ</t>
    </r>
    <r>
      <rPr>
        <b/>
        <vertAlign val="superscript"/>
        <sz val="11"/>
        <color indexed="8"/>
        <rFont val="Calibri"/>
        <family val="2"/>
      </rPr>
      <t>3</t>
    </r>
  </si>
  <si>
    <r>
      <t>მ</t>
    </r>
    <r>
      <rPr>
        <b/>
        <vertAlign val="superscript"/>
        <sz val="12"/>
        <color indexed="8"/>
        <rFont val="Calibri"/>
        <family val="2"/>
      </rPr>
      <t>3</t>
    </r>
  </si>
  <si>
    <t>monoliTuri rk/betonis Rarebis mowyoba kveTiT 0.4X0.4</t>
  </si>
  <si>
    <t>ქვიშის საგები მონოლითური რ/ბ არხის მოსაწყობად</t>
  </si>
  <si>
    <t>xis masala</t>
  </si>
  <si>
    <t>eleqtrodi</t>
  </si>
  <si>
    <t>proeqt</t>
  </si>
  <si>
    <t>არმატურა А-III d-10mm</t>
  </si>
  <si>
    <t>მონოლითური რ/ბ არხების მოწყობა სხვა დამხმარე სამუშაოების ჩათვლით (ბეტონი B-25 1 გრძივ მეტრზე 0.17 მ3) (არმატურა 1 გრძივ მეტრზე 13.33 კგ)</t>
  </si>
  <si>
    <t>მონოლითურიი რ/ბ არხების მოწყობა სხვა დამხმარე სამუშაოების ჩათვლით (ბეტონი B-25 1 გრძივ მეტრზე 0.17 მ3) (არმატურა 1 გრძივ მეტრზე 13.33 კგ)</t>
  </si>
  <si>
    <t xml:space="preserve">
ოთკუთხა მონოლითური რკინა ბეტონის არხის მოწყობა
(სწ და ნ.     IV- 2-82   7-55-5)
               </t>
  </si>
  <si>
    <r>
      <t>ექსკავატორი ჩამჩის ტევადობით 0.65მ</t>
    </r>
    <r>
      <rPr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</si>
  <si>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10"/>
        <rFont val="Sylfaen"/>
        <family val="1"/>
      </rPr>
      <t>3</t>
    </r>
  </si>
  <si>
    <r>
      <t>ექსკავატორი ჩამჩის ტევადობით 0.65მ</t>
    </r>
    <r>
      <rPr>
        <vertAlign val="superscript"/>
        <sz val="11"/>
        <rFont val="Sylfaen"/>
        <family val="1"/>
      </rPr>
      <t>3</t>
    </r>
  </si>
  <si>
    <r>
      <t>მ</t>
    </r>
    <r>
      <rPr>
        <vertAlign val="superscript"/>
        <sz val="11"/>
        <rFont val="Sylfaen"/>
        <family val="1"/>
      </rPr>
      <t>3</t>
    </r>
  </si>
  <si>
    <t>დმანისის მუნიციპალიტეტის სოფელ ჯავახში სანიაღვრე არხის, გზა N3
მოწყობის შესასრულებელი სამუშაოების ხარჯთაღრიცხვა N3</t>
  </si>
  <si>
    <t>დმანისის მუნიციპალიტეტის სოფელ ჯავახში სანიაღვრე არხის, გზა N2
მოწყობის შესასრულებელი სამუშაოების ხარჯთაღრიცხვა N2</t>
  </si>
  <si>
    <t>დმანისის მუნიციპალიტეტის სოფელ ჯავახში სანიაღვრე არხის, გზა N1
მოწყობის შესასრულებელი სამუშაოების ხარჯთაღრიცხვა N1</t>
  </si>
  <si>
    <r>
      <t>მ</t>
    </r>
    <r>
      <rPr>
        <vertAlign val="superscript"/>
        <sz val="10"/>
        <rFont val="Sylfaen"/>
        <family val="1"/>
      </rPr>
      <t>2</t>
    </r>
  </si>
  <si>
    <r>
      <t>ხის ძელი1</t>
    </r>
    <r>
      <rPr>
        <sz val="10"/>
        <rFont val="Calibri"/>
        <family val="2"/>
      </rPr>
      <t>÷</t>
    </r>
    <r>
      <rPr>
        <sz val="10"/>
        <rFont val="Sylfaen"/>
        <family val="1"/>
      </rPr>
      <t>2 ხარისხის 130მმ</t>
    </r>
  </si>
  <si>
    <r>
      <t>ხის ფიცარი ჩამოგანული 3 ხარისხის 40</t>
    </r>
    <r>
      <rPr>
        <sz val="10"/>
        <rFont val="Calibri"/>
        <family val="2"/>
      </rPr>
      <t>÷</t>
    </r>
    <r>
      <rPr>
        <sz val="10"/>
        <rFont val="Sylfaen"/>
        <family val="1"/>
      </rPr>
      <t>60მმ</t>
    </r>
  </si>
  <si>
    <r>
      <t>ხის ფიცარი ჩამოგანული 4 ხარისხის 40</t>
    </r>
    <r>
      <rPr>
        <sz val="10"/>
        <rFont val="Calibri"/>
        <family val="2"/>
      </rPr>
      <t>÷</t>
    </r>
    <r>
      <rPr>
        <sz val="10"/>
        <rFont val="Sylfaen"/>
        <family val="1"/>
      </rPr>
      <t>60მმ</t>
    </r>
  </si>
  <si>
    <r>
      <t>მ</t>
    </r>
    <r>
      <rPr>
        <vertAlign val="superscript"/>
        <sz val="10"/>
        <rFont val="Sylfaen"/>
        <family val="1"/>
      </rPr>
      <t>3</t>
    </r>
  </si>
  <si>
    <t xml:space="preserve">          დმანისის მუნიციპალიტეტში, სოფ. ბოსლებში შიდა სასოფლო გზის რეაბილიტაცია  შესასრულებელი სამუშაოების ხარჯთარრიცხვა</t>
  </si>
  <si>
    <t>დმანისის მუნიციპალიტეტის, სოფელ გომარეთის შიდა გზის სარეაბილიტაციო   შესასრულებელი სამუშაოების ხარჯთაღრიცხვა</t>
  </si>
  <si>
    <t>monoliTuri რკ/ბეტონის კიუვეტი პკ3+25-პკ 4+50</t>
  </si>
  <si>
    <t>8</t>
  </si>
  <si>
    <t>9</t>
  </si>
  <si>
    <t>10</t>
  </si>
  <si>
    <t>11</t>
  </si>
  <si>
    <t>12</t>
  </si>
  <si>
    <t>13</t>
  </si>
  <si>
    <t>14</t>
  </si>
  <si>
    <t>15</t>
  </si>
  <si>
    <t>28</t>
  </si>
  <si>
    <t>29</t>
  </si>
  <si>
    <t>71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</si>
  <si>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</si>
  <si>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</si>
  <si>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</si>
  <si>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</si>
  <si>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</si>
  <si>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</si>
  <si>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</si>
  <si>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</si>
  <si>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</si>
  <si>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</si>
  <si>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</si>
  <si>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</si>
  <si>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</si>
  <si>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</si>
  <si>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</si>
  <si>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</si>
  <si>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</si>
  <si>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</si>
  <si>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</si>
  <si>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</si>
  <si>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</si>
  <si>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</si>
  <si>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</si>
  <si>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</si>
  <si>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</si>
  <si>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</si>
  <si>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</si>
  <si>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</si>
  <si>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</si>
  <si>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</si>
  <si>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</si>
  <si>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</si>
  <si>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</si>
  <si>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</si>
  <si>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</si>
  <si>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</si>
  <si>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</si>
  <si>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</si>
  <si>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</si>
  <si>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</si>
  <si>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</si>
  <si>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</si>
  <si>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</si>
  <si>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</si>
  <si>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</si>
  <si>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</si>
  <si>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</si>
  <si>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</si>
  <si>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</si>
  <si>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</si>
  <si>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</si>
  <si>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თანხა არ უნდა აღემატებოდეს 254 452.10 ლარს</t>
  </si>
  <si>
    <t>თანხა არ უნდა აღემატებოდეს 27 278.41 ლარს</t>
  </si>
  <si>
    <t>თანხა არ უნდა აღემატებოდეს 39 758.91 ლარს</t>
  </si>
  <si>
    <t>თანხა არ უნდა აღემატებოდეს 77 900.05 ლარს</t>
  </si>
  <si>
    <t>თანხა არ უნდა აღემატებოდეს 51 261.53 ლარს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</si>
</sst>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_-* #,##0.00\ _₾_-;\-* #,##0.00\ _₾_-;_-* &quot;-&quot;??\ _₾_-;_-@_-"/>
    <numFmt numFmtId="173" formatCode="_-* #,##0.00&quot;р.&quot;_-;\-* #,##0.00&quot;р.&quot;_-;_-* &quot;-&quot;??&quot;р.&quot;_-;_-@_-"/>
    <numFmt numFmtId="174" formatCode="_-* #,##0.00_р_._-;\-* #,##0.00_р_._-;_-* &quot;-&quot;??_р_._-;_-@_-"/>
    <numFmt numFmtId="175" formatCode="#,###.00;[Red]\-#,###.00;\-\ ;\ \-\ "/>
    <numFmt numFmtId="176" formatCode="0.000"/>
    <numFmt numFmtId="177" formatCode="0.0000"/>
    <numFmt numFmtId="178" formatCode="0.00000"/>
    <numFmt numFmtId="179" formatCode="0.0"/>
    <numFmt numFmtId="180" formatCode="#,##0.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_);_(* \(#,##0.000\);_(* &quot;-&quot;???_);_(@_)"/>
    <numFmt numFmtId="185" formatCode="_(* #,##0.0000_);_(* \(#,##0.0000\);_(* &quot;-&quot;????_);_(@_)"/>
    <numFmt numFmtId="186" formatCode="_(* #,##0.00000_);_(* \(#,##0.00000\);_(* &quot;-&quot;?????_);_(@_)"/>
    <numFmt numFmtId="187" formatCode="[$-409]dddd\,\ mmmm\ d\,\ yyyy"/>
    <numFmt numFmtId="188" formatCode="[$-409]h:mm:ss\ AM/PM"/>
  </numFmts>
  <fonts count="120"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8"/>
      <name val="AcadNusx"/>
      <family val="0"/>
    </font>
    <font>
      <sz val="12"/>
      <name val="AcadNusx"/>
      <family val="0"/>
    </font>
    <font>
      <b/>
      <sz val="14"/>
      <name val="AcadNusx"/>
      <family val="0"/>
    </font>
    <font>
      <b/>
      <sz val="12"/>
      <name val="AcadNusx"/>
      <family val="0"/>
    </font>
    <font>
      <sz val="11"/>
      <name val="Arial"/>
      <family val="2"/>
    </font>
    <font>
      <sz val="11"/>
      <name val="AcadNusx"/>
      <family val="0"/>
    </font>
    <font>
      <b/>
      <sz val="11"/>
      <name val="AcadNusx"/>
      <family val="0"/>
    </font>
    <font>
      <sz val="11"/>
      <color indexed="8"/>
      <name val="Arial"/>
      <family val="2"/>
    </font>
    <font>
      <b/>
      <sz val="11"/>
      <color indexed="8"/>
      <name val="AcadNusx"/>
      <family val="0"/>
    </font>
    <font>
      <b/>
      <sz val="11"/>
      <name val="Arial"/>
      <family val="2"/>
    </font>
    <font>
      <b/>
      <vertAlign val="superscript"/>
      <sz val="11"/>
      <color indexed="8"/>
      <name val="AcadNusx"/>
      <family val="0"/>
    </font>
    <font>
      <sz val="11"/>
      <name val="Sylfaen"/>
      <family val="1"/>
    </font>
    <font>
      <sz val="10"/>
      <name val="Sylfaen"/>
      <family val="1"/>
    </font>
    <font>
      <b/>
      <sz val="12"/>
      <color indexed="8"/>
      <name val="AcadNusx"/>
      <family val="0"/>
    </font>
    <font>
      <b/>
      <vertAlign val="superscript"/>
      <sz val="12"/>
      <color indexed="8"/>
      <name val="AcadNusx"/>
      <family val="0"/>
    </font>
    <font>
      <b/>
      <sz val="11"/>
      <name val="Sylfaen"/>
      <family val="1"/>
    </font>
    <font>
      <b/>
      <sz val="10"/>
      <color indexed="8"/>
      <name val="AcadNusx"/>
      <family val="0"/>
    </font>
    <font>
      <b/>
      <sz val="12"/>
      <name val="Sylfaen"/>
      <family val="1"/>
    </font>
    <font>
      <sz val="12"/>
      <name val="Sylfaen"/>
      <family val="1"/>
    </font>
    <font>
      <sz val="11"/>
      <name val="AcadMtavr"/>
      <family val="0"/>
    </font>
    <font>
      <vertAlign val="superscript"/>
      <sz val="11"/>
      <name val="AcadNusx"/>
      <family val="0"/>
    </font>
    <font>
      <b/>
      <vertAlign val="superscript"/>
      <sz val="11"/>
      <name val="AcadNusx"/>
      <family val="0"/>
    </font>
    <font>
      <vertAlign val="superscript"/>
      <sz val="11"/>
      <color indexed="8"/>
      <name val="AcadNusx"/>
      <family val="0"/>
    </font>
    <font>
      <b/>
      <vertAlign val="superscript"/>
      <sz val="12"/>
      <name val="Sylfaen"/>
      <family val="1"/>
    </font>
    <font>
      <b/>
      <sz val="10"/>
      <name val="Sylfaen"/>
      <family val="1"/>
    </font>
    <font>
      <b/>
      <sz val="10"/>
      <color indexed="8"/>
      <name val="Sylfaen"/>
      <family val="1"/>
    </font>
    <font>
      <sz val="10"/>
      <color indexed="8"/>
      <name val="Calibri"/>
      <family val="2"/>
    </font>
    <font>
      <sz val="10"/>
      <name val="AcadNusx"/>
      <family val="0"/>
    </font>
    <font>
      <b/>
      <sz val="10"/>
      <name val="AcadNusx"/>
      <family val="0"/>
    </font>
    <font>
      <b/>
      <vertAlign val="superscript"/>
      <sz val="12"/>
      <color indexed="8"/>
      <name val="Calibri"/>
      <family val="2"/>
    </font>
    <font>
      <b/>
      <sz val="10"/>
      <name val="Arial"/>
      <family val="2"/>
    </font>
    <font>
      <sz val="10"/>
      <name val="_Chveulebrivi"/>
      <family val="2"/>
    </font>
    <font>
      <b/>
      <sz val="10"/>
      <color indexed="8"/>
      <name val="Times New Roman"/>
      <family val="1"/>
    </font>
    <font>
      <b/>
      <sz val="10"/>
      <color indexed="8"/>
      <name val="LitNusx"/>
      <family val="0"/>
    </font>
    <font>
      <vertAlign val="superscript"/>
      <sz val="12"/>
      <name val="Sylfaen"/>
      <family val="1"/>
    </font>
    <font>
      <sz val="12"/>
      <name val="Sylfine"/>
      <family val="0"/>
    </font>
    <font>
      <vertAlign val="superscript"/>
      <sz val="11"/>
      <name val="Sylfaen"/>
      <family val="1"/>
    </font>
    <font>
      <b/>
      <vertAlign val="superscript"/>
      <sz val="12"/>
      <name val="Calibri"/>
      <family val="1"/>
    </font>
    <font>
      <b/>
      <vertAlign val="superscript"/>
      <sz val="11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name val="Calibri"/>
      <family val="1"/>
    </font>
    <font>
      <b/>
      <vertAlign val="superscript"/>
      <sz val="11"/>
      <color indexed="8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vertAlign val="superscript"/>
      <sz val="10"/>
      <name val="Sylfaen"/>
      <family val="1"/>
    </font>
    <font>
      <sz val="11"/>
      <name val="Sylfin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ylfaen"/>
      <family val="1"/>
    </font>
    <font>
      <sz val="12"/>
      <color indexed="8"/>
      <name val="Sylfaen"/>
      <family val="1"/>
    </font>
    <font>
      <sz val="12"/>
      <color indexed="8"/>
      <name val="Calibri"/>
      <family val="2"/>
    </font>
    <font>
      <sz val="11"/>
      <color indexed="8"/>
      <name val="Sylfaen"/>
      <family val="1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Sylfaen"/>
      <family val="1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Sylfaen"/>
      <family val="1"/>
    </font>
    <font>
      <b/>
      <sz val="10"/>
      <name val="Calibri"/>
      <family val="2"/>
    </font>
    <font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ylfaen"/>
      <family val="1"/>
    </font>
    <font>
      <sz val="12"/>
      <color theme="1"/>
      <name val="Sylfaen"/>
      <family val="1"/>
    </font>
    <font>
      <sz val="12"/>
      <color theme="1"/>
      <name val="Calibri"/>
      <family val="2"/>
    </font>
    <font>
      <sz val="11"/>
      <color theme="1"/>
      <name val="Sylfae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Sylfaen"/>
      <family val="1"/>
    </font>
    <font>
      <b/>
      <sz val="12"/>
      <color theme="1"/>
      <name val="Sylfaen"/>
      <family val="1"/>
    </font>
    <font>
      <b/>
      <sz val="12"/>
      <color theme="1"/>
      <name val="Calibri"/>
      <family val="2"/>
    </font>
    <font>
      <b/>
      <sz val="11"/>
      <color theme="1"/>
      <name val="Sylfaen"/>
      <family val="1"/>
    </font>
    <font>
      <sz val="12"/>
      <color theme="1"/>
      <name val="Arial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sz val="14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172" fontId="8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88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  <xf numFmtId="0" fontId="1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</cellStyleXfs>
  <cellXfs count="399">
    <xf numFmtId="0" fontId="0" fillId="0" borderId="0" xfId="0" applyAlignment="1">
      <alignment/>
    </xf>
    <xf numFmtId="175" fontId="15" fillId="0" borderId="10" xfId="72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top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05" fillId="0" borderId="0" xfId="0" applyFont="1" applyFill="1" applyAlignment="1">
      <alignment horizontal="center" vertical="center"/>
    </xf>
    <xf numFmtId="43" fontId="12" fillId="0" borderId="10" xfId="42" applyFont="1" applyFill="1" applyBorder="1" applyAlignment="1">
      <alignment horizontal="center" vertical="center" wrapText="1"/>
    </xf>
    <xf numFmtId="43" fontId="15" fillId="0" borderId="10" xfId="42" applyFont="1" applyFill="1" applyBorder="1" applyAlignment="1">
      <alignment horizontal="center" vertical="center" wrapText="1"/>
    </xf>
    <xf numFmtId="4" fontId="15" fillId="0" borderId="10" xfId="72" applyNumberFormat="1" applyFont="1" applyFill="1" applyBorder="1" applyAlignment="1">
      <alignment horizontal="center" vertical="center" wrapText="1"/>
      <protection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4" fillId="0" borderId="10" xfId="72" applyFont="1" applyFill="1" applyBorder="1" applyAlignment="1">
      <alignment horizontal="center" vertical="center"/>
      <protection/>
    </xf>
    <xf numFmtId="0" fontId="17" fillId="0" borderId="10" xfId="72" applyFont="1" applyFill="1" applyBorder="1" applyAlignment="1">
      <alignment horizontal="center" vertical="center"/>
      <protection/>
    </xf>
    <xf numFmtId="0" fontId="13" fillId="0" borderId="10" xfId="93" applyNumberFormat="1" applyFont="1" applyFill="1" applyBorder="1" applyAlignment="1">
      <alignment horizontal="center" vertical="center"/>
      <protection/>
    </xf>
    <xf numFmtId="0" fontId="12" fillId="0" borderId="10" xfId="93" applyNumberFormat="1" applyFont="1" applyFill="1" applyBorder="1" applyAlignment="1">
      <alignment horizontal="center" vertical="center"/>
      <protection/>
    </xf>
    <xf numFmtId="43" fontId="12" fillId="0" borderId="10" xfId="42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center" vertical="center"/>
    </xf>
    <xf numFmtId="0" fontId="13" fillId="0" borderId="10" xfId="72" applyFont="1" applyFill="1" applyBorder="1" applyAlignment="1">
      <alignment horizontal="center" vertical="center" wrapText="1"/>
      <protection/>
    </xf>
    <xf numFmtId="0" fontId="12" fillId="0" borderId="10" xfId="72" applyFont="1" applyFill="1" applyBorder="1" applyAlignment="1">
      <alignment horizontal="center" vertical="center"/>
      <protection/>
    </xf>
    <xf numFmtId="177" fontId="20" fillId="0" borderId="10" xfId="67" applyNumberFormat="1" applyFont="1" applyFill="1" applyBorder="1" applyAlignment="1">
      <alignment horizontal="center" vertical="center"/>
      <protection/>
    </xf>
    <xf numFmtId="176" fontId="20" fillId="0" borderId="10" xfId="89" applyNumberFormat="1" applyFont="1" applyFill="1" applyBorder="1" applyAlignment="1">
      <alignment horizontal="center" vertical="center"/>
      <protection/>
    </xf>
    <xf numFmtId="0" fontId="9" fillId="0" borderId="10" xfId="93" applyNumberFormat="1" applyFont="1" applyFill="1" applyBorder="1" applyAlignment="1">
      <alignment horizontal="center" vertical="center"/>
      <protection/>
    </xf>
    <xf numFmtId="177" fontId="12" fillId="0" borderId="10" xfId="0" applyNumberFormat="1" applyFont="1" applyFill="1" applyBorder="1" applyAlignment="1">
      <alignment horizontal="center" vertical="center" wrapText="1"/>
    </xf>
    <xf numFmtId="0" fontId="13" fillId="0" borderId="0" xfId="72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horizontal="center" vertical="center"/>
      <protection/>
    </xf>
    <xf numFmtId="2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72" applyFont="1" applyFill="1" applyBorder="1" applyAlignment="1">
      <alignment horizontal="center" vertical="center"/>
      <protection/>
    </xf>
    <xf numFmtId="2" fontId="17" fillId="0" borderId="0" xfId="0" applyNumberFormat="1" applyFont="1" applyFill="1" applyBorder="1" applyAlignment="1">
      <alignment horizontal="center" vertical="center" wrapText="1"/>
    </xf>
    <xf numFmtId="0" fontId="106" fillId="0" borderId="0" xfId="75" applyFont="1" applyFill="1" applyAlignment="1">
      <alignment horizontal="center" vertical="center"/>
      <protection/>
    </xf>
    <xf numFmtId="0" fontId="107" fillId="0" borderId="0" xfId="75" applyFont="1" applyFill="1">
      <alignment/>
      <protection/>
    </xf>
    <xf numFmtId="0" fontId="105" fillId="0" borderId="0" xfId="75" applyFont="1" applyFill="1" applyAlignment="1">
      <alignment horizontal="center" vertical="center"/>
      <protection/>
    </xf>
    <xf numFmtId="0" fontId="108" fillId="0" borderId="0" xfId="75" applyFont="1" applyFill="1" applyAlignment="1">
      <alignment horizontal="center" vertical="center"/>
      <protection/>
    </xf>
    <xf numFmtId="0" fontId="88" fillId="0" borderId="0" xfId="75" applyFont="1" applyFill="1">
      <alignment/>
      <protection/>
    </xf>
    <xf numFmtId="0" fontId="109" fillId="0" borderId="0" xfId="75" applyFont="1" applyFill="1">
      <alignment/>
      <protection/>
    </xf>
    <xf numFmtId="4" fontId="25" fillId="0" borderId="10" xfId="75" applyNumberFormat="1" applyFont="1" applyFill="1" applyBorder="1" applyAlignment="1">
      <alignment horizontal="center" vertical="center" wrapText="1"/>
      <protection/>
    </xf>
    <xf numFmtId="2" fontId="25" fillId="0" borderId="10" xfId="75" applyNumberFormat="1" applyFont="1" applyFill="1" applyBorder="1" applyAlignment="1">
      <alignment horizontal="center" vertical="center"/>
      <protection/>
    </xf>
    <xf numFmtId="0" fontId="26" fillId="0" borderId="10" xfId="75" applyFont="1" applyFill="1" applyBorder="1" applyAlignment="1">
      <alignment horizontal="center" vertical="center"/>
      <protection/>
    </xf>
    <xf numFmtId="0" fontId="107" fillId="0" borderId="10" xfId="75" applyFont="1" applyFill="1" applyBorder="1" applyAlignment="1">
      <alignment horizontal="center" vertical="center"/>
      <protection/>
    </xf>
    <xf numFmtId="4" fontId="106" fillId="0" borderId="0" xfId="75" applyNumberFormat="1" applyFont="1" applyFill="1" applyAlignment="1">
      <alignment horizontal="center" vertical="center"/>
      <protection/>
    </xf>
    <xf numFmtId="0" fontId="35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49" fontId="36" fillId="0" borderId="0" xfId="0" applyNumberFormat="1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105" fillId="0" borderId="0" xfId="75" applyFont="1" applyFill="1" applyAlignment="1">
      <alignment horizontal="center" vertical="center"/>
      <protection/>
    </xf>
    <xf numFmtId="4" fontId="12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2" fontId="12" fillId="0" borderId="10" xfId="75" applyNumberFormat="1" applyFont="1" applyFill="1" applyBorder="1" applyAlignment="1">
      <alignment horizontal="center" vertical="center"/>
      <protection/>
    </xf>
    <xf numFmtId="0" fontId="13" fillId="0" borderId="10" xfId="75" applyNumberFormat="1" applyFont="1" applyFill="1" applyBorder="1" applyAlignment="1">
      <alignment horizontal="center" vertical="center" wrapText="1"/>
      <protection/>
    </xf>
    <xf numFmtId="2" fontId="13" fillId="0" borderId="10" xfId="75" applyNumberFormat="1" applyFont="1" applyFill="1" applyBorder="1" applyAlignment="1">
      <alignment horizontal="center" vertical="center" wrapText="1"/>
      <protection/>
    </xf>
    <xf numFmtId="2" fontId="26" fillId="0" borderId="10" xfId="75" applyNumberFormat="1" applyFont="1" applyFill="1" applyBorder="1" applyAlignment="1">
      <alignment horizontal="center" vertical="center"/>
      <protection/>
    </xf>
    <xf numFmtId="4" fontId="19" fillId="0" borderId="0" xfId="51" applyNumberFormat="1" applyFont="1" applyFill="1" applyBorder="1" applyAlignment="1">
      <alignment/>
    </xf>
    <xf numFmtId="4" fontId="23" fillId="0" borderId="0" xfId="51" applyNumberFormat="1" applyFont="1" applyFill="1" applyBorder="1" applyAlignment="1">
      <alignment horizontal="center" vertical="center"/>
    </xf>
    <xf numFmtId="4" fontId="106" fillId="0" borderId="0" xfId="51" applyNumberFormat="1" applyFont="1" applyFill="1" applyBorder="1" applyAlignment="1">
      <alignment horizontal="center" vertical="center"/>
    </xf>
    <xf numFmtId="4" fontId="110" fillId="0" borderId="0" xfId="51" applyNumberFormat="1" applyFont="1" applyFill="1" applyBorder="1" applyAlignment="1">
      <alignment horizontal="right" vertical="center"/>
    </xf>
    <xf numFmtId="0" fontId="9" fillId="0" borderId="0" xfId="72" applyFont="1" applyFill="1">
      <alignment/>
      <protection/>
    </xf>
    <xf numFmtId="0" fontId="9" fillId="0" borderId="0" xfId="72" applyFont="1" applyFill="1" applyBorder="1" applyAlignment="1">
      <alignment horizontal="center" vertical="center"/>
      <protection/>
    </xf>
    <xf numFmtId="0" fontId="9" fillId="0" borderId="0" xfId="72" applyFont="1" applyFill="1" applyBorder="1" applyAlignment="1">
      <alignment horizontal="left" vertical="center"/>
      <protection/>
    </xf>
    <xf numFmtId="0" fontId="14" fillId="0" borderId="0" xfId="72" applyFont="1" applyFill="1" applyBorder="1" applyAlignment="1">
      <alignment horizontal="left" vertical="center"/>
      <protection/>
    </xf>
    <xf numFmtId="0" fontId="13" fillId="0" borderId="0" xfId="72" applyFont="1" applyFill="1">
      <alignment/>
      <protection/>
    </xf>
    <xf numFmtId="0" fontId="13" fillId="0" borderId="0" xfId="72" applyFont="1" applyFill="1" applyAlignment="1">
      <alignment wrapText="1"/>
      <protection/>
    </xf>
    <xf numFmtId="0" fontId="24" fillId="0" borderId="10" xfId="0" applyFont="1" applyFill="1" applyBorder="1" applyAlignment="1">
      <alignment horizontal="center" vertical="top" wrapText="1"/>
    </xf>
    <xf numFmtId="0" fontId="36" fillId="0" borderId="10" xfId="0" applyNumberFormat="1" applyFont="1" applyFill="1" applyBorder="1" applyAlignment="1">
      <alignment horizontal="left" vertical="center" wrapText="1"/>
    </xf>
    <xf numFmtId="2" fontId="111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right" vertical="center" wrapText="1"/>
    </xf>
    <xf numFmtId="43" fontId="17" fillId="0" borderId="10" xfId="42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3" fontId="17" fillId="0" borderId="10" xfId="42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3" fontId="13" fillId="0" borderId="10" xfId="42" applyFont="1" applyFill="1" applyBorder="1" applyAlignment="1">
      <alignment horizontal="center" vertical="top" wrapText="1"/>
    </xf>
    <xf numFmtId="0" fontId="13" fillId="0" borderId="10" xfId="75" applyNumberFormat="1" applyFont="1" applyFill="1" applyBorder="1" applyAlignment="1">
      <alignment horizontal="left" vertical="center" wrapText="1"/>
      <protection/>
    </xf>
    <xf numFmtId="4" fontId="19" fillId="0" borderId="10" xfId="75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horizontal="center" vertical="center" wrapText="1"/>
    </xf>
    <xf numFmtId="43" fontId="11" fillId="0" borderId="10" xfId="42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top" wrapText="1"/>
    </xf>
    <xf numFmtId="43" fontId="13" fillId="0" borderId="10" xfId="42" applyFont="1" applyFill="1" applyBorder="1" applyAlignment="1">
      <alignment horizontal="center" vertical="center"/>
    </xf>
    <xf numFmtId="0" fontId="13" fillId="0" borderId="0" xfId="72" applyFont="1" applyFill="1" applyBorder="1">
      <alignment/>
      <protection/>
    </xf>
    <xf numFmtId="49" fontId="17" fillId="0" borderId="0" xfId="72" applyNumberFormat="1" applyFont="1" applyFill="1" applyBorder="1" applyAlignment="1">
      <alignment horizontal="center" vertical="top"/>
      <protection/>
    </xf>
    <xf numFmtId="0" fontId="88" fillId="0" borderId="0" xfId="75" applyFill="1">
      <alignment/>
      <protection/>
    </xf>
    <xf numFmtId="0" fontId="14" fillId="0" borderId="0" xfId="72" applyFont="1" applyFill="1" applyBorder="1" applyAlignment="1">
      <alignment/>
      <protection/>
    </xf>
    <xf numFmtId="0" fontId="88" fillId="0" borderId="0" xfId="75" applyFill="1" applyAlignment="1">
      <alignment horizontal="center"/>
      <protection/>
    </xf>
    <xf numFmtId="0" fontId="23" fillId="0" borderId="0" xfId="75" applyFont="1" applyFill="1" applyBorder="1" applyAlignment="1">
      <alignment vertical="center"/>
      <protection/>
    </xf>
    <xf numFmtId="49" fontId="108" fillId="0" borderId="0" xfId="75" applyNumberFormat="1" applyFont="1" applyFill="1" applyBorder="1" applyAlignment="1">
      <alignment vertical="center" wrapText="1"/>
      <protection/>
    </xf>
    <xf numFmtId="0" fontId="12" fillId="0" borderId="0" xfId="72" applyFont="1" applyFill="1" applyBorder="1" applyAlignment="1">
      <alignment horizontal="center" vertical="top"/>
      <protection/>
    </xf>
    <xf numFmtId="4" fontId="13" fillId="0" borderId="0" xfId="72" applyNumberFormat="1" applyFont="1" applyFill="1" applyBorder="1" applyAlignment="1">
      <alignment horizontal="center" vertical="center"/>
      <protection/>
    </xf>
    <xf numFmtId="4" fontId="12" fillId="0" borderId="0" xfId="0" applyNumberFormat="1" applyFont="1" applyFill="1" applyBorder="1" applyAlignment="1">
      <alignment horizontal="center" vertical="center"/>
    </xf>
    <xf numFmtId="0" fontId="2" fillId="0" borderId="0" xfId="72" applyFont="1" applyFill="1" applyBorder="1" applyAlignment="1">
      <alignment horizontal="center" vertical="top"/>
      <protection/>
    </xf>
    <xf numFmtId="0" fontId="9" fillId="0" borderId="0" xfId="72" applyFont="1" applyFill="1" applyBorder="1">
      <alignment/>
      <protection/>
    </xf>
    <xf numFmtId="0" fontId="35" fillId="0" borderId="0" xfId="0" applyFont="1" applyFill="1" applyAlignment="1">
      <alignment vertical="center"/>
    </xf>
    <xf numFmtId="0" fontId="9" fillId="0" borderId="0" xfId="72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9" fillId="0" borderId="0" xfId="73" applyFont="1" applyFill="1">
      <alignment/>
      <protection/>
    </xf>
    <xf numFmtId="0" fontId="112" fillId="0" borderId="10" xfId="75" applyFont="1" applyFill="1" applyBorder="1" applyAlignment="1">
      <alignment horizontal="center" vertical="center"/>
      <protection/>
    </xf>
    <xf numFmtId="0" fontId="106" fillId="0" borderId="10" xfId="75" applyFont="1" applyFill="1" applyBorder="1" applyAlignment="1">
      <alignment horizontal="center" vertical="center"/>
      <protection/>
    </xf>
    <xf numFmtId="0" fontId="113" fillId="0" borderId="10" xfId="75" applyFont="1" applyFill="1" applyBorder="1" applyAlignment="1">
      <alignment horizontal="center" vertical="center"/>
      <protection/>
    </xf>
    <xf numFmtId="4" fontId="106" fillId="0" borderId="10" xfId="51" applyNumberFormat="1" applyFont="1" applyFill="1" applyBorder="1" applyAlignment="1">
      <alignment horizontal="center" vertical="center"/>
    </xf>
    <xf numFmtId="0" fontId="14" fillId="0" borderId="10" xfId="75" applyNumberFormat="1" applyFont="1" applyFill="1" applyBorder="1" applyAlignment="1">
      <alignment horizontal="left" vertical="center" wrapText="1"/>
      <protection/>
    </xf>
    <xf numFmtId="0" fontId="14" fillId="0" borderId="10" xfId="75" applyNumberFormat="1" applyFont="1" applyFill="1" applyBorder="1" applyAlignment="1">
      <alignment horizontal="center" vertical="center" wrapText="1"/>
      <protection/>
    </xf>
    <xf numFmtId="177" fontId="17" fillId="0" borderId="10" xfId="75" applyNumberFormat="1" applyFont="1" applyFill="1" applyBorder="1" applyAlignment="1">
      <alignment horizontal="center" vertical="center" wrapText="1"/>
      <protection/>
    </xf>
    <xf numFmtId="177" fontId="23" fillId="0" borderId="10" xfId="75" applyNumberFormat="1" applyFont="1" applyFill="1" applyBorder="1" applyAlignment="1">
      <alignment horizontal="center" vertical="center"/>
      <protection/>
    </xf>
    <xf numFmtId="0" fontId="14" fillId="0" borderId="0" xfId="73" applyFont="1" applyFill="1">
      <alignment/>
      <protection/>
    </xf>
    <xf numFmtId="0" fontId="13" fillId="0" borderId="10" xfId="75" applyFont="1" applyFill="1" applyBorder="1" applyAlignment="1">
      <alignment vertical="center" wrapText="1"/>
      <protection/>
    </xf>
    <xf numFmtId="0" fontId="13" fillId="0" borderId="10" xfId="75" applyFont="1" applyFill="1" applyBorder="1" applyAlignment="1">
      <alignment horizontal="center" vertical="center"/>
      <protection/>
    </xf>
    <xf numFmtId="177" fontId="12" fillId="0" borderId="10" xfId="75" applyNumberFormat="1" applyFont="1" applyFill="1" applyBorder="1" applyAlignment="1">
      <alignment horizontal="center" vertical="center"/>
      <protection/>
    </xf>
    <xf numFmtId="4" fontId="51" fillId="0" borderId="10" xfId="75" applyNumberFormat="1" applyFont="1" applyFill="1" applyBorder="1">
      <alignment/>
      <protection/>
    </xf>
    <xf numFmtId="4" fontId="20" fillId="0" borderId="10" xfId="75" applyNumberFormat="1" applyFont="1" applyFill="1" applyBorder="1" applyAlignment="1">
      <alignment horizontal="center" vertical="center"/>
      <protection/>
    </xf>
    <xf numFmtId="4" fontId="20" fillId="0" borderId="10" xfId="51" applyNumberFormat="1" applyFont="1" applyFill="1" applyBorder="1" applyAlignment="1">
      <alignment horizontal="center" vertical="center"/>
    </xf>
    <xf numFmtId="4" fontId="1" fillId="0" borderId="10" xfId="75" applyNumberFormat="1" applyFont="1" applyFill="1" applyBorder="1" applyAlignment="1">
      <alignment horizontal="right" vertical="center" wrapText="1"/>
      <protection/>
    </xf>
    <xf numFmtId="0" fontId="13" fillId="0" borderId="0" xfId="73" applyFont="1" applyFill="1">
      <alignment/>
      <protection/>
    </xf>
    <xf numFmtId="177" fontId="26" fillId="0" borderId="10" xfId="75" applyNumberFormat="1" applyFont="1" applyFill="1" applyBorder="1" applyAlignment="1">
      <alignment horizontal="center" vertical="center"/>
      <protection/>
    </xf>
    <xf numFmtId="0" fontId="25" fillId="0" borderId="10" xfId="75" applyFont="1" applyFill="1" applyBorder="1" applyAlignment="1">
      <alignment horizontal="left" vertical="center" wrapText="1"/>
      <protection/>
    </xf>
    <xf numFmtId="0" fontId="114" fillId="0" borderId="10" xfId="75" applyFont="1" applyFill="1" applyBorder="1" applyAlignment="1">
      <alignment horizontal="center" vertical="center"/>
      <protection/>
    </xf>
    <xf numFmtId="0" fontId="114" fillId="0" borderId="10" xfId="75" applyFont="1" applyFill="1" applyBorder="1">
      <alignment/>
      <protection/>
    </xf>
    <xf numFmtId="0" fontId="26" fillId="0" borderId="10" xfId="75" applyFont="1" applyFill="1" applyBorder="1" applyAlignment="1">
      <alignment horizontal="left" vertical="center" wrapText="1"/>
      <protection/>
    </xf>
    <xf numFmtId="178" fontId="26" fillId="0" borderId="10" xfId="75" applyNumberFormat="1" applyFont="1" applyFill="1" applyBorder="1" applyAlignment="1">
      <alignment horizontal="center" vertical="center"/>
      <protection/>
    </xf>
    <xf numFmtId="0" fontId="19" fillId="0" borderId="10" xfId="75" applyFont="1" applyFill="1" applyBorder="1" applyAlignment="1">
      <alignment horizontal="left" vertical="center" wrapText="1"/>
      <protection/>
    </xf>
    <xf numFmtId="0" fontId="19" fillId="0" borderId="10" xfId="75" applyFont="1" applyFill="1" applyBorder="1" applyAlignment="1">
      <alignment horizontal="center" vertical="center"/>
      <protection/>
    </xf>
    <xf numFmtId="178" fontId="19" fillId="0" borderId="10" xfId="75" applyNumberFormat="1" applyFont="1" applyFill="1" applyBorder="1" applyAlignment="1">
      <alignment horizontal="center" vertical="center"/>
      <protection/>
    </xf>
    <xf numFmtId="2" fontId="19" fillId="0" borderId="10" xfId="75" applyNumberFormat="1" applyFont="1" applyFill="1" applyBorder="1" applyAlignment="1">
      <alignment horizontal="center" vertical="center"/>
      <protection/>
    </xf>
    <xf numFmtId="177" fontId="19" fillId="0" borderId="10" xfId="75" applyNumberFormat="1" applyFont="1" applyFill="1" applyBorder="1" applyAlignment="1">
      <alignment horizontal="center" vertical="center"/>
      <protection/>
    </xf>
    <xf numFmtId="0" fontId="43" fillId="0" borderId="10" xfId="75" applyFont="1" applyFill="1" applyBorder="1" applyAlignment="1">
      <alignment horizontal="left" vertical="center" wrapText="1"/>
      <protection/>
    </xf>
    <xf numFmtId="0" fontId="43" fillId="0" borderId="10" xfId="75" applyFont="1" applyFill="1" applyBorder="1" applyAlignment="1">
      <alignment horizontal="center" vertical="center"/>
      <protection/>
    </xf>
    <xf numFmtId="0" fontId="26" fillId="0" borderId="10" xfId="75" applyFont="1" applyFill="1" applyBorder="1" applyAlignment="1">
      <alignment horizontal="left" vertical="center" wrapText="1"/>
      <protection/>
    </xf>
    <xf numFmtId="0" fontId="23" fillId="0" borderId="10" xfId="75" applyFont="1" applyFill="1" applyBorder="1" applyAlignment="1">
      <alignment horizontal="left" vertical="center" wrapText="1"/>
      <protection/>
    </xf>
    <xf numFmtId="0" fontId="19" fillId="0" borderId="10" xfId="75" applyFont="1" applyFill="1" applyBorder="1" applyAlignment="1">
      <alignment horizontal="left" vertical="center" wrapText="1"/>
      <protection/>
    </xf>
    <xf numFmtId="0" fontId="113" fillId="0" borderId="10" xfId="75" applyFont="1" applyFill="1" applyBorder="1" applyAlignment="1">
      <alignment horizontal="center" vertical="center"/>
      <protection/>
    </xf>
    <xf numFmtId="0" fontId="78" fillId="0" borderId="10" xfId="75" applyFont="1" applyFill="1" applyBorder="1" applyAlignment="1">
      <alignment horizontal="center" vertical="center"/>
      <protection/>
    </xf>
    <xf numFmtId="0" fontId="78" fillId="0" borderId="10" xfId="75" applyFont="1" applyFill="1" applyBorder="1">
      <alignment/>
      <protection/>
    </xf>
    <xf numFmtId="2" fontId="23" fillId="0" borderId="10" xfId="75" applyNumberFormat="1" applyFont="1" applyFill="1" applyBorder="1" applyAlignment="1">
      <alignment horizontal="center" vertical="center"/>
      <protection/>
    </xf>
    <xf numFmtId="0" fontId="14" fillId="0" borderId="10" xfId="75" applyFont="1" applyFill="1" applyBorder="1" applyAlignment="1">
      <alignment vertical="center" wrapText="1"/>
      <protection/>
    </xf>
    <xf numFmtId="0" fontId="14" fillId="0" borderId="10" xfId="75" applyFont="1" applyFill="1" applyBorder="1" applyAlignment="1">
      <alignment horizontal="center" vertical="center"/>
      <protection/>
    </xf>
    <xf numFmtId="0" fontId="13" fillId="0" borderId="0" xfId="75" applyFont="1" applyFill="1" applyAlignment="1">
      <alignment vertical="center"/>
      <protection/>
    </xf>
    <xf numFmtId="176" fontId="19" fillId="0" borderId="10" xfId="75" applyNumberFormat="1" applyFont="1" applyFill="1" applyBorder="1" applyAlignment="1">
      <alignment horizontal="center" vertical="center"/>
      <protection/>
    </xf>
    <xf numFmtId="0" fontId="16" fillId="0" borderId="10" xfId="75" applyFont="1" applyFill="1" applyBorder="1" applyAlignment="1">
      <alignment horizontal="center" vertical="center" wrapText="1"/>
      <protection/>
    </xf>
    <xf numFmtId="177" fontId="14" fillId="0" borderId="10" xfId="75" applyNumberFormat="1" applyFont="1" applyFill="1" applyBorder="1" applyAlignment="1">
      <alignment horizontal="center" vertical="center"/>
      <protection/>
    </xf>
    <xf numFmtId="0" fontId="11" fillId="0" borderId="0" xfId="73" applyFont="1" applyFill="1">
      <alignment/>
      <protection/>
    </xf>
    <xf numFmtId="0" fontId="13" fillId="0" borderId="10" xfId="75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13" fillId="0" borderId="0" xfId="73" applyFont="1" applyFill="1" applyBorder="1">
      <alignment/>
      <protection/>
    </xf>
    <xf numFmtId="4" fontId="13" fillId="0" borderId="0" xfId="73" applyNumberFormat="1" applyFont="1" applyFill="1" applyBorder="1">
      <alignment/>
      <protection/>
    </xf>
    <xf numFmtId="0" fontId="27" fillId="0" borderId="10" xfId="75" applyNumberFormat="1" applyFont="1" applyFill="1" applyBorder="1" applyAlignment="1">
      <alignment horizontal="left" vertical="justify" wrapText="1"/>
      <protection/>
    </xf>
    <xf numFmtId="0" fontId="27" fillId="0" borderId="10" xfId="75" applyFont="1" applyFill="1" applyBorder="1" applyAlignment="1">
      <alignment horizontal="center" vertical="center" wrapText="1"/>
      <protection/>
    </xf>
    <xf numFmtId="0" fontId="25" fillId="0" borderId="10" xfId="75" applyFont="1" applyFill="1" applyBorder="1" applyAlignment="1">
      <alignment horizontal="center" vertical="center"/>
      <protection/>
    </xf>
    <xf numFmtId="0" fontId="23" fillId="0" borderId="10" xfId="75" applyFont="1" applyFill="1" applyBorder="1" applyAlignment="1">
      <alignment horizontal="center" vertical="center"/>
      <protection/>
    </xf>
    <xf numFmtId="0" fontId="115" fillId="0" borderId="0" xfId="75" applyFont="1" applyFill="1" applyAlignment="1">
      <alignment horizontal="center" vertical="center"/>
      <protection/>
    </xf>
    <xf numFmtId="9" fontId="19" fillId="0" borderId="10" xfId="75" applyNumberFormat="1" applyFont="1" applyFill="1" applyBorder="1" applyAlignment="1">
      <alignment horizontal="center" vertical="center"/>
      <protection/>
    </xf>
    <xf numFmtId="0" fontId="19" fillId="0" borderId="10" xfId="75" applyFont="1" applyFill="1" applyBorder="1">
      <alignment/>
      <protection/>
    </xf>
    <xf numFmtId="49" fontId="106" fillId="0" borderId="0" xfId="75" applyNumberFormat="1" applyFont="1" applyFill="1" applyBorder="1" applyAlignment="1">
      <alignment horizontal="center" vertical="center"/>
      <protection/>
    </xf>
    <xf numFmtId="0" fontId="25" fillId="0" borderId="0" xfId="75" applyFont="1" applyFill="1" applyBorder="1" applyAlignment="1">
      <alignment horizontal="left" vertical="center"/>
      <protection/>
    </xf>
    <xf numFmtId="9" fontId="26" fillId="0" borderId="0" xfId="75" applyNumberFormat="1" applyFont="1" applyFill="1" applyBorder="1" applyAlignment="1">
      <alignment horizontal="center" vertical="center"/>
      <protection/>
    </xf>
    <xf numFmtId="0" fontId="26" fillId="0" borderId="0" xfId="75" applyFont="1" applyFill="1" applyBorder="1">
      <alignment/>
      <protection/>
    </xf>
    <xf numFmtId="4" fontId="26" fillId="0" borderId="0" xfId="51" applyNumberFormat="1" applyFont="1" applyFill="1" applyBorder="1" applyAlignment="1">
      <alignment/>
    </xf>
    <xf numFmtId="4" fontId="25" fillId="0" borderId="0" xfId="51" applyNumberFormat="1" applyFont="1" applyFill="1" applyBorder="1" applyAlignment="1">
      <alignment horizontal="center" vertical="center"/>
    </xf>
    <xf numFmtId="49" fontId="108" fillId="0" borderId="0" xfId="75" applyNumberFormat="1" applyFont="1" applyFill="1" applyBorder="1" applyAlignment="1">
      <alignment horizontal="center" vertical="center"/>
      <protection/>
    </xf>
    <xf numFmtId="9" fontId="19" fillId="0" borderId="0" xfId="75" applyNumberFormat="1" applyFont="1" applyFill="1" applyBorder="1" applyAlignment="1">
      <alignment horizontal="center" vertical="center"/>
      <protection/>
    </xf>
    <xf numFmtId="0" fontId="19" fillId="0" borderId="0" xfId="75" applyFont="1" applyFill="1" applyBorder="1">
      <alignment/>
      <protection/>
    </xf>
    <xf numFmtId="0" fontId="14" fillId="0" borderId="0" xfId="72" applyFont="1" applyFill="1" applyBorder="1">
      <alignment/>
      <protection/>
    </xf>
    <xf numFmtId="0" fontId="23" fillId="0" borderId="0" xfId="75" applyFont="1" applyFill="1" applyBorder="1" applyAlignment="1">
      <alignment horizontal="left" vertical="center"/>
      <protection/>
    </xf>
    <xf numFmtId="0" fontId="26" fillId="0" borderId="0" xfId="75" applyFont="1" applyFill="1" applyBorder="1" applyAlignment="1">
      <alignment horizontal="center" vertical="center"/>
      <protection/>
    </xf>
    <xf numFmtId="4" fontId="108" fillId="0" borderId="0" xfId="75" applyNumberFormat="1" applyFont="1" applyFill="1" applyAlignment="1">
      <alignment horizontal="center" vertical="center"/>
      <protection/>
    </xf>
    <xf numFmtId="43" fontId="23" fillId="0" borderId="10" xfId="42" applyFont="1" applyFill="1" applyBorder="1" applyAlignment="1">
      <alignment horizontal="center" vertical="center"/>
    </xf>
    <xf numFmtId="43" fontId="51" fillId="0" borderId="10" xfId="42" applyFont="1" applyFill="1" applyBorder="1" applyAlignment="1">
      <alignment/>
    </xf>
    <xf numFmtId="43" fontId="20" fillId="0" borderId="10" xfId="42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horizontal="right" vertical="center" wrapText="1"/>
    </xf>
    <xf numFmtId="43" fontId="25" fillId="0" borderId="10" xfId="42" applyFont="1" applyFill="1" applyBorder="1" applyAlignment="1">
      <alignment horizontal="center" vertical="center"/>
    </xf>
    <xf numFmtId="43" fontId="80" fillId="0" borderId="10" xfId="42" applyFont="1" applyFill="1" applyBorder="1" applyAlignment="1">
      <alignment/>
    </xf>
    <xf numFmtId="43" fontId="32" fillId="0" borderId="10" xfId="42" applyFont="1" applyFill="1" applyBorder="1" applyAlignment="1">
      <alignment horizontal="center" vertical="center"/>
    </xf>
    <xf numFmtId="43" fontId="38" fillId="0" borderId="10" xfId="42" applyFont="1" applyFill="1" applyBorder="1" applyAlignment="1">
      <alignment horizontal="right" vertical="center" wrapText="1"/>
    </xf>
    <xf numFmtId="43" fontId="26" fillId="0" borderId="10" xfId="42" applyFont="1" applyFill="1" applyBorder="1" applyAlignment="1">
      <alignment horizontal="center" vertical="center"/>
    </xf>
    <xf numFmtId="43" fontId="19" fillId="0" borderId="10" xfId="42" applyFont="1" applyFill="1" applyBorder="1" applyAlignment="1">
      <alignment horizontal="center" vertical="center"/>
    </xf>
    <xf numFmtId="43" fontId="88" fillId="0" borderId="10" xfId="42" applyFont="1" applyFill="1" applyBorder="1" applyAlignment="1">
      <alignment horizontal="center" vertical="center"/>
    </xf>
    <xf numFmtId="43" fontId="14" fillId="0" borderId="10" xfId="42" applyFont="1" applyFill="1" applyBorder="1" applyAlignment="1">
      <alignment horizontal="center" vertical="center" wrapText="1"/>
    </xf>
    <xf numFmtId="43" fontId="13" fillId="0" borderId="10" xfId="42" applyFont="1" applyFill="1" applyBorder="1" applyAlignment="1">
      <alignment horizontal="center" vertical="center" wrapText="1"/>
    </xf>
    <xf numFmtId="43" fontId="51" fillId="0" borderId="10" xfId="42" applyFont="1" applyFill="1" applyBorder="1" applyAlignment="1">
      <alignment vertical="center"/>
    </xf>
    <xf numFmtId="43" fontId="106" fillId="0" borderId="10" xfId="42" applyFont="1" applyFill="1" applyBorder="1" applyAlignment="1">
      <alignment horizontal="center" vertical="center"/>
    </xf>
    <xf numFmtId="43" fontId="106" fillId="0" borderId="10" xfId="42" applyFont="1" applyFill="1" applyBorder="1" applyAlignment="1">
      <alignment horizontal="center" vertical="center"/>
    </xf>
    <xf numFmtId="43" fontId="23" fillId="0" borderId="10" xfId="42" applyFont="1" applyFill="1" applyBorder="1" applyAlignment="1">
      <alignment horizontal="center" vertical="center"/>
    </xf>
    <xf numFmtId="43" fontId="19" fillId="0" borderId="10" xfId="42" applyFont="1" applyFill="1" applyBorder="1" applyAlignment="1">
      <alignment/>
    </xf>
    <xf numFmtId="49" fontId="106" fillId="0" borderId="10" xfId="75" applyNumberFormat="1" applyFont="1" applyFill="1" applyBorder="1" applyAlignment="1">
      <alignment horizontal="center" vertical="center"/>
      <protection/>
    </xf>
    <xf numFmtId="4" fontId="116" fillId="0" borderId="10" xfId="51" applyNumberFormat="1" applyFont="1" applyFill="1" applyBorder="1" applyAlignment="1">
      <alignment horizontal="right" vertical="center"/>
    </xf>
    <xf numFmtId="49" fontId="17" fillId="0" borderId="10" xfId="75" applyNumberFormat="1" applyFont="1" applyFill="1" applyBorder="1" applyAlignment="1">
      <alignment horizontal="center" vertical="center"/>
      <protection/>
    </xf>
    <xf numFmtId="43" fontId="17" fillId="0" borderId="10" xfId="42" applyFont="1" applyFill="1" applyBorder="1" applyAlignment="1">
      <alignment horizontal="right" vertical="center" wrapText="1"/>
    </xf>
    <xf numFmtId="49" fontId="12" fillId="0" borderId="10" xfId="75" applyNumberFormat="1" applyFont="1" applyFill="1" applyBorder="1" applyAlignment="1">
      <alignment horizontal="center" vertical="center"/>
      <protection/>
    </xf>
    <xf numFmtId="49" fontId="107" fillId="0" borderId="10" xfId="75" applyNumberFormat="1" applyFont="1" applyFill="1" applyBorder="1" applyAlignment="1">
      <alignment horizontal="center" vertical="center"/>
      <protection/>
    </xf>
    <xf numFmtId="49" fontId="78" fillId="0" borderId="10" xfId="75" applyNumberFormat="1" applyFont="1" applyFill="1" applyBorder="1" applyAlignment="1">
      <alignment horizontal="center" vertical="center"/>
      <protection/>
    </xf>
    <xf numFmtId="43" fontId="110" fillId="0" borderId="10" xfId="42" applyFont="1" applyFill="1" applyBorder="1" applyAlignment="1">
      <alignment horizontal="right" vertical="center"/>
    </xf>
    <xf numFmtId="43" fontId="38" fillId="0" borderId="10" xfId="42" applyFont="1" applyFill="1" applyBorder="1" applyAlignment="1">
      <alignment horizontal="right" vertical="center"/>
    </xf>
    <xf numFmtId="49" fontId="19" fillId="0" borderId="10" xfId="75" applyNumberFormat="1" applyFont="1" applyFill="1" applyBorder="1" applyAlignment="1">
      <alignment horizontal="center" vertical="center"/>
      <protection/>
    </xf>
    <xf numFmtId="49" fontId="106" fillId="0" borderId="10" xfId="75" applyNumberFormat="1" applyFont="1" applyFill="1" applyBorder="1" applyAlignment="1">
      <alignment horizontal="center" vertical="center"/>
      <protection/>
    </xf>
    <xf numFmtId="9" fontId="26" fillId="0" borderId="10" xfId="75" applyNumberFormat="1" applyFont="1" applyFill="1" applyBorder="1" applyAlignment="1">
      <alignment horizontal="center" vertical="center"/>
      <protection/>
    </xf>
    <xf numFmtId="0" fontId="26" fillId="0" borderId="10" xfId="75" applyFont="1" applyFill="1" applyBorder="1">
      <alignment/>
      <protection/>
    </xf>
    <xf numFmtId="43" fontId="26" fillId="0" borderId="10" xfId="42" applyFont="1" applyFill="1" applyBorder="1" applyAlignment="1">
      <alignment/>
    </xf>
    <xf numFmtId="181" fontId="25" fillId="0" borderId="10" xfId="42" applyNumberFormat="1" applyFont="1" applyFill="1" applyBorder="1" applyAlignment="1">
      <alignment horizontal="center" vertical="center"/>
    </xf>
    <xf numFmtId="0" fontId="32" fillId="0" borderId="10" xfId="75" applyFont="1" applyFill="1" applyBorder="1" applyAlignment="1">
      <alignment horizontal="left" vertical="center" wrapText="1"/>
      <protection/>
    </xf>
    <xf numFmtId="0" fontId="113" fillId="0" borderId="10" xfId="75" applyFont="1" applyFill="1" applyBorder="1" applyAlignment="1">
      <alignment horizontal="left" vertical="center"/>
      <protection/>
    </xf>
    <xf numFmtId="0" fontId="23" fillId="0" borderId="10" xfId="75" applyFont="1" applyFill="1" applyBorder="1" applyAlignment="1">
      <alignment horizontal="left" vertical="center"/>
      <protection/>
    </xf>
    <xf numFmtId="0" fontId="25" fillId="0" borderId="10" xfId="75" applyFont="1" applyFill="1" applyBorder="1" applyAlignment="1">
      <alignment horizontal="left" vertical="center"/>
      <protection/>
    </xf>
    <xf numFmtId="9" fontId="19" fillId="0" borderId="10" xfId="75" applyNumberFormat="1" applyFont="1" applyFill="1" applyBorder="1" applyAlignment="1">
      <alignment horizontal="center" vertical="center"/>
      <protection/>
    </xf>
    <xf numFmtId="182" fontId="23" fillId="0" borderId="10" xfId="42" applyNumberFormat="1" applyFont="1" applyFill="1" applyBorder="1" applyAlignment="1">
      <alignment horizontal="center" vertical="center"/>
    </xf>
    <xf numFmtId="0" fontId="20" fillId="0" borderId="10" xfId="75" applyFont="1" applyFill="1" applyBorder="1" applyAlignment="1">
      <alignment horizontal="center" vertical="center"/>
      <protection/>
    </xf>
    <xf numFmtId="0" fontId="105" fillId="0" borderId="10" xfId="75" applyFont="1" applyFill="1" applyBorder="1" applyAlignment="1">
      <alignment horizontal="center" vertical="center"/>
      <protection/>
    </xf>
    <xf numFmtId="0" fontId="105" fillId="0" borderId="10" xfId="75" applyFont="1" applyFill="1" applyBorder="1" applyAlignment="1">
      <alignment horizontal="center" vertical="center" wrapText="1"/>
      <protection/>
    </xf>
    <xf numFmtId="0" fontId="109" fillId="0" borderId="10" xfId="75" applyFont="1" applyFill="1" applyBorder="1" applyAlignment="1">
      <alignment horizontal="center" vertical="center"/>
      <protection/>
    </xf>
    <xf numFmtId="2" fontId="32" fillId="0" borderId="10" xfId="75" applyNumberFormat="1" applyFont="1" applyFill="1" applyBorder="1" applyAlignment="1">
      <alignment horizontal="center" vertical="center"/>
      <protection/>
    </xf>
    <xf numFmtId="4" fontId="32" fillId="0" borderId="10" xfId="75" applyNumberFormat="1" applyFont="1" applyFill="1" applyBorder="1" applyAlignment="1">
      <alignment horizontal="center" vertical="center" wrapText="1"/>
      <protection/>
    </xf>
    <xf numFmtId="0" fontId="117" fillId="0" borderId="10" xfId="75" applyFont="1" applyFill="1" applyBorder="1" applyAlignment="1">
      <alignment horizontal="center" vertical="center"/>
      <protection/>
    </xf>
    <xf numFmtId="0" fontId="117" fillId="0" borderId="0" xfId="75" applyFont="1" applyFill="1">
      <alignment/>
      <protection/>
    </xf>
    <xf numFmtId="0" fontId="117" fillId="0" borderId="10" xfId="75" applyFont="1" applyFill="1" applyBorder="1">
      <alignment/>
      <protection/>
    </xf>
    <xf numFmtId="0" fontId="88" fillId="0" borderId="10" xfId="75" applyFont="1" applyFill="1" applyBorder="1" applyAlignment="1">
      <alignment horizontal="center" vertical="center"/>
      <protection/>
    </xf>
    <xf numFmtId="0" fontId="103" fillId="0" borderId="10" xfId="75" applyFont="1" applyFill="1" applyBorder="1" applyAlignment="1">
      <alignment horizontal="center" vertical="center"/>
      <protection/>
    </xf>
    <xf numFmtId="4" fontId="23" fillId="0" borderId="10" xfId="75" applyNumberFormat="1" applyFont="1" applyFill="1" applyBorder="1" applyAlignment="1">
      <alignment horizontal="center" vertical="center" wrapText="1"/>
      <protection/>
    </xf>
    <xf numFmtId="0" fontId="80" fillId="0" borderId="10" xfId="75" applyFont="1" applyFill="1" applyBorder="1" applyAlignment="1">
      <alignment horizontal="center" vertical="center"/>
      <protection/>
    </xf>
    <xf numFmtId="0" fontId="51" fillId="0" borderId="10" xfId="75" applyFont="1" applyFill="1" applyBorder="1" applyAlignment="1">
      <alignment horizontal="center" vertical="center"/>
      <protection/>
    </xf>
    <xf numFmtId="0" fontId="112" fillId="0" borderId="0" xfId="75" applyFont="1" applyFill="1" applyAlignment="1">
      <alignment horizontal="center" vertical="center"/>
      <protection/>
    </xf>
    <xf numFmtId="0" fontId="112" fillId="0" borderId="10" xfId="75" applyFont="1" applyFill="1" applyBorder="1" applyAlignment="1">
      <alignment horizontal="center" vertical="center"/>
      <protection/>
    </xf>
    <xf numFmtId="0" fontId="13" fillId="0" borderId="10" xfId="72" applyFont="1" applyFill="1" applyBorder="1">
      <alignment/>
      <protection/>
    </xf>
    <xf numFmtId="0" fontId="9" fillId="0" borderId="11" xfId="75" applyFont="1" applyFill="1" applyBorder="1" applyAlignment="1">
      <alignment horizontal="center" vertical="center"/>
      <protection/>
    </xf>
    <xf numFmtId="2" fontId="1" fillId="0" borderId="10" xfId="75" applyNumberFormat="1" applyFont="1" applyFill="1" applyBorder="1">
      <alignment/>
      <protection/>
    </xf>
    <xf numFmtId="2" fontId="110" fillId="0" borderId="10" xfId="75" applyNumberFormat="1" applyFont="1" applyFill="1" applyBorder="1" applyAlignment="1">
      <alignment horizontal="center" vertical="center"/>
      <protection/>
    </xf>
    <xf numFmtId="0" fontId="105" fillId="0" borderId="10" xfId="75" applyFont="1" applyFill="1" applyBorder="1" applyAlignment="1">
      <alignment horizontal="center" vertical="center"/>
      <protection/>
    </xf>
    <xf numFmtId="9" fontId="20" fillId="0" borderId="10" xfId="75" applyNumberFormat="1" applyFont="1" applyFill="1" applyBorder="1" applyAlignment="1">
      <alignment horizontal="center" vertical="center"/>
      <protection/>
    </xf>
    <xf numFmtId="0" fontId="20" fillId="0" borderId="10" xfId="75" applyFont="1" applyFill="1" applyBorder="1">
      <alignment/>
      <protection/>
    </xf>
    <xf numFmtId="9" fontId="19" fillId="0" borderId="0" xfId="75" applyNumberFormat="1" applyFont="1" applyFill="1" applyBorder="1" applyAlignment="1">
      <alignment vertical="center"/>
      <protection/>
    </xf>
    <xf numFmtId="0" fontId="19" fillId="0" borderId="0" xfId="75" applyFont="1" applyFill="1" applyBorder="1" applyAlignment="1">
      <alignment/>
      <protection/>
    </xf>
    <xf numFmtId="4" fontId="19" fillId="0" borderId="0" xfId="51" applyNumberFormat="1" applyFont="1" applyFill="1" applyBorder="1" applyAlignment="1">
      <alignment/>
    </xf>
    <xf numFmtId="4" fontId="23" fillId="0" borderId="0" xfId="51" applyNumberFormat="1" applyFont="1" applyFill="1" applyBorder="1" applyAlignment="1">
      <alignment vertical="center"/>
    </xf>
    <xf numFmtId="177" fontId="20" fillId="0" borderId="10" xfId="75" applyNumberFormat="1" applyFont="1" applyFill="1" applyBorder="1" applyAlignment="1">
      <alignment horizontal="center" vertical="center"/>
      <protection/>
    </xf>
    <xf numFmtId="1" fontId="20" fillId="0" borderId="10" xfId="75" applyNumberFormat="1" applyFont="1" applyFill="1" applyBorder="1" applyAlignment="1">
      <alignment horizontal="center" vertical="center"/>
      <protection/>
    </xf>
    <xf numFmtId="2" fontId="20" fillId="0" borderId="10" xfId="75" applyNumberFormat="1" applyFont="1" applyFill="1" applyBorder="1" applyAlignment="1">
      <alignment horizontal="center" vertical="center"/>
      <protection/>
    </xf>
    <xf numFmtId="0" fontId="20" fillId="0" borderId="10" xfId="75" applyFont="1" applyFill="1" applyBorder="1" applyAlignment="1">
      <alignment horizontal="left" vertical="center" wrapText="1"/>
      <protection/>
    </xf>
    <xf numFmtId="178" fontId="20" fillId="0" borderId="10" xfId="75" applyNumberFormat="1" applyFont="1" applyFill="1" applyBorder="1" applyAlignment="1">
      <alignment horizontal="center" vertical="center"/>
      <protection/>
    </xf>
    <xf numFmtId="0" fontId="53" fillId="0" borderId="10" xfId="75" applyFont="1" applyFill="1" applyBorder="1" applyAlignment="1">
      <alignment horizontal="center" vertical="center"/>
      <protection/>
    </xf>
    <xf numFmtId="0" fontId="53" fillId="0" borderId="10" xfId="75" applyFont="1" applyFill="1" applyBorder="1" applyAlignment="1">
      <alignment horizontal="left" vertical="center" wrapText="1"/>
      <protection/>
    </xf>
    <xf numFmtId="177" fontId="32" fillId="0" borderId="10" xfId="75" applyNumberFormat="1" applyFont="1" applyFill="1" applyBorder="1" applyAlignment="1">
      <alignment horizontal="center" vertical="center"/>
      <protection/>
    </xf>
    <xf numFmtId="2" fontId="1" fillId="0" borderId="10" xfId="75" applyNumberFormat="1" applyFont="1" applyFill="1" applyBorder="1" applyAlignment="1">
      <alignment horizontal="center" vertical="center"/>
      <protection/>
    </xf>
    <xf numFmtId="43" fontId="112" fillId="0" borderId="10" xfId="42" applyFont="1" applyFill="1" applyBorder="1" applyAlignment="1">
      <alignment horizontal="center" vertical="center"/>
    </xf>
    <xf numFmtId="43" fontId="32" fillId="0" borderId="10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center" vertical="center" wrapText="1"/>
    </xf>
    <xf numFmtId="43" fontId="112" fillId="0" borderId="10" xfId="42" applyFont="1" applyFill="1" applyBorder="1" applyAlignment="1">
      <alignment horizontal="center" vertical="center"/>
    </xf>
    <xf numFmtId="43" fontId="23" fillId="0" borderId="10" xfId="42" applyFont="1" applyFill="1" applyBorder="1" applyAlignment="1">
      <alignment horizontal="center" vertical="center" wrapText="1"/>
    </xf>
    <xf numFmtId="43" fontId="20" fillId="0" borderId="10" xfId="42" applyFont="1" applyFill="1" applyBorder="1" applyAlignment="1">
      <alignment horizontal="right" vertical="center" wrapText="1"/>
    </xf>
    <xf numFmtId="43" fontId="1" fillId="0" borderId="10" xfId="42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/>
    </xf>
    <xf numFmtId="43" fontId="110" fillId="0" borderId="10" xfId="42" applyFont="1" applyFill="1" applyBorder="1" applyAlignment="1">
      <alignment horizontal="center" vertical="center"/>
    </xf>
    <xf numFmtId="43" fontId="118" fillId="0" borderId="10" xfId="42" applyFont="1" applyFill="1" applyBorder="1" applyAlignment="1">
      <alignment horizontal="right" vertical="center"/>
    </xf>
    <xf numFmtId="43" fontId="50" fillId="0" borderId="10" xfId="42" applyFont="1" applyFill="1" applyBorder="1" applyAlignment="1">
      <alignment horizontal="right" vertical="center"/>
    </xf>
    <xf numFmtId="43" fontId="20" fillId="0" borderId="10" xfId="42" applyFont="1" applyFill="1" applyBorder="1" applyAlignment="1">
      <alignment/>
    </xf>
    <xf numFmtId="0" fontId="112" fillId="0" borderId="10" xfId="75" applyFont="1" applyFill="1" applyBorder="1" applyAlignment="1">
      <alignment horizontal="left" vertical="center"/>
      <protection/>
    </xf>
    <xf numFmtId="0" fontId="32" fillId="0" borderId="10" xfId="75" applyFont="1" applyFill="1" applyBorder="1" applyAlignment="1">
      <alignment horizontal="left" vertical="center"/>
      <protection/>
    </xf>
    <xf numFmtId="0" fontId="108" fillId="0" borderId="10" xfId="75" applyFont="1" applyFill="1" applyBorder="1" applyAlignment="1">
      <alignment horizontal="center" vertical="center"/>
      <protection/>
    </xf>
    <xf numFmtId="0" fontId="108" fillId="0" borderId="10" xfId="75" applyFont="1" applyFill="1" applyBorder="1" applyAlignment="1">
      <alignment horizontal="center" vertical="center" wrapText="1"/>
      <protection/>
    </xf>
    <xf numFmtId="0" fontId="108" fillId="0" borderId="11" xfId="75" applyFont="1" applyFill="1" applyBorder="1" applyAlignment="1">
      <alignment horizontal="center" vertical="center"/>
      <protection/>
    </xf>
    <xf numFmtId="0" fontId="103" fillId="0" borderId="10" xfId="75" applyFont="1" applyFill="1" applyBorder="1">
      <alignment/>
      <protection/>
    </xf>
    <xf numFmtId="0" fontId="115" fillId="0" borderId="10" xfId="75" applyFont="1" applyFill="1" applyBorder="1" applyAlignment="1">
      <alignment horizontal="center" vertical="center"/>
      <protection/>
    </xf>
    <xf numFmtId="0" fontId="115" fillId="0" borderId="10" xfId="75" applyFont="1" applyFill="1" applyBorder="1" applyAlignment="1">
      <alignment horizontal="center" vertical="center"/>
      <protection/>
    </xf>
    <xf numFmtId="0" fontId="88" fillId="0" borderId="0" xfId="75" applyFill="1" applyAlignment="1">
      <alignment vertical="center" wrapText="1"/>
      <protection/>
    </xf>
    <xf numFmtId="0" fontId="88" fillId="0" borderId="0" xfId="75" applyFill="1" applyAlignment="1">
      <alignment vertical="center"/>
      <protection/>
    </xf>
    <xf numFmtId="0" fontId="84" fillId="0" borderId="10" xfId="75" applyFont="1" applyFill="1" applyBorder="1" applyAlignment="1">
      <alignment horizontal="center" vertical="center"/>
      <protection/>
    </xf>
    <xf numFmtId="0" fontId="9" fillId="0" borderId="10" xfId="75" applyFont="1" applyFill="1" applyBorder="1" applyAlignment="1">
      <alignment horizontal="center" vertical="center"/>
      <protection/>
    </xf>
    <xf numFmtId="0" fontId="108" fillId="0" borderId="10" xfId="75" applyFont="1" applyFill="1" applyBorder="1" applyAlignment="1">
      <alignment horizontal="center" vertical="center"/>
      <protection/>
    </xf>
    <xf numFmtId="1" fontId="19" fillId="0" borderId="10" xfId="75" applyNumberFormat="1" applyFont="1" applyFill="1" applyBorder="1" applyAlignment="1">
      <alignment horizontal="center" vertical="center"/>
      <protection/>
    </xf>
    <xf numFmtId="43" fontId="113" fillId="0" borderId="10" xfId="42" applyFont="1" applyFill="1" applyBorder="1" applyAlignment="1">
      <alignment horizontal="center" vertical="center"/>
    </xf>
    <xf numFmtId="0" fontId="106" fillId="0" borderId="10" xfId="75" applyFont="1" applyFill="1" applyBorder="1" applyAlignment="1">
      <alignment horizontal="center" vertical="center" wrapText="1"/>
      <protection/>
    </xf>
    <xf numFmtId="0" fontId="86" fillId="0" borderId="10" xfId="75" applyFont="1" applyFill="1" applyBorder="1" applyAlignment="1">
      <alignment horizontal="center" vertical="center"/>
      <protection/>
    </xf>
    <xf numFmtId="0" fontId="85" fillId="0" borderId="10" xfId="75" applyFont="1" applyFill="1" applyBorder="1" applyAlignment="1">
      <alignment horizontal="center" vertical="center"/>
      <protection/>
    </xf>
    <xf numFmtId="0" fontId="113" fillId="0" borderId="0" xfId="75" applyFont="1" applyFill="1" applyAlignment="1">
      <alignment horizontal="center" vertical="center"/>
      <protection/>
    </xf>
    <xf numFmtId="0" fontId="114" fillId="0" borderId="12" xfId="75" applyFont="1" applyFill="1" applyBorder="1" applyAlignment="1">
      <alignment horizontal="center" vertical="center"/>
      <protection/>
    </xf>
    <xf numFmtId="0" fontId="106" fillId="0" borderId="10" xfId="75" applyFont="1" applyFill="1" applyBorder="1" applyAlignment="1">
      <alignment horizontal="center" vertical="center"/>
      <protection/>
    </xf>
    <xf numFmtId="172" fontId="88" fillId="0" borderId="0" xfId="75" applyNumberFormat="1" applyFill="1" applyAlignment="1">
      <alignment vertical="center"/>
      <protection/>
    </xf>
    <xf numFmtId="1" fontId="26" fillId="0" borderId="10" xfId="75" applyNumberFormat="1" applyFont="1" applyFill="1" applyBorder="1" applyAlignment="1">
      <alignment horizontal="center" vertical="center"/>
      <protection/>
    </xf>
    <xf numFmtId="4" fontId="26" fillId="0" borderId="10" xfId="75" applyNumberFormat="1" applyFont="1" applyFill="1" applyBorder="1" applyAlignment="1">
      <alignment horizontal="center" vertical="center"/>
      <protection/>
    </xf>
    <xf numFmtId="177" fontId="25" fillId="0" borderId="10" xfId="75" applyNumberFormat="1" applyFont="1" applyFill="1" applyBorder="1" applyAlignment="1">
      <alignment horizontal="center" vertical="center"/>
      <protection/>
    </xf>
    <xf numFmtId="43" fontId="25" fillId="0" borderId="10" xfId="42" applyFont="1" applyFill="1" applyBorder="1" applyAlignment="1">
      <alignment horizontal="center" vertical="center" wrapText="1"/>
    </xf>
    <xf numFmtId="43" fontId="12" fillId="0" borderId="13" xfId="42" applyFont="1" applyFill="1" applyBorder="1" applyAlignment="1">
      <alignment horizontal="center" vertical="center"/>
    </xf>
    <xf numFmtId="43" fontId="113" fillId="0" borderId="10" xfId="42" applyFont="1" applyFill="1" applyBorder="1" applyAlignment="1">
      <alignment horizontal="center" vertical="center"/>
    </xf>
    <xf numFmtId="43" fontId="26" fillId="0" borderId="13" xfId="42" applyFont="1" applyFill="1" applyBorder="1" applyAlignment="1">
      <alignment horizontal="center" vertical="center" wrapText="1"/>
    </xf>
    <xf numFmtId="43" fontId="26" fillId="0" borderId="10" xfId="42" applyFont="1" applyFill="1" applyBorder="1" applyAlignment="1">
      <alignment horizontal="center" vertical="center" wrapText="1"/>
    </xf>
    <xf numFmtId="43" fontId="115" fillId="0" borderId="10" xfId="42" applyFont="1" applyFill="1" applyBorder="1" applyAlignment="1">
      <alignment horizontal="center" vertical="center"/>
    </xf>
    <xf numFmtId="43" fontId="26" fillId="0" borderId="10" xfId="42" applyFont="1" applyFill="1" applyBorder="1" applyAlignment="1">
      <alignment vertical="center"/>
    </xf>
    <xf numFmtId="0" fontId="114" fillId="0" borderId="10" xfId="75" applyFont="1" applyFill="1" applyBorder="1" applyAlignment="1">
      <alignment horizontal="center" vertical="center"/>
      <protection/>
    </xf>
    <xf numFmtId="0" fontId="114" fillId="0" borderId="0" xfId="75" applyFont="1" applyFill="1" applyAlignment="1">
      <alignment vertical="center"/>
      <protection/>
    </xf>
    <xf numFmtId="0" fontId="103" fillId="0" borderId="0" xfId="75" applyFont="1" applyFill="1" applyAlignment="1">
      <alignment vertical="center"/>
      <protection/>
    </xf>
    <xf numFmtId="0" fontId="114" fillId="0" borderId="10" xfId="75" applyFont="1" applyFill="1" applyBorder="1" applyAlignment="1">
      <alignment vertical="center"/>
      <protection/>
    </xf>
    <xf numFmtId="0" fontId="26" fillId="0" borderId="10" xfId="75" applyFont="1" applyFill="1" applyBorder="1" applyAlignment="1">
      <alignment vertical="center"/>
      <protection/>
    </xf>
    <xf numFmtId="0" fontId="14" fillId="0" borderId="14" xfId="72" applyFont="1" applyFill="1" applyBorder="1" applyAlignment="1">
      <alignment/>
      <protection/>
    </xf>
    <xf numFmtId="43" fontId="84" fillId="0" borderId="10" xfId="42" applyFont="1" applyFill="1" applyBorder="1" applyAlignment="1">
      <alignment/>
    </xf>
    <xf numFmtId="43" fontId="84" fillId="0" borderId="10" xfId="42" applyFont="1" applyFill="1" applyBorder="1" applyAlignment="1">
      <alignment vertical="center"/>
    </xf>
    <xf numFmtId="43" fontId="12" fillId="0" borderId="10" xfId="42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49" fontId="12" fillId="0" borderId="10" xfId="72" applyNumberFormat="1" applyFont="1" applyFill="1" applyBorder="1" applyAlignment="1">
      <alignment horizontal="center" vertical="top"/>
      <protection/>
    </xf>
    <xf numFmtId="175" fontId="15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3" fontId="17" fillId="0" borderId="10" xfId="42" applyFont="1" applyFill="1" applyBorder="1" applyAlignment="1">
      <alignment horizontal="center" vertical="center" wrapText="1"/>
    </xf>
    <xf numFmtId="43" fontId="12" fillId="0" borderId="10" xfId="42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3" fillId="0" borderId="10" xfId="93" applyNumberFormat="1" applyFont="1" applyFill="1" applyBorder="1" applyAlignment="1">
      <alignment horizontal="center" vertical="center" wrapText="1"/>
      <protection/>
    </xf>
    <xf numFmtId="43" fontId="17" fillId="0" borderId="10" xfId="42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72" applyNumberFormat="1" applyFont="1" applyFill="1" applyBorder="1" applyAlignment="1">
      <alignment horizontal="center" vertical="top"/>
      <protection/>
    </xf>
    <xf numFmtId="49" fontId="12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93" applyNumberFormat="1" applyFont="1" applyFill="1" applyBorder="1" applyAlignment="1">
      <alignment horizontal="center" vertical="center" wrapText="1"/>
      <protection/>
    </xf>
    <xf numFmtId="49" fontId="14" fillId="0" borderId="10" xfId="0" applyNumberFormat="1" applyFont="1" applyFill="1" applyBorder="1" applyAlignment="1">
      <alignment horizontal="center" vertical="center"/>
    </xf>
    <xf numFmtId="43" fontId="12" fillId="0" borderId="10" xfId="42" applyFont="1" applyFill="1" applyBorder="1" applyAlignment="1">
      <alignment horizontal="center" vertical="center" wrapText="1"/>
    </xf>
    <xf numFmtId="49" fontId="88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top"/>
    </xf>
    <xf numFmtId="49" fontId="17" fillId="0" borderId="10" xfId="72" applyNumberFormat="1" applyFont="1" applyFill="1" applyBorder="1" applyAlignment="1">
      <alignment horizontal="center" vertical="top"/>
      <protection/>
    </xf>
    <xf numFmtId="181" fontId="17" fillId="0" borderId="10" xfId="42" applyNumberFormat="1" applyFont="1" applyFill="1" applyBorder="1" applyAlignment="1">
      <alignment horizontal="center" vertical="center"/>
    </xf>
    <xf numFmtId="181" fontId="12" fillId="0" borderId="10" xfId="42" applyNumberFormat="1" applyFont="1" applyFill="1" applyBorder="1" applyAlignment="1">
      <alignment horizontal="center" vertical="center"/>
    </xf>
    <xf numFmtId="181" fontId="17" fillId="0" borderId="10" xfId="42" applyNumberFormat="1" applyFont="1" applyFill="1" applyBorder="1" applyAlignment="1">
      <alignment horizontal="center" vertical="center" wrapText="1"/>
    </xf>
    <xf numFmtId="181" fontId="13" fillId="0" borderId="10" xfId="42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176" fontId="20" fillId="0" borderId="10" xfId="0" applyNumberFormat="1" applyFont="1" applyFill="1" applyBorder="1" applyAlignment="1">
      <alignment horizontal="center" vertical="center"/>
    </xf>
    <xf numFmtId="177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9" fontId="12" fillId="0" borderId="10" xfId="83" applyFont="1" applyFill="1" applyBorder="1" applyAlignment="1">
      <alignment horizontal="center" vertical="center" wrapText="1"/>
    </xf>
    <xf numFmtId="4" fontId="112" fillId="0" borderId="10" xfId="75" applyNumberFormat="1" applyFont="1" applyFill="1" applyBorder="1" applyAlignment="1">
      <alignment horizontal="center" vertical="center"/>
      <protection/>
    </xf>
    <xf numFmtId="4" fontId="112" fillId="0" borderId="10" xfId="75" applyNumberFormat="1" applyFont="1" applyFill="1" applyBorder="1" applyAlignment="1">
      <alignment horizontal="center" vertical="center" wrapText="1"/>
      <protection/>
    </xf>
    <xf numFmtId="0" fontId="112" fillId="0" borderId="10" xfId="75" applyFont="1" applyFill="1" applyBorder="1" applyAlignment="1">
      <alignment horizontal="center" vertical="center"/>
      <protection/>
    </xf>
    <xf numFmtId="0" fontId="112" fillId="0" borderId="10" xfId="75" applyFont="1" applyFill="1" applyBorder="1" applyAlignment="1">
      <alignment horizontal="center" vertical="center" wrapText="1"/>
      <protection/>
    </xf>
    <xf numFmtId="0" fontId="106" fillId="0" borderId="10" xfId="75" applyFont="1" applyFill="1" applyBorder="1" applyAlignment="1">
      <alignment horizontal="center" vertical="center"/>
      <protection/>
    </xf>
    <xf numFmtId="0" fontId="13" fillId="0" borderId="0" xfId="72" applyFont="1" applyFill="1" applyBorder="1" applyAlignment="1">
      <alignment/>
      <protection/>
    </xf>
    <xf numFmtId="0" fontId="113" fillId="0" borderId="0" xfId="75" applyFont="1" applyFill="1" applyBorder="1" applyAlignment="1">
      <alignment vertical="center" wrapText="1"/>
      <protection/>
    </xf>
    <xf numFmtId="0" fontId="35" fillId="0" borderId="10" xfId="0" applyNumberFormat="1" applyFont="1" applyFill="1" applyBorder="1" applyAlignment="1">
      <alignment horizontal="left" vertical="center" wrapText="1"/>
    </xf>
    <xf numFmtId="43" fontId="12" fillId="0" borderId="10" xfId="42" applyFont="1" applyFill="1" applyBorder="1" applyAlignment="1">
      <alignment vertical="center"/>
    </xf>
    <xf numFmtId="0" fontId="105" fillId="0" borderId="10" xfId="75" applyFont="1" applyFill="1" applyBorder="1" applyAlignment="1">
      <alignment horizontal="center" vertical="center"/>
      <protection/>
    </xf>
    <xf numFmtId="0" fontId="108" fillId="0" borderId="11" xfId="75" applyFont="1" applyFill="1" applyBorder="1" applyAlignment="1">
      <alignment horizontal="center" vertical="center"/>
      <protection/>
    </xf>
    <xf numFmtId="0" fontId="108" fillId="0" borderId="10" xfId="75" applyFont="1" applyFill="1" applyBorder="1" applyAlignment="1">
      <alignment horizontal="center" vertical="center"/>
      <protection/>
    </xf>
    <xf numFmtId="0" fontId="106" fillId="0" borderId="10" xfId="75" applyFont="1" applyFill="1" applyBorder="1" applyAlignment="1">
      <alignment horizontal="center" vertical="center"/>
      <protection/>
    </xf>
    <xf numFmtId="0" fontId="10" fillId="0" borderId="0" xfId="72" applyFont="1" applyFill="1" applyBorder="1" applyAlignment="1">
      <alignment horizontal="center" vertical="top" wrapText="1"/>
      <protection/>
    </xf>
    <xf numFmtId="0" fontId="34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49" fontId="10" fillId="0" borderId="0" xfId="72" applyNumberFormat="1" applyFont="1" applyFill="1" applyBorder="1" applyAlignment="1">
      <alignment horizontal="center" vertical="top" wrapText="1"/>
      <protection/>
    </xf>
    <xf numFmtId="49" fontId="12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88" fillId="0" borderId="0" xfId="75" applyFill="1" applyAlignment="1">
      <alignment horizontal="center" wrapText="1"/>
      <protection/>
    </xf>
    <xf numFmtId="49" fontId="17" fillId="0" borderId="0" xfId="72" applyNumberFormat="1" applyFont="1" applyFill="1" applyBorder="1" applyAlignment="1">
      <alignment horizontal="center" vertical="top" wrapText="1"/>
      <protection/>
    </xf>
    <xf numFmtId="0" fontId="119" fillId="0" borderId="0" xfId="75" applyFont="1" applyFill="1" applyBorder="1" applyAlignment="1">
      <alignment horizontal="center" vertical="center"/>
      <protection/>
    </xf>
    <xf numFmtId="49" fontId="115" fillId="0" borderId="0" xfId="75" applyNumberFormat="1" applyFont="1" applyFill="1" applyBorder="1" applyAlignment="1">
      <alignment horizontal="center" vertical="center" wrapText="1"/>
      <protection/>
    </xf>
    <xf numFmtId="49" fontId="108" fillId="0" borderId="0" xfId="75" applyNumberFormat="1" applyFont="1" applyFill="1" applyBorder="1" applyAlignment="1">
      <alignment horizontal="center" vertical="center" wrapText="1"/>
      <protection/>
    </xf>
    <xf numFmtId="0" fontId="105" fillId="0" borderId="10" xfId="75" applyFont="1" applyFill="1" applyBorder="1" applyAlignment="1">
      <alignment horizontal="center" vertical="center"/>
      <protection/>
    </xf>
    <xf numFmtId="0" fontId="112" fillId="0" borderId="10" xfId="75" applyFont="1" applyFill="1" applyBorder="1" applyAlignment="1">
      <alignment horizontal="center" vertical="center"/>
      <protection/>
    </xf>
    <xf numFmtId="0" fontId="112" fillId="0" borderId="10" xfId="75" applyFont="1" applyFill="1" applyBorder="1" applyAlignment="1">
      <alignment horizontal="center" vertical="center" wrapText="1"/>
      <protection/>
    </xf>
    <xf numFmtId="4" fontId="112" fillId="0" borderId="10" xfId="75" applyNumberFormat="1" applyFont="1" applyFill="1" applyBorder="1" applyAlignment="1">
      <alignment horizontal="center" vertical="center"/>
      <protection/>
    </xf>
    <xf numFmtId="4" fontId="112" fillId="0" borderId="10" xfId="75" applyNumberFormat="1" applyFont="1" applyFill="1" applyBorder="1" applyAlignment="1">
      <alignment horizontal="center" vertical="center" wrapText="1"/>
      <protection/>
    </xf>
    <xf numFmtId="0" fontId="113" fillId="0" borderId="0" xfId="75" applyFont="1" applyFill="1" applyBorder="1" applyAlignment="1">
      <alignment horizontal="center" vertical="center" wrapText="1"/>
      <protection/>
    </xf>
    <xf numFmtId="4" fontId="19" fillId="0" borderId="0" xfId="51" applyNumberFormat="1" applyFont="1" applyFill="1" applyBorder="1" applyAlignment="1">
      <alignment horizontal="center"/>
    </xf>
    <xf numFmtId="0" fontId="19" fillId="0" borderId="0" xfId="75" applyFont="1" applyFill="1" applyBorder="1" applyAlignment="1">
      <alignment horizontal="center" vertical="center"/>
      <protection/>
    </xf>
    <xf numFmtId="2" fontId="108" fillId="0" borderId="10" xfId="75" applyNumberFormat="1" applyFont="1" applyFill="1" applyBorder="1" applyAlignment="1">
      <alignment horizontal="center" vertical="center"/>
      <protection/>
    </xf>
    <xf numFmtId="0" fontId="23" fillId="0" borderId="0" xfId="75" applyFont="1" applyFill="1" applyBorder="1" applyAlignment="1">
      <alignment horizontal="center" vertical="center"/>
      <protection/>
    </xf>
    <xf numFmtId="0" fontId="108" fillId="0" borderId="15" xfId="75" applyFont="1" applyFill="1" applyBorder="1" applyAlignment="1">
      <alignment horizontal="center" vertical="center" wrapText="1"/>
      <protection/>
    </xf>
    <xf numFmtId="0" fontId="108" fillId="0" borderId="16" xfId="75" applyFont="1" applyFill="1" applyBorder="1" applyAlignment="1">
      <alignment horizontal="center" vertical="center" wrapText="1"/>
      <protection/>
    </xf>
    <xf numFmtId="0" fontId="115" fillId="0" borderId="17" xfId="75" applyFont="1" applyFill="1" applyBorder="1" applyAlignment="1">
      <alignment horizontal="center" vertical="center" wrapText="1"/>
      <protection/>
    </xf>
    <xf numFmtId="0" fontId="115" fillId="0" borderId="18" xfId="75" applyFont="1" applyFill="1" applyBorder="1" applyAlignment="1">
      <alignment horizontal="center" vertical="center" wrapText="1"/>
      <protection/>
    </xf>
    <xf numFmtId="0" fontId="115" fillId="0" borderId="19" xfId="75" applyFont="1" applyFill="1" applyBorder="1" applyAlignment="1">
      <alignment horizontal="center" vertical="center" wrapText="1"/>
      <protection/>
    </xf>
    <xf numFmtId="0" fontId="108" fillId="0" borderId="11" xfId="75" applyFont="1" applyFill="1" applyBorder="1" applyAlignment="1">
      <alignment horizontal="center" vertical="center"/>
      <protection/>
    </xf>
    <xf numFmtId="0" fontId="108" fillId="0" borderId="10" xfId="75" applyFont="1" applyFill="1" applyBorder="1" applyAlignment="1">
      <alignment horizontal="center" vertical="center"/>
      <protection/>
    </xf>
    <xf numFmtId="0" fontId="108" fillId="0" borderId="10" xfId="75" applyFont="1" applyFill="1" applyBorder="1" applyAlignment="1">
      <alignment horizontal="center" vertical="center" wrapText="1"/>
      <protection/>
    </xf>
    <xf numFmtId="0" fontId="23" fillId="0" borderId="0" xfId="75" applyFont="1" applyFill="1" applyBorder="1" applyAlignment="1">
      <alignment vertical="center"/>
      <protection/>
    </xf>
    <xf numFmtId="0" fontId="106" fillId="0" borderId="20" xfId="75" applyFont="1" applyFill="1" applyBorder="1" applyAlignment="1">
      <alignment horizontal="center" vertical="center" wrapText="1"/>
      <protection/>
    </xf>
    <xf numFmtId="0" fontId="106" fillId="0" borderId="21" xfId="75" applyFont="1" applyFill="1" applyBorder="1" applyAlignment="1">
      <alignment horizontal="center" vertical="center" wrapText="1"/>
      <protection/>
    </xf>
    <xf numFmtId="0" fontId="106" fillId="0" borderId="10" xfId="75" applyFont="1" applyFill="1" applyBorder="1" applyAlignment="1">
      <alignment horizontal="center" vertical="center"/>
      <protection/>
    </xf>
    <xf numFmtId="0" fontId="106" fillId="0" borderId="10" xfId="75" applyFont="1" applyFill="1" applyBorder="1" applyAlignment="1">
      <alignment horizontal="center" vertical="center" wrapText="1"/>
      <protection/>
    </xf>
    <xf numFmtId="0" fontId="106" fillId="0" borderId="22" xfId="75" applyFont="1" applyFill="1" applyBorder="1" applyAlignment="1">
      <alignment horizontal="center" vertical="center" wrapText="1"/>
      <protection/>
    </xf>
    <xf numFmtId="0" fontId="106" fillId="0" borderId="12" xfId="75" applyFont="1" applyFill="1" applyBorder="1" applyAlignment="1">
      <alignment horizontal="center" vertical="center" wrapText="1"/>
      <protection/>
    </xf>
    <xf numFmtId="2" fontId="106" fillId="0" borderId="10" xfId="75" applyNumberFormat="1" applyFont="1" applyFill="1" applyBorder="1" applyAlignment="1">
      <alignment horizontal="center" vertical="center"/>
      <protection/>
    </xf>
    <xf numFmtId="2" fontId="105" fillId="0" borderId="10" xfId="75" applyNumberFormat="1" applyFont="1" applyFill="1" applyBorder="1" applyAlignment="1">
      <alignment horizontal="center" vertical="center"/>
      <protection/>
    </xf>
    <xf numFmtId="0" fontId="105" fillId="0" borderId="10" xfId="75" applyFont="1" applyFill="1" applyBorder="1" applyAlignment="1">
      <alignment horizontal="center" vertical="center" wrapText="1"/>
      <protection/>
    </xf>
    <xf numFmtId="0" fontId="105" fillId="0" borderId="20" xfId="75" applyFont="1" applyFill="1" applyBorder="1" applyAlignment="1">
      <alignment horizontal="center" vertical="center" wrapText="1"/>
      <protection/>
    </xf>
    <xf numFmtId="0" fontId="105" fillId="0" borderId="21" xfId="75" applyFont="1" applyFill="1" applyBorder="1" applyAlignment="1">
      <alignment horizontal="center" vertical="center" wrapText="1"/>
      <protection/>
    </xf>
    <xf numFmtId="0" fontId="106" fillId="0" borderId="10" xfId="75" applyNumberFormat="1" applyFont="1" applyFill="1" applyBorder="1" applyAlignment="1">
      <alignment horizontal="center" vertical="center"/>
      <protection/>
    </xf>
    <xf numFmtId="0" fontId="116" fillId="0" borderId="10" xfId="75" applyNumberFormat="1" applyFont="1" applyFill="1" applyBorder="1" applyAlignment="1">
      <alignment horizontal="center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omma 5" xfId="51"/>
    <cellStyle name="Comma 6" xfId="52"/>
    <cellStyle name="Currency" xfId="53"/>
    <cellStyle name="Currency [0]" xfId="54"/>
    <cellStyle name="Currency 2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Hyperlink 2" xfId="62"/>
    <cellStyle name="Input" xfId="63"/>
    <cellStyle name="Linked Cell" xfId="64"/>
    <cellStyle name="Neutral" xfId="65"/>
    <cellStyle name="Normal 10" xfId="66"/>
    <cellStyle name="Normal 11 2 2" xfId="67"/>
    <cellStyle name="Normal 14" xfId="68"/>
    <cellStyle name="Normal 14 3" xfId="69"/>
    <cellStyle name="Normal 14_anakia II etapi.xls sm. defeqturi" xfId="70"/>
    <cellStyle name="Normal 16_axalqalaqis skola " xfId="71"/>
    <cellStyle name="Normal 2" xfId="72"/>
    <cellStyle name="Normal 2 2" xfId="73"/>
    <cellStyle name="Normal 2_---SUL--- GORI-HOSPITALI-BOLO" xfId="74"/>
    <cellStyle name="Normal 3" xfId="75"/>
    <cellStyle name="Normal 4" xfId="76"/>
    <cellStyle name="Normal 4 2" xfId="77"/>
    <cellStyle name="Normal 5" xfId="78"/>
    <cellStyle name="Normal 6" xfId="79"/>
    <cellStyle name="Normal 8" xfId="80"/>
    <cellStyle name="Note" xfId="81"/>
    <cellStyle name="Output" xfId="82"/>
    <cellStyle name="Percent" xfId="83"/>
    <cellStyle name="Percent 2" xfId="84"/>
    <cellStyle name="Style 1" xfId="85"/>
    <cellStyle name="Title" xfId="86"/>
    <cellStyle name="Total" xfId="87"/>
    <cellStyle name="Warning Text" xfId="88"/>
    <cellStyle name="Обычный 2 2" xfId="89"/>
    <cellStyle name="Обычный 5" xfId="90"/>
    <cellStyle name="Обычный 6" xfId="91"/>
    <cellStyle name="Обычный_sam" xfId="92"/>
    <cellStyle name="Обычный_დემონტაჟი" xfId="93"/>
  </cellStyles>
  <dxfs count="2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43"/>
  <sheetViews>
    <sheetView tabSelected="1" view="pageBreakPreview" zoomScaleSheetLayoutView="100" zoomScalePageLayoutView="0" workbookViewId="0" topLeftCell="A240">
      <selection activeCell="L32" sqref="L32"/>
    </sheetView>
  </sheetViews>
  <sheetFormatPr defaultColWidth="9.140625" defaultRowHeight="15"/>
  <cols>
    <col min="1" max="1" width="5.00390625" style="105" bestFit="1" customWidth="1"/>
    <col min="2" max="2" width="44.8515625" style="107" customWidth="1"/>
    <col min="3" max="3" width="9.28125" style="70" bestFit="1" customWidth="1"/>
    <col min="4" max="4" width="10.7109375" style="108" customWidth="1"/>
    <col min="5" max="5" width="12.57421875" style="108" bestFit="1" customWidth="1"/>
    <col min="6" max="8" width="11.57421875" style="108" bestFit="1" customWidth="1"/>
    <col min="9" max="9" width="8.7109375" style="108" bestFit="1" customWidth="1"/>
    <col min="10" max="11" width="11.57421875" style="108" bestFit="1" customWidth="1"/>
    <col min="12" max="12" width="12.421875" style="109" bestFit="1" customWidth="1"/>
    <col min="13" max="16384" width="9.140625" style="69" customWidth="1"/>
  </cols>
  <sheetData>
    <row r="1" spans="1:12" ht="21">
      <c r="A1" s="352"/>
      <c r="B1" s="353"/>
      <c r="C1" s="352"/>
      <c r="D1" s="352"/>
      <c r="E1" s="352"/>
      <c r="F1" s="352"/>
      <c r="G1" s="352"/>
      <c r="H1" s="352"/>
      <c r="I1" s="352"/>
      <c r="J1" s="352"/>
      <c r="K1" s="352"/>
      <c r="L1" s="354"/>
    </row>
    <row r="2" spans="1:12" ht="43.5" customHeight="1">
      <c r="A2" s="355" t="s">
        <v>501</v>
      </c>
      <c r="B2" s="353"/>
      <c r="C2" s="352"/>
      <c r="D2" s="352"/>
      <c r="E2" s="352"/>
      <c r="F2" s="352"/>
      <c r="G2" s="352"/>
      <c r="H2" s="352"/>
      <c r="I2" s="352"/>
      <c r="J2" s="352"/>
      <c r="K2" s="352"/>
      <c r="L2" s="354"/>
    </row>
    <row r="3" spans="2:12" ht="16.5">
      <c r="B3" s="55"/>
      <c r="D3" s="70"/>
      <c r="E3" s="70"/>
      <c r="F3" s="70"/>
      <c r="G3" s="70"/>
      <c r="H3" s="71"/>
      <c r="I3" s="70"/>
      <c r="J3" s="70"/>
      <c r="K3" s="70"/>
      <c r="L3" s="60"/>
    </row>
    <row r="4" spans="1:12" s="73" customFormat="1" ht="15.75">
      <c r="A4" s="102"/>
      <c r="B4" s="55"/>
      <c r="C4" s="29"/>
      <c r="D4" s="29"/>
      <c r="E4" s="29"/>
      <c r="F4" s="29"/>
      <c r="G4" s="29"/>
      <c r="H4" s="72"/>
      <c r="I4" s="29"/>
      <c r="J4" s="29"/>
      <c r="K4" s="29"/>
      <c r="L4" s="60"/>
    </row>
    <row r="5" spans="1:13" s="73" customFormat="1" ht="15.75" customHeight="1">
      <c r="A5" s="356" t="s">
        <v>0</v>
      </c>
      <c r="B5" s="357" t="s">
        <v>2</v>
      </c>
      <c r="C5" s="358" t="s">
        <v>3</v>
      </c>
      <c r="D5" s="358" t="s">
        <v>4</v>
      </c>
      <c r="E5" s="358" t="s">
        <v>5</v>
      </c>
      <c r="F5" s="359" t="s">
        <v>6</v>
      </c>
      <c r="G5" s="359"/>
      <c r="H5" s="359" t="s">
        <v>7</v>
      </c>
      <c r="I5" s="359"/>
      <c r="J5" s="358" t="s">
        <v>8</v>
      </c>
      <c r="K5" s="358"/>
      <c r="L5" s="308" t="s">
        <v>9</v>
      </c>
      <c r="M5" s="74"/>
    </row>
    <row r="6" spans="1:12" s="73" customFormat="1" ht="26.25" customHeight="1">
      <c r="A6" s="356"/>
      <c r="B6" s="357"/>
      <c r="C6" s="358"/>
      <c r="D6" s="358"/>
      <c r="E6" s="358"/>
      <c r="F6" s="11" t="s">
        <v>10</v>
      </c>
      <c r="G6" s="309" t="s">
        <v>1</v>
      </c>
      <c r="H6" s="11" t="s">
        <v>10</v>
      </c>
      <c r="I6" s="309" t="s">
        <v>1</v>
      </c>
      <c r="J6" s="11" t="s">
        <v>10</v>
      </c>
      <c r="K6" s="309" t="s">
        <v>1</v>
      </c>
      <c r="L6" s="308" t="s">
        <v>11</v>
      </c>
    </row>
    <row r="7" spans="1:12" s="73" customFormat="1" ht="15.75" hidden="1">
      <c r="A7" s="310"/>
      <c r="B7" s="51" t="s">
        <v>12</v>
      </c>
      <c r="C7" s="1"/>
      <c r="D7" s="1"/>
      <c r="E7" s="1"/>
      <c r="F7" s="1"/>
      <c r="G7" s="1"/>
      <c r="H7" s="1"/>
      <c r="I7" s="1"/>
      <c r="J7" s="1"/>
      <c r="K7" s="1"/>
      <c r="L7" s="311"/>
    </row>
    <row r="8" spans="1:12" s="73" customFormat="1" ht="36" customHeight="1" hidden="1">
      <c r="A8" s="310"/>
      <c r="B8" s="75" t="s">
        <v>13</v>
      </c>
      <c r="C8" s="8"/>
      <c r="D8" s="1"/>
      <c r="E8" s="1"/>
      <c r="F8" s="1"/>
      <c r="G8" s="1"/>
      <c r="H8" s="1"/>
      <c r="I8" s="1"/>
      <c r="J8" s="1"/>
      <c r="K8" s="1"/>
      <c r="L8" s="311"/>
    </row>
    <row r="9" spans="1:12" s="73" customFormat="1" ht="42.75" customHeight="1" hidden="1">
      <c r="A9" s="312" t="s">
        <v>136</v>
      </c>
      <c r="B9" s="76" t="s">
        <v>14</v>
      </c>
      <c r="C9" s="9" t="s">
        <v>15</v>
      </c>
      <c r="D9" s="77"/>
      <c r="E9" s="6">
        <v>0</v>
      </c>
      <c r="F9" s="6"/>
      <c r="G9" s="6"/>
      <c r="H9" s="6"/>
      <c r="I9" s="6"/>
      <c r="J9" s="6"/>
      <c r="K9" s="6"/>
      <c r="L9" s="313">
        <f>L10</f>
        <v>0</v>
      </c>
    </row>
    <row r="10" spans="1:12" s="73" customFormat="1" ht="15.75" hidden="1">
      <c r="A10" s="307" t="s">
        <v>137</v>
      </c>
      <c r="B10" s="45" t="s">
        <v>16</v>
      </c>
      <c r="C10" s="11" t="s">
        <v>17</v>
      </c>
      <c r="D10" s="12">
        <v>93.22</v>
      </c>
      <c r="E10" s="18">
        <f>E9*D10</f>
        <v>0</v>
      </c>
      <c r="F10" s="18"/>
      <c r="G10" s="18">
        <f>E10*F10</f>
        <v>0</v>
      </c>
      <c r="H10" s="18">
        <v>3.5</v>
      </c>
      <c r="I10" s="18">
        <f>E10*H10</f>
        <v>0</v>
      </c>
      <c r="J10" s="18"/>
      <c r="K10" s="18">
        <f>E10*J10</f>
        <v>0</v>
      </c>
      <c r="L10" s="314">
        <f>G10+I10+K10</f>
        <v>0</v>
      </c>
    </row>
    <row r="11" spans="1:12" s="73" customFormat="1" ht="15.75" hidden="1">
      <c r="A11" s="307"/>
      <c r="B11" s="78" t="s">
        <v>18</v>
      </c>
      <c r="C11" s="14" t="s">
        <v>19</v>
      </c>
      <c r="D11" s="15"/>
      <c r="E11" s="81"/>
      <c r="F11" s="79"/>
      <c r="G11" s="79"/>
      <c r="H11" s="79"/>
      <c r="I11" s="79"/>
      <c r="J11" s="79"/>
      <c r="K11" s="79"/>
      <c r="L11" s="313">
        <f>L9</f>
        <v>0</v>
      </c>
    </row>
    <row r="12" spans="1:12" s="73" customFormat="1" ht="15.75" hidden="1">
      <c r="A12" s="307"/>
      <c r="B12" s="46" t="s">
        <v>20</v>
      </c>
      <c r="C12" s="14"/>
      <c r="D12" s="15"/>
      <c r="E12" s="81"/>
      <c r="F12" s="79"/>
      <c r="G12" s="79"/>
      <c r="H12" s="79"/>
      <c r="I12" s="79"/>
      <c r="J12" s="79"/>
      <c r="K12" s="79"/>
      <c r="L12" s="313"/>
    </row>
    <row r="13" spans="1:12" s="73" customFormat="1" ht="90.75" customHeight="1" hidden="1">
      <c r="A13" s="315" t="s">
        <v>138</v>
      </c>
      <c r="B13" s="76" t="s">
        <v>21</v>
      </c>
      <c r="C13" s="80" t="s">
        <v>111</v>
      </c>
      <c r="D13" s="77"/>
      <c r="E13" s="79">
        <v>0</v>
      </c>
      <c r="F13" s="191"/>
      <c r="G13" s="191"/>
      <c r="H13" s="191"/>
      <c r="I13" s="191"/>
      <c r="J13" s="191"/>
      <c r="K13" s="191"/>
      <c r="L13" s="313">
        <f>L14</f>
        <v>0</v>
      </c>
    </row>
    <row r="14" spans="1:12" s="73" customFormat="1" ht="27" hidden="1">
      <c r="A14" s="316" t="s">
        <v>139</v>
      </c>
      <c r="B14" s="47" t="s">
        <v>106</v>
      </c>
      <c r="C14" s="16" t="s">
        <v>22</v>
      </c>
      <c r="D14" s="17">
        <f>(19.1+14.4*2)*0.001</f>
        <v>0.047900000000000005</v>
      </c>
      <c r="E14" s="18">
        <f>E13*D14</f>
        <v>0</v>
      </c>
      <c r="F14" s="18"/>
      <c r="G14" s="18">
        <f>E14*F14</f>
        <v>0</v>
      </c>
      <c r="H14" s="18"/>
      <c r="I14" s="18">
        <f>E14*H14</f>
        <v>0</v>
      </c>
      <c r="J14" s="18">
        <v>21</v>
      </c>
      <c r="K14" s="18">
        <f>E14*J14</f>
        <v>0</v>
      </c>
      <c r="L14" s="314">
        <f>G14+I14+K14</f>
        <v>0</v>
      </c>
    </row>
    <row r="15" spans="1:12" s="73" customFormat="1" ht="39" customHeight="1" hidden="1">
      <c r="A15" s="315" t="s">
        <v>140</v>
      </c>
      <c r="B15" s="76" t="s">
        <v>23</v>
      </c>
      <c r="C15" s="80" t="s">
        <v>111</v>
      </c>
      <c r="D15" s="77"/>
      <c r="E15" s="81">
        <f>E13</f>
        <v>0</v>
      </c>
      <c r="F15" s="81"/>
      <c r="G15" s="81"/>
      <c r="H15" s="81"/>
      <c r="I15" s="81"/>
      <c r="J15" s="81"/>
      <c r="K15" s="81"/>
      <c r="L15" s="317">
        <f>L16+L17+L18+L20</f>
        <v>0</v>
      </c>
    </row>
    <row r="16" spans="1:12" s="73" customFormat="1" ht="15.75" hidden="1">
      <c r="A16" s="307" t="s">
        <v>141</v>
      </c>
      <c r="B16" s="47" t="s">
        <v>24</v>
      </c>
      <c r="C16" s="11" t="s">
        <v>25</v>
      </c>
      <c r="D16" s="19">
        <f>15.5*0.001</f>
        <v>0.0155</v>
      </c>
      <c r="E16" s="18">
        <f>D16*E15</f>
        <v>0</v>
      </c>
      <c r="F16" s="18"/>
      <c r="G16" s="18">
        <f>E16*F16</f>
        <v>0</v>
      </c>
      <c r="H16" s="18">
        <f>შრომა</f>
        <v>3.5</v>
      </c>
      <c r="I16" s="18">
        <f>E16*H16</f>
        <v>0</v>
      </c>
      <c r="J16" s="18"/>
      <c r="K16" s="18">
        <f>E16*J16</f>
        <v>0</v>
      </c>
      <c r="L16" s="314">
        <f>G16+I16+K16</f>
        <v>0</v>
      </c>
    </row>
    <row r="17" spans="1:12" s="73" customFormat="1" ht="27" hidden="1">
      <c r="A17" s="307" t="s">
        <v>142</v>
      </c>
      <c r="B17" s="47" t="s">
        <v>107</v>
      </c>
      <c r="C17" s="11" t="s">
        <v>27</v>
      </c>
      <c r="D17" s="13">
        <f>34.7*0.001</f>
        <v>0.0347</v>
      </c>
      <c r="E17" s="18">
        <f>D17*E15</f>
        <v>0</v>
      </c>
      <c r="F17" s="18"/>
      <c r="G17" s="18">
        <f>E17*F17</f>
        <v>0</v>
      </c>
      <c r="H17" s="18"/>
      <c r="I17" s="18">
        <f>E17*H17</f>
        <v>0</v>
      </c>
      <c r="J17" s="18">
        <f>მანქანა</f>
        <v>21</v>
      </c>
      <c r="K17" s="18">
        <f>E17*J17</f>
        <v>0</v>
      </c>
      <c r="L17" s="314">
        <f>G17+I17+K17</f>
        <v>0</v>
      </c>
    </row>
    <row r="18" spans="1:12" s="73" customFormat="1" ht="15.75" hidden="1">
      <c r="A18" s="307" t="s">
        <v>143</v>
      </c>
      <c r="B18" s="47" t="s">
        <v>28</v>
      </c>
      <c r="C18" s="11" t="s">
        <v>29</v>
      </c>
      <c r="D18" s="20">
        <f>2.09*0.001</f>
        <v>0.00209</v>
      </c>
      <c r="E18" s="18">
        <f>E15*D18</f>
        <v>0</v>
      </c>
      <c r="F18" s="18"/>
      <c r="G18" s="18">
        <f>E18*F18</f>
        <v>0</v>
      </c>
      <c r="H18" s="18"/>
      <c r="I18" s="18">
        <f>E18*H18</f>
        <v>0</v>
      </c>
      <c r="J18" s="18">
        <v>1.05</v>
      </c>
      <c r="K18" s="18">
        <f>E18*J18</f>
        <v>0</v>
      </c>
      <c r="L18" s="314">
        <f>G18+I18+K18</f>
        <v>0</v>
      </c>
    </row>
    <row r="19" spans="1:12" s="73" customFormat="1" ht="15.75" hidden="1">
      <c r="A19" s="307" t="s">
        <v>144</v>
      </c>
      <c r="B19" s="48" t="s">
        <v>44</v>
      </c>
      <c r="C19" s="2"/>
      <c r="D19" s="20"/>
      <c r="E19" s="18"/>
      <c r="F19" s="18"/>
      <c r="G19" s="18"/>
      <c r="H19" s="18"/>
      <c r="I19" s="18"/>
      <c r="J19" s="18"/>
      <c r="K19" s="18"/>
      <c r="L19" s="314"/>
    </row>
    <row r="20" spans="1:12" s="73" customFormat="1" ht="15.75" hidden="1">
      <c r="A20" s="307" t="s">
        <v>145</v>
      </c>
      <c r="B20" s="49" t="s">
        <v>108</v>
      </c>
      <c r="C20" s="2" t="s">
        <v>46</v>
      </c>
      <c r="D20" s="21">
        <f>0.04*0.001</f>
        <v>4E-05</v>
      </c>
      <c r="E20" s="18">
        <f>E15*D20</f>
        <v>0</v>
      </c>
      <c r="F20" s="18">
        <v>5.5</v>
      </c>
      <c r="G20" s="18">
        <f>E20*F20</f>
        <v>0</v>
      </c>
      <c r="H20" s="18"/>
      <c r="I20" s="18">
        <f>E20*H20</f>
        <v>0</v>
      </c>
      <c r="J20" s="18"/>
      <c r="K20" s="18">
        <f>E20*J20</f>
        <v>0</v>
      </c>
      <c r="L20" s="314">
        <f>G20+I20+K20</f>
        <v>0</v>
      </c>
    </row>
    <row r="21" spans="1:12" s="73" customFormat="1" ht="18" hidden="1">
      <c r="A21" s="315" t="s">
        <v>146</v>
      </c>
      <c r="B21" s="76" t="s">
        <v>30</v>
      </c>
      <c r="C21" s="80" t="s">
        <v>111</v>
      </c>
      <c r="D21" s="77"/>
      <c r="E21" s="81">
        <v>0</v>
      </c>
      <c r="F21" s="83"/>
      <c r="G21" s="83"/>
      <c r="H21" s="83"/>
      <c r="I21" s="83"/>
      <c r="J21" s="83"/>
      <c r="K21" s="83"/>
      <c r="L21" s="317">
        <f>L22</f>
        <v>0</v>
      </c>
    </row>
    <row r="22" spans="1:12" s="73" customFormat="1" ht="15.75" hidden="1">
      <c r="A22" s="318" t="s">
        <v>147</v>
      </c>
      <c r="B22" s="45" t="s">
        <v>31</v>
      </c>
      <c r="C22" s="11" t="s">
        <v>17</v>
      </c>
      <c r="D22" s="12"/>
      <c r="E22" s="18">
        <f>E21*D22</f>
        <v>0</v>
      </c>
      <c r="F22" s="18"/>
      <c r="G22" s="18">
        <f>E22*F22</f>
        <v>0</v>
      </c>
      <c r="H22" s="18">
        <f>შრომა</f>
        <v>3.5</v>
      </c>
      <c r="I22" s="18">
        <f>E22*H22</f>
        <v>0</v>
      </c>
      <c r="J22" s="18"/>
      <c r="K22" s="18">
        <f>E22*J22</f>
        <v>0</v>
      </c>
      <c r="L22" s="314">
        <f>G22+I22+K22</f>
        <v>0</v>
      </c>
    </row>
    <row r="23" spans="1:12" s="73" customFormat="1" ht="27" hidden="1">
      <c r="A23" s="312" t="s">
        <v>148</v>
      </c>
      <c r="B23" s="46" t="s">
        <v>32</v>
      </c>
      <c r="C23" s="80" t="s">
        <v>111</v>
      </c>
      <c r="D23" s="77"/>
      <c r="E23" s="81">
        <f>E21</f>
        <v>0</v>
      </c>
      <c r="F23" s="83"/>
      <c r="G23" s="83"/>
      <c r="H23" s="83"/>
      <c r="I23" s="83"/>
      <c r="J23" s="83"/>
      <c r="K23" s="83"/>
      <c r="L23" s="317">
        <f>L24</f>
        <v>0</v>
      </c>
    </row>
    <row r="24" spans="1:12" s="73" customFormat="1" ht="15.75" hidden="1">
      <c r="A24" s="318" t="s">
        <v>149</v>
      </c>
      <c r="B24" s="45" t="s">
        <v>31</v>
      </c>
      <c r="C24" s="11" t="s">
        <v>17</v>
      </c>
      <c r="D24" s="12"/>
      <c r="E24" s="18">
        <f>E23*D24</f>
        <v>0</v>
      </c>
      <c r="F24" s="18"/>
      <c r="G24" s="18">
        <f>E24*F24</f>
        <v>0</v>
      </c>
      <c r="H24" s="18">
        <f>შრომა</f>
        <v>3.5</v>
      </c>
      <c r="I24" s="18">
        <f>E24*H24</f>
        <v>0</v>
      </c>
      <c r="J24" s="18"/>
      <c r="K24" s="18">
        <f>E24*J24</f>
        <v>0</v>
      </c>
      <c r="L24" s="314">
        <f>G24+I24+K24</f>
        <v>0</v>
      </c>
    </row>
    <row r="25" spans="1:12" s="73" customFormat="1" ht="33.75" customHeight="1" hidden="1">
      <c r="A25" s="312" t="s">
        <v>150</v>
      </c>
      <c r="B25" s="46" t="s">
        <v>33</v>
      </c>
      <c r="C25" s="84" t="s">
        <v>34</v>
      </c>
      <c r="D25" s="77"/>
      <c r="E25" s="79">
        <f>(E15+E23)*1.9</f>
        <v>0</v>
      </c>
      <c r="F25" s="81"/>
      <c r="G25" s="81">
        <f>E25*F25</f>
        <v>0</v>
      </c>
      <c r="H25" s="81"/>
      <c r="I25" s="81">
        <f>E25*H25</f>
        <v>0</v>
      </c>
      <c r="J25" s="81">
        <v>2</v>
      </c>
      <c r="K25" s="81">
        <f>E25*J25</f>
        <v>0</v>
      </c>
      <c r="L25" s="317">
        <f>G25+I25+K25</f>
        <v>0</v>
      </c>
    </row>
    <row r="26" spans="1:12" s="73" customFormat="1" ht="21.75" customHeight="1" hidden="1">
      <c r="A26" s="312" t="s">
        <v>151</v>
      </c>
      <c r="B26" s="76" t="s">
        <v>35</v>
      </c>
      <c r="C26" s="82" t="s">
        <v>36</v>
      </c>
      <c r="D26" s="77"/>
      <c r="E26" s="79">
        <v>0</v>
      </c>
      <c r="F26" s="81"/>
      <c r="G26" s="81"/>
      <c r="H26" s="81"/>
      <c r="I26" s="81"/>
      <c r="J26" s="81"/>
      <c r="K26" s="81"/>
      <c r="L26" s="317">
        <f>L27+L28</f>
        <v>0</v>
      </c>
    </row>
    <row r="27" spans="1:12" s="73" customFormat="1" ht="15.75" hidden="1">
      <c r="A27" s="318" t="s">
        <v>152</v>
      </c>
      <c r="B27" s="47" t="s">
        <v>109</v>
      </c>
      <c r="C27" s="16" t="s">
        <v>22</v>
      </c>
      <c r="D27" s="21">
        <f>0.9*0.001</f>
        <v>0.0009000000000000001</v>
      </c>
      <c r="E27" s="18">
        <f>E26*D27</f>
        <v>0</v>
      </c>
      <c r="F27" s="18"/>
      <c r="G27" s="18">
        <f>E27*F27</f>
        <v>0</v>
      </c>
      <c r="H27" s="18"/>
      <c r="I27" s="18">
        <f>E27*H27</f>
        <v>0</v>
      </c>
      <c r="J27" s="18">
        <f>მანქანა</f>
        <v>21</v>
      </c>
      <c r="K27" s="18">
        <f>E27*J27</f>
        <v>0</v>
      </c>
      <c r="L27" s="314">
        <f>G27+I27+K27</f>
        <v>0</v>
      </c>
    </row>
    <row r="28" spans="1:12" s="73" customFormat="1" ht="27" hidden="1">
      <c r="A28" s="319" t="s">
        <v>153</v>
      </c>
      <c r="B28" s="47" t="s">
        <v>110</v>
      </c>
      <c r="C28" s="16" t="s">
        <v>22</v>
      </c>
      <c r="D28" s="21">
        <f>0.45*0.001</f>
        <v>0.00045000000000000004</v>
      </c>
      <c r="E28" s="18">
        <f>E26*D28</f>
        <v>0</v>
      </c>
      <c r="F28" s="18"/>
      <c r="G28" s="18">
        <f>E28*F28</f>
        <v>0</v>
      </c>
      <c r="H28" s="18"/>
      <c r="I28" s="18">
        <f>E28*H28</f>
        <v>0</v>
      </c>
      <c r="J28" s="18">
        <f>მანქანა</f>
        <v>21</v>
      </c>
      <c r="K28" s="18">
        <f>E28*J28</f>
        <v>0</v>
      </c>
      <c r="L28" s="314">
        <f>G28+I28+K28</f>
        <v>0</v>
      </c>
    </row>
    <row r="29" spans="1:12" s="73" customFormat="1" ht="21" customHeight="1" hidden="1">
      <c r="A29" s="318"/>
      <c r="B29" s="78" t="s">
        <v>37</v>
      </c>
      <c r="C29" s="14" t="s">
        <v>19</v>
      </c>
      <c r="D29" s="15"/>
      <c r="E29" s="81"/>
      <c r="F29" s="79"/>
      <c r="G29" s="79"/>
      <c r="H29" s="79"/>
      <c r="I29" s="79"/>
      <c r="J29" s="79"/>
      <c r="K29" s="79"/>
      <c r="L29" s="313">
        <f>L13+L15+L21+L23+L25+L26</f>
        <v>0</v>
      </c>
    </row>
    <row r="30" spans="1:12" s="73" customFormat="1" ht="21" customHeight="1">
      <c r="A30" s="318" t="s">
        <v>136</v>
      </c>
      <c r="B30" s="51">
        <v>2</v>
      </c>
      <c r="C30" s="318" t="s">
        <v>140</v>
      </c>
      <c r="D30" s="318" t="s">
        <v>146</v>
      </c>
      <c r="E30" s="51">
        <v>5</v>
      </c>
      <c r="F30" s="318" t="s">
        <v>150</v>
      </c>
      <c r="G30" s="318" t="s">
        <v>151</v>
      </c>
      <c r="H30" s="51">
        <v>8</v>
      </c>
      <c r="I30" s="318" t="s">
        <v>505</v>
      </c>
      <c r="J30" s="318" t="s">
        <v>506</v>
      </c>
      <c r="K30" s="51">
        <v>11</v>
      </c>
      <c r="L30" s="318" t="s">
        <v>508</v>
      </c>
    </row>
    <row r="31" spans="1:12" s="73" customFormat="1" ht="21" customHeight="1">
      <c r="A31" s="307"/>
      <c r="B31" s="50" t="s">
        <v>38</v>
      </c>
      <c r="C31" s="22"/>
      <c r="D31" s="23"/>
      <c r="E31" s="7"/>
      <c r="F31" s="7"/>
      <c r="G31" s="18"/>
      <c r="H31" s="18"/>
      <c r="I31" s="7"/>
      <c r="J31" s="7"/>
      <c r="K31" s="18"/>
      <c r="L31" s="314"/>
    </row>
    <row r="32" spans="1:12" s="73" customFormat="1" ht="27">
      <c r="A32" s="312" t="s">
        <v>154</v>
      </c>
      <c r="B32" s="50" t="s">
        <v>64</v>
      </c>
      <c r="C32" s="86" t="s">
        <v>53</v>
      </c>
      <c r="D32" s="77"/>
      <c r="E32" s="329">
        <v>0.6</v>
      </c>
      <c r="F32" s="87"/>
      <c r="G32" s="87"/>
      <c r="H32" s="87"/>
      <c r="I32" s="87"/>
      <c r="J32" s="87"/>
      <c r="K32" s="87"/>
      <c r="L32" s="313"/>
    </row>
    <row r="33" spans="1:12" s="73" customFormat="1" ht="15.75">
      <c r="A33" s="320" t="s">
        <v>155</v>
      </c>
      <c r="B33" s="49" t="s">
        <v>54</v>
      </c>
      <c r="C33" s="2" t="s">
        <v>41</v>
      </c>
      <c r="D33" s="12">
        <v>0.3</v>
      </c>
      <c r="E33" s="330">
        <f>E32*D33</f>
        <v>0.18</v>
      </c>
      <c r="F33" s="18"/>
      <c r="G33" s="18"/>
      <c r="H33" s="18"/>
      <c r="I33" s="18"/>
      <c r="J33" s="18"/>
      <c r="K33" s="18"/>
      <c r="L33" s="314"/>
    </row>
    <row r="34" spans="1:12" s="73" customFormat="1" ht="15.75">
      <c r="A34" s="320" t="s">
        <v>156</v>
      </c>
      <c r="B34" s="48" t="s">
        <v>44</v>
      </c>
      <c r="C34" s="2"/>
      <c r="D34" s="20"/>
      <c r="E34" s="330"/>
      <c r="F34" s="18"/>
      <c r="G34" s="18"/>
      <c r="H34" s="18"/>
      <c r="I34" s="18"/>
      <c r="J34" s="18"/>
      <c r="K34" s="18"/>
      <c r="L34" s="314"/>
    </row>
    <row r="35" spans="1:12" s="73" customFormat="1" ht="15.75">
      <c r="A35" s="320" t="s">
        <v>157</v>
      </c>
      <c r="B35" s="49" t="s">
        <v>55</v>
      </c>
      <c r="C35" s="2" t="s">
        <v>53</v>
      </c>
      <c r="D35" s="19">
        <v>1.03</v>
      </c>
      <c r="E35" s="330">
        <f>E32*D35</f>
        <v>0.618</v>
      </c>
      <c r="F35" s="18"/>
      <c r="G35" s="18"/>
      <c r="H35" s="18"/>
      <c r="I35" s="18"/>
      <c r="J35" s="18"/>
      <c r="K35" s="18"/>
      <c r="L35" s="314"/>
    </row>
    <row r="36" spans="1:12" s="73" customFormat="1" ht="15.75">
      <c r="A36" s="321" t="s">
        <v>158</v>
      </c>
      <c r="B36" s="76" t="s">
        <v>56</v>
      </c>
      <c r="C36" s="84" t="s">
        <v>34</v>
      </c>
      <c r="D36" s="77"/>
      <c r="E36" s="331">
        <f>E35</f>
        <v>0.618</v>
      </c>
      <c r="F36" s="18"/>
      <c r="G36" s="18"/>
      <c r="H36" s="18"/>
      <c r="I36" s="18"/>
      <c r="J36" s="18"/>
      <c r="K36" s="18"/>
      <c r="L36" s="317"/>
    </row>
    <row r="37" spans="1:12" s="73" customFormat="1" ht="60.75" customHeight="1">
      <c r="A37" s="312" t="s">
        <v>159</v>
      </c>
      <c r="B37" s="50" t="s">
        <v>458</v>
      </c>
      <c r="C37" s="86" t="s">
        <v>57</v>
      </c>
      <c r="D37" s="77"/>
      <c r="E37" s="81">
        <v>2026</v>
      </c>
      <c r="F37" s="87"/>
      <c r="G37" s="87"/>
      <c r="H37" s="87"/>
      <c r="I37" s="87"/>
      <c r="J37" s="87"/>
      <c r="K37" s="87"/>
      <c r="L37" s="313"/>
    </row>
    <row r="38" spans="1:12" s="73" customFormat="1" ht="15.75">
      <c r="A38" s="320" t="s">
        <v>160</v>
      </c>
      <c r="B38" s="49" t="s">
        <v>39</v>
      </c>
      <c r="C38" s="2" t="s">
        <v>40</v>
      </c>
      <c r="D38" s="20">
        <v>0.0375</v>
      </c>
      <c r="E38" s="18">
        <f>E37*D38</f>
        <v>75.975</v>
      </c>
      <c r="F38" s="18"/>
      <c r="G38" s="18"/>
      <c r="H38" s="18"/>
      <c r="I38" s="18"/>
      <c r="J38" s="18"/>
      <c r="K38" s="18"/>
      <c r="L38" s="314"/>
    </row>
    <row r="39" spans="1:12" s="73" customFormat="1" ht="15.75">
      <c r="A39" s="320" t="s">
        <v>161</v>
      </c>
      <c r="B39" s="49" t="s">
        <v>58</v>
      </c>
      <c r="C39" s="2" t="s">
        <v>41</v>
      </c>
      <c r="D39" s="21">
        <v>0.00302</v>
      </c>
      <c r="E39" s="18">
        <f>E37*D39</f>
        <v>6.11852</v>
      </c>
      <c r="F39" s="18"/>
      <c r="G39" s="18"/>
      <c r="H39" s="18"/>
      <c r="I39" s="18"/>
      <c r="J39" s="18"/>
      <c r="K39" s="18"/>
      <c r="L39" s="314"/>
    </row>
    <row r="40" spans="1:12" s="73" customFormat="1" ht="15.75">
      <c r="A40" s="320" t="s">
        <v>162</v>
      </c>
      <c r="B40" s="49" t="s">
        <v>135</v>
      </c>
      <c r="C40" s="2" t="s">
        <v>41</v>
      </c>
      <c r="D40" s="20">
        <v>0.0037</v>
      </c>
      <c r="E40" s="18">
        <f>E37*D40</f>
        <v>7.4962</v>
      </c>
      <c r="F40" s="18"/>
      <c r="G40" s="18"/>
      <c r="H40" s="18"/>
      <c r="I40" s="18"/>
      <c r="J40" s="18"/>
      <c r="K40" s="18"/>
      <c r="L40" s="314"/>
    </row>
    <row r="41" spans="1:12" s="73" customFormat="1" ht="15.75">
      <c r="A41" s="320" t="s">
        <v>163</v>
      </c>
      <c r="B41" s="45" t="s">
        <v>114</v>
      </c>
      <c r="C41" s="2" t="s">
        <v>41</v>
      </c>
      <c r="D41" s="20">
        <v>0.0111</v>
      </c>
      <c r="E41" s="18">
        <f>E37*D41</f>
        <v>22.4886</v>
      </c>
      <c r="F41" s="18"/>
      <c r="G41" s="18"/>
      <c r="H41" s="18"/>
      <c r="I41" s="18"/>
      <c r="J41" s="18"/>
      <c r="K41" s="18"/>
      <c r="L41" s="314"/>
    </row>
    <row r="42" spans="1:12" s="73" customFormat="1" ht="15.75">
      <c r="A42" s="320" t="s">
        <v>164</v>
      </c>
      <c r="B42" s="49" t="s">
        <v>59</v>
      </c>
      <c r="C42" s="2" t="s">
        <v>29</v>
      </c>
      <c r="D42" s="20">
        <v>0.0023</v>
      </c>
      <c r="E42" s="18">
        <f>E37*D42</f>
        <v>4.6598</v>
      </c>
      <c r="F42" s="18"/>
      <c r="G42" s="18"/>
      <c r="H42" s="18"/>
      <c r="I42" s="18"/>
      <c r="J42" s="18"/>
      <c r="K42" s="18"/>
      <c r="L42" s="314"/>
    </row>
    <row r="43" spans="1:12" s="73" customFormat="1" ht="15.75">
      <c r="A43" s="320" t="s">
        <v>165</v>
      </c>
      <c r="B43" s="48" t="s">
        <v>44</v>
      </c>
      <c r="C43" s="2"/>
      <c r="D43" s="12"/>
      <c r="E43" s="18"/>
      <c r="F43" s="18"/>
      <c r="G43" s="18"/>
      <c r="H43" s="18"/>
      <c r="I43" s="18"/>
      <c r="J43" s="18"/>
      <c r="K43" s="18"/>
      <c r="L43" s="314"/>
    </row>
    <row r="44" spans="1:12" s="73" customFormat="1" ht="15.75">
      <c r="A44" s="320" t="s">
        <v>166</v>
      </c>
      <c r="B44" s="49" t="s">
        <v>65</v>
      </c>
      <c r="C44" s="10" t="s">
        <v>61</v>
      </c>
      <c r="D44" s="20">
        <v>0.0974</v>
      </c>
      <c r="E44" s="18">
        <f>E37*D44</f>
        <v>197.3324</v>
      </c>
      <c r="F44" s="18"/>
      <c r="G44" s="18"/>
      <c r="H44" s="18"/>
      <c r="I44" s="18"/>
      <c r="J44" s="18"/>
      <c r="K44" s="18"/>
      <c r="L44" s="314"/>
    </row>
    <row r="45" spans="1:12" s="73" customFormat="1" ht="15.75">
      <c r="A45" s="320" t="s">
        <v>167</v>
      </c>
      <c r="B45" s="49" t="s">
        <v>62</v>
      </c>
      <c r="C45" s="2" t="s">
        <v>29</v>
      </c>
      <c r="D45" s="21">
        <f>(14.5+0.02*4)*0.001</f>
        <v>0.014580000000000001</v>
      </c>
      <c r="E45" s="18">
        <f>E37*D45</f>
        <v>29.539080000000002</v>
      </c>
      <c r="F45" s="18"/>
      <c r="G45" s="18"/>
      <c r="H45" s="18"/>
      <c r="I45" s="18"/>
      <c r="J45" s="18"/>
      <c r="K45" s="18"/>
      <c r="L45" s="314"/>
    </row>
    <row r="46" spans="1:12" s="73" customFormat="1" ht="27">
      <c r="A46" s="312" t="s">
        <v>168</v>
      </c>
      <c r="B46" s="76" t="s">
        <v>63</v>
      </c>
      <c r="C46" s="84" t="s">
        <v>34</v>
      </c>
      <c r="D46" s="77"/>
      <c r="E46" s="79">
        <f>E44</f>
        <v>197.3324</v>
      </c>
      <c r="F46" s="18"/>
      <c r="G46" s="18"/>
      <c r="H46" s="18"/>
      <c r="I46" s="18"/>
      <c r="J46" s="18"/>
      <c r="K46" s="18"/>
      <c r="L46" s="317"/>
    </row>
    <row r="47" spans="1:12" s="73" customFormat="1" ht="27">
      <c r="A47" s="312" t="s">
        <v>169</v>
      </c>
      <c r="B47" s="76" t="s">
        <v>66</v>
      </c>
      <c r="C47" s="80" t="s">
        <v>111</v>
      </c>
      <c r="D47" s="77"/>
      <c r="E47" s="81">
        <v>24</v>
      </c>
      <c r="F47" s="18"/>
      <c r="G47" s="18"/>
      <c r="H47" s="18"/>
      <c r="I47" s="18"/>
      <c r="J47" s="18"/>
      <c r="K47" s="18"/>
      <c r="L47" s="317"/>
    </row>
    <row r="48" spans="1:12" s="73" customFormat="1" ht="15.75">
      <c r="A48" s="307" t="s">
        <v>170</v>
      </c>
      <c r="B48" s="49" t="s">
        <v>39</v>
      </c>
      <c r="C48" s="2" t="s">
        <v>40</v>
      </c>
      <c r="D48" s="19">
        <v>0.15</v>
      </c>
      <c r="E48" s="18">
        <f>E47*D48</f>
        <v>3.5999999999999996</v>
      </c>
      <c r="F48" s="18"/>
      <c r="G48" s="18"/>
      <c r="H48" s="18"/>
      <c r="I48" s="18"/>
      <c r="J48" s="18"/>
      <c r="K48" s="18"/>
      <c r="L48" s="314"/>
    </row>
    <row r="49" spans="1:12" s="73" customFormat="1" ht="27">
      <c r="A49" s="307" t="s">
        <v>171</v>
      </c>
      <c r="B49" s="45" t="s">
        <v>112</v>
      </c>
      <c r="C49" s="2" t="s">
        <v>41</v>
      </c>
      <c r="D49" s="21">
        <v>0.02016</v>
      </c>
      <c r="E49" s="18">
        <f>E47*D49</f>
        <v>0.48384000000000005</v>
      </c>
      <c r="F49" s="18"/>
      <c r="G49" s="18"/>
      <c r="H49" s="18"/>
      <c r="I49" s="18"/>
      <c r="J49" s="18"/>
      <c r="K49" s="18"/>
      <c r="L49" s="314"/>
    </row>
    <row r="50" spans="1:12" s="73" customFormat="1" ht="15.75">
      <c r="A50" s="307" t="s">
        <v>172</v>
      </c>
      <c r="B50" s="49" t="s">
        <v>42</v>
      </c>
      <c r="C50" s="2" t="s">
        <v>41</v>
      </c>
      <c r="D50" s="20">
        <v>0.0273</v>
      </c>
      <c r="E50" s="18">
        <f>E47*D50</f>
        <v>0.6552</v>
      </c>
      <c r="F50" s="18"/>
      <c r="G50" s="18"/>
      <c r="H50" s="18"/>
      <c r="I50" s="18"/>
      <c r="J50" s="18"/>
      <c r="K50" s="18"/>
      <c r="L50" s="314"/>
    </row>
    <row r="51" spans="1:12" s="73" customFormat="1" ht="15.75">
      <c r="A51" s="307" t="s">
        <v>173</v>
      </c>
      <c r="B51" s="49" t="s">
        <v>43</v>
      </c>
      <c r="C51" s="2" t="s">
        <v>41</v>
      </c>
      <c r="D51" s="20">
        <v>0.0097</v>
      </c>
      <c r="E51" s="18">
        <f>E47*D51</f>
        <v>0.2328</v>
      </c>
      <c r="F51" s="18"/>
      <c r="G51" s="18"/>
      <c r="H51" s="18"/>
      <c r="I51" s="18"/>
      <c r="J51" s="18"/>
      <c r="K51" s="18"/>
      <c r="L51" s="314"/>
    </row>
    <row r="52" spans="1:12" s="73" customFormat="1" ht="15.75">
      <c r="A52" s="307" t="s">
        <v>174</v>
      </c>
      <c r="B52" s="48" t="s">
        <v>44</v>
      </c>
      <c r="C52" s="2"/>
      <c r="D52" s="20"/>
      <c r="E52" s="18"/>
      <c r="F52" s="18"/>
      <c r="G52" s="18"/>
      <c r="H52" s="18"/>
      <c r="I52" s="18"/>
      <c r="J52" s="18"/>
      <c r="K52" s="18"/>
      <c r="L52" s="314"/>
    </row>
    <row r="53" spans="1:12" s="73" customFormat="1" ht="15.75">
      <c r="A53" s="307" t="s">
        <v>175</v>
      </c>
      <c r="B53" s="49" t="s">
        <v>45</v>
      </c>
      <c r="C53" s="2" t="s">
        <v>46</v>
      </c>
      <c r="D53" s="12">
        <v>1.22</v>
      </c>
      <c r="E53" s="18">
        <f>E47*D53</f>
        <v>29.28</v>
      </c>
      <c r="F53" s="18"/>
      <c r="G53" s="18"/>
      <c r="H53" s="18"/>
      <c r="I53" s="18"/>
      <c r="J53" s="18"/>
      <c r="K53" s="18"/>
      <c r="L53" s="314"/>
    </row>
    <row r="54" spans="1:12" s="73" customFormat="1" ht="15.75">
      <c r="A54" s="307" t="s">
        <v>176</v>
      </c>
      <c r="B54" s="49" t="s">
        <v>47</v>
      </c>
      <c r="C54" s="2" t="s">
        <v>46</v>
      </c>
      <c r="D54" s="19">
        <v>0.07</v>
      </c>
      <c r="E54" s="18">
        <f>E47*D54</f>
        <v>1.6800000000000002</v>
      </c>
      <c r="F54" s="18"/>
      <c r="G54" s="18"/>
      <c r="H54" s="18"/>
      <c r="I54" s="18"/>
      <c r="J54" s="18"/>
      <c r="K54" s="18"/>
      <c r="L54" s="314"/>
    </row>
    <row r="55" spans="1:12" s="73" customFormat="1" ht="27">
      <c r="A55" s="312" t="s">
        <v>177</v>
      </c>
      <c r="B55" s="76" t="s">
        <v>48</v>
      </c>
      <c r="C55" s="84" t="s">
        <v>34</v>
      </c>
      <c r="D55" s="85">
        <v>1.6</v>
      </c>
      <c r="E55" s="79">
        <f>D55*E53</f>
        <v>46.848000000000006</v>
      </c>
      <c r="F55" s="18"/>
      <c r="G55" s="18"/>
      <c r="H55" s="18"/>
      <c r="I55" s="18"/>
      <c r="J55" s="18"/>
      <c r="K55" s="18"/>
      <c r="L55" s="317"/>
    </row>
    <row r="56" spans="1:12" s="73" customFormat="1" ht="21.75" customHeight="1">
      <c r="A56" s="307"/>
      <c r="B56" s="78" t="s">
        <v>67</v>
      </c>
      <c r="C56" s="14" t="s">
        <v>19</v>
      </c>
      <c r="D56" s="15"/>
      <c r="E56" s="81"/>
      <c r="F56" s="79"/>
      <c r="G56" s="79"/>
      <c r="H56" s="79"/>
      <c r="I56" s="79"/>
      <c r="J56" s="79"/>
      <c r="K56" s="79"/>
      <c r="L56" s="313"/>
    </row>
    <row r="57" spans="1:12" s="73" customFormat="1" ht="15.75">
      <c r="A57" s="307"/>
      <c r="B57" s="50" t="s">
        <v>68</v>
      </c>
      <c r="C57" s="14"/>
      <c r="D57" s="15"/>
      <c r="E57" s="81"/>
      <c r="F57" s="79"/>
      <c r="G57" s="79"/>
      <c r="H57" s="79"/>
      <c r="I57" s="79"/>
      <c r="J57" s="79"/>
      <c r="K57" s="79"/>
      <c r="L57" s="313"/>
    </row>
    <row r="58" spans="1:12" s="73" customFormat="1" ht="24.75" customHeight="1">
      <c r="A58" s="312" t="s">
        <v>178</v>
      </c>
      <c r="B58" s="360" t="s">
        <v>503</v>
      </c>
      <c r="C58" s="360"/>
      <c r="D58" s="15"/>
      <c r="E58" s="81"/>
      <c r="F58" s="79"/>
      <c r="G58" s="79"/>
      <c r="H58" s="79"/>
      <c r="I58" s="79"/>
      <c r="J58" s="79"/>
      <c r="K58" s="79"/>
      <c r="L58" s="313"/>
    </row>
    <row r="59" spans="1:12" s="73" customFormat="1" ht="40.5">
      <c r="A59" s="312" t="s">
        <v>179</v>
      </c>
      <c r="B59" s="76" t="s">
        <v>115</v>
      </c>
      <c r="C59" s="80" t="s">
        <v>111</v>
      </c>
      <c r="D59" s="77"/>
      <c r="E59" s="79">
        <v>90</v>
      </c>
      <c r="F59" s="92"/>
      <c r="G59" s="92"/>
      <c r="H59" s="92"/>
      <c r="I59" s="92"/>
      <c r="J59" s="92"/>
      <c r="K59" s="92"/>
      <c r="L59" s="317"/>
    </row>
    <row r="60" spans="1:12" s="73" customFormat="1" ht="16.5">
      <c r="A60" s="322" t="s">
        <v>180</v>
      </c>
      <c r="B60" s="45" t="s">
        <v>31</v>
      </c>
      <c r="C60" s="11" t="s">
        <v>17</v>
      </c>
      <c r="D60" s="20">
        <v>0.0165</v>
      </c>
      <c r="E60" s="6">
        <f>E59*D60</f>
        <v>1.485</v>
      </c>
      <c r="F60" s="18"/>
      <c r="G60" s="18"/>
      <c r="H60" s="18"/>
      <c r="I60" s="18"/>
      <c r="J60" s="18"/>
      <c r="K60" s="18"/>
      <c r="L60" s="314"/>
    </row>
    <row r="61" spans="1:12" s="73" customFormat="1" ht="16.5">
      <c r="A61" s="322" t="s">
        <v>181</v>
      </c>
      <c r="B61" s="45" t="s">
        <v>69</v>
      </c>
      <c r="C61" s="16" t="s">
        <v>22</v>
      </c>
      <c r="D61" s="13">
        <v>0.037</v>
      </c>
      <c r="E61" s="6">
        <f>E59*D61</f>
        <v>3.3299999999999996</v>
      </c>
      <c r="F61" s="18"/>
      <c r="G61" s="18"/>
      <c r="H61" s="18"/>
      <c r="I61" s="18"/>
      <c r="J61" s="18"/>
      <c r="K61" s="18"/>
      <c r="L61" s="314"/>
    </row>
    <row r="62" spans="1:12" s="73" customFormat="1" ht="27">
      <c r="A62" s="312" t="s">
        <v>182</v>
      </c>
      <c r="B62" s="76" t="s">
        <v>70</v>
      </c>
      <c r="C62" s="80" t="s">
        <v>111</v>
      </c>
      <c r="D62" s="77"/>
      <c r="E62" s="81">
        <v>12</v>
      </c>
      <c r="F62" s="83"/>
      <c r="G62" s="83"/>
      <c r="H62" s="83"/>
      <c r="I62" s="83"/>
      <c r="J62" s="83"/>
      <c r="K62" s="83"/>
      <c r="L62" s="317"/>
    </row>
    <row r="63" spans="1:12" s="73" customFormat="1" ht="15.75">
      <c r="A63" s="318" t="s">
        <v>183</v>
      </c>
      <c r="B63" s="45" t="s">
        <v>31</v>
      </c>
      <c r="C63" s="11" t="s">
        <v>17</v>
      </c>
      <c r="D63" s="12">
        <v>2.06</v>
      </c>
      <c r="E63" s="18">
        <f>E62*D63</f>
        <v>24.72</v>
      </c>
      <c r="F63" s="18"/>
      <c r="G63" s="18"/>
      <c r="H63" s="18"/>
      <c r="I63" s="18"/>
      <c r="J63" s="18"/>
      <c r="K63" s="18"/>
      <c r="L63" s="314"/>
    </row>
    <row r="64" spans="1:12" s="73" customFormat="1" ht="27">
      <c r="A64" s="312" t="s">
        <v>184</v>
      </c>
      <c r="B64" s="46" t="s">
        <v>71</v>
      </c>
      <c r="C64" s="80" t="s">
        <v>111</v>
      </c>
      <c r="D64" s="77"/>
      <c r="E64" s="79">
        <v>13.1</v>
      </c>
      <c r="F64" s="83"/>
      <c r="G64" s="83"/>
      <c r="H64" s="83"/>
      <c r="I64" s="83"/>
      <c r="J64" s="83"/>
      <c r="K64" s="83"/>
      <c r="L64" s="317"/>
    </row>
    <row r="65" spans="1:12" s="73" customFormat="1" ht="16.5">
      <c r="A65" s="322" t="s">
        <v>185</v>
      </c>
      <c r="B65" s="45" t="s">
        <v>31</v>
      </c>
      <c r="C65" s="11" t="s">
        <v>40</v>
      </c>
      <c r="D65" s="13">
        <v>0.89</v>
      </c>
      <c r="E65" s="6">
        <f>E64*D65</f>
        <v>11.659</v>
      </c>
      <c r="F65" s="18"/>
      <c r="G65" s="18"/>
      <c r="H65" s="18"/>
      <c r="I65" s="18"/>
      <c r="J65" s="18"/>
      <c r="K65" s="18"/>
      <c r="L65" s="314"/>
    </row>
    <row r="66" spans="1:12" s="73" customFormat="1" ht="16.5">
      <c r="A66" s="322" t="s">
        <v>186</v>
      </c>
      <c r="B66" s="45" t="s">
        <v>72</v>
      </c>
      <c r="C66" s="11" t="s">
        <v>29</v>
      </c>
      <c r="D66" s="12">
        <v>0.37</v>
      </c>
      <c r="E66" s="6">
        <f>E64*D66</f>
        <v>4.8469999999999995</v>
      </c>
      <c r="F66" s="18"/>
      <c r="G66" s="18"/>
      <c r="H66" s="18"/>
      <c r="I66" s="18"/>
      <c r="J66" s="18"/>
      <c r="K66" s="18"/>
      <c r="L66" s="314"/>
    </row>
    <row r="67" spans="1:12" s="73" customFormat="1" ht="16.5">
      <c r="A67" s="322" t="s">
        <v>187</v>
      </c>
      <c r="B67" s="48" t="s">
        <v>44</v>
      </c>
      <c r="C67" s="11"/>
      <c r="D67" s="4"/>
      <c r="E67" s="6"/>
      <c r="F67" s="18"/>
      <c r="G67" s="18"/>
      <c r="H67" s="18"/>
      <c r="I67" s="18"/>
      <c r="J67" s="18"/>
      <c r="K67" s="18"/>
      <c r="L67" s="314"/>
    </row>
    <row r="68" spans="1:12" s="73" customFormat="1" ht="16.5">
      <c r="A68" s="322" t="s">
        <v>188</v>
      </c>
      <c r="B68" s="45" t="s">
        <v>45</v>
      </c>
      <c r="C68" s="11" t="s">
        <v>46</v>
      </c>
      <c r="D68" s="4">
        <v>1.15</v>
      </c>
      <c r="E68" s="6">
        <f>E64*D68</f>
        <v>15.064999999999998</v>
      </c>
      <c r="F68" s="18"/>
      <c r="G68" s="18"/>
      <c r="H68" s="18"/>
      <c r="I68" s="18"/>
      <c r="J68" s="18"/>
      <c r="K68" s="18"/>
      <c r="L68" s="314"/>
    </row>
    <row r="69" spans="1:12" s="73" customFormat="1" ht="16.5">
      <c r="A69" s="322" t="s">
        <v>189</v>
      </c>
      <c r="B69" s="45" t="s">
        <v>73</v>
      </c>
      <c r="C69" s="11" t="s">
        <v>29</v>
      </c>
      <c r="D69" s="4">
        <v>0.04</v>
      </c>
      <c r="E69" s="6">
        <f>E64*D69</f>
        <v>0.524</v>
      </c>
      <c r="F69" s="18"/>
      <c r="G69" s="18"/>
      <c r="H69" s="18"/>
      <c r="I69" s="18"/>
      <c r="J69" s="18"/>
      <c r="K69" s="18"/>
      <c r="L69" s="314"/>
    </row>
    <row r="70" spans="1:12" s="73" customFormat="1" ht="27">
      <c r="A70" s="312" t="s">
        <v>190</v>
      </c>
      <c r="B70" s="76" t="s">
        <v>74</v>
      </c>
      <c r="C70" s="84" t="s">
        <v>34</v>
      </c>
      <c r="D70" s="85">
        <v>1.6</v>
      </c>
      <c r="E70" s="79">
        <v>24.1</v>
      </c>
      <c r="F70" s="81"/>
      <c r="G70" s="81"/>
      <c r="H70" s="81"/>
      <c r="I70" s="81"/>
      <c r="J70" s="81"/>
      <c r="K70" s="81"/>
      <c r="L70" s="317"/>
    </row>
    <row r="71" spans="1:12" s="73" customFormat="1" ht="49.5" customHeight="1">
      <c r="A71" s="312" t="s">
        <v>191</v>
      </c>
      <c r="B71" s="46" t="s">
        <v>480</v>
      </c>
      <c r="C71" s="82" t="s">
        <v>46</v>
      </c>
      <c r="D71" s="77"/>
      <c r="E71" s="79">
        <v>35</v>
      </c>
      <c r="F71" s="83"/>
      <c r="G71" s="83"/>
      <c r="H71" s="83"/>
      <c r="I71" s="83"/>
      <c r="J71" s="83"/>
      <c r="K71" s="83"/>
      <c r="L71" s="317"/>
    </row>
    <row r="72" spans="1:12" s="73" customFormat="1" ht="20.25" customHeight="1">
      <c r="A72" s="318" t="s">
        <v>192</v>
      </c>
      <c r="B72" s="88" t="s">
        <v>39</v>
      </c>
      <c r="C72" s="62" t="s">
        <v>371</v>
      </c>
      <c r="D72" s="62">
        <v>2.96</v>
      </c>
      <c r="E72" s="191">
        <f>E71*D72</f>
        <v>103.6</v>
      </c>
      <c r="F72" s="304"/>
      <c r="G72" s="305"/>
      <c r="H72" s="188"/>
      <c r="I72" s="188"/>
      <c r="J72" s="188"/>
      <c r="K72" s="188"/>
      <c r="L72" s="306"/>
    </row>
    <row r="73" spans="1:12" s="73" customFormat="1" ht="20.25" customHeight="1">
      <c r="A73" s="318" t="s">
        <v>193</v>
      </c>
      <c r="B73" s="88" t="s">
        <v>374</v>
      </c>
      <c r="C73" s="62" t="s">
        <v>373</v>
      </c>
      <c r="D73" s="63">
        <v>1.02</v>
      </c>
      <c r="E73" s="191">
        <f>E71*D73</f>
        <v>35.7</v>
      </c>
      <c r="F73" s="304"/>
      <c r="G73" s="305"/>
      <c r="H73" s="188"/>
      <c r="I73" s="188"/>
      <c r="J73" s="188"/>
      <c r="K73" s="188"/>
      <c r="L73" s="306"/>
    </row>
    <row r="74" spans="1:12" s="73" customFormat="1" ht="20.25" customHeight="1">
      <c r="A74" s="318" t="s">
        <v>194</v>
      </c>
      <c r="B74" s="88" t="s">
        <v>485</v>
      </c>
      <c r="C74" s="62" t="s">
        <v>61</v>
      </c>
      <c r="D74" s="62" t="s">
        <v>484</v>
      </c>
      <c r="E74" s="332">
        <v>1.8</v>
      </c>
      <c r="F74" s="304"/>
      <c r="G74" s="305"/>
      <c r="H74" s="188"/>
      <c r="I74" s="188"/>
      <c r="J74" s="188"/>
      <c r="K74" s="188"/>
      <c r="L74" s="306"/>
    </row>
    <row r="75" spans="1:12" s="73" customFormat="1" ht="20.25" customHeight="1">
      <c r="A75" s="318" t="s">
        <v>195</v>
      </c>
      <c r="B75" s="88" t="s">
        <v>482</v>
      </c>
      <c r="C75" s="62" t="s">
        <v>57</v>
      </c>
      <c r="D75" s="62"/>
      <c r="E75" s="191">
        <v>33.271</v>
      </c>
      <c r="F75" s="304"/>
      <c r="G75" s="305"/>
      <c r="H75" s="188"/>
      <c r="I75" s="188"/>
      <c r="J75" s="188"/>
      <c r="K75" s="188"/>
      <c r="L75" s="306"/>
    </row>
    <row r="76" spans="1:12" s="73" customFormat="1" ht="20.25" customHeight="1">
      <c r="A76" s="318" t="s">
        <v>196</v>
      </c>
      <c r="B76" s="88" t="s">
        <v>483</v>
      </c>
      <c r="C76" s="62" t="s">
        <v>130</v>
      </c>
      <c r="D76" s="62"/>
      <c r="E76" s="191">
        <v>7</v>
      </c>
      <c r="F76" s="304"/>
      <c r="G76" s="305"/>
      <c r="H76" s="188"/>
      <c r="I76" s="188"/>
      <c r="J76" s="188"/>
      <c r="K76" s="188"/>
      <c r="L76" s="306"/>
    </row>
    <row r="77" spans="1:12" s="73" customFormat="1" ht="30" customHeight="1">
      <c r="A77" s="318" t="s">
        <v>197</v>
      </c>
      <c r="B77" s="346" t="s">
        <v>97</v>
      </c>
      <c r="C77" s="9" t="s">
        <v>34</v>
      </c>
      <c r="D77" s="3">
        <v>2.4</v>
      </c>
      <c r="E77" s="6">
        <f>E71*D77</f>
        <v>84</v>
      </c>
      <c r="F77" s="18"/>
      <c r="G77" s="18"/>
      <c r="H77" s="18"/>
      <c r="I77" s="18"/>
      <c r="J77" s="18"/>
      <c r="K77" s="18"/>
      <c r="L77" s="347"/>
    </row>
    <row r="78" spans="1:12" s="73" customFormat="1" ht="40.5">
      <c r="A78" s="312" t="s">
        <v>198</v>
      </c>
      <c r="B78" s="76" t="s">
        <v>79</v>
      </c>
      <c r="C78" s="80" t="s">
        <v>111</v>
      </c>
      <c r="D78" s="77"/>
      <c r="E78" s="81">
        <v>52</v>
      </c>
      <c r="F78" s="81"/>
      <c r="G78" s="81"/>
      <c r="H78" s="81"/>
      <c r="I78" s="81"/>
      <c r="J78" s="81"/>
      <c r="K78" s="81"/>
      <c r="L78" s="317"/>
    </row>
    <row r="79" spans="1:12" s="73" customFormat="1" ht="15.75">
      <c r="A79" s="307" t="s">
        <v>199</v>
      </c>
      <c r="B79" s="47" t="s">
        <v>24</v>
      </c>
      <c r="C79" s="11" t="s">
        <v>25</v>
      </c>
      <c r="D79" s="19">
        <f>27*0.01</f>
        <v>0.27</v>
      </c>
      <c r="E79" s="18">
        <f>E78*D79</f>
        <v>14.040000000000001</v>
      </c>
      <c r="F79" s="18"/>
      <c r="G79" s="18"/>
      <c r="H79" s="18"/>
      <c r="I79" s="18"/>
      <c r="J79" s="18"/>
      <c r="K79" s="18"/>
      <c r="L79" s="314"/>
    </row>
    <row r="80" spans="1:12" s="73" customFormat="1" ht="15.75">
      <c r="A80" s="307" t="s">
        <v>200</v>
      </c>
      <c r="B80" s="47" t="s">
        <v>26</v>
      </c>
      <c r="C80" s="11" t="s">
        <v>27</v>
      </c>
      <c r="D80" s="13">
        <f>60.5*0.01</f>
        <v>0.605</v>
      </c>
      <c r="E80" s="18">
        <f>E78*D81</f>
        <v>1.1492</v>
      </c>
      <c r="F80" s="18"/>
      <c r="G80" s="18"/>
      <c r="H80" s="18"/>
      <c r="I80" s="18"/>
      <c r="J80" s="18"/>
      <c r="K80" s="18"/>
      <c r="L80" s="314"/>
    </row>
    <row r="81" spans="1:12" s="73" customFormat="1" ht="15.75">
      <c r="A81" s="307" t="s">
        <v>201</v>
      </c>
      <c r="B81" s="47" t="s">
        <v>28</v>
      </c>
      <c r="C81" s="11" t="s">
        <v>29</v>
      </c>
      <c r="D81" s="20">
        <f>2.21*0.01</f>
        <v>0.0221</v>
      </c>
      <c r="E81" s="18">
        <f>E78*D81</f>
        <v>1.1492</v>
      </c>
      <c r="F81" s="18"/>
      <c r="G81" s="18"/>
      <c r="H81" s="18"/>
      <c r="I81" s="18"/>
      <c r="J81" s="18"/>
      <c r="K81" s="18"/>
      <c r="L81" s="314"/>
    </row>
    <row r="82" spans="1:12" s="73" customFormat="1" ht="15.75">
      <c r="A82" s="307" t="s">
        <v>202</v>
      </c>
      <c r="B82" s="49" t="s">
        <v>108</v>
      </c>
      <c r="C82" s="2" t="s">
        <v>46</v>
      </c>
      <c r="D82" s="21">
        <f>0.06*0.001</f>
        <v>6E-05</v>
      </c>
      <c r="E82" s="18">
        <f>E78*D82</f>
        <v>0.00312</v>
      </c>
      <c r="F82" s="18"/>
      <c r="G82" s="18"/>
      <c r="H82" s="18"/>
      <c r="I82" s="18"/>
      <c r="J82" s="18"/>
      <c r="K82" s="18"/>
      <c r="L82" s="314"/>
    </row>
    <row r="83" spans="1:12" s="73" customFormat="1" ht="20.25">
      <c r="A83" s="312" t="s">
        <v>203</v>
      </c>
      <c r="B83" s="46" t="s">
        <v>76</v>
      </c>
      <c r="C83" s="90" t="s">
        <v>118</v>
      </c>
      <c r="D83" s="77"/>
      <c r="E83" s="81">
        <v>45</v>
      </c>
      <c r="F83" s="91"/>
      <c r="G83" s="91"/>
      <c r="H83" s="91"/>
      <c r="I83" s="91"/>
      <c r="J83" s="91"/>
      <c r="K83" s="91"/>
      <c r="L83" s="317"/>
    </row>
    <row r="84" spans="1:12" s="73" customFormat="1" ht="16.5">
      <c r="A84" s="323" t="s">
        <v>204</v>
      </c>
      <c r="B84" s="47" t="s">
        <v>117</v>
      </c>
      <c r="C84" s="26" t="s">
        <v>77</v>
      </c>
      <c r="D84" s="21">
        <v>0.00921</v>
      </c>
      <c r="E84" s="18">
        <f>E83*D84</f>
        <v>0.41445</v>
      </c>
      <c r="F84" s="18"/>
      <c r="G84" s="18"/>
      <c r="H84" s="18"/>
      <c r="I84" s="18"/>
      <c r="J84" s="18"/>
      <c r="K84" s="18"/>
      <c r="L84" s="314"/>
    </row>
    <row r="85" spans="1:12" s="73" customFormat="1" ht="18">
      <c r="A85" s="312" t="s">
        <v>205</v>
      </c>
      <c r="B85" s="46" t="s">
        <v>78</v>
      </c>
      <c r="C85" s="80" t="s">
        <v>111</v>
      </c>
      <c r="D85" s="77"/>
      <c r="E85" s="81">
        <v>5</v>
      </c>
      <c r="F85" s="83"/>
      <c r="G85" s="83"/>
      <c r="H85" s="83"/>
      <c r="I85" s="83"/>
      <c r="J85" s="83"/>
      <c r="K85" s="83"/>
      <c r="L85" s="317"/>
    </row>
    <row r="86" spans="1:12" s="73" customFormat="1" ht="15.75">
      <c r="A86" s="318" t="s">
        <v>206</v>
      </c>
      <c r="B86" s="45" t="s">
        <v>31</v>
      </c>
      <c r="C86" s="11" t="s">
        <v>17</v>
      </c>
      <c r="D86" s="12">
        <v>1.21</v>
      </c>
      <c r="E86" s="18">
        <f>E85*D86</f>
        <v>6.05</v>
      </c>
      <c r="F86" s="18"/>
      <c r="G86" s="18"/>
      <c r="H86" s="18"/>
      <c r="I86" s="18"/>
      <c r="J86" s="18"/>
      <c r="K86" s="18"/>
      <c r="L86" s="314"/>
    </row>
    <row r="87" spans="1:12" s="73" customFormat="1" ht="40.5">
      <c r="A87" s="312" t="s">
        <v>207</v>
      </c>
      <c r="B87" s="76" t="s">
        <v>79</v>
      </c>
      <c r="C87" s="80" t="s">
        <v>111</v>
      </c>
      <c r="D87" s="77"/>
      <c r="E87" s="81">
        <v>52</v>
      </c>
      <c r="F87" s="81"/>
      <c r="G87" s="81"/>
      <c r="H87" s="81"/>
      <c r="I87" s="81"/>
      <c r="J87" s="81"/>
      <c r="K87" s="81"/>
      <c r="L87" s="317"/>
    </row>
    <row r="88" spans="1:12" s="73" customFormat="1" ht="15.75">
      <c r="A88" s="307" t="s">
        <v>208</v>
      </c>
      <c r="B88" s="47" t="s">
        <v>24</v>
      </c>
      <c r="C88" s="11" t="s">
        <v>25</v>
      </c>
      <c r="D88" s="19">
        <f>27*0.01</f>
        <v>0.27</v>
      </c>
      <c r="E88" s="18">
        <f>E87*D88</f>
        <v>14.040000000000001</v>
      </c>
      <c r="F88" s="18"/>
      <c r="G88" s="18"/>
      <c r="H88" s="18"/>
      <c r="I88" s="18"/>
      <c r="J88" s="18"/>
      <c r="K88" s="18"/>
      <c r="L88" s="314"/>
    </row>
    <row r="89" spans="1:12" s="73" customFormat="1" ht="15.75">
      <c r="A89" s="307" t="s">
        <v>209</v>
      </c>
      <c r="B89" s="47" t="s">
        <v>26</v>
      </c>
      <c r="C89" s="11" t="s">
        <v>27</v>
      </c>
      <c r="D89" s="13">
        <f>60.5*0.01</f>
        <v>0.605</v>
      </c>
      <c r="E89" s="18">
        <f>E87*D89</f>
        <v>31.46</v>
      </c>
      <c r="F89" s="18"/>
      <c r="G89" s="18"/>
      <c r="H89" s="18"/>
      <c r="I89" s="18"/>
      <c r="J89" s="18"/>
      <c r="K89" s="18"/>
      <c r="L89" s="314"/>
    </row>
    <row r="90" spans="1:12" s="73" customFormat="1" ht="24.75" customHeight="1">
      <c r="A90" s="307" t="s">
        <v>210</v>
      </c>
      <c r="B90" s="47" t="s">
        <v>28</v>
      </c>
      <c r="C90" s="11" t="s">
        <v>29</v>
      </c>
      <c r="D90" s="20">
        <f>2.21*0.01</f>
        <v>0.0221</v>
      </c>
      <c r="E90" s="18">
        <f>E87*D90</f>
        <v>1.1492</v>
      </c>
      <c r="F90" s="18"/>
      <c r="G90" s="18"/>
      <c r="H90" s="18"/>
      <c r="I90" s="18"/>
      <c r="J90" s="18"/>
      <c r="K90" s="18"/>
      <c r="L90" s="314"/>
    </row>
    <row r="91" spans="1:12" s="73" customFormat="1" ht="24.75" customHeight="1">
      <c r="A91" s="307" t="s">
        <v>211</v>
      </c>
      <c r="B91" s="49" t="s">
        <v>108</v>
      </c>
      <c r="C91" s="2" t="s">
        <v>46</v>
      </c>
      <c r="D91" s="21">
        <f>0.06*0.001</f>
        <v>6E-05</v>
      </c>
      <c r="E91" s="18">
        <f>E87*D91</f>
        <v>0.00312</v>
      </c>
      <c r="F91" s="18"/>
      <c r="G91" s="18"/>
      <c r="H91" s="18"/>
      <c r="I91" s="18"/>
      <c r="J91" s="18"/>
      <c r="K91" s="18"/>
      <c r="L91" s="314"/>
    </row>
    <row r="92" spans="1:12" s="73" customFormat="1" ht="24.75" customHeight="1">
      <c r="A92" s="312" t="s">
        <v>212</v>
      </c>
      <c r="B92" s="46" t="s">
        <v>80</v>
      </c>
      <c r="C92" s="84" t="s">
        <v>34</v>
      </c>
      <c r="D92" s="77"/>
      <c r="E92" s="79">
        <v>98.8</v>
      </c>
      <c r="F92" s="81"/>
      <c r="G92" s="81"/>
      <c r="H92" s="81"/>
      <c r="I92" s="81"/>
      <c r="J92" s="81"/>
      <c r="K92" s="81"/>
      <c r="L92" s="317"/>
    </row>
    <row r="93" spans="1:12" s="73" customFormat="1" ht="27">
      <c r="A93" s="312" t="s">
        <v>213</v>
      </c>
      <c r="B93" s="46" t="s">
        <v>81</v>
      </c>
      <c r="C93" s="80" t="s">
        <v>53</v>
      </c>
      <c r="D93" s="77"/>
      <c r="E93" s="79">
        <v>2.89</v>
      </c>
      <c r="F93" s="83"/>
      <c r="G93" s="83"/>
      <c r="H93" s="83"/>
      <c r="I93" s="83"/>
      <c r="J93" s="83"/>
      <c r="K93" s="83"/>
      <c r="L93" s="317"/>
    </row>
    <row r="94" spans="1:12" s="73" customFormat="1" ht="16.5">
      <c r="A94" s="322" t="s">
        <v>214</v>
      </c>
      <c r="B94" s="45" t="s">
        <v>31</v>
      </c>
      <c r="C94" s="11" t="s">
        <v>17</v>
      </c>
      <c r="D94" s="12">
        <v>37.4</v>
      </c>
      <c r="E94" s="18">
        <f>E93*D94</f>
        <v>108.086</v>
      </c>
      <c r="F94" s="18"/>
      <c r="G94" s="18"/>
      <c r="H94" s="18"/>
      <c r="I94" s="18"/>
      <c r="J94" s="18"/>
      <c r="K94" s="18"/>
      <c r="L94" s="314"/>
    </row>
    <row r="95" spans="1:12" s="73" customFormat="1" ht="16.5">
      <c r="A95" s="322" t="s">
        <v>215</v>
      </c>
      <c r="B95" s="45" t="s">
        <v>72</v>
      </c>
      <c r="C95" s="11" t="s">
        <v>19</v>
      </c>
      <c r="D95" s="12">
        <v>6.32</v>
      </c>
      <c r="E95" s="18">
        <f>E93*D95</f>
        <v>18.2648</v>
      </c>
      <c r="F95" s="18"/>
      <c r="G95" s="18"/>
      <c r="H95" s="18"/>
      <c r="I95" s="18"/>
      <c r="J95" s="18"/>
      <c r="K95" s="18"/>
      <c r="L95" s="314"/>
    </row>
    <row r="96" spans="1:12" s="73" customFormat="1" ht="16.5">
      <c r="A96" s="322" t="s">
        <v>216</v>
      </c>
      <c r="B96" s="48" t="s">
        <v>44</v>
      </c>
      <c r="C96" s="11"/>
      <c r="D96" s="12"/>
      <c r="E96" s="18"/>
      <c r="F96" s="18"/>
      <c r="G96" s="18"/>
      <c r="H96" s="18"/>
      <c r="I96" s="18"/>
      <c r="J96" s="18"/>
      <c r="K96" s="18"/>
      <c r="L96" s="314"/>
    </row>
    <row r="97" spans="1:12" s="73" customFormat="1" ht="16.5">
      <c r="A97" s="322" t="s">
        <v>217</v>
      </c>
      <c r="B97" s="45" t="s">
        <v>459</v>
      </c>
      <c r="C97" s="11" t="s">
        <v>34</v>
      </c>
      <c r="D97" s="12"/>
      <c r="E97" s="18">
        <v>1.63</v>
      </c>
      <c r="F97" s="18"/>
      <c r="G97" s="18"/>
      <c r="H97" s="18"/>
      <c r="I97" s="18"/>
      <c r="J97" s="18"/>
      <c r="K97" s="18"/>
      <c r="L97" s="314"/>
    </row>
    <row r="98" spans="1:12" s="73" customFormat="1" ht="16.5">
      <c r="A98" s="322" t="s">
        <v>218</v>
      </c>
      <c r="B98" s="45" t="s">
        <v>82</v>
      </c>
      <c r="C98" s="11" t="s">
        <v>34</v>
      </c>
      <c r="D98" s="12"/>
      <c r="E98" s="18">
        <v>0.29</v>
      </c>
      <c r="F98" s="18"/>
      <c r="G98" s="18"/>
      <c r="H98" s="18"/>
      <c r="I98" s="18"/>
      <c r="J98" s="18"/>
      <c r="K98" s="18"/>
      <c r="L98" s="314"/>
    </row>
    <row r="99" spans="1:12" s="73" customFormat="1" ht="16.5">
      <c r="A99" s="322" t="s">
        <v>219</v>
      </c>
      <c r="B99" s="45" t="s">
        <v>83</v>
      </c>
      <c r="C99" s="11" t="s">
        <v>34</v>
      </c>
      <c r="D99" s="12">
        <v>0.06</v>
      </c>
      <c r="E99" s="18">
        <f>E93*D99</f>
        <v>0.1734</v>
      </c>
      <c r="F99" s="18"/>
      <c r="G99" s="18"/>
      <c r="H99" s="18"/>
      <c r="I99" s="18"/>
      <c r="J99" s="18"/>
      <c r="K99" s="18"/>
      <c r="L99" s="314"/>
    </row>
    <row r="100" spans="1:12" s="73" customFormat="1" ht="16.5">
      <c r="A100" s="322" t="s">
        <v>220</v>
      </c>
      <c r="B100" s="45" t="s">
        <v>73</v>
      </c>
      <c r="C100" s="11" t="s">
        <v>19</v>
      </c>
      <c r="D100" s="12">
        <v>7.63</v>
      </c>
      <c r="E100" s="18">
        <f>E93*D100</f>
        <v>22.0507</v>
      </c>
      <c r="F100" s="18"/>
      <c r="G100" s="18"/>
      <c r="H100" s="18"/>
      <c r="I100" s="18"/>
      <c r="J100" s="18"/>
      <c r="K100" s="18"/>
      <c r="L100" s="314"/>
    </row>
    <row r="101" spans="1:12" s="73" customFormat="1" ht="15.75">
      <c r="A101" s="312" t="s">
        <v>221</v>
      </c>
      <c r="B101" s="76" t="s">
        <v>84</v>
      </c>
      <c r="C101" s="84" t="s">
        <v>34</v>
      </c>
      <c r="D101" s="77"/>
      <c r="E101" s="79">
        <v>2.89</v>
      </c>
      <c r="F101" s="81"/>
      <c r="G101" s="81"/>
      <c r="H101" s="81"/>
      <c r="I101" s="81"/>
      <c r="J101" s="81"/>
      <c r="K101" s="81"/>
      <c r="L101" s="317"/>
    </row>
    <row r="102" spans="1:12" s="73" customFormat="1" ht="24.75" customHeight="1" hidden="1">
      <c r="A102" s="307"/>
      <c r="B102" s="51" t="s">
        <v>85</v>
      </c>
      <c r="C102" s="9"/>
      <c r="D102" s="3"/>
      <c r="E102" s="6"/>
      <c r="F102" s="6"/>
      <c r="G102" s="6"/>
      <c r="H102" s="6"/>
      <c r="I102" s="6"/>
      <c r="J102" s="6"/>
      <c r="K102" s="6"/>
      <c r="L102" s="314"/>
    </row>
    <row r="103" spans="1:12" s="73" customFormat="1" ht="40.5" hidden="1">
      <c r="A103" s="312" t="s">
        <v>222</v>
      </c>
      <c r="B103" s="76" t="s">
        <v>119</v>
      </c>
      <c r="C103" s="80" t="s">
        <v>111</v>
      </c>
      <c r="D103" s="77"/>
      <c r="E103" s="79">
        <v>0</v>
      </c>
      <c r="F103" s="92"/>
      <c r="G103" s="92"/>
      <c r="H103" s="92"/>
      <c r="I103" s="92"/>
      <c r="J103" s="92"/>
      <c r="K103" s="92"/>
      <c r="L103" s="317"/>
    </row>
    <row r="104" spans="1:12" s="73" customFormat="1" ht="16.5" hidden="1">
      <c r="A104" s="322" t="s">
        <v>223</v>
      </c>
      <c r="B104" s="45" t="s">
        <v>31</v>
      </c>
      <c r="C104" s="11" t="s">
        <v>17</v>
      </c>
      <c r="D104" s="20">
        <v>0.0154</v>
      </c>
      <c r="E104" s="6">
        <f>E103*D104</f>
        <v>0</v>
      </c>
      <c r="F104" s="18"/>
      <c r="G104" s="18"/>
      <c r="H104" s="18"/>
      <c r="I104" s="18"/>
      <c r="J104" s="18"/>
      <c r="K104" s="18"/>
      <c r="L104" s="314"/>
    </row>
    <row r="105" spans="1:12" s="73" customFormat="1" ht="16.5" hidden="1">
      <c r="A105" s="322" t="s">
        <v>224</v>
      </c>
      <c r="B105" s="45" t="s">
        <v>120</v>
      </c>
      <c r="C105" s="16" t="s">
        <v>22</v>
      </c>
      <c r="D105" s="13">
        <v>0.0726</v>
      </c>
      <c r="E105" s="6">
        <f>E103*D105</f>
        <v>0</v>
      </c>
      <c r="F105" s="18"/>
      <c r="G105" s="18"/>
      <c r="H105" s="18"/>
      <c r="I105" s="18"/>
      <c r="J105" s="18"/>
      <c r="K105" s="18"/>
      <c r="L105" s="314"/>
    </row>
    <row r="106" spans="1:12" s="73" customFormat="1" ht="27" hidden="1">
      <c r="A106" s="312" t="s">
        <v>225</v>
      </c>
      <c r="B106" s="76" t="s">
        <v>70</v>
      </c>
      <c r="C106" s="80" t="s">
        <v>111</v>
      </c>
      <c r="D106" s="77"/>
      <c r="E106" s="81">
        <v>0</v>
      </c>
      <c r="F106" s="83"/>
      <c r="G106" s="83"/>
      <c r="H106" s="83"/>
      <c r="I106" s="83"/>
      <c r="J106" s="83"/>
      <c r="K106" s="83"/>
      <c r="L106" s="317"/>
    </row>
    <row r="107" spans="1:12" s="73" customFormat="1" ht="15.75" hidden="1">
      <c r="A107" s="318" t="s">
        <v>226</v>
      </c>
      <c r="B107" s="45" t="s">
        <v>31</v>
      </c>
      <c r="C107" s="11" t="s">
        <v>17</v>
      </c>
      <c r="D107" s="12">
        <v>2.06</v>
      </c>
      <c r="E107" s="18">
        <f>E106*D107</f>
        <v>0</v>
      </c>
      <c r="F107" s="18"/>
      <c r="G107" s="18"/>
      <c r="H107" s="18"/>
      <c r="I107" s="18"/>
      <c r="J107" s="18"/>
      <c r="K107" s="18"/>
      <c r="L107" s="314"/>
    </row>
    <row r="108" spans="1:12" s="73" customFormat="1" ht="27" hidden="1">
      <c r="A108" s="312" t="s">
        <v>227</v>
      </c>
      <c r="B108" s="46" t="s">
        <v>86</v>
      </c>
      <c r="C108" s="80" t="s">
        <v>111</v>
      </c>
      <c r="D108" s="77"/>
      <c r="E108" s="79">
        <v>0</v>
      </c>
      <c r="F108" s="83"/>
      <c r="G108" s="83"/>
      <c r="H108" s="83"/>
      <c r="I108" s="83"/>
      <c r="J108" s="83"/>
      <c r="K108" s="83"/>
      <c r="L108" s="317"/>
    </row>
    <row r="109" spans="1:12" s="73" customFormat="1" ht="16.5" hidden="1">
      <c r="A109" s="322" t="s">
        <v>228</v>
      </c>
      <c r="B109" s="45" t="s">
        <v>31</v>
      </c>
      <c r="C109" s="11" t="s">
        <v>40</v>
      </c>
      <c r="D109" s="13">
        <v>1.78</v>
      </c>
      <c r="E109" s="6">
        <f>E108*D109</f>
        <v>0</v>
      </c>
      <c r="F109" s="18"/>
      <c r="G109" s="18"/>
      <c r="H109" s="18"/>
      <c r="I109" s="18"/>
      <c r="J109" s="18"/>
      <c r="K109" s="18"/>
      <c r="L109" s="314"/>
    </row>
    <row r="110" spans="1:12" s="73" customFormat="1" ht="16.5" hidden="1">
      <c r="A110" s="322" t="s">
        <v>229</v>
      </c>
      <c r="B110" s="48" t="s">
        <v>44</v>
      </c>
      <c r="C110" s="11"/>
      <c r="D110" s="4"/>
      <c r="E110" s="6"/>
      <c r="F110" s="18"/>
      <c r="G110" s="18"/>
      <c r="H110" s="18"/>
      <c r="I110" s="18"/>
      <c r="J110" s="18"/>
      <c r="K110" s="18"/>
      <c r="L110" s="314"/>
    </row>
    <row r="111" spans="1:12" s="73" customFormat="1" ht="16.5" hidden="1">
      <c r="A111" s="322" t="s">
        <v>230</v>
      </c>
      <c r="B111" s="45" t="s">
        <v>45</v>
      </c>
      <c r="C111" s="11" t="s">
        <v>46</v>
      </c>
      <c r="D111" s="4">
        <v>1.1</v>
      </c>
      <c r="E111" s="6">
        <f>E108*D111</f>
        <v>0</v>
      </c>
      <c r="F111" s="18"/>
      <c r="G111" s="18"/>
      <c r="H111" s="18"/>
      <c r="I111" s="18"/>
      <c r="J111" s="18"/>
      <c r="K111" s="18"/>
      <c r="L111" s="314"/>
    </row>
    <row r="112" spans="1:12" s="73" customFormat="1" ht="27" hidden="1">
      <c r="A112" s="312" t="s">
        <v>231</v>
      </c>
      <c r="B112" s="76" t="s">
        <v>74</v>
      </c>
      <c r="C112" s="84" t="s">
        <v>34</v>
      </c>
      <c r="D112" s="77"/>
      <c r="E112" s="79">
        <f>E111*1.6</f>
        <v>0</v>
      </c>
      <c r="F112" s="81"/>
      <c r="G112" s="81"/>
      <c r="H112" s="81"/>
      <c r="I112" s="81"/>
      <c r="J112" s="81"/>
      <c r="K112" s="81"/>
      <c r="L112" s="317"/>
    </row>
    <row r="113" spans="1:12" s="73" customFormat="1" ht="27" hidden="1">
      <c r="A113" s="312" t="s">
        <v>232</v>
      </c>
      <c r="B113" s="46" t="s">
        <v>460</v>
      </c>
      <c r="C113" s="82" t="s">
        <v>75</v>
      </c>
      <c r="D113" s="77"/>
      <c r="E113" s="79">
        <v>0</v>
      </c>
      <c r="F113" s="83"/>
      <c r="G113" s="83"/>
      <c r="H113" s="83"/>
      <c r="I113" s="83"/>
      <c r="J113" s="83"/>
      <c r="K113" s="83"/>
      <c r="L113" s="317"/>
    </row>
    <row r="114" spans="1:12" s="73" customFormat="1" ht="15.75" hidden="1">
      <c r="A114" s="318" t="s">
        <v>233</v>
      </c>
      <c r="B114" s="45" t="s">
        <v>31</v>
      </c>
      <c r="C114" s="11" t="s">
        <v>40</v>
      </c>
      <c r="D114" s="3">
        <v>0.426</v>
      </c>
      <c r="E114" s="6">
        <f>E113*D114</f>
        <v>0</v>
      </c>
      <c r="F114" s="18"/>
      <c r="G114" s="18"/>
      <c r="H114" s="18"/>
      <c r="I114" s="18"/>
      <c r="J114" s="18"/>
      <c r="K114" s="18"/>
      <c r="L114" s="314"/>
    </row>
    <row r="115" spans="1:12" s="73" customFormat="1" ht="15.75" hidden="1">
      <c r="A115" s="318" t="s">
        <v>234</v>
      </c>
      <c r="B115" s="47" t="s">
        <v>72</v>
      </c>
      <c r="C115" s="16" t="s">
        <v>29</v>
      </c>
      <c r="D115" s="3">
        <v>0.217</v>
      </c>
      <c r="E115" s="6">
        <f>E113*D115</f>
        <v>0</v>
      </c>
      <c r="F115" s="18"/>
      <c r="G115" s="18"/>
      <c r="H115" s="18"/>
      <c r="I115" s="18"/>
      <c r="J115" s="18"/>
      <c r="K115" s="18"/>
      <c r="L115" s="314"/>
    </row>
    <row r="116" spans="1:12" s="73" customFormat="1" ht="15.75" hidden="1">
      <c r="A116" s="318" t="s">
        <v>235</v>
      </c>
      <c r="B116" s="48" t="s">
        <v>44</v>
      </c>
      <c r="C116" s="11"/>
      <c r="D116" s="4"/>
      <c r="E116" s="6"/>
      <c r="F116" s="18"/>
      <c r="G116" s="18"/>
      <c r="H116" s="18"/>
      <c r="I116" s="18"/>
      <c r="J116" s="18"/>
      <c r="K116" s="18"/>
      <c r="L116" s="314"/>
    </row>
    <row r="117" spans="1:12" s="73" customFormat="1" ht="15.75" hidden="1">
      <c r="A117" s="318" t="s">
        <v>236</v>
      </c>
      <c r="B117" s="45" t="s">
        <v>87</v>
      </c>
      <c r="C117" s="11" t="s">
        <v>75</v>
      </c>
      <c r="D117" s="3">
        <v>0.999</v>
      </c>
      <c r="E117" s="6">
        <f>E113*D117</f>
        <v>0</v>
      </c>
      <c r="F117" s="18"/>
      <c r="G117" s="18"/>
      <c r="H117" s="18"/>
      <c r="I117" s="18"/>
      <c r="J117" s="18"/>
      <c r="K117" s="18"/>
      <c r="L117" s="314"/>
    </row>
    <row r="118" spans="1:12" s="73" customFormat="1" ht="15.75" hidden="1">
      <c r="A118" s="318" t="s">
        <v>237</v>
      </c>
      <c r="B118" s="45" t="s">
        <v>73</v>
      </c>
      <c r="C118" s="11" t="s">
        <v>29</v>
      </c>
      <c r="D118" s="3">
        <v>0.108</v>
      </c>
      <c r="E118" s="6">
        <f>E113*D118</f>
        <v>0</v>
      </c>
      <c r="F118" s="18"/>
      <c r="G118" s="18"/>
      <c r="H118" s="18"/>
      <c r="I118" s="18"/>
      <c r="J118" s="18"/>
      <c r="K118" s="18"/>
      <c r="L118" s="314"/>
    </row>
    <row r="119" spans="1:12" s="73" customFormat="1" ht="26.25" customHeight="1" hidden="1">
      <c r="A119" s="312" t="s">
        <v>238</v>
      </c>
      <c r="B119" s="46" t="s">
        <v>461</v>
      </c>
      <c r="C119" s="82" t="s">
        <v>75</v>
      </c>
      <c r="D119" s="77"/>
      <c r="E119" s="79">
        <v>0</v>
      </c>
      <c r="F119" s="83"/>
      <c r="G119" s="83"/>
      <c r="H119" s="83"/>
      <c r="I119" s="83"/>
      <c r="J119" s="83"/>
      <c r="K119" s="83"/>
      <c r="L119" s="317"/>
    </row>
    <row r="120" spans="1:12" s="73" customFormat="1" ht="15.75" hidden="1">
      <c r="A120" s="318" t="s">
        <v>239</v>
      </c>
      <c r="B120" s="45" t="s">
        <v>31</v>
      </c>
      <c r="C120" s="11" t="s">
        <v>40</v>
      </c>
      <c r="D120" s="3">
        <v>0.353</v>
      </c>
      <c r="E120" s="6">
        <f>E119*D120</f>
        <v>0</v>
      </c>
      <c r="F120" s="18"/>
      <c r="G120" s="18"/>
      <c r="H120" s="18"/>
      <c r="I120" s="18"/>
      <c r="J120" s="18"/>
      <c r="K120" s="18"/>
      <c r="L120" s="314"/>
    </row>
    <row r="121" spans="1:12" s="73" customFormat="1" ht="15.75" hidden="1">
      <c r="A121" s="318" t="s">
        <v>240</v>
      </c>
      <c r="B121" s="47" t="s">
        <v>72</v>
      </c>
      <c r="C121" s="16" t="s">
        <v>29</v>
      </c>
      <c r="D121" s="27">
        <v>0.0351</v>
      </c>
      <c r="E121" s="6">
        <f>E119*D121</f>
        <v>0</v>
      </c>
      <c r="F121" s="18"/>
      <c r="G121" s="18"/>
      <c r="H121" s="18"/>
      <c r="I121" s="18"/>
      <c r="J121" s="18"/>
      <c r="K121" s="18"/>
      <c r="L121" s="314"/>
    </row>
    <row r="122" spans="1:12" s="73" customFormat="1" ht="15.75" hidden="1">
      <c r="A122" s="318" t="s">
        <v>241</v>
      </c>
      <c r="B122" s="48" t="s">
        <v>44</v>
      </c>
      <c r="C122" s="11"/>
      <c r="D122" s="4"/>
      <c r="E122" s="6"/>
      <c r="F122" s="18"/>
      <c r="G122" s="18"/>
      <c r="H122" s="18"/>
      <c r="I122" s="18"/>
      <c r="J122" s="18"/>
      <c r="K122" s="18"/>
      <c r="L122" s="314"/>
    </row>
    <row r="123" spans="1:12" s="73" customFormat="1" ht="15.75" hidden="1">
      <c r="A123" s="318" t="s">
        <v>242</v>
      </c>
      <c r="B123" s="45" t="s">
        <v>88</v>
      </c>
      <c r="C123" s="11" t="s">
        <v>75</v>
      </c>
      <c r="D123" s="3">
        <v>0.998</v>
      </c>
      <c r="E123" s="6">
        <f>E119*D123</f>
        <v>0</v>
      </c>
      <c r="F123" s="18"/>
      <c r="G123" s="18"/>
      <c r="H123" s="18"/>
      <c r="I123" s="18"/>
      <c r="J123" s="18"/>
      <c r="K123" s="18"/>
      <c r="L123" s="314"/>
    </row>
    <row r="124" spans="1:12" s="73" customFormat="1" ht="15.75" hidden="1">
      <c r="A124" s="318" t="s">
        <v>243</v>
      </c>
      <c r="B124" s="45" t="s">
        <v>73</v>
      </c>
      <c r="C124" s="11" t="s">
        <v>29</v>
      </c>
      <c r="D124" s="27">
        <v>0.0593</v>
      </c>
      <c r="E124" s="6">
        <f>E119*D124</f>
        <v>0</v>
      </c>
      <c r="F124" s="18"/>
      <c r="G124" s="18"/>
      <c r="H124" s="18"/>
      <c r="I124" s="18"/>
      <c r="J124" s="18"/>
      <c r="K124" s="18"/>
      <c r="L124" s="314"/>
    </row>
    <row r="125" spans="1:12" s="73" customFormat="1" ht="15.75" hidden="1">
      <c r="A125" s="324" t="s">
        <v>244</v>
      </c>
      <c r="B125" s="76" t="s">
        <v>89</v>
      </c>
      <c r="C125" s="84" t="s">
        <v>34</v>
      </c>
      <c r="D125" s="77"/>
      <c r="E125" s="79">
        <v>0</v>
      </c>
      <c r="F125" s="81"/>
      <c r="G125" s="81"/>
      <c r="H125" s="81"/>
      <c r="I125" s="81"/>
      <c r="J125" s="81"/>
      <c r="K125" s="81"/>
      <c r="L125" s="317"/>
    </row>
    <row r="126" spans="1:12" s="73" customFormat="1" ht="40.5" hidden="1">
      <c r="A126" s="312" t="s">
        <v>245</v>
      </c>
      <c r="B126" s="76" t="s">
        <v>134</v>
      </c>
      <c r="C126" s="90" t="s">
        <v>118</v>
      </c>
      <c r="D126" s="77"/>
      <c r="E126" s="81">
        <v>0</v>
      </c>
      <c r="F126" s="91"/>
      <c r="G126" s="91"/>
      <c r="H126" s="91"/>
      <c r="I126" s="91"/>
      <c r="J126" s="91"/>
      <c r="K126" s="91"/>
      <c r="L126" s="317"/>
    </row>
    <row r="127" spans="1:12" s="73" customFormat="1" ht="16.5" hidden="1">
      <c r="A127" s="322" t="s">
        <v>246</v>
      </c>
      <c r="B127" s="45" t="s">
        <v>31</v>
      </c>
      <c r="C127" s="11" t="s">
        <v>17</v>
      </c>
      <c r="D127" s="20">
        <v>0.0154</v>
      </c>
      <c r="E127" s="6">
        <f>E126*D127</f>
        <v>0</v>
      </c>
      <c r="F127" s="18"/>
      <c r="G127" s="18"/>
      <c r="H127" s="18"/>
      <c r="I127" s="18"/>
      <c r="J127" s="18"/>
      <c r="K127" s="18"/>
      <c r="L127" s="314"/>
    </row>
    <row r="128" spans="1:12" s="73" customFormat="1" ht="16.5" hidden="1">
      <c r="A128" s="322" t="s">
        <v>247</v>
      </c>
      <c r="B128" s="45" t="s">
        <v>120</v>
      </c>
      <c r="C128" s="16" t="s">
        <v>22</v>
      </c>
      <c r="D128" s="13">
        <v>0.0726</v>
      </c>
      <c r="E128" s="6">
        <f>E126*D128</f>
        <v>0</v>
      </c>
      <c r="F128" s="18"/>
      <c r="G128" s="18"/>
      <c r="H128" s="18"/>
      <c r="I128" s="18"/>
      <c r="J128" s="18"/>
      <c r="K128" s="18"/>
      <c r="L128" s="314"/>
    </row>
    <row r="129" spans="1:12" s="73" customFormat="1" ht="18" hidden="1">
      <c r="A129" s="312" t="s">
        <v>248</v>
      </c>
      <c r="B129" s="46" t="s">
        <v>78</v>
      </c>
      <c r="C129" s="80" t="s">
        <v>111</v>
      </c>
      <c r="D129" s="77"/>
      <c r="E129" s="81">
        <v>0</v>
      </c>
      <c r="F129" s="83"/>
      <c r="G129" s="83"/>
      <c r="H129" s="83"/>
      <c r="I129" s="83"/>
      <c r="J129" s="83"/>
      <c r="K129" s="83"/>
      <c r="L129" s="317"/>
    </row>
    <row r="130" spans="1:12" s="73" customFormat="1" ht="15.75" hidden="1">
      <c r="A130" s="318" t="s">
        <v>249</v>
      </c>
      <c r="B130" s="45" t="s">
        <v>31</v>
      </c>
      <c r="C130" s="11" t="s">
        <v>17</v>
      </c>
      <c r="D130" s="12">
        <v>1.21</v>
      </c>
      <c r="E130" s="18">
        <f>E129*D130</f>
        <v>0</v>
      </c>
      <c r="F130" s="18"/>
      <c r="G130" s="18"/>
      <c r="H130" s="18"/>
      <c r="I130" s="18"/>
      <c r="J130" s="18"/>
      <c r="K130" s="18"/>
      <c r="L130" s="314"/>
    </row>
    <row r="131" spans="1:12" s="73" customFormat="1" ht="40.5" hidden="1">
      <c r="A131" s="312" t="s">
        <v>250</v>
      </c>
      <c r="B131" s="76" t="s">
        <v>133</v>
      </c>
      <c r="C131" s="80" t="s">
        <v>111</v>
      </c>
      <c r="D131" s="77"/>
      <c r="E131" s="81">
        <v>0</v>
      </c>
      <c r="F131" s="81"/>
      <c r="G131" s="81"/>
      <c r="H131" s="81"/>
      <c r="I131" s="81"/>
      <c r="J131" s="81"/>
      <c r="K131" s="81"/>
      <c r="L131" s="317"/>
    </row>
    <row r="132" spans="1:12" s="73" customFormat="1" ht="16.5" hidden="1">
      <c r="A132" s="322" t="s">
        <v>251</v>
      </c>
      <c r="B132" s="45" t="s">
        <v>31</v>
      </c>
      <c r="C132" s="11" t="s">
        <v>17</v>
      </c>
      <c r="D132" s="20">
        <v>0.0154</v>
      </c>
      <c r="E132" s="6">
        <f>E131*D132</f>
        <v>0</v>
      </c>
      <c r="F132" s="18"/>
      <c r="G132" s="18"/>
      <c r="H132" s="18"/>
      <c r="I132" s="18"/>
      <c r="J132" s="18"/>
      <c r="K132" s="18"/>
      <c r="L132" s="314"/>
    </row>
    <row r="133" spans="1:12" s="73" customFormat="1" ht="16.5" hidden="1">
      <c r="A133" s="322" t="s">
        <v>252</v>
      </c>
      <c r="B133" s="45" t="s">
        <v>120</v>
      </c>
      <c r="C133" s="16" t="s">
        <v>22</v>
      </c>
      <c r="D133" s="13">
        <v>0.0726</v>
      </c>
      <c r="E133" s="6">
        <f>E131*D133</f>
        <v>0</v>
      </c>
      <c r="F133" s="18"/>
      <c r="G133" s="18"/>
      <c r="H133" s="18"/>
      <c r="I133" s="18"/>
      <c r="J133" s="18"/>
      <c r="K133" s="18"/>
      <c r="L133" s="314"/>
    </row>
    <row r="134" spans="1:12" s="73" customFormat="1" ht="15.75" hidden="1">
      <c r="A134" s="312" t="s">
        <v>253</v>
      </c>
      <c r="B134" s="46" t="s">
        <v>80</v>
      </c>
      <c r="C134" s="84" t="s">
        <v>34</v>
      </c>
      <c r="D134" s="85">
        <v>1.9</v>
      </c>
      <c r="E134" s="79">
        <f>D134*E131</f>
        <v>0</v>
      </c>
      <c r="F134" s="81"/>
      <c r="G134" s="81"/>
      <c r="H134" s="81"/>
      <c r="I134" s="81"/>
      <c r="J134" s="81"/>
      <c r="K134" s="81"/>
      <c r="L134" s="317"/>
    </row>
    <row r="135" spans="1:12" s="73" customFormat="1" ht="19.5" customHeight="1">
      <c r="A135" s="318"/>
      <c r="B135" s="78" t="s">
        <v>90</v>
      </c>
      <c r="C135" s="14" t="s">
        <v>19</v>
      </c>
      <c r="D135" s="15"/>
      <c r="E135" s="81"/>
      <c r="F135" s="79"/>
      <c r="G135" s="79"/>
      <c r="H135" s="79"/>
      <c r="I135" s="79"/>
      <c r="J135" s="79"/>
      <c r="K135" s="79"/>
      <c r="L135" s="313"/>
    </row>
    <row r="136" spans="1:12" s="73" customFormat="1" ht="22.5" customHeight="1">
      <c r="A136" s="318"/>
      <c r="B136" s="361" t="s">
        <v>91</v>
      </c>
      <c r="C136" s="361"/>
      <c r="D136" s="46"/>
      <c r="E136" s="6"/>
      <c r="F136" s="6"/>
      <c r="G136" s="6"/>
      <c r="H136" s="6"/>
      <c r="I136" s="6"/>
      <c r="J136" s="6"/>
      <c r="K136" s="6"/>
      <c r="L136" s="325"/>
    </row>
    <row r="137" spans="1:12" s="73" customFormat="1" ht="15.75">
      <c r="A137" s="318"/>
      <c r="B137" s="51" t="s">
        <v>92</v>
      </c>
      <c r="C137" s="9"/>
      <c r="D137" s="3"/>
      <c r="E137" s="6"/>
      <c r="F137" s="6"/>
      <c r="G137" s="6"/>
      <c r="H137" s="6"/>
      <c r="I137" s="6"/>
      <c r="J137" s="6"/>
      <c r="K137" s="6"/>
      <c r="L137" s="325"/>
    </row>
    <row r="138" spans="1:12" s="73" customFormat="1" ht="40.5">
      <c r="A138" s="312" t="s">
        <v>254</v>
      </c>
      <c r="B138" s="76" t="s">
        <v>93</v>
      </c>
      <c r="C138" s="80" t="s">
        <v>111</v>
      </c>
      <c r="D138" s="77"/>
      <c r="E138" s="79">
        <v>3</v>
      </c>
      <c r="F138" s="190"/>
      <c r="G138" s="190"/>
      <c r="H138" s="190"/>
      <c r="I138" s="190"/>
      <c r="J138" s="190"/>
      <c r="K138" s="190"/>
      <c r="L138" s="313"/>
    </row>
    <row r="139" spans="1:12" s="73" customFormat="1" ht="27">
      <c r="A139" s="316" t="s">
        <v>255</v>
      </c>
      <c r="B139" s="47" t="s">
        <v>106</v>
      </c>
      <c r="C139" s="16" t="s">
        <v>22</v>
      </c>
      <c r="D139" s="17">
        <f>(19.1+14.4*2)*0.001</f>
        <v>0.047900000000000005</v>
      </c>
      <c r="E139" s="18">
        <f>E138*D139</f>
        <v>0.14370000000000002</v>
      </c>
      <c r="F139" s="18"/>
      <c r="G139" s="18"/>
      <c r="H139" s="18"/>
      <c r="I139" s="18"/>
      <c r="J139" s="18"/>
      <c r="K139" s="18"/>
      <c r="L139" s="314"/>
    </row>
    <row r="140" spans="1:12" s="73" customFormat="1" ht="27">
      <c r="A140" s="312" t="s">
        <v>256</v>
      </c>
      <c r="B140" s="76" t="s">
        <v>23</v>
      </c>
      <c r="C140" s="80" t="s">
        <v>111</v>
      </c>
      <c r="D140" s="77"/>
      <c r="E140" s="81">
        <f>E138</f>
        <v>3</v>
      </c>
      <c r="F140" s="81"/>
      <c r="G140" s="81"/>
      <c r="H140" s="81"/>
      <c r="I140" s="81"/>
      <c r="J140" s="81"/>
      <c r="K140" s="81"/>
      <c r="L140" s="317"/>
    </row>
    <row r="141" spans="1:12" s="73" customFormat="1" ht="27">
      <c r="A141" s="307" t="s">
        <v>257</v>
      </c>
      <c r="B141" s="47" t="s">
        <v>107</v>
      </c>
      <c r="C141" s="11" t="s">
        <v>27</v>
      </c>
      <c r="D141" s="13">
        <f>34.7*0.001</f>
        <v>0.0347</v>
      </c>
      <c r="E141" s="18">
        <f>D141*E140</f>
        <v>0.1041</v>
      </c>
      <c r="F141" s="18"/>
      <c r="G141" s="18"/>
      <c r="H141" s="18"/>
      <c r="I141" s="18"/>
      <c r="J141" s="18"/>
      <c r="K141" s="18"/>
      <c r="L141" s="314"/>
    </row>
    <row r="142" spans="1:12" s="73" customFormat="1" ht="15.75">
      <c r="A142" s="307" t="s">
        <v>258</v>
      </c>
      <c r="B142" s="47" t="s">
        <v>28</v>
      </c>
      <c r="C142" s="11" t="s">
        <v>29</v>
      </c>
      <c r="D142" s="20">
        <f>2.09*0.001</f>
        <v>0.00209</v>
      </c>
      <c r="E142" s="18">
        <f>E140*D142</f>
        <v>0.0062699999999999995</v>
      </c>
      <c r="F142" s="18"/>
      <c r="G142" s="18"/>
      <c r="H142" s="18"/>
      <c r="I142" s="18"/>
      <c r="J142" s="18"/>
      <c r="K142" s="18"/>
      <c r="L142" s="314"/>
    </row>
    <row r="143" spans="1:12" s="73" customFormat="1" ht="15.75">
      <c r="A143" s="307" t="s">
        <v>259</v>
      </c>
      <c r="B143" s="48" t="s">
        <v>44</v>
      </c>
      <c r="C143" s="2"/>
      <c r="D143" s="20"/>
      <c r="E143" s="18"/>
      <c r="F143" s="18"/>
      <c r="G143" s="18"/>
      <c r="H143" s="18"/>
      <c r="I143" s="18"/>
      <c r="J143" s="18"/>
      <c r="K143" s="18"/>
      <c r="L143" s="314"/>
    </row>
    <row r="144" spans="1:12" s="73" customFormat="1" ht="15.75">
      <c r="A144" s="307" t="s">
        <v>260</v>
      </c>
      <c r="B144" s="49" t="s">
        <v>108</v>
      </c>
      <c r="C144" s="2" t="s">
        <v>46</v>
      </c>
      <c r="D144" s="21">
        <f>0.04*0.001</f>
        <v>4E-05</v>
      </c>
      <c r="E144" s="18">
        <f>E140*D144</f>
        <v>0.00012000000000000002</v>
      </c>
      <c r="F144" s="18"/>
      <c r="G144" s="18"/>
      <c r="H144" s="18"/>
      <c r="I144" s="18"/>
      <c r="J144" s="18"/>
      <c r="K144" s="18"/>
      <c r="L144" s="314"/>
    </row>
    <row r="145" spans="1:12" s="73" customFormat="1" ht="15.75">
      <c r="A145" s="312" t="s">
        <v>261</v>
      </c>
      <c r="B145" s="46" t="s">
        <v>80</v>
      </c>
      <c r="C145" s="84" t="s">
        <v>34</v>
      </c>
      <c r="D145" s="85">
        <f>1.9</f>
        <v>1.9</v>
      </c>
      <c r="E145" s="79">
        <f>D145*E140</f>
        <v>5.699999999999999</v>
      </c>
      <c r="F145" s="81"/>
      <c r="G145" s="81"/>
      <c r="H145" s="81"/>
      <c r="I145" s="81"/>
      <c r="J145" s="81"/>
      <c r="K145" s="81"/>
      <c r="L145" s="317"/>
    </row>
    <row r="146" spans="1:12" s="73" customFormat="1" ht="27">
      <c r="A146" s="312" t="s">
        <v>262</v>
      </c>
      <c r="B146" s="76" t="s">
        <v>94</v>
      </c>
      <c r="C146" s="80" t="s">
        <v>111</v>
      </c>
      <c r="D146" s="77"/>
      <c r="E146" s="81">
        <v>2.87</v>
      </c>
      <c r="F146" s="81"/>
      <c r="G146" s="81"/>
      <c r="H146" s="81"/>
      <c r="I146" s="81"/>
      <c r="J146" s="81"/>
      <c r="K146" s="81"/>
      <c r="L146" s="317"/>
    </row>
    <row r="147" spans="1:12" s="73" customFormat="1" ht="15.75">
      <c r="A147" s="307" t="s">
        <v>263</v>
      </c>
      <c r="B147" s="49" t="s">
        <v>39</v>
      </c>
      <c r="C147" s="2" t="s">
        <v>40</v>
      </c>
      <c r="D147" s="19">
        <v>0.15</v>
      </c>
      <c r="E147" s="18">
        <f>E146*D147</f>
        <v>0.4305</v>
      </c>
      <c r="F147" s="18"/>
      <c r="G147" s="18"/>
      <c r="H147" s="18"/>
      <c r="I147" s="18"/>
      <c r="J147" s="18"/>
      <c r="K147" s="18"/>
      <c r="L147" s="314"/>
    </row>
    <row r="148" spans="1:12" s="73" customFormat="1" ht="27">
      <c r="A148" s="307" t="s">
        <v>264</v>
      </c>
      <c r="B148" s="45" t="s">
        <v>112</v>
      </c>
      <c r="C148" s="2" t="s">
        <v>41</v>
      </c>
      <c r="D148" s="21">
        <v>0.02016</v>
      </c>
      <c r="E148" s="18">
        <f>E146*D148</f>
        <v>0.057859200000000006</v>
      </c>
      <c r="F148" s="18"/>
      <c r="G148" s="18"/>
      <c r="H148" s="18"/>
      <c r="I148" s="18"/>
      <c r="J148" s="18"/>
      <c r="K148" s="18"/>
      <c r="L148" s="314"/>
    </row>
    <row r="149" spans="1:12" s="73" customFormat="1" ht="15.75">
      <c r="A149" s="307" t="s">
        <v>265</v>
      </c>
      <c r="B149" s="49" t="s">
        <v>42</v>
      </c>
      <c r="C149" s="2" t="s">
        <v>41</v>
      </c>
      <c r="D149" s="20">
        <v>0.0273</v>
      </c>
      <c r="E149" s="18">
        <f>E146*D149</f>
        <v>0.078351</v>
      </c>
      <c r="F149" s="18"/>
      <c r="G149" s="18"/>
      <c r="H149" s="18"/>
      <c r="I149" s="18"/>
      <c r="J149" s="18"/>
      <c r="K149" s="18"/>
      <c r="L149" s="314"/>
    </row>
    <row r="150" spans="1:12" s="73" customFormat="1" ht="15.75">
      <c r="A150" s="307" t="s">
        <v>266</v>
      </c>
      <c r="B150" s="49" t="s">
        <v>43</v>
      </c>
      <c r="C150" s="2" t="s">
        <v>41</v>
      </c>
      <c r="D150" s="20">
        <v>0.0097</v>
      </c>
      <c r="E150" s="18">
        <f>E146*D150</f>
        <v>0.027839000000000003</v>
      </c>
      <c r="F150" s="18"/>
      <c r="G150" s="18"/>
      <c r="H150" s="18"/>
      <c r="I150" s="18"/>
      <c r="J150" s="18"/>
      <c r="K150" s="18"/>
      <c r="L150" s="314"/>
    </row>
    <row r="151" spans="1:12" s="73" customFormat="1" ht="15.75">
      <c r="A151" s="307" t="s">
        <v>267</v>
      </c>
      <c r="B151" s="48" t="s">
        <v>44</v>
      </c>
      <c r="C151" s="2"/>
      <c r="D151" s="20"/>
      <c r="E151" s="18"/>
      <c r="F151" s="18"/>
      <c r="G151" s="18"/>
      <c r="H151" s="18"/>
      <c r="I151" s="18"/>
      <c r="J151" s="18"/>
      <c r="K151" s="18"/>
      <c r="L151" s="314"/>
    </row>
    <row r="152" spans="1:12" s="73" customFormat="1" ht="15.75">
      <c r="A152" s="307" t="s">
        <v>268</v>
      </c>
      <c r="B152" s="49" t="s">
        <v>45</v>
      </c>
      <c r="C152" s="2" t="s">
        <v>46</v>
      </c>
      <c r="D152" s="12">
        <v>1.22</v>
      </c>
      <c r="E152" s="18">
        <f>E146*D152</f>
        <v>3.5014</v>
      </c>
      <c r="F152" s="18"/>
      <c r="G152" s="18"/>
      <c r="H152" s="18"/>
      <c r="I152" s="18"/>
      <c r="J152" s="18"/>
      <c r="K152" s="18"/>
      <c r="L152" s="314"/>
    </row>
    <row r="153" spans="1:12" s="73" customFormat="1" ht="15.75">
      <c r="A153" s="307" t="s">
        <v>269</v>
      </c>
      <c r="B153" s="49" t="s">
        <v>47</v>
      </c>
      <c r="C153" s="2" t="s">
        <v>46</v>
      </c>
      <c r="D153" s="19">
        <v>0.07</v>
      </c>
      <c r="E153" s="18">
        <f>E146*D153</f>
        <v>0.20090000000000002</v>
      </c>
      <c r="F153" s="18"/>
      <c r="G153" s="18"/>
      <c r="H153" s="18"/>
      <c r="I153" s="18"/>
      <c r="J153" s="18"/>
      <c r="K153" s="18"/>
      <c r="L153" s="314"/>
    </row>
    <row r="154" spans="1:12" s="73" customFormat="1" ht="27">
      <c r="A154" s="312" t="s">
        <v>270</v>
      </c>
      <c r="B154" s="76" t="s">
        <v>48</v>
      </c>
      <c r="C154" s="84" t="s">
        <v>34</v>
      </c>
      <c r="D154" s="77"/>
      <c r="E154" s="79">
        <f>E152*1.6</f>
        <v>5.60224</v>
      </c>
      <c r="F154" s="81"/>
      <c r="G154" s="81"/>
      <c r="H154" s="81"/>
      <c r="I154" s="81"/>
      <c r="J154" s="81"/>
      <c r="K154" s="81"/>
      <c r="L154" s="317"/>
    </row>
    <row r="155" spans="1:12" s="73" customFormat="1" ht="55.5">
      <c r="A155" s="312" t="s">
        <v>271</v>
      </c>
      <c r="B155" s="76" t="s">
        <v>462</v>
      </c>
      <c r="C155" s="86" t="s">
        <v>36</v>
      </c>
      <c r="D155" s="77"/>
      <c r="E155" s="81">
        <v>75</v>
      </c>
      <c r="F155" s="81"/>
      <c r="G155" s="81"/>
      <c r="H155" s="81"/>
      <c r="I155" s="81"/>
      <c r="J155" s="81"/>
      <c r="K155" s="81"/>
      <c r="L155" s="317"/>
    </row>
    <row r="156" spans="1:12" s="73" customFormat="1" ht="15.75">
      <c r="A156" s="307" t="s">
        <v>272</v>
      </c>
      <c r="B156" s="49" t="s">
        <v>39</v>
      </c>
      <c r="C156" s="2" t="s">
        <v>40</v>
      </c>
      <c r="D156" s="19">
        <v>0.033</v>
      </c>
      <c r="E156" s="18">
        <f>E155*D156</f>
        <v>2.475</v>
      </c>
      <c r="F156" s="18"/>
      <c r="G156" s="18"/>
      <c r="H156" s="18"/>
      <c r="I156" s="18"/>
      <c r="J156" s="18"/>
      <c r="K156" s="18"/>
      <c r="L156" s="314"/>
    </row>
    <row r="157" spans="1:12" s="73" customFormat="1" ht="27">
      <c r="A157" s="307" t="s">
        <v>273</v>
      </c>
      <c r="B157" s="45" t="s">
        <v>112</v>
      </c>
      <c r="C157" s="10" t="s">
        <v>41</v>
      </c>
      <c r="D157" s="21">
        <f>0.42*0.001</f>
        <v>0.00042</v>
      </c>
      <c r="E157" s="18">
        <f>E155*D157</f>
        <v>0.0315</v>
      </c>
      <c r="F157" s="18"/>
      <c r="G157" s="18"/>
      <c r="H157" s="18"/>
      <c r="I157" s="18"/>
      <c r="J157" s="18"/>
      <c r="K157" s="18"/>
      <c r="L157" s="314"/>
    </row>
    <row r="158" spans="1:12" s="73" customFormat="1" ht="15.75">
      <c r="A158" s="307" t="s">
        <v>274</v>
      </c>
      <c r="B158" s="45" t="s">
        <v>113</v>
      </c>
      <c r="C158" s="10" t="s">
        <v>41</v>
      </c>
      <c r="D158" s="20">
        <v>0.0112</v>
      </c>
      <c r="E158" s="18">
        <f>E155*D158</f>
        <v>0.84</v>
      </c>
      <c r="F158" s="18"/>
      <c r="G158" s="18"/>
      <c r="H158" s="18"/>
      <c r="I158" s="18"/>
      <c r="J158" s="18"/>
      <c r="K158" s="18"/>
      <c r="L158" s="314"/>
    </row>
    <row r="159" spans="1:12" s="73" customFormat="1" ht="15.75">
      <c r="A159" s="307" t="s">
        <v>275</v>
      </c>
      <c r="B159" s="45" t="s">
        <v>114</v>
      </c>
      <c r="C159" s="10" t="s">
        <v>41</v>
      </c>
      <c r="D159" s="20">
        <v>0.0248</v>
      </c>
      <c r="E159" s="18">
        <f>E155*D159</f>
        <v>1.8599999999999999</v>
      </c>
      <c r="F159" s="18"/>
      <c r="G159" s="18"/>
      <c r="H159" s="18"/>
      <c r="I159" s="18"/>
      <c r="J159" s="18"/>
      <c r="K159" s="18"/>
      <c r="L159" s="314"/>
    </row>
    <row r="160" spans="1:12" s="73" customFormat="1" ht="15.75">
      <c r="A160" s="307" t="s">
        <v>276</v>
      </c>
      <c r="B160" s="45" t="s">
        <v>43</v>
      </c>
      <c r="C160" s="10" t="s">
        <v>41</v>
      </c>
      <c r="D160" s="20">
        <v>0.00414</v>
      </c>
      <c r="E160" s="18">
        <f>E155*D160</f>
        <v>0.31049999999999994</v>
      </c>
      <c r="F160" s="18"/>
      <c r="G160" s="18"/>
      <c r="H160" s="18"/>
      <c r="I160" s="18"/>
      <c r="J160" s="18"/>
      <c r="K160" s="18"/>
      <c r="L160" s="314"/>
    </row>
    <row r="161" spans="1:12" s="73" customFormat="1" ht="15.75">
      <c r="A161" s="307" t="s">
        <v>277</v>
      </c>
      <c r="B161" s="49" t="s">
        <v>49</v>
      </c>
      <c r="C161" s="2" t="s">
        <v>41</v>
      </c>
      <c r="D161" s="21">
        <v>0.00053</v>
      </c>
      <c r="E161" s="18">
        <f>E155*D161</f>
        <v>0.03975</v>
      </c>
      <c r="F161" s="18"/>
      <c r="G161" s="18"/>
      <c r="H161" s="18"/>
      <c r="I161" s="18"/>
      <c r="J161" s="18"/>
      <c r="K161" s="18"/>
      <c r="L161" s="314"/>
    </row>
    <row r="162" spans="1:12" s="73" customFormat="1" ht="15.75">
      <c r="A162" s="307" t="s">
        <v>278</v>
      </c>
      <c r="B162" s="48" t="s">
        <v>44</v>
      </c>
      <c r="C162" s="2"/>
      <c r="D162" s="20"/>
      <c r="E162" s="18"/>
      <c r="F162" s="18"/>
      <c r="G162" s="18"/>
      <c r="H162" s="18"/>
      <c r="I162" s="18"/>
      <c r="J162" s="18"/>
      <c r="K162" s="18"/>
      <c r="L162" s="314"/>
    </row>
    <row r="163" spans="1:12" s="73" customFormat="1" ht="15.75">
      <c r="A163" s="307" t="s">
        <v>279</v>
      </c>
      <c r="B163" s="49" t="s">
        <v>50</v>
      </c>
      <c r="C163" s="2" t="s">
        <v>46</v>
      </c>
      <c r="D163" s="20">
        <f>(189-12.6*8+15)*0.001</f>
        <v>0.1032</v>
      </c>
      <c r="E163" s="18">
        <f>E155*D163</f>
        <v>7.74</v>
      </c>
      <c r="F163" s="18"/>
      <c r="G163" s="18"/>
      <c r="H163" s="18"/>
      <c r="I163" s="18"/>
      <c r="J163" s="18"/>
      <c r="K163" s="18"/>
      <c r="L163" s="314"/>
    </row>
    <row r="164" spans="1:12" s="73" customFormat="1" ht="15.75">
      <c r="A164" s="307" t="s">
        <v>280</v>
      </c>
      <c r="B164" s="49" t="s">
        <v>47</v>
      </c>
      <c r="C164" s="2" t="s">
        <v>46</v>
      </c>
      <c r="D164" s="20">
        <v>0.03</v>
      </c>
      <c r="E164" s="18">
        <f>E155*D164</f>
        <v>2.25</v>
      </c>
      <c r="F164" s="18"/>
      <c r="G164" s="18"/>
      <c r="H164" s="18"/>
      <c r="I164" s="18"/>
      <c r="J164" s="18"/>
      <c r="K164" s="18"/>
      <c r="L164" s="314"/>
    </row>
    <row r="165" spans="1:12" s="73" customFormat="1" ht="29.25" customHeight="1">
      <c r="A165" s="312" t="s">
        <v>281</v>
      </c>
      <c r="B165" s="76" t="s">
        <v>51</v>
      </c>
      <c r="C165" s="84" t="s">
        <v>34</v>
      </c>
      <c r="D165" s="85">
        <v>1.6</v>
      </c>
      <c r="E165" s="79">
        <f>D165*E163</f>
        <v>12.384</v>
      </c>
      <c r="F165" s="81"/>
      <c r="G165" s="81"/>
      <c r="H165" s="81"/>
      <c r="I165" s="81"/>
      <c r="J165" s="81"/>
      <c r="K165" s="81"/>
      <c r="L165" s="317"/>
    </row>
    <row r="166" spans="1:12" s="73" customFormat="1" ht="27">
      <c r="A166" s="312" t="s">
        <v>282</v>
      </c>
      <c r="B166" s="50" t="s">
        <v>52</v>
      </c>
      <c r="C166" s="86" t="s">
        <v>53</v>
      </c>
      <c r="D166" s="77"/>
      <c r="E166" s="81">
        <v>0.04</v>
      </c>
      <c r="F166" s="93"/>
      <c r="G166" s="93"/>
      <c r="H166" s="93"/>
      <c r="I166" s="93"/>
      <c r="J166" s="93"/>
      <c r="K166" s="93"/>
      <c r="L166" s="313"/>
    </row>
    <row r="167" spans="1:12" s="73" customFormat="1" ht="15.75">
      <c r="A167" s="320" t="s">
        <v>283</v>
      </c>
      <c r="B167" s="49" t="s">
        <v>54</v>
      </c>
      <c r="C167" s="2" t="s">
        <v>41</v>
      </c>
      <c r="D167" s="12">
        <v>0.3</v>
      </c>
      <c r="E167" s="18">
        <f>E166*D167</f>
        <v>0.012</v>
      </c>
      <c r="F167" s="18"/>
      <c r="G167" s="18"/>
      <c r="H167" s="18"/>
      <c r="I167" s="18"/>
      <c r="J167" s="18"/>
      <c r="K167" s="18"/>
      <c r="L167" s="314"/>
    </row>
    <row r="168" spans="1:12" s="73" customFormat="1" ht="15.75">
      <c r="A168" s="320" t="s">
        <v>284</v>
      </c>
      <c r="B168" s="48" t="s">
        <v>44</v>
      </c>
      <c r="C168" s="2"/>
      <c r="D168" s="20"/>
      <c r="E168" s="18"/>
      <c r="F168" s="18"/>
      <c r="G168" s="18"/>
      <c r="H168" s="18"/>
      <c r="I168" s="18"/>
      <c r="J168" s="18"/>
      <c r="K168" s="18"/>
      <c r="L168" s="314"/>
    </row>
    <row r="169" spans="1:12" s="73" customFormat="1" ht="15.75">
      <c r="A169" s="320" t="s">
        <v>285</v>
      </c>
      <c r="B169" s="49" t="s">
        <v>55</v>
      </c>
      <c r="C169" s="2" t="s">
        <v>53</v>
      </c>
      <c r="D169" s="19">
        <v>1.03</v>
      </c>
      <c r="E169" s="18">
        <f>E166*D169</f>
        <v>0.0412</v>
      </c>
      <c r="F169" s="18"/>
      <c r="G169" s="18"/>
      <c r="H169" s="18"/>
      <c r="I169" s="18"/>
      <c r="J169" s="18"/>
      <c r="K169" s="18"/>
      <c r="L169" s="314"/>
    </row>
    <row r="170" spans="1:12" s="73" customFormat="1" ht="15.75">
      <c r="A170" s="312" t="s">
        <v>286</v>
      </c>
      <c r="B170" s="76" t="s">
        <v>56</v>
      </c>
      <c r="C170" s="84" t="s">
        <v>34</v>
      </c>
      <c r="D170" s="77"/>
      <c r="E170" s="79">
        <f>E169</f>
        <v>0.0412</v>
      </c>
      <c r="F170" s="81"/>
      <c r="G170" s="81"/>
      <c r="H170" s="81"/>
      <c r="I170" s="81"/>
      <c r="J170" s="81"/>
      <c r="K170" s="81"/>
      <c r="L170" s="317"/>
    </row>
    <row r="171" spans="1:12" s="73" customFormat="1" ht="54">
      <c r="A171" s="312" t="s">
        <v>287</v>
      </c>
      <c r="B171" s="50" t="s">
        <v>457</v>
      </c>
      <c r="C171" s="86" t="s">
        <v>57</v>
      </c>
      <c r="D171" s="77"/>
      <c r="E171" s="81">
        <v>66</v>
      </c>
      <c r="F171" s="93"/>
      <c r="G171" s="93"/>
      <c r="H171" s="93"/>
      <c r="I171" s="93"/>
      <c r="J171" s="93"/>
      <c r="K171" s="93"/>
      <c r="L171" s="313"/>
    </row>
    <row r="172" spans="1:12" s="73" customFormat="1" ht="15.75">
      <c r="A172" s="320" t="s">
        <v>288</v>
      </c>
      <c r="B172" s="49" t="s">
        <v>39</v>
      </c>
      <c r="C172" s="2" t="s">
        <v>40</v>
      </c>
      <c r="D172" s="20">
        <v>0.03778</v>
      </c>
      <c r="E172" s="18">
        <f>E171*D172</f>
        <v>2.49348</v>
      </c>
      <c r="F172" s="18"/>
      <c r="G172" s="18"/>
      <c r="H172" s="18"/>
      <c r="I172" s="18"/>
      <c r="J172" s="18"/>
      <c r="K172" s="18"/>
      <c r="L172" s="314"/>
    </row>
    <row r="173" spans="1:12" s="73" customFormat="1" ht="15.75">
      <c r="A173" s="320" t="s">
        <v>289</v>
      </c>
      <c r="B173" s="49" t="s">
        <v>58</v>
      </c>
      <c r="C173" s="2" t="s">
        <v>41</v>
      </c>
      <c r="D173" s="21">
        <v>0.00302</v>
      </c>
      <c r="E173" s="18">
        <f>E171*D173</f>
        <v>0.19932</v>
      </c>
      <c r="F173" s="18"/>
      <c r="G173" s="18"/>
      <c r="H173" s="18"/>
      <c r="I173" s="18"/>
      <c r="J173" s="18"/>
      <c r="K173" s="18"/>
      <c r="L173" s="314"/>
    </row>
    <row r="174" spans="1:12" s="73" customFormat="1" ht="15.75">
      <c r="A174" s="320" t="s">
        <v>290</v>
      </c>
      <c r="B174" s="49" t="s">
        <v>135</v>
      </c>
      <c r="C174" s="2" t="s">
        <v>41</v>
      </c>
      <c r="D174" s="20">
        <v>0.0037</v>
      </c>
      <c r="E174" s="18">
        <f>E171*D174</f>
        <v>0.2442</v>
      </c>
      <c r="F174" s="18"/>
      <c r="G174" s="18"/>
      <c r="H174" s="18"/>
      <c r="I174" s="18"/>
      <c r="J174" s="18"/>
      <c r="K174" s="18"/>
      <c r="L174" s="314"/>
    </row>
    <row r="175" spans="1:12" s="73" customFormat="1" ht="15.75">
      <c r="A175" s="320" t="s">
        <v>291</v>
      </c>
      <c r="B175" s="45" t="s">
        <v>114</v>
      </c>
      <c r="C175" s="2" t="s">
        <v>41</v>
      </c>
      <c r="D175" s="20">
        <v>0.0111</v>
      </c>
      <c r="E175" s="18">
        <f>E171*D175</f>
        <v>0.7326</v>
      </c>
      <c r="F175" s="18"/>
      <c r="G175" s="18"/>
      <c r="H175" s="18"/>
      <c r="I175" s="18"/>
      <c r="J175" s="18"/>
      <c r="K175" s="18"/>
      <c r="L175" s="314"/>
    </row>
    <row r="176" spans="1:12" s="73" customFormat="1" ht="15.75">
      <c r="A176" s="320" t="s">
        <v>292</v>
      </c>
      <c r="B176" s="49" t="s">
        <v>59</v>
      </c>
      <c r="C176" s="2" t="s">
        <v>29</v>
      </c>
      <c r="D176" s="20">
        <v>0.0023</v>
      </c>
      <c r="E176" s="18">
        <f>E171*D176</f>
        <v>0.1518</v>
      </c>
      <c r="F176" s="18"/>
      <c r="G176" s="18"/>
      <c r="H176" s="18"/>
      <c r="I176" s="18"/>
      <c r="J176" s="18"/>
      <c r="K176" s="18"/>
      <c r="L176" s="314"/>
    </row>
    <row r="177" spans="1:12" s="73" customFormat="1" ht="15.75">
      <c r="A177" s="320" t="s">
        <v>293</v>
      </c>
      <c r="B177" s="48" t="s">
        <v>44</v>
      </c>
      <c r="C177" s="2"/>
      <c r="D177" s="12"/>
      <c r="E177" s="18"/>
      <c r="F177" s="18"/>
      <c r="G177" s="18"/>
      <c r="H177" s="18"/>
      <c r="I177" s="18"/>
      <c r="J177" s="18"/>
      <c r="K177" s="18"/>
      <c r="L177" s="314"/>
    </row>
    <row r="178" spans="1:12" s="73" customFormat="1" ht="15.75">
      <c r="A178" s="320" t="s">
        <v>294</v>
      </c>
      <c r="B178" s="49" t="s">
        <v>60</v>
      </c>
      <c r="C178" s="10" t="s">
        <v>61</v>
      </c>
      <c r="D178" s="20">
        <f>(93.1+11.6*4)*0.001</f>
        <v>0.1395</v>
      </c>
      <c r="E178" s="18">
        <f>E171*D178</f>
        <v>9.207</v>
      </c>
      <c r="F178" s="18"/>
      <c r="G178" s="18"/>
      <c r="H178" s="18"/>
      <c r="I178" s="18"/>
      <c r="J178" s="18"/>
      <c r="K178" s="18"/>
      <c r="L178" s="314"/>
    </row>
    <row r="179" spans="1:12" s="73" customFormat="1" ht="15.75">
      <c r="A179" s="320" t="s">
        <v>295</v>
      </c>
      <c r="B179" s="49" t="s">
        <v>62</v>
      </c>
      <c r="C179" s="2" t="s">
        <v>29</v>
      </c>
      <c r="D179" s="21">
        <f>(14.5+0.02*4)*0.001</f>
        <v>0.014580000000000001</v>
      </c>
      <c r="E179" s="18">
        <f>E171*D179</f>
        <v>0.96228</v>
      </c>
      <c r="F179" s="18"/>
      <c r="G179" s="18"/>
      <c r="H179" s="18"/>
      <c r="I179" s="18"/>
      <c r="J179" s="18"/>
      <c r="K179" s="18"/>
      <c r="L179" s="314"/>
    </row>
    <row r="180" spans="1:12" s="73" customFormat="1" ht="27">
      <c r="A180" s="321" t="s">
        <v>296</v>
      </c>
      <c r="B180" s="76" t="s">
        <v>63</v>
      </c>
      <c r="C180" s="84" t="s">
        <v>34</v>
      </c>
      <c r="D180" s="77"/>
      <c r="E180" s="79">
        <f>E178</f>
        <v>9.207</v>
      </c>
      <c r="F180" s="81"/>
      <c r="G180" s="81"/>
      <c r="H180" s="81"/>
      <c r="I180" s="81"/>
      <c r="J180" s="81"/>
      <c r="K180" s="81"/>
      <c r="L180" s="317"/>
    </row>
    <row r="181" spans="1:12" s="73" customFormat="1" ht="27">
      <c r="A181" s="312" t="s">
        <v>297</v>
      </c>
      <c r="B181" s="50" t="s">
        <v>64</v>
      </c>
      <c r="C181" s="86" t="s">
        <v>53</v>
      </c>
      <c r="D181" s="77"/>
      <c r="E181" s="81">
        <v>0.02</v>
      </c>
      <c r="F181" s="93"/>
      <c r="G181" s="93"/>
      <c r="H181" s="93"/>
      <c r="I181" s="93"/>
      <c r="J181" s="93"/>
      <c r="K181" s="93"/>
      <c r="L181" s="313"/>
    </row>
    <row r="182" spans="1:12" s="73" customFormat="1" ht="15.75">
      <c r="A182" s="320" t="s">
        <v>298</v>
      </c>
      <c r="B182" s="49" t="s">
        <v>54</v>
      </c>
      <c r="C182" s="2" t="s">
        <v>41</v>
      </c>
      <c r="D182" s="12">
        <v>0.3</v>
      </c>
      <c r="E182" s="18">
        <f>E181*D182</f>
        <v>0.006</v>
      </c>
      <c r="F182" s="18"/>
      <c r="G182" s="18"/>
      <c r="H182" s="18"/>
      <c r="I182" s="18"/>
      <c r="J182" s="18"/>
      <c r="K182" s="18"/>
      <c r="L182" s="314"/>
    </row>
    <row r="183" spans="1:12" s="73" customFormat="1" ht="15.75">
      <c r="A183" s="320" t="s">
        <v>299</v>
      </c>
      <c r="B183" s="48" t="s">
        <v>44</v>
      </c>
      <c r="C183" s="2"/>
      <c r="D183" s="20"/>
      <c r="E183" s="18"/>
      <c r="F183" s="18"/>
      <c r="G183" s="18"/>
      <c r="H183" s="18"/>
      <c r="I183" s="18"/>
      <c r="J183" s="18"/>
      <c r="K183" s="18"/>
      <c r="L183" s="314"/>
    </row>
    <row r="184" spans="1:12" s="73" customFormat="1" ht="15.75">
      <c r="A184" s="320" t="s">
        <v>300</v>
      </c>
      <c r="B184" s="49" t="s">
        <v>55</v>
      </c>
      <c r="C184" s="2" t="s">
        <v>53</v>
      </c>
      <c r="D184" s="19">
        <v>1.03</v>
      </c>
      <c r="E184" s="18">
        <f>E181*D184</f>
        <v>0.0206</v>
      </c>
      <c r="F184" s="18"/>
      <c r="G184" s="18"/>
      <c r="H184" s="18"/>
      <c r="I184" s="18"/>
      <c r="J184" s="18"/>
      <c r="K184" s="18"/>
      <c r="L184" s="314"/>
    </row>
    <row r="185" spans="1:12" s="73" customFormat="1" ht="15.75">
      <c r="A185" s="321" t="s">
        <v>301</v>
      </c>
      <c r="B185" s="76" t="s">
        <v>56</v>
      </c>
      <c r="C185" s="84" t="s">
        <v>34</v>
      </c>
      <c r="D185" s="77"/>
      <c r="E185" s="79">
        <f>E184</f>
        <v>0.0206</v>
      </c>
      <c r="F185" s="81"/>
      <c r="G185" s="81"/>
      <c r="H185" s="81"/>
      <c r="I185" s="81"/>
      <c r="J185" s="81"/>
      <c r="K185" s="81"/>
      <c r="L185" s="317"/>
    </row>
    <row r="186" spans="1:12" s="73" customFormat="1" ht="54">
      <c r="A186" s="312" t="s">
        <v>302</v>
      </c>
      <c r="B186" s="50" t="s">
        <v>458</v>
      </c>
      <c r="C186" s="86" t="s">
        <v>57</v>
      </c>
      <c r="D186" s="77"/>
      <c r="E186" s="81">
        <f>E171</f>
        <v>66</v>
      </c>
      <c r="F186" s="93"/>
      <c r="G186" s="93"/>
      <c r="H186" s="93"/>
      <c r="I186" s="93"/>
      <c r="J186" s="93"/>
      <c r="K186" s="93"/>
      <c r="L186" s="313"/>
    </row>
    <row r="187" spans="1:12" s="73" customFormat="1" ht="15.75">
      <c r="A187" s="320" t="s">
        <v>303</v>
      </c>
      <c r="B187" s="49" t="s">
        <v>39</v>
      </c>
      <c r="C187" s="2" t="s">
        <v>40</v>
      </c>
      <c r="D187" s="20">
        <v>0.0375</v>
      </c>
      <c r="E187" s="18">
        <f>E186*D187</f>
        <v>2.475</v>
      </c>
      <c r="F187" s="18"/>
      <c r="G187" s="18"/>
      <c r="H187" s="18"/>
      <c r="I187" s="18"/>
      <c r="J187" s="18"/>
      <c r="K187" s="18"/>
      <c r="L187" s="314"/>
    </row>
    <row r="188" spans="1:12" s="73" customFormat="1" ht="15.75">
      <c r="A188" s="320" t="s">
        <v>304</v>
      </c>
      <c r="B188" s="49" t="s">
        <v>58</v>
      </c>
      <c r="C188" s="2" t="s">
        <v>41</v>
      </c>
      <c r="D188" s="21">
        <v>0.00302</v>
      </c>
      <c r="E188" s="18">
        <f>E186*D188</f>
        <v>0.19932</v>
      </c>
      <c r="F188" s="18"/>
      <c r="G188" s="18"/>
      <c r="H188" s="18"/>
      <c r="I188" s="18"/>
      <c r="J188" s="18"/>
      <c r="K188" s="18"/>
      <c r="L188" s="314"/>
    </row>
    <row r="189" spans="1:12" s="73" customFormat="1" ht="15.75">
      <c r="A189" s="320" t="s">
        <v>305</v>
      </c>
      <c r="B189" s="49" t="s">
        <v>135</v>
      </c>
      <c r="C189" s="2" t="s">
        <v>41</v>
      </c>
      <c r="D189" s="20">
        <v>0.0037</v>
      </c>
      <c r="E189" s="18">
        <f>E186*D189</f>
        <v>0.2442</v>
      </c>
      <c r="F189" s="18"/>
      <c r="G189" s="18"/>
      <c r="H189" s="18"/>
      <c r="I189" s="18"/>
      <c r="J189" s="18"/>
      <c r="K189" s="18"/>
      <c r="L189" s="314"/>
    </row>
    <row r="190" spans="1:12" s="73" customFormat="1" ht="15.75">
      <c r="A190" s="320" t="s">
        <v>306</v>
      </c>
      <c r="B190" s="45" t="s">
        <v>114</v>
      </c>
      <c r="C190" s="2" t="s">
        <v>41</v>
      </c>
      <c r="D190" s="20">
        <v>0.0111</v>
      </c>
      <c r="E190" s="18">
        <f>E186*D190</f>
        <v>0.7326</v>
      </c>
      <c r="F190" s="18"/>
      <c r="G190" s="18"/>
      <c r="H190" s="18"/>
      <c r="I190" s="18"/>
      <c r="J190" s="18"/>
      <c r="K190" s="18"/>
      <c r="L190" s="314"/>
    </row>
    <row r="191" spans="1:12" s="73" customFormat="1" ht="15.75">
      <c r="A191" s="320" t="s">
        <v>307</v>
      </c>
      <c r="B191" s="49" t="s">
        <v>59</v>
      </c>
      <c r="C191" s="2" t="s">
        <v>29</v>
      </c>
      <c r="D191" s="20">
        <v>0.0023</v>
      </c>
      <c r="E191" s="18">
        <f>E186*D191</f>
        <v>0.1518</v>
      </c>
      <c r="F191" s="18"/>
      <c r="G191" s="18"/>
      <c r="H191" s="18"/>
      <c r="I191" s="18"/>
      <c r="J191" s="18"/>
      <c r="K191" s="18"/>
      <c r="L191" s="314"/>
    </row>
    <row r="192" spans="1:12" s="73" customFormat="1" ht="15.75">
      <c r="A192" s="320" t="s">
        <v>308</v>
      </c>
      <c r="B192" s="48" t="s">
        <v>44</v>
      </c>
      <c r="C192" s="2"/>
      <c r="D192" s="12"/>
      <c r="E192" s="18"/>
      <c r="F192" s="18"/>
      <c r="G192" s="18"/>
      <c r="H192" s="18"/>
      <c r="I192" s="18"/>
      <c r="J192" s="18"/>
      <c r="K192" s="18"/>
      <c r="L192" s="314"/>
    </row>
    <row r="193" spans="1:12" s="73" customFormat="1" ht="15.75">
      <c r="A193" s="320" t="s">
        <v>309</v>
      </c>
      <c r="B193" s="49" t="s">
        <v>65</v>
      </c>
      <c r="C193" s="10" t="s">
        <v>61</v>
      </c>
      <c r="D193" s="20">
        <v>0.0974</v>
      </c>
      <c r="E193" s="18">
        <f>E186*D193</f>
        <v>6.4284</v>
      </c>
      <c r="F193" s="18"/>
      <c r="G193" s="18"/>
      <c r="H193" s="18"/>
      <c r="I193" s="18"/>
      <c r="J193" s="18"/>
      <c r="K193" s="18"/>
      <c r="L193" s="314"/>
    </row>
    <row r="194" spans="1:12" s="73" customFormat="1" ht="15.75">
      <c r="A194" s="320" t="s">
        <v>310</v>
      </c>
      <c r="B194" s="49" t="s">
        <v>62</v>
      </c>
      <c r="C194" s="2" t="s">
        <v>29</v>
      </c>
      <c r="D194" s="20">
        <v>0.0145</v>
      </c>
      <c r="E194" s="18">
        <f>E186*D194</f>
        <v>0.9570000000000001</v>
      </c>
      <c r="F194" s="18"/>
      <c r="G194" s="18"/>
      <c r="H194" s="18"/>
      <c r="I194" s="18"/>
      <c r="J194" s="18"/>
      <c r="K194" s="18"/>
      <c r="L194" s="314"/>
    </row>
    <row r="195" spans="1:12" s="73" customFormat="1" ht="33.75" customHeight="1">
      <c r="A195" s="312" t="s">
        <v>311</v>
      </c>
      <c r="B195" s="76" t="s">
        <v>63</v>
      </c>
      <c r="C195" s="84" t="s">
        <v>34</v>
      </c>
      <c r="D195" s="77"/>
      <c r="E195" s="79">
        <f>E193</f>
        <v>6.4284</v>
      </c>
      <c r="F195" s="81"/>
      <c r="G195" s="81"/>
      <c r="H195" s="81"/>
      <c r="I195" s="81"/>
      <c r="J195" s="81"/>
      <c r="K195" s="81"/>
      <c r="L195" s="317"/>
    </row>
    <row r="196" spans="1:12" s="73" customFormat="1" ht="15.75">
      <c r="A196" s="318"/>
      <c r="B196" s="51" t="s">
        <v>95</v>
      </c>
      <c r="C196" s="9"/>
      <c r="D196" s="3"/>
      <c r="E196" s="6"/>
      <c r="F196" s="6"/>
      <c r="G196" s="6"/>
      <c r="H196" s="6"/>
      <c r="I196" s="6"/>
      <c r="J196" s="6"/>
      <c r="K196" s="6"/>
      <c r="L196" s="325"/>
    </row>
    <row r="197" spans="1:12" s="73" customFormat="1" ht="50.25" customHeight="1">
      <c r="A197" s="312" t="s">
        <v>312</v>
      </c>
      <c r="B197" s="46" t="s">
        <v>121</v>
      </c>
      <c r="C197" s="82" t="s">
        <v>75</v>
      </c>
      <c r="D197" s="77"/>
      <c r="E197" s="81">
        <v>20</v>
      </c>
      <c r="F197" s="83"/>
      <c r="G197" s="83"/>
      <c r="H197" s="83"/>
      <c r="I197" s="83"/>
      <c r="J197" s="83"/>
      <c r="K197" s="83"/>
      <c r="L197" s="317"/>
    </row>
    <row r="198" spans="1:12" s="73" customFormat="1" ht="15.75">
      <c r="A198" s="318" t="s">
        <v>313</v>
      </c>
      <c r="B198" s="45" t="s">
        <v>31</v>
      </c>
      <c r="C198" s="11" t="s">
        <v>40</v>
      </c>
      <c r="D198" s="19">
        <v>0.745</v>
      </c>
      <c r="E198" s="18">
        <f>E197*D198</f>
        <v>14.9</v>
      </c>
      <c r="F198" s="18"/>
      <c r="G198" s="18"/>
      <c r="H198" s="18"/>
      <c r="I198" s="18"/>
      <c r="J198" s="18"/>
      <c r="K198" s="18"/>
      <c r="L198" s="314"/>
    </row>
    <row r="199" spans="1:12" s="73" customFormat="1" ht="15.75">
      <c r="A199" s="318" t="s">
        <v>314</v>
      </c>
      <c r="B199" s="47" t="s">
        <v>72</v>
      </c>
      <c r="C199" s="16" t="s">
        <v>29</v>
      </c>
      <c r="D199" s="19">
        <v>0.38</v>
      </c>
      <c r="E199" s="18">
        <f>E197*D199</f>
        <v>7.6</v>
      </c>
      <c r="F199" s="18"/>
      <c r="G199" s="18"/>
      <c r="H199" s="18"/>
      <c r="I199" s="18"/>
      <c r="J199" s="18"/>
      <c r="K199" s="18"/>
      <c r="L199" s="314"/>
    </row>
    <row r="200" spans="1:12" s="73" customFormat="1" ht="15.75">
      <c r="A200" s="318" t="s">
        <v>315</v>
      </c>
      <c r="B200" s="48" t="s">
        <v>44</v>
      </c>
      <c r="C200" s="11"/>
      <c r="D200" s="12"/>
      <c r="E200" s="18"/>
      <c r="F200" s="18"/>
      <c r="G200" s="18"/>
      <c r="H200" s="18"/>
      <c r="I200" s="18"/>
      <c r="J200" s="18"/>
      <c r="K200" s="18"/>
      <c r="L200" s="314"/>
    </row>
    <row r="201" spans="1:12" s="73" customFormat="1" ht="15.75">
      <c r="A201" s="318" t="s">
        <v>316</v>
      </c>
      <c r="B201" s="45" t="s">
        <v>96</v>
      </c>
      <c r="C201" s="11" t="s">
        <v>75</v>
      </c>
      <c r="D201" s="19">
        <v>0.995</v>
      </c>
      <c r="E201" s="18">
        <f>E197*D201</f>
        <v>19.9</v>
      </c>
      <c r="F201" s="18"/>
      <c r="G201" s="18"/>
      <c r="H201" s="18"/>
      <c r="I201" s="18"/>
      <c r="J201" s="18"/>
      <c r="K201" s="18"/>
      <c r="L201" s="314"/>
    </row>
    <row r="202" spans="1:12" s="73" customFormat="1" ht="15.75">
      <c r="A202" s="318" t="s">
        <v>317</v>
      </c>
      <c r="B202" s="45" t="s">
        <v>73</v>
      </c>
      <c r="C202" s="11" t="s">
        <v>29</v>
      </c>
      <c r="D202" s="19">
        <v>0.184</v>
      </c>
      <c r="E202" s="18">
        <f>E197*D202</f>
        <v>3.6799999999999997</v>
      </c>
      <c r="F202" s="18"/>
      <c r="G202" s="18"/>
      <c r="H202" s="18"/>
      <c r="I202" s="18"/>
      <c r="J202" s="18"/>
      <c r="K202" s="18"/>
      <c r="L202" s="314"/>
    </row>
    <row r="203" spans="1:12" s="73" customFormat="1" ht="23.25" customHeight="1">
      <c r="A203" s="324" t="s">
        <v>318</v>
      </c>
      <c r="B203" s="76" t="s">
        <v>89</v>
      </c>
      <c r="C203" s="84" t="s">
        <v>34</v>
      </c>
      <c r="D203" s="77"/>
      <c r="E203" s="79">
        <v>1.244</v>
      </c>
      <c r="F203" s="81"/>
      <c r="G203" s="81"/>
      <c r="H203" s="81"/>
      <c r="I203" s="81"/>
      <c r="J203" s="81"/>
      <c r="K203" s="81"/>
      <c r="L203" s="317"/>
    </row>
    <row r="204" spans="1:12" s="73" customFormat="1" ht="27">
      <c r="A204" s="312" t="s">
        <v>319</v>
      </c>
      <c r="B204" s="46" t="s">
        <v>463</v>
      </c>
      <c r="C204" s="82" t="s">
        <v>46</v>
      </c>
      <c r="D204" s="77"/>
      <c r="E204" s="81">
        <v>2.2</v>
      </c>
      <c r="F204" s="83"/>
      <c r="G204" s="83"/>
      <c r="H204" s="83"/>
      <c r="I204" s="83"/>
      <c r="J204" s="83"/>
      <c r="K204" s="83"/>
      <c r="L204" s="317"/>
    </row>
    <row r="205" spans="1:12" s="5" customFormat="1" ht="30" customHeight="1">
      <c r="A205" s="326" t="s">
        <v>320</v>
      </c>
      <c r="B205" s="333" t="s">
        <v>122</v>
      </c>
      <c r="C205" s="334" t="s">
        <v>17</v>
      </c>
      <c r="D205" s="335">
        <v>6.6</v>
      </c>
      <c r="E205" s="181">
        <f>D205*E204</f>
        <v>14.52</v>
      </c>
      <c r="F205" s="18"/>
      <c r="G205" s="18"/>
      <c r="H205" s="18"/>
      <c r="I205" s="18"/>
      <c r="J205" s="18"/>
      <c r="K205" s="18"/>
      <c r="L205" s="314"/>
    </row>
    <row r="206" spans="1:12" s="5" customFormat="1" ht="15" customHeight="1">
      <c r="A206" s="326" t="s">
        <v>321</v>
      </c>
      <c r="B206" s="333" t="s">
        <v>123</v>
      </c>
      <c r="C206" s="334" t="s">
        <v>124</v>
      </c>
      <c r="D206" s="335">
        <v>0.096</v>
      </c>
      <c r="E206" s="181">
        <f>E204*D206</f>
        <v>0.21120000000000003</v>
      </c>
      <c r="F206" s="18"/>
      <c r="G206" s="18"/>
      <c r="H206" s="18"/>
      <c r="I206" s="18"/>
      <c r="J206" s="18"/>
      <c r="K206" s="18"/>
      <c r="L206" s="314"/>
    </row>
    <row r="207" spans="1:12" s="5" customFormat="1" ht="15" customHeight="1">
      <c r="A207" s="326" t="s">
        <v>322</v>
      </c>
      <c r="B207" s="333" t="s">
        <v>125</v>
      </c>
      <c r="C207" s="334" t="s">
        <v>126</v>
      </c>
      <c r="D207" s="335">
        <v>0.329</v>
      </c>
      <c r="E207" s="181">
        <f>E204*D207</f>
        <v>0.7238000000000001</v>
      </c>
      <c r="F207" s="18"/>
      <c r="G207" s="18"/>
      <c r="H207" s="18"/>
      <c r="I207" s="18"/>
      <c r="J207" s="18"/>
      <c r="K207" s="18"/>
      <c r="L207" s="314"/>
    </row>
    <row r="208" spans="1:12" s="5" customFormat="1" ht="15.75" customHeight="1">
      <c r="A208" s="326" t="s">
        <v>323</v>
      </c>
      <c r="B208" s="45" t="s">
        <v>464</v>
      </c>
      <c r="C208" s="334" t="s">
        <v>490</v>
      </c>
      <c r="D208" s="335">
        <v>1.015</v>
      </c>
      <c r="E208" s="181">
        <f>E204*D208</f>
        <v>2.233</v>
      </c>
      <c r="F208" s="18"/>
      <c r="G208" s="18"/>
      <c r="H208" s="18"/>
      <c r="I208" s="18"/>
      <c r="J208" s="18"/>
      <c r="K208" s="18"/>
      <c r="L208" s="314"/>
    </row>
    <row r="209" spans="1:12" s="5" customFormat="1" ht="15.75" customHeight="1">
      <c r="A209" s="326" t="s">
        <v>324</v>
      </c>
      <c r="B209" s="333" t="s">
        <v>127</v>
      </c>
      <c r="C209" s="334" t="s">
        <v>490</v>
      </c>
      <c r="D209" s="335">
        <v>0.0247</v>
      </c>
      <c r="E209" s="181">
        <f>E204*D209</f>
        <v>0.054340000000000006</v>
      </c>
      <c r="F209" s="18"/>
      <c r="G209" s="18"/>
      <c r="H209" s="18"/>
      <c r="I209" s="18"/>
      <c r="J209" s="18"/>
      <c r="K209" s="18"/>
      <c r="L209" s="314"/>
    </row>
    <row r="210" spans="1:12" s="5" customFormat="1" ht="15.75" customHeight="1">
      <c r="A210" s="326" t="s">
        <v>325</v>
      </c>
      <c r="B210" s="333" t="s">
        <v>128</v>
      </c>
      <c r="C210" s="334" t="s">
        <v>496</v>
      </c>
      <c r="D210" s="335">
        <v>0.39</v>
      </c>
      <c r="E210" s="181">
        <f>E204*D210</f>
        <v>0.8580000000000001</v>
      </c>
      <c r="F210" s="18"/>
      <c r="G210" s="18"/>
      <c r="H210" s="18"/>
      <c r="I210" s="18"/>
      <c r="J210" s="18"/>
      <c r="K210" s="18"/>
      <c r="L210" s="314"/>
    </row>
    <row r="211" spans="1:12" s="5" customFormat="1" ht="15.75" customHeight="1">
      <c r="A211" s="326" t="s">
        <v>326</v>
      </c>
      <c r="B211" s="333" t="s">
        <v>497</v>
      </c>
      <c r="C211" s="334" t="s">
        <v>490</v>
      </c>
      <c r="D211" s="336">
        <v>0.0468</v>
      </c>
      <c r="E211" s="181">
        <f>E204*D211</f>
        <v>0.10296000000000001</v>
      </c>
      <c r="F211" s="18"/>
      <c r="G211" s="18"/>
      <c r="H211" s="18"/>
      <c r="I211" s="18"/>
      <c r="J211" s="18"/>
      <c r="K211" s="18"/>
      <c r="L211" s="314"/>
    </row>
    <row r="212" spans="1:12" s="5" customFormat="1" ht="15.75">
      <c r="A212" s="326" t="s">
        <v>327</v>
      </c>
      <c r="B212" s="333" t="s">
        <v>498</v>
      </c>
      <c r="C212" s="334" t="s">
        <v>490</v>
      </c>
      <c r="D212" s="335">
        <v>0.074</v>
      </c>
      <c r="E212" s="181">
        <f>E204*D212</f>
        <v>0.1628</v>
      </c>
      <c r="F212" s="18"/>
      <c r="G212" s="18"/>
      <c r="H212" s="18"/>
      <c r="I212" s="18"/>
      <c r="J212" s="18"/>
      <c r="K212" s="18"/>
      <c r="L212" s="314"/>
    </row>
    <row r="213" spans="1:12" s="5" customFormat="1" ht="15.75">
      <c r="A213" s="326" t="s">
        <v>328</v>
      </c>
      <c r="B213" s="333" t="s">
        <v>499</v>
      </c>
      <c r="C213" s="334" t="s">
        <v>500</v>
      </c>
      <c r="D213" s="335">
        <v>0.0053</v>
      </c>
      <c r="E213" s="181">
        <f>E204*D213</f>
        <v>0.01166</v>
      </c>
      <c r="F213" s="18"/>
      <c r="G213" s="18"/>
      <c r="H213" s="18"/>
      <c r="I213" s="18"/>
      <c r="J213" s="18"/>
      <c r="K213" s="18"/>
      <c r="L213" s="314"/>
    </row>
    <row r="214" spans="1:12" s="5" customFormat="1" ht="15" customHeight="1">
      <c r="A214" s="326" t="s">
        <v>329</v>
      </c>
      <c r="B214" s="333" t="s">
        <v>129</v>
      </c>
      <c r="C214" s="334" t="s">
        <v>130</v>
      </c>
      <c r="D214" s="335">
        <v>1.93</v>
      </c>
      <c r="E214" s="181">
        <f>E204*D214</f>
        <v>4.246</v>
      </c>
      <c r="F214" s="18"/>
      <c r="G214" s="18"/>
      <c r="H214" s="18"/>
      <c r="I214" s="18"/>
      <c r="J214" s="18"/>
      <c r="K214" s="18"/>
      <c r="L214" s="314"/>
    </row>
    <row r="215" spans="1:12" s="5" customFormat="1" ht="15" customHeight="1">
      <c r="A215" s="326" t="s">
        <v>330</v>
      </c>
      <c r="B215" s="333" t="s">
        <v>131</v>
      </c>
      <c r="C215" s="334" t="s">
        <v>130</v>
      </c>
      <c r="D215" s="335">
        <v>11.6</v>
      </c>
      <c r="E215" s="181">
        <f>E204*D215</f>
        <v>25.52</v>
      </c>
      <c r="F215" s="18"/>
      <c r="G215" s="18"/>
      <c r="H215" s="18"/>
      <c r="I215" s="18"/>
      <c r="J215" s="18"/>
      <c r="K215" s="18"/>
      <c r="L215" s="314"/>
    </row>
    <row r="216" spans="1:12" s="5" customFormat="1" ht="15" customHeight="1">
      <c r="A216" s="326" t="s">
        <v>331</v>
      </c>
      <c r="B216" s="333" t="s">
        <v>132</v>
      </c>
      <c r="C216" s="334" t="s">
        <v>126</v>
      </c>
      <c r="D216" s="337">
        <v>1.56</v>
      </c>
      <c r="E216" s="181">
        <f>E204*D216</f>
        <v>3.4320000000000004</v>
      </c>
      <c r="F216" s="18"/>
      <c r="G216" s="18"/>
      <c r="H216" s="18"/>
      <c r="I216" s="18"/>
      <c r="J216" s="18"/>
      <c r="K216" s="18"/>
      <c r="L216" s="314"/>
    </row>
    <row r="217" spans="1:12" s="73" customFormat="1" ht="15.75">
      <c r="A217" s="324" t="s">
        <v>332</v>
      </c>
      <c r="B217" s="76" t="s">
        <v>97</v>
      </c>
      <c r="C217" s="84" t="s">
        <v>34</v>
      </c>
      <c r="D217" s="85">
        <v>2.4</v>
      </c>
      <c r="E217" s="79">
        <f>D217*E208</f>
        <v>5.3592</v>
      </c>
      <c r="F217" s="81"/>
      <c r="G217" s="81"/>
      <c r="H217" s="81"/>
      <c r="I217" s="81"/>
      <c r="J217" s="81"/>
      <c r="K217" s="81"/>
      <c r="L217" s="317"/>
    </row>
    <row r="218" spans="1:12" s="73" customFormat="1" ht="55.5">
      <c r="A218" s="315" t="s">
        <v>333</v>
      </c>
      <c r="B218" s="76" t="s">
        <v>462</v>
      </c>
      <c r="C218" s="86" t="s">
        <v>36</v>
      </c>
      <c r="D218" s="77"/>
      <c r="E218" s="81">
        <v>90</v>
      </c>
      <c r="F218" s="81"/>
      <c r="G218" s="81"/>
      <c r="H218" s="81"/>
      <c r="I218" s="81"/>
      <c r="J218" s="81"/>
      <c r="K218" s="81"/>
      <c r="L218" s="317"/>
    </row>
    <row r="219" spans="1:12" s="73" customFormat="1" ht="15.75">
      <c r="A219" s="307" t="s">
        <v>334</v>
      </c>
      <c r="B219" s="49" t="s">
        <v>39</v>
      </c>
      <c r="C219" s="2" t="s">
        <v>40</v>
      </c>
      <c r="D219" s="19">
        <v>0.033</v>
      </c>
      <c r="E219" s="18">
        <f>E218*D219</f>
        <v>2.97</v>
      </c>
      <c r="F219" s="18"/>
      <c r="G219" s="18"/>
      <c r="H219" s="18"/>
      <c r="I219" s="18"/>
      <c r="J219" s="18"/>
      <c r="K219" s="18"/>
      <c r="L219" s="314"/>
    </row>
    <row r="220" spans="1:12" s="73" customFormat="1" ht="27">
      <c r="A220" s="307" t="s">
        <v>335</v>
      </c>
      <c r="B220" s="45" t="s">
        <v>112</v>
      </c>
      <c r="C220" s="2" t="s">
        <v>41</v>
      </c>
      <c r="D220" s="20">
        <v>0.00191</v>
      </c>
      <c r="E220" s="18">
        <f>E218*D220</f>
        <v>0.1719</v>
      </c>
      <c r="F220" s="18"/>
      <c r="G220" s="18"/>
      <c r="H220" s="18"/>
      <c r="I220" s="18"/>
      <c r="J220" s="18"/>
      <c r="K220" s="18"/>
      <c r="L220" s="314"/>
    </row>
    <row r="221" spans="1:12" s="73" customFormat="1" ht="15.75">
      <c r="A221" s="307" t="s">
        <v>336</v>
      </c>
      <c r="B221" s="45" t="s">
        <v>113</v>
      </c>
      <c r="C221" s="2" t="s">
        <v>41</v>
      </c>
      <c r="D221" s="20">
        <v>0.0112</v>
      </c>
      <c r="E221" s="18">
        <f>E218*D221</f>
        <v>1.008</v>
      </c>
      <c r="F221" s="18"/>
      <c r="G221" s="18"/>
      <c r="H221" s="18"/>
      <c r="I221" s="18"/>
      <c r="J221" s="18"/>
      <c r="K221" s="18"/>
      <c r="L221" s="314"/>
    </row>
    <row r="222" spans="1:12" s="73" customFormat="1" ht="15.75">
      <c r="A222" s="307" t="s">
        <v>337</v>
      </c>
      <c r="B222" s="45" t="s">
        <v>114</v>
      </c>
      <c r="C222" s="2" t="s">
        <v>41</v>
      </c>
      <c r="D222" s="20">
        <v>0.0248</v>
      </c>
      <c r="E222" s="18">
        <f>E218*D222</f>
        <v>2.2319999999999998</v>
      </c>
      <c r="F222" s="18"/>
      <c r="G222" s="18"/>
      <c r="H222" s="18"/>
      <c r="I222" s="18"/>
      <c r="J222" s="18"/>
      <c r="K222" s="18"/>
      <c r="L222" s="314"/>
    </row>
    <row r="223" spans="1:12" s="73" customFormat="1" ht="15.75">
      <c r="A223" s="307" t="s">
        <v>338</v>
      </c>
      <c r="B223" s="49" t="s">
        <v>43</v>
      </c>
      <c r="C223" s="2" t="s">
        <v>41</v>
      </c>
      <c r="D223" s="20">
        <v>0.00414</v>
      </c>
      <c r="E223" s="18">
        <f>E218*D223</f>
        <v>0.3726</v>
      </c>
      <c r="F223" s="18"/>
      <c r="G223" s="18"/>
      <c r="H223" s="18"/>
      <c r="I223" s="18"/>
      <c r="J223" s="18"/>
      <c r="K223" s="18"/>
      <c r="L223" s="314"/>
    </row>
    <row r="224" spans="1:12" s="73" customFormat="1" ht="15.75">
      <c r="A224" s="307" t="s">
        <v>339</v>
      </c>
      <c r="B224" s="49" t="s">
        <v>49</v>
      </c>
      <c r="C224" s="2" t="s">
        <v>41</v>
      </c>
      <c r="D224" s="20">
        <v>0.00053</v>
      </c>
      <c r="E224" s="18">
        <f>E218*D224</f>
        <v>0.0477</v>
      </c>
      <c r="F224" s="18"/>
      <c r="G224" s="18"/>
      <c r="H224" s="18"/>
      <c r="I224" s="18"/>
      <c r="J224" s="18"/>
      <c r="K224" s="18"/>
      <c r="L224" s="314"/>
    </row>
    <row r="225" spans="1:12" s="73" customFormat="1" ht="15.75">
      <c r="A225" s="307" t="s">
        <v>340</v>
      </c>
      <c r="B225" s="48" t="s">
        <v>44</v>
      </c>
      <c r="C225" s="2"/>
      <c r="D225" s="20"/>
      <c r="E225" s="18"/>
      <c r="F225" s="18"/>
      <c r="G225" s="18"/>
      <c r="H225" s="18"/>
      <c r="I225" s="18"/>
      <c r="J225" s="18"/>
      <c r="K225" s="18"/>
      <c r="L225" s="314"/>
    </row>
    <row r="226" spans="1:12" s="73" customFormat="1" ht="15.75">
      <c r="A226" s="307" t="s">
        <v>341</v>
      </c>
      <c r="B226" s="49" t="s">
        <v>50</v>
      </c>
      <c r="C226" s="2" t="s">
        <v>46</v>
      </c>
      <c r="D226" s="20">
        <f>(189-12.6*8+15)*0.001</f>
        <v>0.1032</v>
      </c>
      <c r="E226" s="18">
        <f>E218*D226*0.8</f>
        <v>7.430400000000001</v>
      </c>
      <c r="F226" s="18"/>
      <c r="G226" s="18"/>
      <c r="H226" s="18"/>
      <c r="I226" s="18"/>
      <c r="J226" s="18"/>
      <c r="K226" s="18"/>
      <c r="L226" s="314"/>
    </row>
    <row r="227" spans="1:12" s="73" customFormat="1" ht="15.75">
      <c r="A227" s="307" t="s">
        <v>342</v>
      </c>
      <c r="B227" s="49" t="s">
        <v>47</v>
      </c>
      <c r="C227" s="2" t="s">
        <v>46</v>
      </c>
      <c r="D227" s="20">
        <v>0.03</v>
      </c>
      <c r="E227" s="18">
        <f>E218*D227</f>
        <v>2.6999999999999997</v>
      </c>
      <c r="F227" s="18"/>
      <c r="G227" s="18"/>
      <c r="H227" s="18"/>
      <c r="I227" s="18"/>
      <c r="J227" s="18"/>
      <c r="K227" s="18"/>
      <c r="L227" s="314"/>
    </row>
    <row r="228" spans="1:12" s="73" customFormat="1" ht="21.75" customHeight="1">
      <c r="A228" s="312" t="s">
        <v>343</v>
      </c>
      <c r="B228" s="76" t="s">
        <v>51</v>
      </c>
      <c r="C228" s="84" t="s">
        <v>34</v>
      </c>
      <c r="D228" s="85">
        <v>1.6</v>
      </c>
      <c r="E228" s="79">
        <f>D228*E226</f>
        <v>11.888640000000002</v>
      </c>
      <c r="F228" s="81"/>
      <c r="G228" s="81"/>
      <c r="H228" s="81"/>
      <c r="I228" s="81"/>
      <c r="J228" s="81"/>
      <c r="K228" s="81"/>
      <c r="L228" s="317"/>
    </row>
    <row r="229" spans="1:12" s="73" customFormat="1" ht="36" customHeight="1">
      <c r="A229" s="312" t="s">
        <v>344</v>
      </c>
      <c r="B229" s="50" t="s">
        <v>52</v>
      </c>
      <c r="C229" s="86" t="s">
        <v>53</v>
      </c>
      <c r="D229" s="77"/>
      <c r="E229" s="81">
        <v>0.05</v>
      </c>
      <c r="F229" s="93"/>
      <c r="G229" s="93"/>
      <c r="H229" s="93"/>
      <c r="I229" s="93"/>
      <c r="J229" s="93"/>
      <c r="K229" s="93"/>
      <c r="L229" s="313"/>
    </row>
    <row r="230" spans="1:12" s="73" customFormat="1" ht="15.75">
      <c r="A230" s="320" t="s">
        <v>345</v>
      </c>
      <c r="B230" s="49" t="s">
        <v>54</v>
      </c>
      <c r="C230" s="2" t="s">
        <v>41</v>
      </c>
      <c r="D230" s="12">
        <v>0.3</v>
      </c>
      <c r="E230" s="18">
        <f>E229*D230</f>
        <v>0.015</v>
      </c>
      <c r="F230" s="18"/>
      <c r="G230" s="18"/>
      <c r="H230" s="18"/>
      <c r="I230" s="18"/>
      <c r="J230" s="18"/>
      <c r="K230" s="18"/>
      <c r="L230" s="314"/>
    </row>
    <row r="231" spans="1:12" s="73" customFormat="1" ht="15.75">
      <c r="A231" s="320" t="s">
        <v>346</v>
      </c>
      <c r="B231" s="48" t="s">
        <v>44</v>
      </c>
      <c r="C231" s="2"/>
      <c r="D231" s="20"/>
      <c r="E231" s="18"/>
      <c r="F231" s="18"/>
      <c r="G231" s="18"/>
      <c r="H231" s="18"/>
      <c r="I231" s="18"/>
      <c r="J231" s="18"/>
      <c r="K231" s="18"/>
      <c r="L231" s="314"/>
    </row>
    <row r="232" spans="1:12" s="73" customFormat="1" ht="15.75">
      <c r="A232" s="320" t="s">
        <v>347</v>
      </c>
      <c r="B232" s="49" t="s">
        <v>55</v>
      </c>
      <c r="C232" s="2" t="s">
        <v>53</v>
      </c>
      <c r="D232" s="19">
        <v>1.03</v>
      </c>
      <c r="E232" s="18">
        <f>E229*D232</f>
        <v>0.051500000000000004</v>
      </c>
      <c r="F232" s="18"/>
      <c r="G232" s="18"/>
      <c r="H232" s="18"/>
      <c r="I232" s="18"/>
      <c r="J232" s="18"/>
      <c r="K232" s="18"/>
      <c r="L232" s="314"/>
    </row>
    <row r="233" spans="1:12" s="73" customFormat="1" ht="23.25" customHeight="1">
      <c r="A233" s="312" t="s">
        <v>348</v>
      </c>
      <c r="B233" s="76" t="s">
        <v>56</v>
      </c>
      <c r="C233" s="84" t="s">
        <v>34</v>
      </c>
      <c r="D233" s="77"/>
      <c r="E233" s="79">
        <f>E232</f>
        <v>0.051500000000000004</v>
      </c>
      <c r="F233" s="79"/>
      <c r="G233" s="79"/>
      <c r="H233" s="79"/>
      <c r="I233" s="79"/>
      <c r="J233" s="79"/>
      <c r="K233" s="79"/>
      <c r="L233" s="313"/>
    </row>
    <row r="234" spans="1:12" s="73" customFormat="1" ht="47.25" customHeight="1">
      <c r="A234" s="312" t="s">
        <v>349</v>
      </c>
      <c r="B234" s="50" t="s">
        <v>465</v>
      </c>
      <c r="C234" s="86" t="s">
        <v>57</v>
      </c>
      <c r="D234" s="77"/>
      <c r="E234" s="81">
        <v>78</v>
      </c>
      <c r="F234" s="81"/>
      <c r="G234" s="81"/>
      <c r="H234" s="81"/>
      <c r="I234" s="81"/>
      <c r="J234" s="81"/>
      <c r="K234" s="81"/>
      <c r="L234" s="317"/>
    </row>
    <row r="235" spans="1:12" s="73" customFormat="1" ht="15.75">
      <c r="A235" s="320" t="s">
        <v>350</v>
      </c>
      <c r="B235" s="49" t="s">
        <v>39</v>
      </c>
      <c r="C235" s="2" t="s">
        <v>40</v>
      </c>
      <c r="D235" s="20">
        <f>37.5*0.001</f>
        <v>0.0375</v>
      </c>
      <c r="E235" s="18">
        <f>E234*D235</f>
        <v>2.925</v>
      </c>
      <c r="F235" s="18"/>
      <c r="G235" s="18"/>
      <c r="H235" s="18"/>
      <c r="I235" s="18"/>
      <c r="J235" s="18"/>
      <c r="K235" s="18"/>
      <c r="L235" s="314"/>
    </row>
    <row r="236" spans="1:12" s="73" customFormat="1" ht="15.75">
      <c r="A236" s="307" t="s">
        <v>351</v>
      </c>
      <c r="B236" s="49" t="s">
        <v>58</v>
      </c>
      <c r="C236" s="2" t="s">
        <v>41</v>
      </c>
      <c r="D236" s="21">
        <f>3.02*0.001</f>
        <v>0.00302</v>
      </c>
      <c r="E236" s="18">
        <f>E234*D236</f>
        <v>0.23556000000000002</v>
      </c>
      <c r="F236" s="18"/>
      <c r="G236" s="18"/>
      <c r="H236" s="18"/>
      <c r="I236" s="18"/>
      <c r="J236" s="18"/>
      <c r="K236" s="18"/>
      <c r="L236" s="314"/>
    </row>
    <row r="237" spans="1:12" s="73" customFormat="1" ht="15.75">
      <c r="A237" s="320" t="s">
        <v>352</v>
      </c>
      <c r="B237" s="49" t="s">
        <v>135</v>
      </c>
      <c r="C237" s="2" t="s">
        <v>41</v>
      </c>
      <c r="D237" s="20">
        <f>3.7*0.001</f>
        <v>0.0037</v>
      </c>
      <c r="E237" s="18">
        <f>E234*D237</f>
        <v>0.2886</v>
      </c>
      <c r="F237" s="18"/>
      <c r="G237" s="18"/>
      <c r="H237" s="18"/>
      <c r="I237" s="18"/>
      <c r="J237" s="18"/>
      <c r="K237" s="18"/>
      <c r="L237" s="314"/>
    </row>
    <row r="238" spans="1:12" s="73" customFormat="1" ht="25.5" customHeight="1">
      <c r="A238" s="307" t="s">
        <v>353</v>
      </c>
      <c r="B238" s="45" t="s">
        <v>114</v>
      </c>
      <c r="C238" s="2" t="s">
        <v>41</v>
      </c>
      <c r="D238" s="20">
        <f>11.1*0.001</f>
        <v>0.0111</v>
      </c>
      <c r="E238" s="18">
        <f>E234*D238</f>
        <v>0.8658</v>
      </c>
      <c r="F238" s="18"/>
      <c r="G238" s="18"/>
      <c r="H238" s="18"/>
      <c r="I238" s="18"/>
      <c r="J238" s="18"/>
      <c r="K238" s="18"/>
      <c r="L238" s="314"/>
    </row>
    <row r="239" spans="1:12" s="73" customFormat="1" ht="15.75">
      <c r="A239" s="320" t="s">
        <v>354</v>
      </c>
      <c r="B239" s="49" t="s">
        <v>59</v>
      </c>
      <c r="C239" s="2" t="s">
        <v>29</v>
      </c>
      <c r="D239" s="20">
        <f>2.3*0.001</f>
        <v>0.0023</v>
      </c>
      <c r="E239" s="18">
        <f>E234*D239</f>
        <v>0.1794</v>
      </c>
      <c r="F239" s="18"/>
      <c r="G239" s="18"/>
      <c r="H239" s="18"/>
      <c r="I239" s="18"/>
      <c r="J239" s="18"/>
      <c r="K239" s="18"/>
      <c r="L239" s="314"/>
    </row>
    <row r="240" spans="1:12" s="73" customFormat="1" ht="19.5" customHeight="1">
      <c r="A240" s="307" t="s">
        <v>355</v>
      </c>
      <c r="B240" s="48" t="s">
        <v>44</v>
      </c>
      <c r="C240" s="2"/>
      <c r="D240" s="12"/>
      <c r="E240" s="18"/>
      <c r="F240" s="18"/>
      <c r="G240" s="18"/>
      <c r="H240" s="18"/>
      <c r="I240" s="18"/>
      <c r="J240" s="18"/>
      <c r="K240" s="18"/>
      <c r="L240" s="314"/>
    </row>
    <row r="241" spans="1:12" s="73" customFormat="1" ht="15.75">
      <c r="A241" s="320" t="s">
        <v>356</v>
      </c>
      <c r="B241" s="49" t="s">
        <v>60</v>
      </c>
      <c r="C241" s="10" t="s">
        <v>61</v>
      </c>
      <c r="D241" s="20">
        <f>(93.1+11.6*2)*0.001</f>
        <v>0.1163</v>
      </c>
      <c r="E241" s="18">
        <f>E234*D241</f>
        <v>9.0714</v>
      </c>
      <c r="F241" s="18"/>
      <c r="G241" s="18"/>
      <c r="H241" s="18"/>
      <c r="I241" s="18"/>
      <c r="J241" s="18"/>
      <c r="K241" s="18"/>
      <c r="L241" s="314"/>
    </row>
    <row r="242" spans="1:12" s="73" customFormat="1" ht="15.75">
      <c r="A242" s="307" t="s">
        <v>357</v>
      </c>
      <c r="B242" s="49" t="s">
        <v>62</v>
      </c>
      <c r="C242" s="2" t="s">
        <v>29</v>
      </c>
      <c r="D242" s="21">
        <f>(14.5+0.02*2)*0.001</f>
        <v>0.014539999999999999</v>
      </c>
      <c r="E242" s="18">
        <f>E234*D242</f>
        <v>1.13412</v>
      </c>
      <c r="F242" s="18"/>
      <c r="G242" s="18"/>
      <c r="H242" s="18"/>
      <c r="I242" s="18"/>
      <c r="J242" s="18"/>
      <c r="K242" s="18"/>
      <c r="L242" s="314"/>
    </row>
    <row r="243" spans="1:12" s="73" customFormat="1" ht="27">
      <c r="A243" s="312" t="s">
        <v>358</v>
      </c>
      <c r="B243" s="76" t="s">
        <v>63</v>
      </c>
      <c r="C243" s="84" t="s">
        <v>34</v>
      </c>
      <c r="D243" s="77"/>
      <c r="E243" s="79">
        <f>E241</f>
        <v>9.0714</v>
      </c>
      <c r="F243" s="81"/>
      <c r="G243" s="81"/>
      <c r="H243" s="81"/>
      <c r="I243" s="81"/>
      <c r="J243" s="81"/>
      <c r="K243" s="81"/>
      <c r="L243" s="317"/>
    </row>
    <row r="244" spans="1:12" s="73" customFormat="1" ht="19.5" customHeight="1">
      <c r="A244" s="318"/>
      <c r="B244" s="78" t="s">
        <v>98</v>
      </c>
      <c r="C244" s="14" t="s">
        <v>19</v>
      </c>
      <c r="D244" s="15"/>
      <c r="E244" s="81"/>
      <c r="F244" s="79"/>
      <c r="G244" s="79"/>
      <c r="H244" s="79"/>
      <c r="I244" s="79"/>
      <c r="J244" s="79"/>
      <c r="K244" s="79"/>
      <c r="L244" s="313"/>
    </row>
    <row r="245" spans="1:12" s="95" customFormat="1" ht="15.75">
      <c r="A245" s="327"/>
      <c r="B245" s="46" t="s">
        <v>99</v>
      </c>
      <c r="C245" s="82" t="s">
        <v>19</v>
      </c>
      <c r="D245" s="82"/>
      <c r="E245" s="83"/>
      <c r="F245" s="79"/>
      <c r="G245" s="79"/>
      <c r="H245" s="79"/>
      <c r="I245" s="79"/>
      <c r="J245" s="79"/>
      <c r="K245" s="79"/>
      <c r="L245" s="313"/>
    </row>
    <row r="246" spans="1:12" s="95" customFormat="1" ht="15.75">
      <c r="A246" s="328"/>
      <c r="B246" s="52" t="s">
        <v>100</v>
      </c>
      <c r="C246" s="11" t="s">
        <v>101</v>
      </c>
      <c r="D246" s="338"/>
      <c r="E246" s="94"/>
      <c r="F246" s="94"/>
      <c r="G246" s="94"/>
      <c r="H246" s="94"/>
      <c r="I246" s="94"/>
      <c r="J246" s="94"/>
      <c r="K246" s="6"/>
      <c r="L246" s="325"/>
    </row>
    <row r="247" spans="1:12" s="95" customFormat="1" ht="15.75">
      <c r="A247" s="328"/>
      <c r="B247" s="53" t="s">
        <v>1</v>
      </c>
      <c r="C247" s="14" t="s">
        <v>19</v>
      </c>
      <c r="D247" s="4"/>
      <c r="E247" s="83"/>
      <c r="F247" s="83"/>
      <c r="G247" s="83"/>
      <c r="H247" s="83"/>
      <c r="I247" s="83"/>
      <c r="J247" s="83"/>
      <c r="K247" s="79"/>
      <c r="L247" s="313"/>
    </row>
    <row r="248" spans="1:12" s="95" customFormat="1" ht="15.75">
      <c r="A248" s="328"/>
      <c r="B248" s="52" t="s">
        <v>102</v>
      </c>
      <c r="C248" s="11" t="s">
        <v>101</v>
      </c>
      <c r="D248" s="338"/>
      <c r="E248" s="94"/>
      <c r="F248" s="94"/>
      <c r="G248" s="94"/>
      <c r="H248" s="94"/>
      <c r="I248" s="94"/>
      <c r="J248" s="94"/>
      <c r="K248" s="6"/>
      <c r="L248" s="325"/>
    </row>
    <row r="249" spans="1:12" s="95" customFormat="1" ht="15.75">
      <c r="A249" s="328"/>
      <c r="B249" s="46" t="s">
        <v>1</v>
      </c>
      <c r="C249" s="14" t="s">
        <v>19</v>
      </c>
      <c r="D249" s="14"/>
      <c r="E249" s="83"/>
      <c r="F249" s="83"/>
      <c r="G249" s="83"/>
      <c r="H249" s="83"/>
      <c r="I249" s="83"/>
      <c r="J249" s="83"/>
      <c r="K249" s="79"/>
      <c r="L249" s="313"/>
    </row>
    <row r="250" spans="1:12" s="95" customFormat="1" ht="15.75">
      <c r="A250" s="328"/>
      <c r="B250" s="52" t="s">
        <v>103</v>
      </c>
      <c r="C250" s="11" t="s">
        <v>101</v>
      </c>
      <c r="D250" s="338">
        <v>0.03</v>
      </c>
      <c r="E250" s="94"/>
      <c r="F250" s="94"/>
      <c r="G250" s="94"/>
      <c r="H250" s="94"/>
      <c r="I250" s="94"/>
      <c r="J250" s="94"/>
      <c r="K250" s="6"/>
      <c r="L250" s="325"/>
    </row>
    <row r="251" spans="1:12" s="95" customFormat="1" ht="15.75">
      <c r="A251" s="328"/>
      <c r="B251" s="46" t="s">
        <v>1</v>
      </c>
      <c r="C251" s="14" t="s">
        <v>19</v>
      </c>
      <c r="D251" s="14"/>
      <c r="E251" s="83"/>
      <c r="F251" s="83"/>
      <c r="G251" s="83"/>
      <c r="H251" s="83"/>
      <c r="I251" s="83"/>
      <c r="J251" s="83"/>
      <c r="K251" s="79"/>
      <c r="L251" s="313"/>
    </row>
    <row r="252" spans="1:12" s="95" customFormat="1" ht="15.75">
      <c r="A252" s="328"/>
      <c r="B252" s="52" t="s">
        <v>104</v>
      </c>
      <c r="C252" s="11" t="s">
        <v>101</v>
      </c>
      <c r="D252" s="338">
        <v>0.18</v>
      </c>
      <c r="E252" s="94"/>
      <c r="F252" s="94"/>
      <c r="G252" s="94"/>
      <c r="H252" s="94"/>
      <c r="I252" s="94"/>
      <c r="J252" s="94"/>
      <c r="K252" s="6"/>
      <c r="L252" s="325"/>
    </row>
    <row r="253" spans="1:12" s="95" customFormat="1" ht="15.75">
      <c r="A253" s="328"/>
      <c r="B253" s="46" t="s">
        <v>105</v>
      </c>
      <c r="C253" s="14" t="s">
        <v>19</v>
      </c>
      <c r="D253" s="4"/>
      <c r="E253" s="94"/>
      <c r="F253" s="94"/>
      <c r="G253" s="94"/>
      <c r="H253" s="94"/>
      <c r="I253" s="94"/>
      <c r="J253" s="94"/>
      <c r="K253" s="6"/>
      <c r="L253" s="313"/>
    </row>
    <row r="254" spans="1:12" s="95" customFormat="1" ht="15.75">
      <c r="A254" s="96"/>
      <c r="B254" s="54"/>
      <c r="C254" s="28"/>
      <c r="D254" s="30"/>
      <c r="E254" s="29"/>
      <c r="F254" s="29"/>
      <c r="G254" s="29"/>
      <c r="H254" s="29"/>
      <c r="I254" s="29"/>
      <c r="J254" s="29"/>
      <c r="K254" s="30"/>
      <c r="L254" s="58"/>
    </row>
    <row r="255" spans="2:13" s="95" customFormat="1" ht="15.75">
      <c r="B255" s="344"/>
      <c r="C255" s="98"/>
      <c r="D255" s="97"/>
      <c r="E255" s="97"/>
      <c r="F255" s="97"/>
      <c r="G255" s="97"/>
      <c r="H255" s="97"/>
      <c r="I255" s="97"/>
      <c r="J255" s="97"/>
      <c r="K255" s="97"/>
      <c r="L255" s="99"/>
      <c r="M255" s="97"/>
    </row>
    <row r="256" spans="2:13" s="95" customFormat="1" ht="67.5" customHeight="1">
      <c r="B256" s="364" t="s">
        <v>569</v>
      </c>
      <c r="C256" s="364"/>
      <c r="D256" s="364"/>
      <c r="E256" s="97"/>
      <c r="F256" s="97"/>
      <c r="G256" s="97"/>
      <c r="H256" s="97"/>
      <c r="I256" s="97"/>
      <c r="J256" s="97"/>
      <c r="K256" s="97"/>
      <c r="L256" s="99"/>
      <c r="M256" s="97"/>
    </row>
    <row r="257" spans="2:13" s="95" customFormat="1" ht="15.75">
      <c r="B257" s="100"/>
      <c r="C257" s="100"/>
      <c r="D257" s="100"/>
      <c r="E257" s="100"/>
      <c r="F257" s="97"/>
      <c r="G257" s="97"/>
      <c r="H257" s="97"/>
      <c r="I257" s="97"/>
      <c r="J257" s="97"/>
      <c r="K257" s="97"/>
      <c r="L257" s="99"/>
      <c r="M257" s="97"/>
    </row>
    <row r="258" spans="2:13" s="95" customFormat="1" ht="15.75">
      <c r="B258" s="101"/>
      <c r="C258" s="101"/>
      <c r="D258" s="97"/>
      <c r="E258" s="97"/>
      <c r="F258" s="97"/>
      <c r="G258" s="97"/>
      <c r="H258" s="97"/>
      <c r="I258" s="97"/>
      <c r="J258" s="97"/>
      <c r="K258" s="97"/>
      <c r="L258" s="99"/>
      <c r="M258" s="97"/>
    </row>
    <row r="259" spans="1:13" s="95" customFormat="1" ht="15.75">
      <c r="A259" s="96"/>
      <c r="B259" s="362"/>
      <c r="C259" s="362"/>
      <c r="D259" s="362"/>
      <c r="E259" s="362"/>
      <c r="F259" s="362"/>
      <c r="G259" s="362"/>
      <c r="H259" s="362"/>
      <c r="I259" s="362"/>
      <c r="J259" s="362"/>
      <c r="K259" s="362"/>
      <c r="L259" s="362"/>
      <c r="M259" s="362"/>
    </row>
    <row r="260" spans="1:12" s="95" customFormat="1" ht="38.25" customHeight="1">
      <c r="A260" s="363"/>
      <c r="B260" s="363"/>
      <c r="C260" s="363"/>
      <c r="D260" s="363"/>
      <c r="E260" s="363"/>
      <c r="F260" s="363"/>
      <c r="G260" s="363"/>
      <c r="H260" s="363"/>
      <c r="I260" s="363"/>
      <c r="J260" s="363"/>
      <c r="K260" s="363"/>
      <c r="L260" s="363"/>
    </row>
    <row r="261" spans="1:12" s="95" customFormat="1" ht="15.75">
      <c r="A261" s="96"/>
      <c r="B261" s="55"/>
      <c r="C261" s="31"/>
      <c r="D261" s="30"/>
      <c r="E261" s="29"/>
      <c r="F261" s="29"/>
      <c r="G261" s="29"/>
      <c r="H261" s="29"/>
      <c r="I261" s="29"/>
      <c r="J261" s="29"/>
      <c r="K261" s="30"/>
      <c r="L261" s="58"/>
    </row>
    <row r="262" spans="1:12" s="95" customFormat="1" ht="15.75">
      <c r="A262" s="96"/>
      <c r="B262" s="55"/>
      <c r="C262" s="31"/>
      <c r="D262" s="30"/>
      <c r="E262" s="29"/>
      <c r="F262" s="29"/>
      <c r="G262" s="29"/>
      <c r="H262" s="29"/>
      <c r="I262" s="29"/>
      <c r="J262" s="29"/>
      <c r="K262" s="30"/>
      <c r="L262" s="58"/>
    </row>
    <row r="263" spans="1:12" s="95" customFormat="1" ht="15.75">
      <c r="A263" s="96"/>
      <c r="B263" s="55"/>
      <c r="C263" s="31"/>
      <c r="D263" s="30"/>
      <c r="E263" s="29"/>
      <c r="F263" s="29"/>
      <c r="G263" s="29"/>
      <c r="H263" s="29"/>
      <c r="I263" s="29"/>
      <c r="J263" s="29"/>
      <c r="K263" s="30"/>
      <c r="L263" s="58"/>
    </row>
    <row r="264" spans="1:12" s="95" customFormat="1" ht="15.75">
      <c r="A264" s="96"/>
      <c r="B264" s="55"/>
      <c r="C264" s="31"/>
      <c r="D264" s="30"/>
      <c r="E264" s="29"/>
      <c r="F264" s="29"/>
      <c r="G264" s="29"/>
      <c r="H264" s="29"/>
      <c r="I264" s="29"/>
      <c r="J264" s="29"/>
      <c r="K264" s="30"/>
      <c r="L264" s="58"/>
    </row>
    <row r="265" spans="1:12" s="95" customFormat="1" ht="15.75">
      <c r="A265" s="96"/>
      <c r="B265" s="55"/>
      <c r="C265" s="31"/>
      <c r="D265" s="30"/>
      <c r="E265" s="29"/>
      <c r="F265" s="29"/>
      <c r="G265" s="29"/>
      <c r="H265" s="29"/>
      <c r="I265" s="29"/>
      <c r="J265" s="29"/>
      <c r="K265" s="30"/>
      <c r="L265" s="58"/>
    </row>
    <row r="266" spans="1:12" s="95" customFormat="1" ht="15.75">
      <c r="A266" s="96"/>
      <c r="B266" s="55"/>
      <c r="C266" s="31"/>
      <c r="D266" s="30"/>
      <c r="E266" s="29"/>
      <c r="F266" s="29"/>
      <c r="G266" s="29"/>
      <c r="H266" s="29"/>
      <c r="I266" s="29"/>
      <c r="J266" s="29"/>
      <c r="K266" s="30"/>
      <c r="L266" s="58"/>
    </row>
    <row r="267" spans="1:12" s="95" customFormat="1" ht="15.75">
      <c r="A267" s="96"/>
      <c r="B267" s="56"/>
      <c r="C267" s="32"/>
      <c r="D267" s="32"/>
      <c r="E267" s="32"/>
      <c r="F267" s="32"/>
      <c r="G267" s="32"/>
      <c r="H267" s="32"/>
      <c r="I267" s="32"/>
      <c r="J267" s="32"/>
      <c r="K267" s="33"/>
      <c r="L267" s="59"/>
    </row>
    <row r="268" spans="1:12" s="95" customFormat="1" ht="15.75">
      <c r="A268" s="102"/>
      <c r="B268" s="55"/>
      <c r="C268" s="29"/>
      <c r="D268" s="29"/>
      <c r="E268" s="29"/>
      <c r="F268" s="29"/>
      <c r="G268" s="29"/>
      <c r="H268" s="29"/>
      <c r="I268" s="29"/>
      <c r="J268" s="29"/>
      <c r="K268" s="29"/>
      <c r="L268" s="60"/>
    </row>
    <row r="269" spans="1:12" s="95" customFormat="1" ht="15.75">
      <c r="A269" s="102"/>
      <c r="B269" s="55"/>
      <c r="C269" s="29"/>
      <c r="D269" s="29"/>
      <c r="E269" s="29"/>
      <c r="F269" s="29"/>
      <c r="G269" s="29"/>
      <c r="H269" s="29"/>
      <c r="I269" s="29"/>
      <c r="J269" s="29"/>
      <c r="K269" s="29"/>
      <c r="L269" s="60"/>
    </row>
    <row r="270" spans="1:12" s="95" customFormat="1" ht="15.75">
      <c r="A270" s="102"/>
      <c r="B270" s="55"/>
      <c r="C270" s="29"/>
      <c r="D270" s="29"/>
      <c r="E270" s="29"/>
      <c r="F270" s="29"/>
      <c r="G270" s="29"/>
      <c r="H270" s="29"/>
      <c r="I270" s="29"/>
      <c r="J270" s="29"/>
      <c r="K270" s="29"/>
      <c r="L270" s="60"/>
    </row>
    <row r="271" spans="1:12" s="95" customFormat="1" ht="15.75">
      <c r="A271" s="102"/>
      <c r="B271" s="55"/>
      <c r="C271" s="29"/>
      <c r="D271" s="29"/>
      <c r="E271" s="29"/>
      <c r="F271" s="29"/>
      <c r="G271" s="29"/>
      <c r="H271" s="29"/>
      <c r="I271" s="29"/>
      <c r="J271" s="29"/>
      <c r="K271" s="29"/>
      <c r="L271" s="60"/>
    </row>
    <row r="272" spans="1:13" s="95" customFormat="1" ht="15.75">
      <c r="A272" s="102"/>
      <c r="B272" s="55"/>
      <c r="C272" s="29"/>
      <c r="D272" s="29"/>
      <c r="E272" s="29"/>
      <c r="F272" s="29"/>
      <c r="G272" s="29"/>
      <c r="H272" s="29"/>
      <c r="I272" s="103"/>
      <c r="J272" s="103"/>
      <c r="K272" s="103"/>
      <c r="L272" s="104"/>
      <c r="M272" s="103"/>
    </row>
    <row r="273" spans="1:12" s="95" customFormat="1" ht="15.75">
      <c r="A273" s="102"/>
      <c r="B273" s="55"/>
      <c r="C273" s="29"/>
      <c r="D273" s="29"/>
      <c r="E273" s="29"/>
      <c r="F273" s="29"/>
      <c r="G273" s="29"/>
      <c r="H273" s="29"/>
      <c r="I273" s="29"/>
      <c r="J273" s="29"/>
      <c r="K273" s="29"/>
      <c r="L273" s="60"/>
    </row>
    <row r="274" spans="1:12" s="106" customFormat="1" ht="16.5">
      <c r="A274" s="105"/>
      <c r="B274" s="55"/>
      <c r="C274" s="70"/>
      <c r="D274" s="70"/>
      <c r="E274" s="70"/>
      <c r="F274" s="70"/>
      <c r="G274" s="70"/>
      <c r="H274" s="70"/>
      <c r="I274" s="70"/>
      <c r="J274" s="70"/>
      <c r="K274" s="70"/>
      <c r="L274" s="60"/>
    </row>
    <row r="275" spans="1:12" s="106" customFormat="1" ht="16.5">
      <c r="A275" s="105"/>
      <c r="B275" s="55"/>
      <c r="C275" s="70"/>
      <c r="D275" s="70"/>
      <c r="E275" s="70"/>
      <c r="F275" s="70"/>
      <c r="G275" s="70"/>
      <c r="H275" s="70"/>
      <c r="I275" s="70"/>
      <c r="J275" s="70"/>
      <c r="K275" s="70"/>
      <c r="L275" s="60"/>
    </row>
    <row r="276" spans="1:12" s="106" customFormat="1" ht="16.5">
      <c r="A276" s="105"/>
      <c r="B276" s="55"/>
      <c r="C276" s="70"/>
      <c r="D276" s="70"/>
      <c r="E276" s="70"/>
      <c r="F276" s="70"/>
      <c r="G276" s="70"/>
      <c r="H276" s="70"/>
      <c r="I276" s="70"/>
      <c r="J276" s="70"/>
      <c r="K276" s="70"/>
      <c r="L276" s="60"/>
    </row>
    <row r="277" spans="1:12" s="106" customFormat="1" ht="16.5">
      <c r="A277" s="105"/>
      <c r="B277" s="55"/>
      <c r="C277" s="70"/>
      <c r="D277" s="70"/>
      <c r="E277" s="70"/>
      <c r="F277" s="70"/>
      <c r="G277" s="70"/>
      <c r="H277" s="70"/>
      <c r="I277" s="70"/>
      <c r="J277" s="70"/>
      <c r="K277" s="70"/>
      <c r="L277" s="60"/>
    </row>
    <row r="278" spans="1:12" s="106" customFormat="1" ht="16.5">
      <c r="A278" s="105"/>
      <c r="B278" s="55"/>
      <c r="C278" s="70"/>
      <c r="D278" s="70"/>
      <c r="E278" s="70"/>
      <c r="F278" s="70"/>
      <c r="G278" s="70"/>
      <c r="H278" s="70"/>
      <c r="I278" s="70"/>
      <c r="J278" s="70"/>
      <c r="K278" s="70"/>
      <c r="L278" s="60"/>
    </row>
    <row r="279" spans="1:12" s="106" customFormat="1" ht="16.5">
      <c r="A279" s="105"/>
      <c r="B279" s="55"/>
      <c r="C279" s="70"/>
      <c r="D279" s="70"/>
      <c r="E279" s="70"/>
      <c r="F279" s="70"/>
      <c r="G279" s="70"/>
      <c r="H279" s="70"/>
      <c r="I279" s="70"/>
      <c r="J279" s="70"/>
      <c r="K279" s="70"/>
      <c r="L279" s="60"/>
    </row>
    <row r="280" spans="1:12" s="106" customFormat="1" ht="16.5">
      <c r="A280" s="105"/>
      <c r="B280" s="55"/>
      <c r="C280" s="70"/>
      <c r="D280" s="70"/>
      <c r="E280" s="70"/>
      <c r="F280" s="70"/>
      <c r="G280" s="70"/>
      <c r="H280" s="70"/>
      <c r="I280" s="70"/>
      <c r="J280" s="70"/>
      <c r="K280" s="70"/>
      <c r="L280" s="60"/>
    </row>
    <row r="281" spans="1:12" s="106" customFormat="1" ht="16.5">
      <c r="A281" s="105"/>
      <c r="B281" s="55"/>
      <c r="C281" s="70"/>
      <c r="D281" s="70"/>
      <c r="E281" s="70"/>
      <c r="F281" s="70"/>
      <c r="G281" s="70"/>
      <c r="H281" s="70"/>
      <c r="I281" s="70"/>
      <c r="J281" s="70"/>
      <c r="K281" s="70"/>
      <c r="L281" s="60"/>
    </row>
    <row r="282" spans="1:12" s="106" customFormat="1" ht="16.5">
      <c r="A282" s="105"/>
      <c r="B282" s="55"/>
      <c r="C282" s="70"/>
      <c r="D282" s="70"/>
      <c r="E282" s="70"/>
      <c r="F282" s="70"/>
      <c r="G282" s="70"/>
      <c r="H282" s="70"/>
      <c r="I282" s="70"/>
      <c r="J282" s="70"/>
      <c r="K282" s="70"/>
      <c r="L282" s="60"/>
    </row>
    <row r="283" spans="1:12" s="106" customFormat="1" ht="16.5">
      <c r="A283" s="105"/>
      <c r="B283" s="55"/>
      <c r="C283" s="70"/>
      <c r="D283" s="70"/>
      <c r="E283" s="70"/>
      <c r="F283" s="70"/>
      <c r="G283" s="70"/>
      <c r="H283" s="70"/>
      <c r="I283" s="70"/>
      <c r="J283" s="70"/>
      <c r="K283" s="70"/>
      <c r="L283" s="60"/>
    </row>
    <row r="284" spans="1:12" s="106" customFormat="1" ht="16.5">
      <c r="A284" s="105"/>
      <c r="B284" s="55"/>
      <c r="C284" s="70"/>
      <c r="D284" s="70"/>
      <c r="E284" s="70"/>
      <c r="F284" s="70"/>
      <c r="G284" s="70"/>
      <c r="H284" s="70"/>
      <c r="I284" s="70"/>
      <c r="J284" s="70"/>
      <c r="K284" s="70"/>
      <c r="L284" s="60"/>
    </row>
    <row r="285" spans="1:12" s="106" customFormat="1" ht="16.5">
      <c r="A285" s="105"/>
      <c r="B285" s="55"/>
      <c r="C285" s="70"/>
      <c r="D285" s="70"/>
      <c r="E285" s="70"/>
      <c r="F285" s="70"/>
      <c r="G285" s="70"/>
      <c r="H285" s="70"/>
      <c r="I285" s="70"/>
      <c r="J285" s="70"/>
      <c r="K285" s="70"/>
      <c r="L285" s="60"/>
    </row>
    <row r="286" spans="1:12" s="106" customFormat="1" ht="16.5">
      <c r="A286" s="105"/>
      <c r="B286" s="55"/>
      <c r="C286" s="70"/>
      <c r="D286" s="70"/>
      <c r="E286" s="70"/>
      <c r="F286" s="70"/>
      <c r="G286" s="70"/>
      <c r="H286" s="70"/>
      <c r="I286" s="70"/>
      <c r="J286" s="70"/>
      <c r="K286" s="70"/>
      <c r="L286" s="60"/>
    </row>
    <row r="287" spans="1:12" s="106" customFormat="1" ht="16.5">
      <c r="A287" s="105"/>
      <c r="B287" s="55"/>
      <c r="C287" s="70"/>
      <c r="D287" s="70"/>
      <c r="E287" s="70"/>
      <c r="F287" s="70"/>
      <c r="G287" s="70"/>
      <c r="H287" s="70"/>
      <c r="I287" s="70"/>
      <c r="J287" s="70"/>
      <c r="K287" s="70"/>
      <c r="L287" s="60"/>
    </row>
    <row r="288" spans="1:12" s="106" customFormat="1" ht="16.5">
      <c r="A288" s="105"/>
      <c r="B288" s="55"/>
      <c r="C288" s="70"/>
      <c r="D288" s="70"/>
      <c r="E288" s="70"/>
      <c r="F288" s="70"/>
      <c r="G288" s="70"/>
      <c r="H288" s="70"/>
      <c r="I288" s="70"/>
      <c r="J288" s="70"/>
      <c r="K288" s="70"/>
      <c r="L288" s="60"/>
    </row>
    <row r="289" spans="1:12" s="106" customFormat="1" ht="16.5">
      <c r="A289" s="105"/>
      <c r="B289" s="55"/>
      <c r="C289" s="70"/>
      <c r="D289" s="70"/>
      <c r="E289" s="70"/>
      <c r="F289" s="70"/>
      <c r="G289" s="70"/>
      <c r="H289" s="70"/>
      <c r="I289" s="70"/>
      <c r="J289" s="70"/>
      <c r="K289" s="70"/>
      <c r="L289" s="60"/>
    </row>
    <row r="290" spans="1:12" s="106" customFormat="1" ht="16.5">
      <c r="A290" s="105"/>
      <c r="B290" s="55"/>
      <c r="C290" s="70"/>
      <c r="D290" s="70"/>
      <c r="E290" s="70"/>
      <c r="F290" s="70"/>
      <c r="G290" s="70"/>
      <c r="H290" s="70"/>
      <c r="I290" s="70"/>
      <c r="J290" s="70"/>
      <c r="K290" s="70"/>
      <c r="L290" s="60"/>
    </row>
    <row r="291" spans="1:12" s="106" customFormat="1" ht="16.5">
      <c r="A291" s="105"/>
      <c r="B291" s="55"/>
      <c r="C291" s="70"/>
      <c r="D291" s="70"/>
      <c r="E291" s="70"/>
      <c r="F291" s="70"/>
      <c r="G291" s="70"/>
      <c r="H291" s="70"/>
      <c r="I291" s="70"/>
      <c r="J291" s="70"/>
      <c r="K291" s="70"/>
      <c r="L291" s="60"/>
    </row>
    <row r="292" spans="1:12" s="106" customFormat="1" ht="16.5">
      <c r="A292" s="105"/>
      <c r="B292" s="55"/>
      <c r="C292" s="70"/>
      <c r="D292" s="70"/>
      <c r="E292" s="70"/>
      <c r="F292" s="70"/>
      <c r="G292" s="70"/>
      <c r="H292" s="70"/>
      <c r="I292" s="70"/>
      <c r="J292" s="70"/>
      <c r="K292" s="70"/>
      <c r="L292" s="60"/>
    </row>
    <row r="293" spans="1:12" s="106" customFormat="1" ht="16.5">
      <c r="A293" s="105"/>
      <c r="B293" s="55"/>
      <c r="C293" s="70"/>
      <c r="D293" s="70"/>
      <c r="E293" s="70"/>
      <c r="F293" s="70"/>
      <c r="G293" s="70"/>
      <c r="H293" s="70"/>
      <c r="I293" s="70"/>
      <c r="J293" s="70"/>
      <c r="K293" s="70"/>
      <c r="L293" s="60"/>
    </row>
    <row r="294" spans="1:12" s="106" customFormat="1" ht="16.5">
      <c r="A294" s="105"/>
      <c r="B294" s="55"/>
      <c r="C294" s="70"/>
      <c r="D294" s="70"/>
      <c r="E294" s="70"/>
      <c r="F294" s="70"/>
      <c r="G294" s="70"/>
      <c r="H294" s="70"/>
      <c r="I294" s="70"/>
      <c r="J294" s="70"/>
      <c r="K294" s="70"/>
      <c r="L294" s="60"/>
    </row>
    <row r="295" spans="1:12" s="106" customFormat="1" ht="16.5">
      <c r="A295" s="105"/>
      <c r="B295" s="55"/>
      <c r="C295" s="70"/>
      <c r="D295" s="70"/>
      <c r="E295" s="70"/>
      <c r="F295" s="70"/>
      <c r="G295" s="70"/>
      <c r="H295" s="70"/>
      <c r="I295" s="70"/>
      <c r="J295" s="70"/>
      <c r="K295" s="70"/>
      <c r="L295" s="60"/>
    </row>
    <row r="296" spans="1:12" s="106" customFormat="1" ht="16.5">
      <c r="A296" s="105"/>
      <c r="B296" s="55"/>
      <c r="C296" s="70"/>
      <c r="D296" s="70"/>
      <c r="E296" s="70"/>
      <c r="F296" s="70"/>
      <c r="G296" s="70"/>
      <c r="H296" s="70"/>
      <c r="I296" s="70"/>
      <c r="J296" s="70"/>
      <c r="K296" s="70"/>
      <c r="L296" s="60"/>
    </row>
    <row r="297" spans="1:12" s="106" customFormat="1" ht="16.5">
      <c r="A297" s="105"/>
      <c r="B297" s="55"/>
      <c r="C297" s="70"/>
      <c r="D297" s="70"/>
      <c r="E297" s="70"/>
      <c r="F297" s="70"/>
      <c r="G297" s="70"/>
      <c r="H297" s="70"/>
      <c r="I297" s="70"/>
      <c r="J297" s="70"/>
      <c r="K297" s="70"/>
      <c r="L297" s="60"/>
    </row>
    <row r="298" spans="1:12" s="106" customFormat="1" ht="16.5">
      <c r="A298" s="105"/>
      <c r="B298" s="55"/>
      <c r="C298" s="70"/>
      <c r="D298" s="70"/>
      <c r="E298" s="70"/>
      <c r="F298" s="70"/>
      <c r="G298" s="70"/>
      <c r="H298" s="70"/>
      <c r="I298" s="70"/>
      <c r="J298" s="70"/>
      <c r="K298" s="70"/>
      <c r="L298" s="60"/>
    </row>
    <row r="299" spans="1:12" s="106" customFormat="1" ht="16.5">
      <c r="A299" s="105"/>
      <c r="B299" s="55"/>
      <c r="C299" s="70"/>
      <c r="D299" s="70"/>
      <c r="E299" s="70"/>
      <c r="F299" s="70"/>
      <c r="G299" s="70"/>
      <c r="H299" s="70"/>
      <c r="I299" s="70"/>
      <c r="J299" s="70"/>
      <c r="K299" s="70"/>
      <c r="L299" s="60"/>
    </row>
    <row r="300" spans="1:12" s="106" customFormat="1" ht="16.5">
      <c r="A300" s="105"/>
      <c r="B300" s="55"/>
      <c r="C300" s="70"/>
      <c r="D300" s="70"/>
      <c r="E300" s="70"/>
      <c r="F300" s="70"/>
      <c r="G300" s="70"/>
      <c r="H300" s="70"/>
      <c r="I300" s="70"/>
      <c r="J300" s="70"/>
      <c r="K300" s="70"/>
      <c r="L300" s="60"/>
    </row>
    <row r="301" spans="1:12" s="106" customFormat="1" ht="16.5">
      <c r="A301" s="105"/>
      <c r="B301" s="55"/>
      <c r="C301" s="70"/>
      <c r="D301" s="70"/>
      <c r="E301" s="70"/>
      <c r="F301" s="70"/>
      <c r="G301" s="70"/>
      <c r="H301" s="70"/>
      <c r="I301" s="70"/>
      <c r="J301" s="70"/>
      <c r="K301" s="70"/>
      <c r="L301" s="60"/>
    </row>
    <row r="302" spans="1:12" s="106" customFormat="1" ht="16.5">
      <c r="A302" s="105"/>
      <c r="B302" s="55"/>
      <c r="C302" s="70"/>
      <c r="D302" s="70"/>
      <c r="E302" s="70"/>
      <c r="F302" s="70"/>
      <c r="G302" s="70"/>
      <c r="H302" s="70"/>
      <c r="I302" s="70"/>
      <c r="J302" s="70"/>
      <c r="K302" s="70"/>
      <c r="L302" s="60"/>
    </row>
    <row r="303" spans="1:12" s="106" customFormat="1" ht="16.5">
      <c r="A303" s="105"/>
      <c r="B303" s="55"/>
      <c r="C303" s="70"/>
      <c r="D303" s="70"/>
      <c r="E303" s="70"/>
      <c r="F303" s="70"/>
      <c r="G303" s="70"/>
      <c r="H303" s="70"/>
      <c r="I303" s="70"/>
      <c r="J303" s="70"/>
      <c r="K303" s="70"/>
      <c r="L303" s="60"/>
    </row>
    <row r="304" spans="1:12" s="106" customFormat="1" ht="16.5">
      <c r="A304" s="105"/>
      <c r="B304" s="55"/>
      <c r="C304" s="70"/>
      <c r="D304" s="70"/>
      <c r="E304" s="70"/>
      <c r="F304" s="70"/>
      <c r="G304" s="70"/>
      <c r="H304" s="70"/>
      <c r="I304" s="70"/>
      <c r="J304" s="70"/>
      <c r="K304" s="70"/>
      <c r="L304" s="60"/>
    </row>
    <row r="305" spans="1:12" s="106" customFormat="1" ht="16.5">
      <c r="A305" s="105"/>
      <c r="B305" s="55"/>
      <c r="C305" s="70"/>
      <c r="D305" s="70"/>
      <c r="E305" s="70"/>
      <c r="F305" s="70"/>
      <c r="G305" s="70"/>
      <c r="H305" s="70"/>
      <c r="I305" s="70"/>
      <c r="J305" s="70"/>
      <c r="K305" s="70"/>
      <c r="L305" s="60"/>
    </row>
    <row r="306" spans="1:12" s="106" customFormat="1" ht="16.5">
      <c r="A306" s="105"/>
      <c r="B306" s="55"/>
      <c r="C306" s="70"/>
      <c r="D306" s="70"/>
      <c r="E306" s="70"/>
      <c r="F306" s="70"/>
      <c r="G306" s="70"/>
      <c r="H306" s="70"/>
      <c r="I306" s="70"/>
      <c r="J306" s="70"/>
      <c r="K306" s="70"/>
      <c r="L306" s="60"/>
    </row>
    <row r="307" spans="1:12" s="106" customFormat="1" ht="16.5">
      <c r="A307" s="105"/>
      <c r="B307" s="55"/>
      <c r="C307" s="70"/>
      <c r="D307" s="70"/>
      <c r="E307" s="70"/>
      <c r="F307" s="70"/>
      <c r="G307" s="70"/>
      <c r="H307" s="70"/>
      <c r="I307" s="70"/>
      <c r="J307" s="70"/>
      <c r="K307" s="70"/>
      <c r="L307" s="60"/>
    </row>
    <row r="308" spans="1:12" s="106" customFormat="1" ht="16.5">
      <c r="A308" s="105"/>
      <c r="B308" s="55"/>
      <c r="C308" s="70"/>
      <c r="D308" s="70"/>
      <c r="E308" s="70"/>
      <c r="F308" s="70"/>
      <c r="G308" s="70"/>
      <c r="H308" s="70"/>
      <c r="I308" s="70"/>
      <c r="J308" s="70"/>
      <c r="K308" s="70"/>
      <c r="L308" s="60"/>
    </row>
    <row r="309" spans="1:12" s="106" customFormat="1" ht="16.5">
      <c r="A309" s="105"/>
      <c r="B309" s="55"/>
      <c r="C309" s="70"/>
      <c r="D309" s="70"/>
      <c r="E309" s="70"/>
      <c r="F309" s="70"/>
      <c r="G309" s="70"/>
      <c r="H309" s="70"/>
      <c r="I309" s="70"/>
      <c r="J309" s="70"/>
      <c r="K309" s="70"/>
      <c r="L309" s="60"/>
    </row>
    <row r="310" spans="1:12" s="106" customFormat="1" ht="16.5">
      <c r="A310" s="105"/>
      <c r="B310" s="55"/>
      <c r="C310" s="70"/>
      <c r="D310" s="70"/>
      <c r="E310" s="70"/>
      <c r="F310" s="70"/>
      <c r="G310" s="70"/>
      <c r="H310" s="70"/>
      <c r="I310" s="70"/>
      <c r="J310" s="70"/>
      <c r="K310" s="70"/>
      <c r="L310" s="60"/>
    </row>
    <row r="311" spans="1:12" s="106" customFormat="1" ht="16.5">
      <c r="A311" s="105"/>
      <c r="B311" s="55"/>
      <c r="C311" s="70"/>
      <c r="D311" s="70"/>
      <c r="E311" s="70"/>
      <c r="F311" s="70"/>
      <c r="G311" s="70"/>
      <c r="H311" s="70"/>
      <c r="I311" s="70"/>
      <c r="J311" s="70"/>
      <c r="K311" s="70"/>
      <c r="L311" s="60"/>
    </row>
    <row r="312" spans="1:12" s="106" customFormat="1" ht="16.5">
      <c r="A312" s="105"/>
      <c r="B312" s="55"/>
      <c r="C312" s="70"/>
      <c r="D312" s="70"/>
      <c r="E312" s="70"/>
      <c r="F312" s="70"/>
      <c r="G312" s="70"/>
      <c r="H312" s="70"/>
      <c r="I312" s="70"/>
      <c r="J312" s="70"/>
      <c r="K312" s="70"/>
      <c r="L312" s="60"/>
    </row>
    <row r="313" spans="1:12" s="106" customFormat="1" ht="16.5">
      <c r="A313" s="105"/>
      <c r="B313" s="55"/>
      <c r="C313" s="70"/>
      <c r="D313" s="70"/>
      <c r="E313" s="70"/>
      <c r="F313" s="70"/>
      <c r="G313" s="70"/>
      <c r="H313" s="70"/>
      <c r="I313" s="70"/>
      <c r="J313" s="70"/>
      <c r="K313" s="70"/>
      <c r="L313" s="60"/>
    </row>
    <row r="314" spans="1:12" s="106" customFormat="1" ht="16.5">
      <c r="A314" s="105"/>
      <c r="B314" s="55"/>
      <c r="C314" s="70"/>
      <c r="D314" s="70"/>
      <c r="E314" s="70"/>
      <c r="F314" s="70"/>
      <c r="G314" s="70"/>
      <c r="H314" s="70"/>
      <c r="I314" s="70"/>
      <c r="J314" s="70"/>
      <c r="K314" s="70"/>
      <c r="L314" s="60"/>
    </row>
    <row r="315" spans="1:12" s="106" customFormat="1" ht="16.5">
      <c r="A315" s="105"/>
      <c r="B315" s="55"/>
      <c r="C315" s="70"/>
      <c r="D315" s="70"/>
      <c r="E315" s="70"/>
      <c r="F315" s="70"/>
      <c r="G315" s="70"/>
      <c r="H315" s="70"/>
      <c r="I315" s="70"/>
      <c r="J315" s="70"/>
      <c r="K315" s="70"/>
      <c r="L315" s="60"/>
    </row>
    <row r="316" spans="1:12" s="106" customFormat="1" ht="16.5">
      <c r="A316" s="105"/>
      <c r="B316" s="55"/>
      <c r="C316" s="70"/>
      <c r="D316" s="70"/>
      <c r="E316" s="70"/>
      <c r="F316" s="70"/>
      <c r="G316" s="70"/>
      <c r="H316" s="70"/>
      <c r="I316" s="70"/>
      <c r="J316" s="70"/>
      <c r="K316" s="70"/>
      <c r="L316" s="60"/>
    </row>
    <row r="317" spans="1:12" s="106" customFormat="1" ht="16.5">
      <c r="A317" s="105"/>
      <c r="B317" s="55"/>
      <c r="C317" s="70"/>
      <c r="D317" s="70"/>
      <c r="E317" s="70"/>
      <c r="F317" s="70"/>
      <c r="G317" s="70"/>
      <c r="H317" s="70"/>
      <c r="I317" s="70"/>
      <c r="J317" s="70"/>
      <c r="K317" s="70"/>
      <c r="L317" s="60"/>
    </row>
    <row r="318" spans="1:12" s="106" customFormat="1" ht="16.5">
      <c r="A318" s="105"/>
      <c r="B318" s="55"/>
      <c r="C318" s="70"/>
      <c r="D318" s="70"/>
      <c r="E318" s="70"/>
      <c r="F318" s="70"/>
      <c r="G318" s="70"/>
      <c r="H318" s="70"/>
      <c r="I318" s="70"/>
      <c r="J318" s="70"/>
      <c r="K318" s="70"/>
      <c r="L318" s="60"/>
    </row>
    <row r="319" spans="1:12" s="106" customFormat="1" ht="16.5">
      <c r="A319" s="105"/>
      <c r="B319" s="55"/>
      <c r="C319" s="70"/>
      <c r="D319" s="70"/>
      <c r="E319" s="70"/>
      <c r="F319" s="70"/>
      <c r="G319" s="70"/>
      <c r="H319" s="70"/>
      <c r="I319" s="70"/>
      <c r="J319" s="70"/>
      <c r="K319" s="70"/>
      <c r="L319" s="60"/>
    </row>
    <row r="320" spans="1:12" s="106" customFormat="1" ht="16.5">
      <c r="A320" s="105"/>
      <c r="B320" s="55"/>
      <c r="C320" s="70"/>
      <c r="D320" s="70"/>
      <c r="E320" s="70"/>
      <c r="F320" s="70"/>
      <c r="G320" s="70"/>
      <c r="H320" s="70"/>
      <c r="I320" s="70"/>
      <c r="J320" s="70"/>
      <c r="K320" s="70"/>
      <c r="L320" s="60"/>
    </row>
    <row r="321" spans="1:12" s="106" customFormat="1" ht="16.5">
      <c r="A321" s="105"/>
      <c r="B321" s="55"/>
      <c r="C321" s="70"/>
      <c r="D321" s="70"/>
      <c r="E321" s="70"/>
      <c r="F321" s="70"/>
      <c r="G321" s="70"/>
      <c r="H321" s="70"/>
      <c r="I321" s="70"/>
      <c r="J321" s="70"/>
      <c r="K321" s="70"/>
      <c r="L321" s="60"/>
    </row>
    <row r="322" spans="1:12" s="106" customFormat="1" ht="16.5">
      <c r="A322" s="105"/>
      <c r="B322" s="55"/>
      <c r="C322" s="70"/>
      <c r="D322" s="70"/>
      <c r="E322" s="70"/>
      <c r="F322" s="70"/>
      <c r="G322" s="70"/>
      <c r="H322" s="70"/>
      <c r="I322" s="70"/>
      <c r="J322" s="70"/>
      <c r="K322" s="70"/>
      <c r="L322" s="60"/>
    </row>
    <row r="323" spans="1:12" s="106" customFormat="1" ht="16.5">
      <c r="A323" s="105"/>
      <c r="B323" s="55"/>
      <c r="C323" s="70"/>
      <c r="D323" s="70"/>
      <c r="E323" s="70"/>
      <c r="F323" s="70"/>
      <c r="G323" s="70"/>
      <c r="H323" s="70"/>
      <c r="I323" s="70"/>
      <c r="J323" s="70"/>
      <c r="K323" s="70"/>
      <c r="L323" s="60"/>
    </row>
    <row r="324" spans="1:12" s="106" customFormat="1" ht="16.5">
      <c r="A324" s="105"/>
      <c r="B324" s="55"/>
      <c r="C324" s="70"/>
      <c r="D324" s="70"/>
      <c r="E324" s="70"/>
      <c r="F324" s="70"/>
      <c r="G324" s="70"/>
      <c r="H324" s="70"/>
      <c r="I324" s="70"/>
      <c r="J324" s="70"/>
      <c r="K324" s="70"/>
      <c r="L324" s="60"/>
    </row>
    <row r="325" spans="1:12" s="106" customFormat="1" ht="16.5">
      <c r="A325" s="105"/>
      <c r="B325" s="55"/>
      <c r="C325" s="70"/>
      <c r="D325" s="70"/>
      <c r="E325" s="70"/>
      <c r="F325" s="70"/>
      <c r="G325" s="70"/>
      <c r="H325" s="70"/>
      <c r="I325" s="70"/>
      <c r="J325" s="70"/>
      <c r="K325" s="70"/>
      <c r="L325" s="60"/>
    </row>
    <row r="326" spans="1:12" s="106" customFormat="1" ht="16.5">
      <c r="A326" s="105"/>
      <c r="B326" s="55"/>
      <c r="C326" s="70"/>
      <c r="D326" s="70"/>
      <c r="E326" s="70"/>
      <c r="F326" s="70"/>
      <c r="G326" s="70"/>
      <c r="H326" s="70"/>
      <c r="I326" s="70"/>
      <c r="J326" s="70"/>
      <c r="K326" s="70"/>
      <c r="L326" s="60"/>
    </row>
    <row r="327" spans="1:12" s="106" customFormat="1" ht="16.5">
      <c r="A327" s="105"/>
      <c r="B327" s="55"/>
      <c r="C327" s="70"/>
      <c r="D327" s="70"/>
      <c r="E327" s="70"/>
      <c r="F327" s="70"/>
      <c r="G327" s="70"/>
      <c r="H327" s="70"/>
      <c r="I327" s="70"/>
      <c r="J327" s="70"/>
      <c r="K327" s="70"/>
      <c r="L327" s="60"/>
    </row>
    <row r="328" spans="1:12" s="106" customFormat="1" ht="16.5">
      <c r="A328" s="105"/>
      <c r="B328" s="55"/>
      <c r="C328" s="70"/>
      <c r="D328" s="70"/>
      <c r="E328" s="70"/>
      <c r="F328" s="70"/>
      <c r="G328" s="70"/>
      <c r="H328" s="70"/>
      <c r="I328" s="70"/>
      <c r="J328" s="70"/>
      <c r="K328" s="70"/>
      <c r="L328" s="60"/>
    </row>
    <row r="329" spans="1:12" s="106" customFormat="1" ht="16.5">
      <c r="A329" s="105"/>
      <c r="B329" s="55"/>
      <c r="C329" s="70"/>
      <c r="D329" s="70"/>
      <c r="E329" s="70"/>
      <c r="F329" s="70"/>
      <c r="G329" s="70"/>
      <c r="H329" s="70"/>
      <c r="I329" s="70"/>
      <c r="J329" s="70"/>
      <c r="K329" s="70"/>
      <c r="L329" s="60"/>
    </row>
    <row r="330" spans="1:12" s="106" customFormat="1" ht="16.5">
      <c r="A330" s="105"/>
      <c r="B330" s="55"/>
      <c r="C330" s="70"/>
      <c r="D330" s="70"/>
      <c r="E330" s="70"/>
      <c r="F330" s="70"/>
      <c r="G330" s="70"/>
      <c r="H330" s="70"/>
      <c r="I330" s="70"/>
      <c r="J330" s="70"/>
      <c r="K330" s="70"/>
      <c r="L330" s="60"/>
    </row>
    <row r="331" spans="1:12" s="106" customFormat="1" ht="16.5">
      <c r="A331" s="105"/>
      <c r="B331" s="55"/>
      <c r="C331" s="70"/>
      <c r="D331" s="70"/>
      <c r="E331" s="70"/>
      <c r="F331" s="70"/>
      <c r="G331" s="70"/>
      <c r="H331" s="70"/>
      <c r="I331" s="70"/>
      <c r="J331" s="70"/>
      <c r="K331" s="70"/>
      <c r="L331" s="60"/>
    </row>
    <row r="332" spans="1:12" s="106" customFormat="1" ht="16.5">
      <c r="A332" s="105"/>
      <c r="B332" s="55"/>
      <c r="C332" s="70"/>
      <c r="D332" s="70"/>
      <c r="E332" s="70"/>
      <c r="F332" s="70"/>
      <c r="G332" s="70"/>
      <c r="H332" s="70"/>
      <c r="I332" s="70"/>
      <c r="J332" s="70"/>
      <c r="K332" s="70"/>
      <c r="L332" s="60"/>
    </row>
    <row r="333" spans="1:12" s="106" customFormat="1" ht="16.5">
      <c r="A333" s="105"/>
      <c r="B333" s="55"/>
      <c r="C333" s="70"/>
      <c r="D333" s="70"/>
      <c r="E333" s="70"/>
      <c r="F333" s="70"/>
      <c r="G333" s="70"/>
      <c r="H333" s="70"/>
      <c r="I333" s="70"/>
      <c r="J333" s="70"/>
      <c r="K333" s="70"/>
      <c r="L333" s="60"/>
    </row>
    <row r="334" spans="1:12" s="106" customFormat="1" ht="16.5">
      <c r="A334" s="105"/>
      <c r="B334" s="55"/>
      <c r="C334" s="70"/>
      <c r="D334" s="70"/>
      <c r="E334" s="70"/>
      <c r="F334" s="70"/>
      <c r="G334" s="70"/>
      <c r="H334" s="70"/>
      <c r="I334" s="70"/>
      <c r="J334" s="70"/>
      <c r="K334" s="70"/>
      <c r="L334" s="60"/>
    </row>
    <row r="335" spans="1:12" s="106" customFormat="1" ht="16.5">
      <c r="A335" s="105"/>
      <c r="B335" s="55"/>
      <c r="C335" s="70"/>
      <c r="D335" s="70"/>
      <c r="E335" s="70"/>
      <c r="F335" s="70"/>
      <c r="G335" s="70"/>
      <c r="H335" s="70"/>
      <c r="I335" s="70"/>
      <c r="J335" s="70"/>
      <c r="K335" s="70"/>
      <c r="L335" s="60"/>
    </row>
    <row r="336" spans="1:12" s="106" customFormat="1" ht="16.5">
      <c r="A336" s="105"/>
      <c r="B336" s="55"/>
      <c r="C336" s="70"/>
      <c r="D336" s="70"/>
      <c r="E336" s="70"/>
      <c r="F336" s="70"/>
      <c r="G336" s="70"/>
      <c r="H336" s="70"/>
      <c r="I336" s="70"/>
      <c r="J336" s="70"/>
      <c r="K336" s="70"/>
      <c r="L336" s="60"/>
    </row>
    <row r="337" spans="1:12" s="106" customFormat="1" ht="16.5">
      <c r="A337" s="105"/>
      <c r="B337" s="55"/>
      <c r="C337" s="70"/>
      <c r="D337" s="70"/>
      <c r="E337" s="70"/>
      <c r="F337" s="70"/>
      <c r="G337" s="70"/>
      <c r="H337" s="70"/>
      <c r="I337" s="70"/>
      <c r="J337" s="70"/>
      <c r="K337" s="70"/>
      <c r="L337" s="60"/>
    </row>
    <row r="338" spans="1:12" s="106" customFormat="1" ht="16.5">
      <c r="A338" s="105"/>
      <c r="B338" s="55"/>
      <c r="C338" s="70"/>
      <c r="D338" s="70"/>
      <c r="E338" s="70"/>
      <c r="F338" s="70"/>
      <c r="G338" s="70"/>
      <c r="H338" s="70"/>
      <c r="I338" s="70"/>
      <c r="J338" s="70"/>
      <c r="K338" s="70"/>
      <c r="L338" s="60"/>
    </row>
    <row r="339" spans="1:12" s="106" customFormat="1" ht="16.5">
      <c r="A339" s="105"/>
      <c r="B339" s="55"/>
      <c r="C339" s="70"/>
      <c r="D339" s="70"/>
      <c r="E339" s="70"/>
      <c r="F339" s="70"/>
      <c r="G339" s="70"/>
      <c r="H339" s="70"/>
      <c r="I339" s="70"/>
      <c r="J339" s="70"/>
      <c r="K339" s="70"/>
      <c r="L339" s="60"/>
    </row>
    <row r="340" spans="1:12" s="106" customFormat="1" ht="16.5">
      <c r="A340" s="105"/>
      <c r="B340" s="55"/>
      <c r="C340" s="70"/>
      <c r="D340" s="70"/>
      <c r="E340" s="70"/>
      <c r="F340" s="70"/>
      <c r="G340" s="70"/>
      <c r="H340" s="70"/>
      <c r="I340" s="70"/>
      <c r="J340" s="70"/>
      <c r="K340" s="70"/>
      <c r="L340" s="60"/>
    </row>
    <row r="341" spans="1:12" s="106" customFormat="1" ht="16.5">
      <c r="A341" s="105"/>
      <c r="B341" s="55"/>
      <c r="C341" s="70"/>
      <c r="D341" s="70"/>
      <c r="E341" s="70"/>
      <c r="F341" s="70"/>
      <c r="G341" s="70"/>
      <c r="H341" s="70"/>
      <c r="I341" s="70"/>
      <c r="J341" s="70"/>
      <c r="K341" s="70"/>
      <c r="L341" s="60"/>
    </row>
    <row r="342" spans="1:12" s="106" customFormat="1" ht="16.5">
      <c r="A342" s="105"/>
      <c r="B342" s="55"/>
      <c r="C342" s="70"/>
      <c r="D342" s="70"/>
      <c r="E342" s="70"/>
      <c r="F342" s="70"/>
      <c r="G342" s="70"/>
      <c r="H342" s="70"/>
      <c r="I342" s="70"/>
      <c r="J342" s="70"/>
      <c r="K342" s="70"/>
      <c r="L342" s="60"/>
    </row>
    <row r="343" spans="1:12" s="106" customFormat="1" ht="16.5">
      <c r="A343" s="105"/>
      <c r="B343" s="55"/>
      <c r="C343" s="70"/>
      <c r="D343" s="70"/>
      <c r="E343" s="70"/>
      <c r="F343" s="70"/>
      <c r="G343" s="70"/>
      <c r="H343" s="70"/>
      <c r="I343" s="70"/>
      <c r="J343" s="70"/>
      <c r="K343" s="70"/>
      <c r="L343" s="60"/>
    </row>
    <row r="344" spans="1:12" s="106" customFormat="1" ht="16.5">
      <c r="A344" s="105"/>
      <c r="B344" s="55"/>
      <c r="C344" s="70"/>
      <c r="D344" s="70"/>
      <c r="E344" s="70"/>
      <c r="F344" s="70"/>
      <c r="G344" s="70"/>
      <c r="H344" s="70"/>
      <c r="I344" s="70"/>
      <c r="J344" s="70"/>
      <c r="K344" s="70"/>
      <c r="L344" s="60"/>
    </row>
    <row r="345" spans="1:12" s="106" customFormat="1" ht="16.5">
      <c r="A345" s="105"/>
      <c r="B345" s="55"/>
      <c r="C345" s="70"/>
      <c r="D345" s="70"/>
      <c r="E345" s="70"/>
      <c r="F345" s="70"/>
      <c r="G345" s="70"/>
      <c r="H345" s="70"/>
      <c r="I345" s="70"/>
      <c r="J345" s="70"/>
      <c r="K345" s="70"/>
      <c r="L345" s="60"/>
    </row>
    <row r="346" spans="1:12" s="106" customFormat="1" ht="16.5">
      <c r="A346" s="105"/>
      <c r="B346" s="55"/>
      <c r="C346" s="70"/>
      <c r="D346" s="70"/>
      <c r="E346" s="70"/>
      <c r="F346" s="70"/>
      <c r="G346" s="70"/>
      <c r="H346" s="70"/>
      <c r="I346" s="70"/>
      <c r="J346" s="70"/>
      <c r="K346" s="70"/>
      <c r="L346" s="60"/>
    </row>
    <row r="347" spans="1:12" s="106" customFormat="1" ht="16.5">
      <c r="A347" s="105"/>
      <c r="B347" s="55"/>
      <c r="C347" s="70"/>
      <c r="D347" s="70"/>
      <c r="E347" s="70"/>
      <c r="F347" s="70"/>
      <c r="G347" s="70"/>
      <c r="H347" s="70"/>
      <c r="I347" s="70"/>
      <c r="J347" s="70"/>
      <c r="K347" s="70"/>
      <c r="L347" s="60"/>
    </row>
    <row r="348" spans="1:12" s="106" customFormat="1" ht="16.5">
      <c r="A348" s="105"/>
      <c r="B348" s="55"/>
      <c r="C348" s="70"/>
      <c r="D348" s="70"/>
      <c r="E348" s="70"/>
      <c r="F348" s="70"/>
      <c r="G348" s="70"/>
      <c r="H348" s="70"/>
      <c r="I348" s="70"/>
      <c r="J348" s="70"/>
      <c r="K348" s="70"/>
      <c r="L348" s="60"/>
    </row>
    <row r="349" spans="1:12" s="106" customFormat="1" ht="16.5">
      <c r="A349" s="105"/>
      <c r="B349" s="55"/>
      <c r="C349" s="70"/>
      <c r="D349" s="70"/>
      <c r="E349" s="70"/>
      <c r="F349" s="70"/>
      <c r="G349" s="70"/>
      <c r="H349" s="70"/>
      <c r="I349" s="70"/>
      <c r="J349" s="70"/>
      <c r="K349" s="70"/>
      <c r="L349" s="60"/>
    </row>
    <row r="350" spans="1:12" s="106" customFormat="1" ht="16.5">
      <c r="A350" s="105"/>
      <c r="B350" s="55"/>
      <c r="C350" s="70"/>
      <c r="D350" s="70"/>
      <c r="E350" s="70"/>
      <c r="F350" s="70"/>
      <c r="G350" s="70"/>
      <c r="H350" s="70"/>
      <c r="I350" s="70"/>
      <c r="J350" s="70"/>
      <c r="K350" s="70"/>
      <c r="L350" s="60"/>
    </row>
    <row r="351" spans="1:12" s="106" customFormat="1" ht="16.5">
      <c r="A351" s="105"/>
      <c r="B351" s="55"/>
      <c r="C351" s="70"/>
      <c r="D351" s="70"/>
      <c r="E351" s="70"/>
      <c r="F351" s="70"/>
      <c r="G351" s="70"/>
      <c r="H351" s="70"/>
      <c r="I351" s="70"/>
      <c r="J351" s="70"/>
      <c r="K351" s="70"/>
      <c r="L351" s="60"/>
    </row>
    <row r="352" spans="1:12" s="106" customFormat="1" ht="16.5">
      <c r="A352" s="105"/>
      <c r="B352" s="55"/>
      <c r="C352" s="70"/>
      <c r="D352" s="70"/>
      <c r="E352" s="70"/>
      <c r="F352" s="70"/>
      <c r="G352" s="70"/>
      <c r="H352" s="70"/>
      <c r="I352" s="70"/>
      <c r="J352" s="70"/>
      <c r="K352" s="70"/>
      <c r="L352" s="60"/>
    </row>
    <row r="353" spans="1:12" s="106" customFormat="1" ht="16.5">
      <c r="A353" s="105"/>
      <c r="B353" s="55"/>
      <c r="C353" s="70"/>
      <c r="D353" s="70"/>
      <c r="E353" s="70"/>
      <c r="F353" s="70"/>
      <c r="G353" s="70"/>
      <c r="H353" s="70"/>
      <c r="I353" s="70"/>
      <c r="J353" s="70"/>
      <c r="K353" s="70"/>
      <c r="L353" s="60"/>
    </row>
    <row r="354" spans="1:12" s="106" customFormat="1" ht="16.5">
      <c r="A354" s="105"/>
      <c r="B354" s="55"/>
      <c r="C354" s="70"/>
      <c r="D354" s="70"/>
      <c r="E354" s="70"/>
      <c r="F354" s="70"/>
      <c r="G354" s="70"/>
      <c r="H354" s="70"/>
      <c r="I354" s="70"/>
      <c r="J354" s="70"/>
      <c r="K354" s="70"/>
      <c r="L354" s="60"/>
    </row>
    <row r="355" spans="1:12" s="106" customFormat="1" ht="16.5">
      <c r="A355" s="105"/>
      <c r="B355" s="55"/>
      <c r="C355" s="70"/>
      <c r="D355" s="70"/>
      <c r="E355" s="70"/>
      <c r="F355" s="70"/>
      <c r="G355" s="70"/>
      <c r="H355" s="70"/>
      <c r="I355" s="70"/>
      <c r="J355" s="70"/>
      <c r="K355" s="70"/>
      <c r="L355" s="60"/>
    </row>
    <row r="356" spans="1:12" s="106" customFormat="1" ht="16.5">
      <c r="A356" s="105"/>
      <c r="B356" s="55"/>
      <c r="C356" s="70"/>
      <c r="D356" s="70"/>
      <c r="E356" s="70"/>
      <c r="F356" s="70"/>
      <c r="G356" s="70"/>
      <c r="H356" s="70"/>
      <c r="I356" s="70"/>
      <c r="J356" s="70"/>
      <c r="K356" s="70"/>
      <c r="L356" s="60"/>
    </row>
    <row r="357" spans="1:12" s="106" customFormat="1" ht="16.5">
      <c r="A357" s="105"/>
      <c r="B357" s="55"/>
      <c r="C357" s="70"/>
      <c r="D357" s="70"/>
      <c r="E357" s="70"/>
      <c r="F357" s="70"/>
      <c r="G357" s="70"/>
      <c r="H357" s="70"/>
      <c r="I357" s="70"/>
      <c r="J357" s="70"/>
      <c r="K357" s="70"/>
      <c r="L357" s="60"/>
    </row>
    <row r="358" spans="1:12" s="106" customFormat="1" ht="16.5">
      <c r="A358" s="105"/>
      <c r="B358" s="55"/>
      <c r="C358" s="70"/>
      <c r="D358" s="70"/>
      <c r="E358" s="70"/>
      <c r="F358" s="70"/>
      <c r="G358" s="70"/>
      <c r="H358" s="70"/>
      <c r="I358" s="70"/>
      <c r="J358" s="70"/>
      <c r="K358" s="70"/>
      <c r="L358" s="60"/>
    </row>
    <row r="359" spans="1:12" s="106" customFormat="1" ht="16.5">
      <c r="A359" s="105"/>
      <c r="B359" s="55"/>
      <c r="C359" s="70"/>
      <c r="D359" s="70"/>
      <c r="E359" s="70"/>
      <c r="F359" s="70"/>
      <c r="G359" s="70"/>
      <c r="H359" s="70"/>
      <c r="I359" s="70"/>
      <c r="J359" s="70"/>
      <c r="K359" s="70"/>
      <c r="L359" s="60"/>
    </row>
    <row r="360" spans="1:12" s="106" customFormat="1" ht="16.5">
      <c r="A360" s="105"/>
      <c r="B360" s="55"/>
      <c r="C360" s="70"/>
      <c r="D360" s="70"/>
      <c r="E360" s="70"/>
      <c r="F360" s="70"/>
      <c r="G360" s="70"/>
      <c r="H360" s="70"/>
      <c r="I360" s="70"/>
      <c r="J360" s="70"/>
      <c r="K360" s="70"/>
      <c r="L360" s="60"/>
    </row>
    <row r="361" spans="1:12" s="106" customFormat="1" ht="16.5">
      <c r="A361" s="105"/>
      <c r="B361" s="55"/>
      <c r="C361" s="70"/>
      <c r="D361" s="70"/>
      <c r="E361" s="70"/>
      <c r="F361" s="70"/>
      <c r="G361" s="70"/>
      <c r="H361" s="70"/>
      <c r="I361" s="70"/>
      <c r="J361" s="70"/>
      <c r="K361" s="70"/>
      <c r="L361" s="60"/>
    </row>
    <row r="362" spans="1:12" s="106" customFormat="1" ht="16.5">
      <c r="A362" s="105"/>
      <c r="B362" s="55"/>
      <c r="C362" s="70"/>
      <c r="D362" s="70"/>
      <c r="E362" s="70"/>
      <c r="F362" s="70"/>
      <c r="G362" s="70"/>
      <c r="H362" s="70"/>
      <c r="I362" s="70"/>
      <c r="J362" s="70"/>
      <c r="K362" s="70"/>
      <c r="L362" s="60"/>
    </row>
    <row r="363" spans="1:12" s="106" customFormat="1" ht="16.5">
      <c r="A363" s="105"/>
      <c r="B363" s="55"/>
      <c r="C363" s="70"/>
      <c r="D363" s="70"/>
      <c r="E363" s="70"/>
      <c r="F363" s="70"/>
      <c r="G363" s="70"/>
      <c r="H363" s="70"/>
      <c r="I363" s="70"/>
      <c r="J363" s="70"/>
      <c r="K363" s="70"/>
      <c r="L363" s="60"/>
    </row>
    <row r="364" spans="1:12" s="106" customFormat="1" ht="16.5">
      <c r="A364" s="105"/>
      <c r="B364" s="55"/>
      <c r="C364" s="70"/>
      <c r="D364" s="70"/>
      <c r="E364" s="70"/>
      <c r="F364" s="70"/>
      <c r="G364" s="70"/>
      <c r="H364" s="70"/>
      <c r="I364" s="70"/>
      <c r="J364" s="70"/>
      <c r="K364" s="70"/>
      <c r="L364" s="60"/>
    </row>
    <row r="365" spans="1:12" s="106" customFormat="1" ht="16.5">
      <c r="A365" s="105"/>
      <c r="B365" s="55"/>
      <c r="C365" s="70"/>
      <c r="D365" s="70"/>
      <c r="E365" s="70"/>
      <c r="F365" s="70"/>
      <c r="G365" s="70"/>
      <c r="H365" s="70"/>
      <c r="I365" s="70"/>
      <c r="J365" s="70"/>
      <c r="K365" s="70"/>
      <c r="L365" s="60"/>
    </row>
    <row r="366" spans="1:12" s="106" customFormat="1" ht="16.5">
      <c r="A366" s="105"/>
      <c r="B366" s="55"/>
      <c r="C366" s="70"/>
      <c r="D366" s="70"/>
      <c r="E366" s="70"/>
      <c r="F366" s="70"/>
      <c r="G366" s="70"/>
      <c r="H366" s="70"/>
      <c r="I366" s="70"/>
      <c r="J366" s="70"/>
      <c r="K366" s="70"/>
      <c r="L366" s="60"/>
    </row>
    <row r="367" spans="1:12" s="106" customFormat="1" ht="16.5">
      <c r="A367" s="105"/>
      <c r="B367" s="55"/>
      <c r="C367" s="70"/>
      <c r="D367" s="70"/>
      <c r="E367" s="70"/>
      <c r="F367" s="70"/>
      <c r="G367" s="70"/>
      <c r="H367" s="70"/>
      <c r="I367" s="70"/>
      <c r="J367" s="70"/>
      <c r="K367" s="70"/>
      <c r="L367" s="60"/>
    </row>
    <row r="368" spans="1:12" s="106" customFormat="1" ht="16.5">
      <c r="A368" s="105"/>
      <c r="B368" s="55"/>
      <c r="C368" s="70"/>
      <c r="D368" s="70"/>
      <c r="E368" s="70"/>
      <c r="F368" s="70"/>
      <c r="G368" s="70"/>
      <c r="H368" s="70"/>
      <c r="I368" s="70"/>
      <c r="J368" s="70"/>
      <c r="K368" s="70"/>
      <c r="L368" s="60"/>
    </row>
    <row r="369" spans="1:12" s="106" customFormat="1" ht="16.5">
      <c r="A369" s="105"/>
      <c r="B369" s="55"/>
      <c r="C369" s="70"/>
      <c r="D369" s="70"/>
      <c r="E369" s="70"/>
      <c r="F369" s="70"/>
      <c r="G369" s="70"/>
      <c r="H369" s="70"/>
      <c r="I369" s="70"/>
      <c r="J369" s="70"/>
      <c r="K369" s="70"/>
      <c r="L369" s="60"/>
    </row>
    <row r="370" spans="1:12" s="106" customFormat="1" ht="16.5">
      <c r="A370" s="105"/>
      <c r="B370" s="55"/>
      <c r="C370" s="70"/>
      <c r="D370" s="70"/>
      <c r="E370" s="70"/>
      <c r="F370" s="70"/>
      <c r="G370" s="70"/>
      <c r="H370" s="70"/>
      <c r="I370" s="70"/>
      <c r="J370" s="70"/>
      <c r="K370" s="70"/>
      <c r="L370" s="60"/>
    </row>
    <row r="371" spans="1:12" s="106" customFormat="1" ht="16.5">
      <c r="A371" s="105"/>
      <c r="B371" s="55"/>
      <c r="C371" s="70"/>
      <c r="D371" s="70"/>
      <c r="E371" s="70"/>
      <c r="F371" s="70"/>
      <c r="G371" s="70"/>
      <c r="H371" s="70"/>
      <c r="I371" s="70"/>
      <c r="J371" s="70"/>
      <c r="K371" s="70"/>
      <c r="L371" s="60"/>
    </row>
    <row r="372" spans="1:12" s="106" customFormat="1" ht="16.5">
      <c r="A372" s="105"/>
      <c r="B372" s="55"/>
      <c r="C372" s="70"/>
      <c r="D372" s="70"/>
      <c r="E372" s="70"/>
      <c r="F372" s="70"/>
      <c r="G372" s="70"/>
      <c r="H372" s="70"/>
      <c r="I372" s="70"/>
      <c r="J372" s="70"/>
      <c r="K372" s="70"/>
      <c r="L372" s="60"/>
    </row>
    <row r="373" spans="1:12" s="106" customFormat="1" ht="16.5">
      <c r="A373" s="105"/>
      <c r="B373" s="55"/>
      <c r="C373" s="70"/>
      <c r="D373" s="70"/>
      <c r="E373" s="70"/>
      <c r="F373" s="70"/>
      <c r="G373" s="70"/>
      <c r="H373" s="70"/>
      <c r="I373" s="70"/>
      <c r="J373" s="70"/>
      <c r="K373" s="70"/>
      <c r="L373" s="60"/>
    </row>
    <row r="374" spans="1:12" s="106" customFormat="1" ht="16.5">
      <c r="A374" s="105"/>
      <c r="B374" s="55"/>
      <c r="C374" s="70"/>
      <c r="D374" s="70"/>
      <c r="E374" s="70"/>
      <c r="F374" s="70"/>
      <c r="G374" s="70"/>
      <c r="H374" s="70"/>
      <c r="I374" s="70"/>
      <c r="J374" s="70"/>
      <c r="K374" s="70"/>
      <c r="L374" s="60"/>
    </row>
    <row r="375" spans="1:12" s="106" customFormat="1" ht="16.5">
      <c r="A375" s="105"/>
      <c r="B375" s="55"/>
      <c r="C375" s="70"/>
      <c r="D375" s="70"/>
      <c r="E375" s="70"/>
      <c r="F375" s="70"/>
      <c r="G375" s="70"/>
      <c r="H375" s="70"/>
      <c r="I375" s="70"/>
      <c r="J375" s="70"/>
      <c r="K375" s="70"/>
      <c r="L375" s="60"/>
    </row>
    <row r="376" spans="1:12" s="106" customFormat="1" ht="16.5">
      <c r="A376" s="105"/>
      <c r="B376" s="55"/>
      <c r="C376" s="70"/>
      <c r="D376" s="70"/>
      <c r="E376" s="70"/>
      <c r="F376" s="70"/>
      <c r="G376" s="70"/>
      <c r="H376" s="70"/>
      <c r="I376" s="70"/>
      <c r="J376" s="70"/>
      <c r="K376" s="70"/>
      <c r="L376" s="60"/>
    </row>
    <row r="377" spans="1:12" s="106" customFormat="1" ht="16.5">
      <c r="A377" s="105"/>
      <c r="B377" s="55"/>
      <c r="C377" s="70"/>
      <c r="D377" s="70"/>
      <c r="E377" s="70"/>
      <c r="F377" s="70"/>
      <c r="G377" s="70"/>
      <c r="H377" s="70"/>
      <c r="I377" s="70"/>
      <c r="J377" s="70"/>
      <c r="K377" s="70"/>
      <c r="L377" s="60"/>
    </row>
    <row r="378" spans="1:12" s="106" customFormat="1" ht="16.5">
      <c r="A378" s="105"/>
      <c r="B378" s="55"/>
      <c r="C378" s="70"/>
      <c r="D378" s="70"/>
      <c r="E378" s="70"/>
      <c r="F378" s="70"/>
      <c r="G378" s="70"/>
      <c r="H378" s="70"/>
      <c r="I378" s="70"/>
      <c r="J378" s="70"/>
      <c r="K378" s="70"/>
      <c r="L378" s="60"/>
    </row>
    <row r="379" spans="1:12" s="106" customFormat="1" ht="16.5">
      <c r="A379" s="105"/>
      <c r="B379" s="55"/>
      <c r="C379" s="70"/>
      <c r="D379" s="70"/>
      <c r="E379" s="70"/>
      <c r="F379" s="70"/>
      <c r="G379" s="70"/>
      <c r="H379" s="70"/>
      <c r="I379" s="70"/>
      <c r="J379" s="70"/>
      <c r="K379" s="70"/>
      <c r="L379" s="60"/>
    </row>
    <row r="380" spans="1:12" s="106" customFormat="1" ht="16.5">
      <c r="A380" s="105"/>
      <c r="B380" s="55"/>
      <c r="C380" s="70"/>
      <c r="D380" s="70"/>
      <c r="E380" s="70"/>
      <c r="F380" s="70"/>
      <c r="G380" s="70"/>
      <c r="H380" s="70"/>
      <c r="I380" s="70"/>
      <c r="J380" s="70"/>
      <c r="K380" s="70"/>
      <c r="L380" s="60"/>
    </row>
    <row r="381" spans="1:12" s="106" customFormat="1" ht="16.5">
      <c r="A381" s="105"/>
      <c r="B381" s="55"/>
      <c r="C381" s="70"/>
      <c r="D381" s="70"/>
      <c r="E381" s="70"/>
      <c r="F381" s="70"/>
      <c r="G381" s="70"/>
      <c r="H381" s="70"/>
      <c r="I381" s="70"/>
      <c r="J381" s="70"/>
      <c r="K381" s="70"/>
      <c r="L381" s="60"/>
    </row>
    <row r="382" spans="1:12" s="106" customFormat="1" ht="16.5">
      <c r="A382" s="105"/>
      <c r="B382" s="55"/>
      <c r="C382" s="70"/>
      <c r="D382" s="70"/>
      <c r="E382" s="70"/>
      <c r="F382" s="70"/>
      <c r="G382" s="70"/>
      <c r="H382" s="70"/>
      <c r="I382" s="70"/>
      <c r="J382" s="70"/>
      <c r="K382" s="70"/>
      <c r="L382" s="60"/>
    </row>
    <row r="383" spans="1:12" s="106" customFormat="1" ht="16.5">
      <c r="A383" s="105"/>
      <c r="B383" s="55"/>
      <c r="C383" s="70"/>
      <c r="D383" s="70"/>
      <c r="E383" s="70"/>
      <c r="F383" s="70"/>
      <c r="G383" s="70"/>
      <c r="H383" s="70"/>
      <c r="I383" s="70"/>
      <c r="J383" s="70"/>
      <c r="K383" s="70"/>
      <c r="L383" s="60"/>
    </row>
    <row r="384" spans="1:12" s="106" customFormat="1" ht="16.5">
      <c r="A384" s="105"/>
      <c r="B384" s="55"/>
      <c r="C384" s="70"/>
      <c r="D384" s="70"/>
      <c r="E384" s="70"/>
      <c r="F384" s="70"/>
      <c r="G384" s="70"/>
      <c r="H384" s="70"/>
      <c r="I384" s="70"/>
      <c r="J384" s="70"/>
      <c r="K384" s="70"/>
      <c r="L384" s="60"/>
    </row>
    <row r="385" spans="1:12" s="106" customFormat="1" ht="16.5">
      <c r="A385" s="105"/>
      <c r="B385" s="55"/>
      <c r="C385" s="70"/>
      <c r="D385" s="70"/>
      <c r="E385" s="70"/>
      <c r="F385" s="70"/>
      <c r="G385" s="70"/>
      <c r="H385" s="70"/>
      <c r="I385" s="70"/>
      <c r="J385" s="70"/>
      <c r="K385" s="70"/>
      <c r="L385" s="60"/>
    </row>
    <row r="386" spans="1:12" s="106" customFormat="1" ht="16.5">
      <c r="A386" s="105"/>
      <c r="B386" s="55"/>
      <c r="C386" s="70"/>
      <c r="D386" s="70"/>
      <c r="E386" s="70"/>
      <c r="F386" s="70"/>
      <c r="G386" s="70"/>
      <c r="H386" s="70"/>
      <c r="I386" s="70"/>
      <c r="J386" s="70"/>
      <c r="K386" s="70"/>
      <c r="L386" s="60"/>
    </row>
    <row r="387" spans="1:12" s="106" customFormat="1" ht="16.5">
      <c r="A387" s="105"/>
      <c r="B387" s="55"/>
      <c r="C387" s="70"/>
      <c r="D387" s="70"/>
      <c r="E387" s="70"/>
      <c r="F387" s="70"/>
      <c r="G387" s="70"/>
      <c r="H387" s="70"/>
      <c r="I387" s="70"/>
      <c r="J387" s="70"/>
      <c r="K387" s="70"/>
      <c r="L387" s="60"/>
    </row>
    <row r="388" spans="1:12" s="106" customFormat="1" ht="16.5">
      <c r="A388" s="105"/>
      <c r="B388" s="55"/>
      <c r="C388" s="70"/>
      <c r="D388" s="70"/>
      <c r="E388" s="70"/>
      <c r="F388" s="70"/>
      <c r="G388" s="70"/>
      <c r="H388" s="70"/>
      <c r="I388" s="70"/>
      <c r="J388" s="70"/>
      <c r="K388" s="70"/>
      <c r="L388" s="60"/>
    </row>
    <row r="389" spans="1:12" s="106" customFormat="1" ht="16.5">
      <c r="A389" s="105"/>
      <c r="B389" s="55"/>
      <c r="C389" s="70"/>
      <c r="D389" s="70"/>
      <c r="E389" s="70"/>
      <c r="F389" s="70"/>
      <c r="G389" s="70"/>
      <c r="H389" s="70"/>
      <c r="I389" s="70"/>
      <c r="J389" s="70"/>
      <c r="K389" s="70"/>
      <c r="L389" s="60"/>
    </row>
    <row r="390" spans="1:12" s="106" customFormat="1" ht="16.5">
      <c r="A390" s="105"/>
      <c r="B390" s="55"/>
      <c r="C390" s="70"/>
      <c r="D390" s="70"/>
      <c r="E390" s="70"/>
      <c r="F390" s="70"/>
      <c r="G390" s="70"/>
      <c r="H390" s="70"/>
      <c r="I390" s="70"/>
      <c r="J390" s="70"/>
      <c r="K390" s="70"/>
      <c r="L390" s="60"/>
    </row>
    <row r="391" spans="1:12" s="106" customFormat="1" ht="16.5">
      <c r="A391" s="105"/>
      <c r="B391" s="55"/>
      <c r="C391" s="70"/>
      <c r="D391" s="70"/>
      <c r="E391" s="70"/>
      <c r="F391" s="70"/>
      <c r="G391" s="70"/>
      <c r="H391" s="70"/>
      <c r="I391" s="70"/>
      <c r="J391" s="70"/>
      <c r="K391" s="70"/>
      <c r="L391" s="60"/>
    </row>
    <row r="392" spans="1:12" s="106" customFormat="1" ht="16.5">
      <c r="A392" s="105"/>
      <c r="B392" s="55"/>
      <c r="C392" s="70"/>
      <c r="D392" s="70"/>
      <c r="E392" s="70"/>
      <c r="F392" s="70"/>
      <c r="G392" s="70"/>
      <c r="H392" s="70"/>
      <c r="I392" s="70"/>
      <c r="J392" s="70"/>
      <c r="K392" s="70"/>
      <c r="L392" s="60"/>
    </row>
    <row r="393" spans="1:12" s="106" customFormat="1" ht="16.5">
      <c r="A393" s="105"/>
      <c r="B393" s="55"/>
      <c r="C393" s="70"/>
      <c r="D393" s="70"/>
      <c r="E393" s="70"/>
      <c r="F393" s="70"/>
      <c r="G393" s="70"/>
      <c r="H393" s="70"/>
      <c r="I393" s="70"/>
      <c r="J393" s="70"/>
      <c r="K393" s="70"/>
      <c r="L393" s="60"/>
    </row>
    <row r="394" spans="1:12" s="106" customFormat="1" ht="16.5">
      <c r="A394" s="105"/>
      <c r="B394" s="55"/>
      <c r="C394" s="70"/>
      <c r="D394" s="70"/>
      <c r="E394" s="70"/>
      <c r="F394" s="70"/>
      <c r="G394" s="70"/>
      <c r="H394" s="70"/>
      <c r="I394" s="70"/>
      <c r="J394" s="70"/>
      <c r="K394" s="70"/>
      <c r="L394" s="60"/>
    </row>
    <row r="395" spans="1:12" s="106" customFormat="1" ht="16.5">
      <c r="A395" s="105"/>
      <c r="B395" s="55"/>
      <c r="C395" s="70"/>
      <c r="D395" s="70"/>
      <c r="E395" s="70"/>
      <c r="F395" s="70"/>
      <c r="G395" s="70"/>
      <c r="H395" s="70"/>
      <c r="I395" s="70"/>
      <c r="J395" s="70"/>
      <c r="K395" s="70"/>
      <c r="L395" s="60"/>
    </row>
    <row r="396" spans="1:12" s="106" customFormat="1" ht="16.5">
      <c r="A396" s="105"/>
      <c r="B396" s="55"/>
      <c r="C396" s="70"/>
      <c r="D396" s="70"/>
      <c r="E396" s="70"/>
      <c r="F396" s="70"/>
      <c r="G396" s="70"/>
      <c r="H396" s="70"/>
      <c r="I396" s="70"/>
      <c r="J396" s="70"/>
      <c r="K396" s="70"/>
      <c r="L396" s="60"/>
    </row>
    <row r="397" spans="1:12" s="106" customFormat="1" ht="16.5">
      <c r="A397" s="105"/>
      <c r="B397" s="55"/>
      <c r="C397" s="70"/>
      <c r="D397" s="70"/>
      <c r="E397" s="70"/>
      <c r="F397" s="70"/>
      <c r="G397" s="70"/>
      <c r="H397" s="70"/>
      <c r="I397" s="70"/>
      <c r="J397" s="70"/>
      <c r="K397" s="70"/>
      <c r="L397" s="60"/>
    </row>
    <row r="398" spans="1:12" s="106" customFormat="1" ht="16.5">
      <c r="A398" s="105"/>
      <c r="B398" s="55"/>
      <c r="C398" s="70"/>
      <c r="D398" s="70"/>
      <c r="E398" s="70"/>
      <c r="F398" s="70"/>
      <c r="G398" s="70"/>
      <c r="H398" s="70"/>
      <c r="I398" s="70"/>
      <c r="J398" s="70"/>
      <c r="K398" s="70"/>
      <c r="L398" s="60"/>
    </row>
    <row r="399" spans="1:12" s="106" customFormat="1" ht="16.5">
      <c r="A399" s="105"/>
      <c r="B399" s="55"/>
      <c r="C399" s="70"/>
      <c r="D399" s="70"/>
      <c r="E399" s="70"/>
      <c r="F399" s="70"/>
      <c r="G399" s="70"/>
      <c r="H399" s="70"/>
      <c r="I399" s="70"/>
      <c r="J399" s="70"/>
      <c r="K399" s="70"/>
      <c r="L399" s="60"/>
    </row>
    <row r="400" spans="1:12" s="106" customFormat="1" ht="16.5">
      <c r="A400" s="105"/>
      <c r="B400" s="55"/>
      <c r="C400" s="70"/>
      <c r="D400" s="70"/>
      <c r="E400" s="70"/>
      <c r="F400" s="70"/>
      <c r="G400" s="70"/>
      <c r="H400" s="70"/>
      <c r="I400" s="70"/>
      <c r="J400" s="70"/>
      <c r="K400" s="70"/>
      <c r="L400" s="60"/>
    </row>
    <row r="401" spans="1:12" s="106" customFormat="1" ht="16.5">
      <c r="A401" s="105"/>
      <c r="B401" s="55"/>
      <c r="C401" s="70"/>
      <c r="D401" s="70"/>
      <c r="E401" s="70"/>
      <c r="F401" s="70"/>
      <c r="G401" s="70"/>
      <c r="H401" s="70"/>
      <c r="I401" s="70"/>
      <c r="J401" s="70"/>
      <c r="K401" s="70"/>
      <c r="L401" s="60"/>
    </row>
    <row r="402" spans="1:12" s="106" customFormat="1" ht="16.5">
      <c r="A402" s="105"/>
      <c r="B402" s="55"/>
      <c r="C402" s="70"/>
      <c r="D402" s="70"/>
      <c r="E402" s="70"/>
      <c r="F402" s="70"/>
      <c r="G402" s="70"/>
      <c r="H402" s="70"/>
      <c r="I402" s="70"/>
      <c r="J402" s="70"/>
      <c r="K402" s="70"/>
      <c r="L402" s="60"/>
    </row>
    <row r="403" spans="1:12" s="106" customFormat="1" ht="16.5">
      <c r="A403" s="105"/>
      <c r="B403" s="55"/>
      <c r="C403" s="70"/>
      <c r="D403" s="70"/>
      <c r="E403" s="70"/>
      <c r="F403" s="70"/>
      <c r="G403" s="70"/>
      <c r="H403" s="70"/>
      <c r="I403" s="70"/>
      <c r="J403" s="70"/>
      <c r="K403" s="70"/>
      <c r="L403" s="60"/>
    </row>
    <row r="404" spans="1:12" s="106" customFormat="1" ht="16.5">
      <c r="A404" s="105"/>
      <c r="B404" s="55"/>
      <c r="C404" s="70"/>
      <c r="D404" s="70"/>
      <c r="E404" s="70"/>
      <c r="F404" s="70"/>
      <c r="G404" s="70"/>
      <c r="H404" s="70"/>
      <c r="I404" s="70"/>
      <c r="J404" s="70"/>
      <c r="K404" s="70"/>
      <c r="L404" s="60"/>
    </row>
    <row r="405" spans="1:12" s="106" customFormat="1" ht="16.5">
      <c r="A405" s="105"/>
      <c r="B405" s="55"/>
      <c r="C405" s="70"/>
      <c r="D405" s="70"/>
      <c r="E405" s="70"/>
      <c r="F405" s="70"/>
      <c r="G405" s="70"/>
      <c r="H405" s="70"/>
      <c r="I405" s="70"/>
      <c r="J405" s="70"/>
      <c r="K405" s="70"/>
      <c r="L405" s="60"/>
    </row>
    <row r="406" spans="1:12" s="106" customFormat="1" ht="16.5">
      <c r="A406" s="105"/>
      <c r="B406" s="55"/>
      <c r="C406" s="70"/>
      <c r="D406" s="70"/>
      <c r="E406" s="70"/>
      <c r="F406" s="70"/>
      <c r="G406" s="70"/>
      <c r="H406" s="70"/>
      <c r="I406" s="70"/>
      <c r="J406" s="70"/>
      <c r="K406" s="70"/>
      <c r="L406" s="60"/>
    </row>
    <row r="407" spans="1:12" s="106" customFormat="1" ht="16.5">
      <c r="A407" s="105"/>
      <c r="B407" s="55"/>
      <c r="C407" s="70"/>
      <c r="D407" s="70"/>
      <c r="E407" s="70"/>
      <c r="F407" s="70"/>
      <c r="G407" s="70"/>
      <c r="H407" s="70"/>
      <c r="I407" s="70"/>
      <c r="J407" s="70"/>
      <c r="K407" s="70"/>
      <c r="L407" s="60"/>
    </row>
    <row r="408" spans="1:12" s="106" customFormat="1" ht="16.5">
      <c r="A408" s="105"/>
      <c r="B408" s="55"/>
      <c r="C408" s="70"/>
      <c r="D408" s="70"/>
      <c r="E408" s="70"/>
      <c r="F408" s="70"/>
      <c r="G408" s="70"/>
      <c r="H408" s="70"/>
      <c r="I408" s="70"/>
      <c r="J408" s="70"/>
      <c r="K408" s="70"/>
      <c r="L408" s="60"/>
    </row>
    <row r="409" spans="1:12" s="106" customFormat="1" ht="16.5">
      <c r="A409" s="105"/>
      <c r="B409" s="55"/>
      <c r="C409" s="70"/>
      <c r="D409" s="70"/>
      <c r="E409" s="70"/>
      <c r="F409" s="70"/>
      <c r="G409" s="70"/>
      <c r="H409" s="70"/>
      <c r="I409" s="70"/>
      <c r="J409" s="70"/>
      <c r="K409" s="70"/>
      <c r="L409" s="60"/>
    </row>
    <row r="410" spans="1:12" s="106" customFormat="1" ht="16.5">
      <c r="A410" s="105"/>
      <c r="B410" s="55"/>
      <c r="C410" s="70"/>
      <c r="D410" s="70"/>
      <c r="E410" s="70"/>
      <c r="F410" s="70"/>
      <c r="G410" s="70"/>
      <c r="H410" s="70"/>
      <c r="I410" s="70"/>
      <c r="J410" s="70"/>
      <c r="K410" s="70"/>
      <c r="L410" s="60"/>
    </row>
    <row r="411" spans="1:12" s="106" customFormat="1" ht="16.5">
      <c r="A411" s="105"/>
      <c r="B411" s="55"/>
      <c r="C411" s="70"/>
      <c r="D411" s="70"/>
      <c r="E411" s="70"/>
      <c r="F411" s="70"/>
      <c r="G411" s="70"/>
      <c r="H411" s="70"/>
      <c r="I411" s="70"/>
      <c r="J411" s="70"/>
      <c r="K411" s="70"/>
      <c r="L411" s="60"/>
    </row>
    <row r="412" spans="1:12" s="106" customFormat="1" ht="16.5">
      <c r="A412" s="105"/>
      <c r="B412" s="55"/>
      <c r="C412" s="70"/>
      <c r="D412" s="70"/>
      <c r="E412" s="70"/>
      <c r="F412" s="70"/>
      <c r="G412" s="70"/>
      <c r="H412" s="70"/>
      <c r="I412" s="70"/>
      <c r="J412" s="70"/>
      <c r="K412" s="70"/>
      <c r="L412" s="60"/>
    </row>
    <row r="413" spans="1:12" s="106" customFormat="1" ht="16.5">
      <c r="A413" s="105"/>
      <c r="B413" s="55"/>
      <c r="C413" s="70"/>
      <c r="D413" s="70"/>
      <c r="E413" s="70"/>
      <c r="F413" s="70"/>
      <c r="G413" s="70"/>
      <c r="H413" s="70"/>
      <c r="I413" s="70"/>
      <c r="J413" s="70"/>
      <c r="K413" s="70"/>
      <c r="L413" s="60"/>
    </row>
    <row r="414" spans="1:12" s="106" customFormat="1" ht="16.5">
      <c r="A414" s="105"/>
      <c r="B414" s="55"/>
      <c r="C414" s="70"/>
      <c r="D414" s="70"/>
      <c r="E414" s="70"/>
      <c r="F414" s="70"/>
      <c r="G414" s="70"/>
      <c r="H414" s="70"/>
      <c r="I414" s="70"/>
      <c r="J414" s="70"/>
      <c r="K414" s="70"/>
      <c r="L414" s="60"/>
    </row>
    <row r="415" spans="1:12" s="106" customFormat="1" ht="16.5">
      <c r="A415" s="105"/>
      <c r="B415" s="55"/>
      <c r="C415" s="70"/>
      <c r="D415" s="70"/>
      <c r="E415" s="70"/>
      <c r="F415" s="70"/>
      <c r="G415" s="70"/>
      <c r="H415" s="70"/>
      <c r="I415" s="70"/>
      <c r="J415" s="70"/>
      <c r="K415" s="70"/>
      <c r="L415" s="60"/>
    </row>
    <row r="416" spans="1:12" s="106" customFormat="1" ht="16.5">
      <c r="A416" s="105"/>
      <c r="B416" s="55"/>
      <c r="C416" s="70"/>
      <c r="D416" s="70"/>
      <c r="E416" s="70"/>
      <c r="F416" s="70"/>
      <c r="G416" s="70"/>
      <c r="H416" s="70"/>
      <c r="I416" s="70"/>
      <c r="J416" s="70"/>
      <c r="K416" s="70"/>
      <c r="L416" s="60"/>
    </row>
    <row r="417" spans="1:12" s="106" customFormat="1" ht="16.5">
      <c r="A417" s="105"/>
      <c r="B417" s="55"/>
      <c r="C417" s="70"/>
      <c r="D417" s="70"/>
      <c r="E417" s="70"/>
      <c r="F417" s="70"/>
      <c r="G417" s="70"/>
      <c r="H417" s="70"/>
      <c r="I417" s="70"/>
      <c r="J417" s="70"/>
      <c r="K417" s="70"/>
      <c r="L417" s="60"/>
    </row>
    <row r="418" spans="1:12" s="106" customFormat="1" ht="16.5">
      <c r="A418" s="105"/>
      <c r="B418" s="55"/>
      <c r="C418" s="70"/>
      <c r="D418" s="70"/>
      <c r="E418" s="70"/>
      <c r="F418" s="70"/>
      <c r="G418" s="70"/>
      <c r="H418" s="70"/>
      <c r="I418" s="70"/>
      <c r="J418" s="70"/>
      <c r="K418" s="70"/>
      <c r="L418" s="60"/>
    </row>
    <row r="419" spans="1:12" s="106" customFormat="1" ht="16.5">
      <c r="A419" s="105"/>
      <c r="B419" s="55"/>
      <c r="C419" s="70"/>
      <c r="D419" s="70"/>
      <c r="E419" s="70"/>
      <c r="F419" s="70"/>
      <c r="G419" s="70"/>
      <c r="H419" s="70"/>
      <c r="I419" s="70"/>
      <c r="J419" s="70"/>
      <c r="K419" s="70"/>
      <c r="L419" s="60"/>
    </row>
    <row r="420" spans="1:12" s="106" customFormat="1" ht="16.5">
      <c r="A420" s="105"/>
      <c r="B420" s="55"/>
      <c r="C420" s="70"/>
      <c r="D420" s="70"/>
      <c r="E420" s="70"/>
      <c r="F420" s="70"/>
      <c r="G420" s="70"/>
      <c r="H420" s="70"/>
      <c r="I420" s="70"/>
      <c r="J420" s="70"/>
      <c r="K420" s="70"/>
      <c r="L420" s="60"/>
    </row>
    <row r="421" spans="1:12" s="106" customFormat="1" ht="16.5">
      <c r="A421" s="105"/>
      <c r="B421" s="55"/>
      <c r="C421" s="70"/>
      <c r="D421" s="70"/>
      <c r="E421" s="70"/>
      <c r="F421" s="70"/>
      <c r="G421" s="70"/>
      <c r="H421" s="70"/>
      <c r="I421" s="70"/>
      <c r="J421" s="70"/>
      <c r="K421" s="70"/>
      <c r="L421" s="60"/>
    </row>
    <row r="422" spans="1:12" s="106" customFormat="1" ht="16.5">
      <c r="A422" s="105"/>
      <c r="B422" s="55"/>
      <c r="C422" s="70"/>
      <c r="D422" s="70"/>
      <c r="E422" s="70"/>
      <c r="F422" s="70"/>
      <c r="G422" s="70"/>
      <c r="H422" s="70"/>
      <c r="I422" s="70"/>
      <c r="J422" s="70"/>
      <c r="K422" s="70"/>
      <c r="L422" s="60"/>
    </row>
    <row r="423" spans="1:12" s="106" customFormat="1" ht="16.5">
      <c r="A423" s="105"/>
      <c r="B423" s="55"/>
      <c r="C423" s="70"/>
      <c r="D423" s="70"/>
      <c r="E423" s="70"/>
      <c r="F423" s="70"/>
      <c r="G423" s="70"/>
      <c r="H423" s="70"/>
      <c r="I423" s="70"/>
      <c r="J423" s="70"/>
      <c r="K423" s="70"/>
      <c r="L423" s="60"/>
    </row>
    <row r="424" spans="1:12" s="106" customFormat="1" ht="16.5">
      <c r="A424" s="105"/>
      <c r="B424" s="55"/>
      <c r="C424" s="70"/>
      <c r="D424" s="70"/>
      <c r="E424" s="70"/>
      <c r="F424" s="70"/>
      <c r="G424" s="70"/>
      <c r="H424" s="70"/>
      <c r="I424" s="70"/>
      <c r="J424" s="70"/>
      <c r="K424" s="70"/>
      <c r="L424" s="60"/>
    </row>
    <row r="425" spans="1:12" s="106" customFormat="1" ht="16.5">
      <c r="A425" s="105"/>
      <c r="B425" s="55"/>
      <c r="C425" s="70"/>
      <c r="D425" s="70"/>
      <c r="E425" s="70"/>
      <c r="F425" s="70"/>
      <c r="G425" s="70"/>
      <c r="H425" s="70"/>
      <c r="I425" s="70"/>
      <c r="J425" s="70"/>
      <c r="K425" s="70"/>
      <c r="L425" s="60"/>
    </row>
    <row r="426" spans="1:12" s="106" customFormat="1" ht="16.5">
      <c r="A426" s="105"/>
      <c r="B426" s="55"/>
      <c r="C426" s="70"/>
      <c r="D426" s="70"/>
      <c r="E426" s="70"/>
      <c r="F426" s="70"/>
      <c r="G426" s="70"/>
      <c r="H426" s="70"/>
      <c r="I426" s="70"/>
      <c r="J426" s="70"/>
      <c r="K426" s="70"/>
      <c r="L426" s="60"/>
    </row>
    <row r="427" spans="1:12" s="106" customFormat="1" ht="16.5">
      <c r="A427" s="105"/>
      <c r="B427" s="55"/>
      <c r="C427" s="70"/>
      <c r="D427" s="70"/>
      <c r="E427" s="70"/>
      <c r="F427" s="70"/>
      <c r="G427" s="70"/>
      <c r="H427" s="70"/>
      <c r="I427" s="70"/>
      <c r="J427" s="70"/>
      <c r="K427" s="70"/>
      <c r="L427" s="60"/>
    </row>
    <row r="428" spans="1:12" s="106" customFormat="1" ht="16.5">
      <c r="A428" s="105"/>
      <c r="B428" s="55"/>
      <c r="C428" s="70"/>
      <c r="D428" s="70"/>
      <c r="E428" s="70"/>
      <c r="F428" s="70"/>
      <c r="G428" s="70"/>
      <c r="H428" s="70"/>
      <c r="I428" s="70"/>
      <c r="J428" s="70"/>
      <c r="K428" s="70"/>
      <c r="L428" s="60"/>
    </row>
    <row r="429" spans="1:12" s="106" customFormat="1" ht="16.5">
      <c r="A429" s="105"/>
      <c r="B429" s="55"/>
      <c r="C429" s="70"/>
      <c r="D429" s="70"/>
      <c r="E429" s="70"/>
      <c r="F429" s="70"/>
      <c r="G429" s="70"/>
      <c r="H429" s="70"/>
      <c r="I429" s="70"/>
      <c r="J429" s="70"/>
      <c r="K429" s="70"/>
      <c r="L429" s="60"/>
    </row>
    <row r="430" spans="1:12" s="106" customFormat="1" ht="16.5">
      <c r="A430" s="105"/>
      <c r="B430" s="55"/>
      <c r="C430" s="70"/>
      <c r="D430" s="70"/>
      <c r="E430" s="70"/>
      <c r="F430" s="70"/>
      <c r="G430" s="70"/>
      <c r="H430" s="70"/>
      <c r="I430" s="70"/>
      <c r="J430" s="70"/>
      <c r="K430" s="70"/>
      <c r="L430" s="60"/>
    </row>
    <row r="431" spans="1:12" s="106" customFormat="1" ht="16.5">
      <c r="A431" s="105"/>
      <c r="B431" s="55"/>
      <c r="C431" s="70"/>
      <c r="D431" s="70"/>
      <c r="E431" s="70"/>
      <c r="F431" s="70"/>
      <c r="G431" s="70"/>
      <c r="H431" s="70"/>
      <c r="I431" s="70"/>
      <c r="J431" s="70"/>
      <c r="K431" s="70"/>
      <c r="L431" s="60"/>
    </row>
    <row r="432" spans="1:12" s="106" customFormat="1" ht="16.5">
      <c r="A432" s="105"/>
      <c r="B432" s="55"/>
      <c r="C432" s="70"/>
      <c r="D432" s="70"/>
      <c r="E432" s="70"/>
      <c r="F432" s="70"/>
      <c r="G432" s="70"/>
      <c r="H432" s="70"/>
      <c r="I432" s="70"/>
      <c r="J432" s="70"/>
      <c r="K432" s="70"/>
      <c r="L432" s="60"/>
    </row>
    <row r="433" spans="1:12" s="106" customFormat="1" ht="16.5">
      <c r="A433" s="105"/>
      <c r="B433" s="55"/>
      <c r="C433" s="70"/>
      <c r="D433" s="70"/>
      <c r="E433" s="70"/>
      <c r="F433" s="70"/>
      <c r="G433" s="70"/>
      <c r="H433" s="70"/>
      <c r="I433" s="70"/>
      <c r="J433" s="70"/>
      <c r="K433" s="70"/>
      <c r="L433" s="60"/>
    </row>
    <row r="434" spans="1:12" s="106" customFormat="1" ht="16.5">
      <c r="A434" s="105"/>
      <c r="B434" s="55"/>
      <c r="C434" s="70"/>
      <c r="D434" s="70"/>
      <c r="E434" s="70"/>
      <c r="F434" s="70"/>
      <c r="G434" s="70"/>
      <c r="H434" s="70"/>
      <c r="I434" s="70"/>
      <c r="J434" s="70"/>
      <c r="K434" s="70"/>
      <c r="L434" s="60"/>
    </row>
    <row r="435" spans="1:12" s="106" customFormat="1" ht="16.5">
      <c r="A435" s="105"/>
      <c r="B435" s="55"/>
      <c r="C435" s="70"/>
      <c r="D435" s="70"/>
      <c r="E435" s="70"/>
      <c r="F435" s="70"/>
      <c r="G435" s="70"/>
      <c r="H435" s="70"/>
      <c r="I435" s="70"/>
      <c r="J435" s="70"/>
      <c r="K435" s="70"/>
      <c r="L435" s="60"/>
    </row>
    <row r="436" spans="1:12" s="106" customFormat="1" ht="16.5">
      <c r="A436" s="105"/>
      <c r="B436" s="55"/>
      <c r="C436" s="70"/>
      <c r="D436" s="70"/>
      <c r="E436" s="70"/>
      <c r="F436" s="70"/>
      <c r="G436" s="70"/>
      <c r="H436" s="70"/>
      <c r="I436" s="70"/>
      <c r="J436" s="70"/>
      <c r="K436" s="70"/>
      <c r="L436" s="60"/>
    </row>
    <row r="437" spans="1:12" s="106" customFormat="1" ht="16.5">
      <c r="A437" s="105"/>
      <c r="B437" s="55"/>
      <c r="C437" s="70"/>
      <c r="D437" s="70"/>
      <c r="E437" s="70"/>
      <c r="F437" s="70"/>
      <c r="G437" s="70"/>
      <c r="H437" s="70"/>
      <c r="I437" s="70"/>
      <c r="J437" s="70"/>
      <c r="K437" s="70"/>
      <c r="L437" s="60"/>
    </row>
    <row r="438" spans="1:12" s="106" customFormat="1" ht="16.5">
      <c r="A438" s="105"/>
      <c r="B438" s="55"/>
      <c r="C438" s="70"/>
      <c r="D438" s="70"/>
      <c r="E438" s="70"/>
      <c r="F438" s="70"/>
      <c r="G438" s="70"/>
      <c r="H438" s="70"/>
      <c r="I438" s="70"/>
      <c r="J438" s="70"/>
      <c r="K438" s="70"/>
      <c r="L438" s="60"/>
    </row>
    <row r="439" spans="1:12" s="106" customFormat="1" ht="16.5">
      <c r="A439" s="105"/>
      <c r="B439" s="55"/>
      <c r="C439" s="70"/>
      <c r="D439" s="70"/>
      <c r="E439" s="70"/>
      <c r="F439" s="70"/>
      <c r="G439" s="70"/>
      <c r="H439" s="70"/>
      <c r="I439" s="70"/>
      <c r="J439" s="70"/>
      <c r="K439" s="70"/>
      <c r="L439" s="60"/>
    </row>
    <row r="440" spans="1:12" s="106" customFormat="1" ht="16.5">
      <c r="A440" s="105"/>
      <c r="B440" s="55"/>
      <c r="C440" s="70"/>
      <c r="D440" s="70"/>
      <c r="E440" s="70"/>
      <c r="F440" s="70"/>
      <c r="G440" s="70"/>
      <c r="H440" s="70"/>
      <c r="I440" s="70"/>
      <c r="J440" s="70"/>
      <c r="K440" s="70"/>
      <c r="L440" s="60"/>
    </row>
    <row r="441" spans="1:12" s="106" customFormat="1" ht="16.5">
      <c r="A441" s="105"/>
      <c r="B441" s="55"/>
      <c r="C441" s="70"/>
      <c r="D441" s="70"/>
      <c r="E441" s="70"/>
      <c r="F441" s="70"/>
      <c r="G441" s="70"/>
      <c r="H441" s="70"/>
      <c r="I441" s="70"/>
      <c r="J441" s="70"/>
      <c r="K441" s="70"/>
      <c r="L441" s="60"/>
    </row>
    <row r="442" spans="1:12" s="106" customFormat="1" ht="16.5">
      <c r="A442" s="105"/>
      <c r="B442" s="55"/>
      <c r="C442" s="70"/>
      <c r="D442" s="70"/>
      <c r="E442" s="70"/>
      <c r="F442" s="70"/>
      <c r="G442" s="70"/>
      <c r="H442" s="70"/>
      <c r="I442" s="70"/>
      <c r="J442" s="70"/>
      <c r="K442" s="70"/>
      <c r="L442" s="60"/>
    </row>
    <row r="443" spans="1:12" s="106" customFormat="1" ht="16.5">
      <c r="A443" s="105"/>
      <c r="B443" s="55"/>
      <c r="C443" s="70"/>
      <c r="D443" s="70"/>
      <c r="E443" s="70"/>
      <c r="F443" s="70"/>
      <c r="G443" s="70"/>
      <c r="H443" s="70"/>
      <c r="I443" s="70"/>
      <c r="J443" s="70"/>
      <c r="K443" s="70"/>
      <c r="L443" s="60"/>
    </row>
    <row r="444" spans="1:12" s="106" customFormat="1" ht="16.5">
      <c r="A444" s="105"/>
      <c r="B444" s="55"/>
      <c r="C444" s="70"/>
      <c r="D444" s="70"/>
      <c r="E444" s="70"/>
      <c r="F444" s="70"/>
      <c r="G444" s="70"/>
      <c r="H444" s="70"/>
      <c r="I444" s="70"/>
      <c r="J444" s="70"/>
      <c r="K444" s="70"/>
      <c r="L444" s="60"/>
    </row>
    <row r="445" spans="1:12" s="106" customFormat="1" ht="16.5">
      <c r="A445" s="105"/>
      <c r="B445" s="55"/>
      <c r="C445" s="70"/>
      <c r="D445" s="70"/>
      <c r="E445" s="70"/>
      <c r="F445" s="70"/>
      <c r="G445" s="70"/>
      <c r="H445" s="70"/>
      <c r="I445" s="70"/>
      <c r="J445" s="70"/>
      <c r="K445" s="70"/>
      <c r="L445" s="60"/>
    </row>
    <row r="446" spans="1:12" s="106" customFormat="1" ht="16.5">
      <c r="A446" s="105"/>
      <c r="B446" s="55"/>
      <c r="C446" s="70"/>
      <c r="D446" s="70"/>
      <c r="E446" s="70"/>
      <c r="F446" s="70"/>
      <c r="G446" s="70"/>
      <c r="H446" s="70"/>
      <c r="I446" s="70"/>
      <c r="J446" s="70"/>
      <c r="K446" s="70"/>
      <c r="L446" s="60"/>
    </row>
    <row r="447" spans="1:12" s="106" customFormat="1" ht="16.5">
      <c r="A447" s="105"/>
      <c r="B447" s="55"/>
      <c r="C447" s="70"/>
      <c r="D447" s="70"/>
      <c r="E447" s="70"/>
      <c r="F447" s="70"/>
      <c r="G447" s="70"/>
      <c r="H447" s="70"/>
      <c r="I447" s="70"/>
      <c r="J447" s="70"/>
      <c r="K447" s="70"/>
      <c r="L447" s="60"/>
    </row>
    <row r="448" spans="1:12" s="106" customFormat="1" ht="16.5">
      <c r="A448" s="105"/>
      <c r="B448" s="55"/>
      <c r="C448" s="70"/>
      <c r="D448" s="70"/>
      <c r="E448" s="70"/>
      <c r="F448" s="70"/>
      <c r="G448" s="70"/>
      <c r="H448" s="70"/>
      <c r="I448" s="70"/>
      <c r="J448" s="70"/>
      <c r="K448" s="70"/>
      <c r="L448" s="60"/>
    </row>
    <row r="449" spans="1:12" s="106" customFormat="1" ht="16.5">
      <c r="A449" s="105"/>
      <c r="B449" s="55"/>
      <c r="C449" s="70"/>
      <c r="D449" s="70"/>
      <c r="E449" s="70"/>
      <c r="F449" s="70"/>
      <c r="G449" s="70"/>
      <c r="H449" s="70"/>
      <c r="I449" s="70"/>
      <c r="J449" s="70"/>
      <c r="K449" s="70"/>
      <c r="L449" s="60"/>
    </row>
    <row r="450" spans="1:12" s="106" customFormat="1" ht="16.5">
      <c r="A450" s="105"/>
      <c r="B450" s="55"/>
      <c r="C450" s="70"/>
      <c r="D450" s="70"/>
      <c r="E450" s="70"/>
      <c r="F450" s="70"/>
      <c r="G450" s="70"/>
      <c r="H450" s="70"/>
      <c r="I450" s="70"/>
      <c r="J450" s="70"/>
      <c r="K450" s="70"/>
      <c r="L450" s="60"/>
    </row>
    <row r="451" spans="1:12" s="106" customFormat="1" ht="16.5">
      <c r="A451" s="105"/>
      <c r="B451" s="55"/>
      <c r="C451" s="70"/>
      <c r="D451" s="70"/>
      <c r="E451" s="70"/>
      <c r="F451" s="70"/>
      <c r="G451" s="70"/>
      <c r="H451" s="70"/>
      <c r="I451" s="70"/>
      <c r="J451" s="70"/>
      <c r="K451" s="70"/>
      <c r="L451" s="60"/>
    </row>
    <row r="452" spans="1:12" s="106" customFormat="1" ht="16.5">
      <c r="A452" s="105"/>
      <c r="B452" s="55"/>
      <c r="C452" s="70"/>
      <c r="D452" s="70"/>
      <c r="E452" s="70"/>
      <c r="F452" s="70"/>
      <c r="G452" s="70"/>
      <c r="H452" s="70"/>
      <c r="I452" s="70"/>
      <c r="J452" s="70"/>
      <c r="K452" s="70"/>
      <c r="L452" s="60"/>
    </row>
    <row r="453" spans="1:12" s="106" customFormat="1" ht="16.5">
      <c r="A453" s="105"/>
      <c r="B453" s="55"/>
      <c r="C453" s="70"/>
      <c r="D453" s="70"/>
      <c r="E453" s="70"/>
      <c r="F453" s="70"/>
      <c r="G453" s="70"/>
      <c r="H453" s="70"/>
      <c r="I453" s="70"/>
      <c r="J453" s="70"/>
      <c r="K453" s="70"/>
      <c r="L453" s="60"/>
    </row>
    <row r="454" spans="1:12" s="106" customFormat="1" ht="16.5">
      <c r="A454" s="105"/>
      <c r="B454" s="55"/>
      <c r="C454" s="70"/>
      <c r="D454" s="70"/>
      <c r="E454" s="70"/>
      <c r="F454" s="70"/>
      <c r="G454" s="70"/>
      <c r="H454" s="70"/>
      <c r="I454" s="70"/>
      <c r="J454" s="70"/>
      <c r="K454" s="70"/>
      <c r="L454" s="60"/>
    </row>
    <row r="455" spans="1:12" s="106" customFormat="1" ht="16.5">
      <c r="A455" s="105"/>
      <c r="B455" s="55"/>
      <c r="C455" s="70"/>
      <c r="D455" s="70"/>
      <c r="E455" s="70"/>
      <c r="F455" s="70"/>
      <c r="G455" s="70"/>
      <c r="H455" s="70"/>
      <c r="I455" s="70"/>
      <c r="J455" s="70"/>
      <c r="K455" s="70"/>
      <c r="L455" s="60"/>
    </row>
    <row r="456" spans="1:12" s="106" customFormat="1" ht="16.5">
      <c r="A456" s="105"/>
      <c r="B456" s="55"/>
      <c r="C456" s="70"/>
      <c r="D456" s="70"/>
      <c r="E456" s="70"/>
      <c r="F456" s="70"/>
      <c r="G456" s="70"/>
      <c r="H456" s="70"/>
      <c r="I456" s="70"/>
      <c r="J456" s="70"/>
      <c r="K456" s="70"/>
      <c r="L456" s="60"/>
    </row>
    <row r="457" spans="1:12" s="106" customFormat="1" ht="16.5">
      <c r="A457" s="105"/>
      <c r="B457" s="55"/>
      <c r="C457" s="70"/>
      <c r="D457" s="70"/>
      <c r="E457" s="70"/>
      <c r="F457" s="70"/>
      <c r="G457" s="70"/>
      <c r="H457" s="70"/>
      <c r="I457" s="70"/>
      <c r="J457" s="70"/>
      <c r="K457" s="70"/>
      <c r="L457" s="60"/>
    </row>
    <row r="458" spans="1:12" s="106" customFormat="1" ht="16.5">
      <c r="A458" s="105"/>
      <c r="B458" s="55"/>
      <c r="C458" s="70"/>
      <c r="D458" s="70"/>
      <c r="E458" s="70"/>
      <c r="F458" s="70"/>
      <c r="G458" s="70"/>
      <c r="H458" s="70"/>
      <c r="I458" s="70"/>
      <c r="J458" s="70"/>
      <c r="K458" s="70"/>
      <c r="L458" s="60"/>
    </row>
    <row r="459" spans="1:12" s="106" customFormat="1" ht="16.5">
      <c r="A459" s="105"/>
      <c r="B459" s="55"/>
      <c r="C459" s="70"/>
      <c r="D459" s="70"/>
      <c r="E459" s="70"/>
      <c r="F459" s="70"/>
      <c r="G459" s="70"/>
      <c r="H459" s="70"/>
      <c r="I459" s="70"/>
      <c r="J459" s="70"/>
      <c r="K459" s="70"/>
      <c r="L459" s="60"/>
    </row>
    <row r="460" spans="1:12" s="106" customFormat="1" ht="16.5">
      <c r="A460" s="105"/>
      <c r="B460" s="55"/>
      <c r="C460" s="70"/>
      <c r="D460" s="70"/>
      <c r="E460" s="70"/>
      <c r="F460" s="70"/>
      <c r="G460" s="70"/>
      <c r="H460" s="70"/>
      <c r="I460" s="70"/>
      <c r="J460" s="70"/>
      <c r="K460" s="70"/>
      <c r="L460" s="60"/>
    </row>
    <row r="461" spans="1:12" s="106" customFormat="1" ht="16.5">
      <c r="A461" s="105"/>
      <c r="B461" s="55"/>
      <c r="C461" s="70"/>
      <c r="D461" s="70"/>
      <c r="E461" s="70"/>
      <c r="F461" s="70"/>
      <c r="G461" s="70"/>
      <c r="H461" s="70"/>
      <c r="I461" s="70"/>
      <c r="J461" s="70"/>
      <c r="K461" s="70"/>
      <c r="L461" s="60"/>
    </row>
    <row r="462" spans="1:12" s="106" customFormat="1" ht="16.5">
      <c r="A462" s="105"/>
      <c r="B462" s="55"/>
      <c r="C462" s="70"/>
      <c r="D462" s="70"/>
      <c r="E462" s="70"/>
      <c r="F462" s="70"/>
      <c r="G462" s="70"/>
      <c r="H462" s="70"/>
      <c r="I462" s="70"/>
      <c r="J462" s="70"/>
      <c r="K462" s="70"/>
      <c r="L462" s="60"/>
    </row>
    <row r="463" spans="1:12" s="106" customFormat="1" ht="16.5">
      <c r="A463" s="105"/>
      <c r="B463" s="55"/>
      <c r="C463" s="70"/>
      <c r="D463" s="70"/>
      <c r="E463" s="70"/>
      <c r="F463" s="70"/>
      <c r="G463" s="70"/>
      <c r="H463" s="70"/>
      <c r="I463" s="70"/>
      <c r="J463" s="70"/>
      <c r="K463" s="70"/>
      <c r="L463" s="60"/>
    </row>
    <row r="464" spans="1:12" s="106" customFormat="1" ht="16.5">
      <c r="A464" s="105"/>
      <c r="B464" s="55"/>
      <c r="C464" s="70"/>
      <c r="D464" s="70"/>
      <c r="E464" s="70"/>
      <c r="F464" s="70"/>
      <c r="G464" s="70"/>
      <c r="H464" s="70"/>
      <c r="I464" s="70"/>
      <c r="J464" s="70"/>
      <c r="K464" s="70"/>
      <c r="L464" s="60"/>
    </row>
    <row r="465" spans="1:12" s="106" customFormat="1" ht="16.5">
      <c r="A465" s="105"/>
      <c r="B465" s="55"/>
      <c r="C465" s="70"/>
      <c r="D465" s="70"/>
      <c r="E465" s="70"/>
      <c r="F465" s="70"/>
      <c r="G465" s="70"/>
      <c r="H465" s="70"/>
      <c r="I465" s="70"/>
      <c r="J465" s="70"/>
      <c r="K465" s="70"/>
      <c r="L465" s="60"/>
    </row>
    <row r="466" spans="1:12" s="106" customFormat="1" ht="16.5">
      <c r="A466" s="105"/>
      <c r="B466" s="55"/>
      <c r="C466" s="70"/>
      <c r="D466" s="70"/>
      <c r="E466" s="70"/>
      <c r="F466" s="70"/>
      <c r="G466" s="70"/>
      <c r="H466" s="70"/>
      <c r="I466" s="70"/>
      <c r="J466" s="70"/>
      <c r="K466" s="70"/>
      <c r="L466" s="60"/>
    </row>
    <row r="467" spans="1:12" s="106" customFormat="1" ht="16.5">
      <c r="A467" s="105"/>
      <c r="B467" s="55"/>
      <c r="C467" s="70"/>
      <c r="D467" s="70"/>
      <c r="E467" s="70"/>
      <c r="F467" s="70"/>
      <c r="G467" s="70"/>
      <c r="H467" s="70"/>
      <c r="I467" s="70"/>
      <c r="J467" s="70"/>
      <c r="K467" s="70"/>
      <c r="L467" s="60"/>
    </row>
    <row r="468" spans="1:12" s="106" customFormat="1" ht="16.5">
      <c r="A468" s="105"/>
      <c r="B468" s="55"/>
      <c r="C468" s="70"/>
      <c r="D468" s="70"/>
      <c r="E468" s="70"/>
      <c r="F468" s="70"/>
      <c r="G468" s="70"/>
      <c r="H468" s="70"/>
      <c r="I468" s="70"/>
      <c r="J468" s="70"/>
      <c r="K468" s="70"/>
      <c r="L468" s="60"/>
    </row>
    <row r="469" spans="1:12" s="106" customFormat="1" ht="16.5">
      <c r="A469" s="105"/>
      <c r="B469" s="55"/>
      <c r="C469" s="70"/>
      <c r="D469" s="70"/>
      <c r="E469" s="70"/>
      <c r="F469" s="70"/>
      <c r="G469" s="70"/>
      <c r="H469" s="70"/>
      <c r="I469" s="70"/>
      <c r="J469" s="70"/>
      <c r="K469" s="70"/>
      <c r="L469" s="60"/>
    </row>
    <row r="470" spans="1:12" s="106" customFormat="1" ht="16.5">
      <c r="A470" s="105"/>
      <c r="B470" s="55"/>
      <c r="C470" s="70"/>
      <c r="D470" s="70"/>
      <c r="E470" s="70"/>
      <c r="F470" s="70"/>
      <c r="G470" s="70"/>
      <c r="H470" s="70"/>
      <c r="I470" s="70"/>
      <c r="J470" s="70"/>
      <c r="K470" s="70"/>
      <c r="L470" s="60"/>
    </row>
    <row r="471" spans="1:12" s="106" customFormat="1" ht="16.5">
      <c r="A471" s="105"/>
      <c r="B471" s="55"/>
      <c r="C471" s="70"/>
      <c r="D471" s="70"/>
      <c r="E471" s="70"/>
      <c r="F471" s="70"/>
      <c r="G471" s="70"/>
      <c r="H471" s="70"/>
      <c r="I471" s="70"/>
      <c r="J471" s="70"/>
      <c r="K471" s="70"/>
      <c r="L471" s="60"/>
    </row>
    <row r="472" spans="1:12" s="106" customFormat="1" ht="16.5">
      <c r="A472" s="105"/>
      <c r="B472" s="55"/>
      <c r="C472" s="70"/>
      <c r="D472" s="70"/>
      <c r="E472" s="70"/>
      <c r="F472" s="70"/>
      <c r="G472" s="70"/>
      <c r="H472" s="70"/>
      <c r="I472" s="70"/>
      <c r="J472" s="70"/>
      <c r="K472" s="70"/>
      <c r="L472" s="60"/>
    </row>
    <row r="473" spans="1:12" s="106" customFormat="1" ht="16.5">
      <c r="A473" s="105"/>
      <c r="B473" s="55"/>
      <c r="C473" s="70"/>
      <c r="D473" s="70"/>
      <c r="E473" s="70"/>
      <c r="F473" s="70"/>
      <c r="G473" s="70"/>
      <c r="H473" s="70"/>
      <c r="I473" s="70"/>
      <c r="J473" s="70"/>
      <c r="K473" s="70"/>
      <c r="L473" s="60"/>
    </row>
    <row r="474" spans="1:12" s="106" customFormat="1" ht="16.5">
      <c r="A474" s="105"/>
      <c r="B474" s="55"/>
      <c r="C474" s="70"/>
      <c r="D474" s="70"/>
      <c r="E474" s="70"/>
      <c r="F474" s="70"/>
      <c r="G474" s="70"/>
      <c r="H474" s="70"/>
      <c r="I474" s="70"/>
      <c r="J474" s="70"/>
      <c r="K474" s="70"/>
      <c r="L474" s="60"/>
    </row>
    <row r="475" spans="1:12" s="106" customFormat="1" ht="16.5">
      <c r="A475" s="105"/>
      <c r="B475" s="55"/>
      <c r="C475" s="70"/>
      <c r="D475" s="70"/>
      <c r="E475" s="70"/>
      <c r="F475" s="70"/>
      <c r="G475" s="70"/>
      <c r="H475" s="70"/>
      <c r="I475" s="70"/>
      <c r="J475" s="70"/>
      <c r="K475" s="70"/>
      <c r="L475" s="60"/>
    </row>
    <row r="476" spans="1:12" s="106" customFormat="1" ht="16.5">
      <c r="A476" s="105"/>
      <c r="B476" s="55"/>
      <c r="C476" s="70"/>
      <c r="D476" s="70"/>
      <c r="E476" s="70"/>
      <c r="F476" s="70"/>
      <c r="G476" s="70"/>
      <c r="H476" s="70"/>
      <c r="I476" s="70"/>
      <c r="J476" s="70"/>
      <c r="K476" s="70"/>
      <c r="L476" s="60"/>
    </row>
    <row r="477" spans="1:12" s="106" customFormat="1" ht="16.5">
      <c r="A477" s="105"/>
      <c r="B477" s="55"/>
      <c r="C477" s="70"/>
      <c r="D477" s="70"/>
      <c r="E477" s="70"/>
      <c r="F477" s="70"/>
      <c r="G477" s="70"/>
      <c r="H477" s="70"/>
      <c r="I477" s="70"/>
      <c r="J477" s="70"/>
      <c r="K477" s="70"/>
      <c r="L477" s="60"/>
    </row>
    <row r="478" spans="1:12" s="106" customFormat="1" ht="16.5">
      <c r="A478" s="105"/>
      <c r="B478" s="55"/>
      <c r="C478" s="70"/>
      <c r="D478" s="70"/>
      <c r="E478" s="70"/>
      <c r="F478" s="70"/>
      <c r="G478" s="70"/>
      <c r="H478" s="70"/>
      <c r="I478" s="70"/>
      <c r="J478" s="70"/>
      <c r="K478" s="70"/>
      <c r="L478" s="60"/>
    </row>
    <row r="479" spans="1:12" s="106" customFormat="1" ht="16.5">
      <c r="A479" s="105"/>
      <c r="B479" s="55"/>
      <c r="C479" s="70"/>
      <c r="D479" s="70"/>
      <c r="E479" s="70"/>
      <c r="F479" s="70"/>
      <c r="G479" s="70"/>
      <c r="H479" s="70"/>
      <c r="I479" s="70"/>
      <c r="J479" s="70"/>
      <c r="K479" s="70"/>
      <c r="L479" s="60"/>
    </row>
    <row r="480" spans="1:12" s="106" customFormat="1" ht="16.5">
      <c r="A480" s="105"/>
      <c r="B480" s="55"/>
      <c r="C480" s="70"/>
      <c r="D480" s="70"/>
      <c r="E480" s="70"/>
      <c r="F480" s="70"/>
      <c r="G480" s="70"/>
      <c r="H480" s="70"/>
      <c r="I480" s="70"/>
      <c r="J480" s="70"/>
      <c r="K480" s="70"/>
      <c r="L480" s="60"/>
    </row>
    <row r="481" spans="1:12" s="106" customFormat="1" ht="16.5">
      <c r="A481" s="105"/>
      <c r="B481" s="55"/>
      <c r="C481" s="70"/>
      <c r="D481" s="70"/>
      <c r="E481" s="70"/>
      <c r="F481" s="70"/>
      <c r="G481" s="70"/>
      <c r="H481" s="70"/>
      <c r="I481" s="70"/>
      <c r="J481" s="70"/>
      <c r="K481" s="70"/>
      <c r="L481" s="60"/>
    </row>
    <row r="482" spans="1:12" s="106" customFormat="1" ht="16.5">
      <c r="A482" s="105"/>
      <c r="B482" s="55"/>
      <c r="C482" s="70"/>
      <c r="D482" s="70"/>
      <c r="E482" s="70"/>
      <c r="F482" s="70"/>
      <c r="G482" s="70"/>
      <c r="H482" s="70"/>
      <c r="I482" s="70"/>
      <c r="J482" s="70"/>
      <c r="K482" s="70"/>
      <c r="L482" s="60"/>
    </row>
    <row r="483" spans="1:12" s="106" customFormat="1" ht="16.5">
      <c r="A483" s="105"/>
      <c r="B483" s="55"/>
      <c r="C483" s="70"/>
      <c r="D483" s="70"/>
      <c r="E483" s="70"/>
      <c r="F483" s="70"/>
      <c r="G483" s="70"/>
      <c r="H483" s="70"/>
      <c r="I483" s="70"/>
      <c r="J483" s="70"/>
      <c r="K483" s="70"/>
      <c r="L483" s="60"/>
    </row>
    <row r="484" spans="1:12" s="106" customFormat="1" ht="16.5">
      <c r="A484" s="105"/>
      <c r="B484" s="55"/>
      <c r="C484" s="70"/>
      <c r="D484" s="70"/>
      <c r="E484" s="70"/>
      <c r="F484" s="70"/>
      <c r="G484" s="70"/>
      <c r="H484" s="70"/>
      <c r="I484" s="70"/>
      <c r="J484" s="70"/>
      <c r="K484" s="70"/>
      <c r="L484" s="60"/>
    </row>
    <row r="485" spans="1:12" s="106" customFormat="1" ht="16.5">
      <c r="A485" s="105"/>
      <c r="B485" s="55"/>
      <c r="C485" s="70"/>
      <c r="D485" s="70"/>
      <c r="E485" s="70"/>
      <c r="F485" s="70"/>
      <c r="G485" s="70"/>
      <c r="H485" s="70"/>
      <c r="I485" s="70"/>
      <c r="J485" s="70"/>
      <c r="K485" s="70"/>
      <c r="L485" s="60"/>
    </row>
    <row r="486" spans="1:12" s="106" customFormat="1" ht="16.5">
      <c r="A486" s="105"/>
      <c r="B486" s="55"/>
      <c r="C486" s="70"/>
      <c r="D486" s="70"/>
      <c r="E486" s="70"/>
      <c r="F486" s="70"/>
      <c r="G486" s="70"/>
      <c r="H486" s="70"/>
      <c r="I486" s="70"/>
      <c r="J486" s="70"/>
      <c r="K486" s="70"/>
      <c r="L486" s="60"/>
    </row>
    <row r="487" spans="1:12" s="106" customFormat="1" ht="16.5">
      <c r="A487" s="105"/>
      <c r="B487" s="55"/>
      <c r="C487" s="70"/>
      <c r="D487" s="70"/>
      <c r="E487" s="70"/>
      <c r="F487" s="70"/>
      <c r="G487" s="70"/>
      <c r="H487" s="70"/>
      <c r="I487" s="70"/>
      <c r="J487" s="70"/>
      <c r="K487" s="70"/>
      <c r="L487" s="60"/>
    </row>
    <row r="488" spans="1:12" s="106" customFormat="1" ht="16.5">
      <c r="A488" s="105"/>
      <c r="B488" s="55"/>
      <c r="C488" s="70"/>
      <c r="D488" s="70"/>
      <c r="E488" s="70"/>
      <c r="F488" s="70"/>
      <c r="G488" s="70"/>
      <c r="H488" s="70"/>
      <c r="I488" s="70"/>
      <c r="J488" s="70"/>
      <c r="K488" s="70"/>
      <c r="L488" s="60"/>
    </row>
    <row r="489" spans="1:12" s="106" customFormat="1" ht="16.5">
      <c r="A489" s="105"/>
      <c r="B489" s="55"/>
      <c r="C489" s="70"/>
      <c r="D489" s="70"/>
      <c r="E489" s="70"/>
      <c r="F489" s="70"/>
      <c r="G489" s="70"/>
      <c r="H489" s="70"/>
      <c r="I489" s="70"/>
      <c r="J489" s="70"/>
      <c r="K489" s="70"/>
      <c r="L489" s="60"/>
    </row>
    <row r="490" spans="1:12" s="106" customFormat="1" ht="16.5">
      <c r="A490" s="105"/>
      <c r="B490" s="55"/>
      <c r="C490" s="70"/>
      <c r="D490" s="70"/>
      <c r="E490" s="70"/>
      <c r="F490" s="70"/>
      <c r="G490" s="70"/>
      <c r="H490" s="70"/>
      <c r="I490" s="70"/>
      <c r="J490" s="70"/>
      <c r="K490" s="70"/>
      <c r="L490" s="60"/>
    </row>
    <row r="491" spans="1:12" s="106" customFormat="1" ht="16.5">
      <c r="A491" s="105"/>
      <c r="B491" s="55"/>
      <c r="C491" s="70"/>
      <c r="D491" s="70"/>
      <c r="E491" s="70"/>
      <c r="F491" s="70"/>
      <c r="G491" s="70"/>
      <c r="H491" s="70"/>
      <c r="I491" s="70"/>
      <c r="J491" s="70"/>
      <c r="K491" s="70"/>
      <c r="L491" s="60"/>
    </row>
    <row r="492" spans="1:12" s="106" customFormat="1" ht="16.5">
      <c r="A492" s="105"/>
      <c r="B492" s="55"/>
      <c r="C492" s="70"/>
      <c r="D492" s="70"/>
      <c r="E492" s="70"/>
      <c r="F492" s="70"/>
      <c r="G492" s="70"/>
      <c r="H492" s="70"/>
      <c r="I492" s="70"/>
      <c r="J492" s="70"/>
      <c r="K492" s="70"/>
      <c r="L492" s="60"/>
    </row>
    <row r="493" spans="1:12" s="106" customFormat="1" ht="16.5">
      <c r="A493" s="105"/>
      <c r="B493" s="55"/>
      <c r="C493" s="70"/>
      <c r="D493" s="70"/>
      <c r="E493" s="70"/>
      <c r="F493" s="70"/>
      <c r="G493" s="70"/>
      <c r="H493" s="70"/>
      <c r="I493" s="70"/>
      <c r="J493" s="70"/>
      <c r="K493" s="70"/>
      <c r="L493" s="60"/>
    </row>
    <row r="494" spans="1:12" s="106" customFormat="1" ht="16.5">
      <c r="A494" s="105"/>
      <c r="B494" s="55"/>
      <c r="C494" s="70"/>
      <c r="D494" s="70"/>
      <c r="E494" s="70"/>
      <c r="F494" s="70"/>
      <c r="G494" s="70"/>
      <c r="H494" s="70"/>
      <c r="I494" s="70"/>
      <c r="J494" s="70"/>
      <c r="K494" s="70"/>
      <c r="L494" s="60"/>
    </row>
    <row r="495" spans="1:12" s="106" customFormat="1" ht="16.5">
      <c r="A495" s="105"/>
      <c r="B495" s="55"/>
      <c r="C495" s="70"/>
      <c r="D495" s="70"/>
      <c r="E495" s="70"/>
      <c r="F495" s="70"/>
      <c r="G495" s="70"/>
      <c r="H495" s="70"/>
      <c r="I495" s="70"/>
      <c r="J495" s="70"/>
      <c r="K495" s="70"/>
      <c r="L495" s="60"/>
    </row>
    <row r="496" spans="1:12" s="106" customFormat="1" ht="16.5">
      <c r="A496" s="105"/>
      <c r="B496" s="55"/>
      <c r="C496" s="70"/>
      <c r="D496" s="70"/>
      <c r="E496" s="70"/>
      <c r="F496" s="70"/>
      <c r="G496" s="70"/>
      <c r="H496" s="70"/>
      <c r="I496" s="70"/>
      <c r="J496" s="70"/>
      <c r="K496" s="70"/>
      <c r="L496" s="60"/>
    </row>
    <row r="497" spans="1:12" s="106" customFormat="1" ht="16.5">
      <c r="A497" s="105"/>
      <c r="B497" s="55"/>
      <c r="C497" s="70"/>
      <c r="D497" s="70"/>
      <c r="E497" s="70"/>
      <c r="F497" s="70"/>
      <c r="G497" s="70"/>
      <c r="H497" s="70"/>
      <c r="I497" s="70"/>
      <c r="J497" s="70"/>
      <c r="K497" s="70"/>
      <c r="L497" s="60"/>
    </row>
    <row r="498" spans="1:12" s="106" customFormat="1" ht="16.5">
      <c r="A498" s="105"/>
      <c r="B498" s="55"/>
      <c r="C498" s="70"/>
      <c r="D498" s="70"/>
      <c r="E498" s="70"/>
      <c r="F498" s="70"/>
      <c r="G498" s="70"/>
      <c r="H498" s="70"/>
      <c r="I498" s="70"/>
      <c r="J498" s="70"/>
      <c r="K498" s="70"/>
      <c r="L498" s="60"/>
    </row>
    <row r="499" spans="1:12" s="106" customFormat="1" ht="16.5">
      <c r="A499" s="105"/>
      <c r="B499" s="55"/>
      <c r="C499" s="70"/>
      <c r="D499" s="70"/>
      <c r="E499" s="70"/>
      <c r="F499" s="70"/>
      <c r="G499" s="70"/>
      <c r="H499" s="70"/>
      <c r="I499" s="70"/>
      <c r="J499" s="70"/>
      <c r="K499" s="70"/>
      <c r="L499" s="60"/>
    </row>
    <row r="500" spans="1:12" s="106" customFormat="1" ht="16.5">
      <c r="A500" s="105"/>
      <c r="B500" s="55"/>
      <c r="C500" s="70"/>
      <c r="D500" s="70"/>
      <c r="E500" s="70"/>
      <c r="F500" s="70"/>
      <c r="G500" s="70"/>
      <c r="H500" s="70"/>
      <c r="I500" s="70"/>
      <c r="J500" s="70"/>
      <c r="K500" s="70"/>
      <c r="L500" s="60"/>
    </row>
    <row r="501" spans="1:12" s="106" customFormat="1" ht="16.5">
      <c r="A501" s="105"/>
      <c r="B501" s="55"/>
      <c r="C501" s="70"/>
      <c r="D501" s="70"/>
      <c r="E501" s="70"/>
      <c r="F501" s="70"/>
      <c r="G501" s="70"/>
      <c r="H501" s="70"/>
      <c r="I501" s="70"/>
      <c r="J501" s="70"/>
      <c r="K501" s="70"/>
      <c r="L501" s="60"/>
    </row>
    <row r="502" spans="1:12" s="106" customFormat="1" ht="16.5">
      <c r="A502" s="105"/>
      <c r="B502" s="55"/>
      <c r="C502" s="70"/>
      <c r="D502" s="70"/>
      <c r="E502" s="70"/>
      <c r="F502" s="70"/>
      <c r="G502" s="70"/>
      <c r="H502" s="70"/>
      <c r="I502" s="70"/>
      <c r="J502" s="70"/>
      <c r="K502" s="70"/>
      <c r="L502" s="60"/>
    </row>
    <row r="503" spans="1:12" s="106" customFormat="1" ht="16.5">
      <c r="A503" s="105"/>
      <c r="B503" s="55"/>
      <c r="C503" s="70"/>
      <c r="D503" s="70"/>
      <c r="E503" s="70"/>
      <c r="F503" s="70"/>
      <c r="G503" s="70"/>
      <c r="H503" s="70"/>
      <c r="I503" s="70"/>
      <c r="J503" s="70"/>
      <c r="K503" s="70"/>
      <c r="L503" s="60"/>
    </row>
    <row r="504" spans="1:12" s="106" customFormat="1" ht="16.5">
      <c r="A504" s="105"/>
      <c r="B504" s="55"/>
      <c r="C504" s="70"/>
      <c r="D504" s="70"/>
      <c r="E504" s="70"/>
      <c r="F504" s="70"/>
      <c r="G504" s="70"/>
      <c r="H504" s="70"/>
      <c r="I504" s="70"/>
      <c r="J504" s="70"/>
      <c r="K504" s="70"/>
      <c r="L504" s="60"/>
    </row>
    <row r="505" spans="1:12" s="106" customFormat="1" ht="16.5">
      <c r="A505" s="105"/>
      <c r="B505" s="55"/>
      <c r="C505" s="70"/>
      <c r="D505" s="70"/>
      <c r="E505" s="70"/>
      <c r="F505" s="70"/>
      <c r="G505" s="70"/>
      <c r="H505" s="70"/>
      <c r="I505" s="70"/>
      <c r="J505" s="70"/>
      <c r="K505" s="70"/>
      <c r="L505" s="60"/>
    </row>
    <row r="506" spans="1:12" s="106" customFormat="1" ht="16.5">
      <c r="A506" s="105"/>
      <c r="B506" s="55"/>
      <c r="C506" s="70"/>
      <c r="D506" s="70"/>
      <c r="E506" s="70"/>
      <c r="F506" s="70"/>
      <c r="G506" s="70"/>
      <c r="H506" s="70"/>
      <c r="I506" s="70"/>
      <c r="J506" s="70"/>
      <c r="K506" s="70"/>
      <c r="L506" s="60"/>
    </row>
    <row r="507" spans="1:12" s="106" customFormat="1" ht="16.5">
      <c r="A507" s="105"/>
      <c r="B507" s="55"/>
      <c r="C507" s="70"/>
      <c r="D507" s="70"/>
      <c r="E507" s="70"/>
      <c r="F507" s="70"/>
      <c r="G507" s="70"/>
      <c r="H507" s="70"/>
      <c r="I507" s="70"/>
      <c r="J507" s="70"/>
      <c r="K507" s="70"/>
      <c r="L507" s="60"/>
    </row>
    <row r="508" spans="1:12" s="106" customFormat="1" ht="16.5">
      <c r="A508" s="105"/>
      <c r="B508" s="55"/>
      <c r="C508" s="70"/>
      <c r="D508" s="70"/>
      <c r="E508" s="70"/>
      <c r="F508" s="70"/>
      <c r="G508" s="70"/>
      <c r="H508" s="70"/>
      <c r="I508" s="70"/>
      <c r="J508" s="70"/>
      <c r="K508" s="70"/>
      <c r="L508" s="60"/>
    </row>
    <row r="509" spans="1:12" s="106" customFormat="1" ht="16.5">
      <c r="A509" s="105"/>
      <c r="B509" s="55"/>
      <c r="C509" s="70"/>
      <c r="D509" s="70"/>
      <c r="E509" s="70"/>
      <c r="F509" s="70"/>
      <c r="G509" s="70"/>
      <c r="H509" s="70"/>
      <c r="I509" s="70"/>
      <c r="J509" s="70"/>
      <c r="K509" s="70"/>
      <c r="L509" s="60"/>
    </row>
    <row r="510" spans="1:12" s="106" customFormat="1" ht="16.5">
      <c r="A510" s="105"/>
      <c r="B510" s="55"/>
      <c r="C510" s="70"/>
      <c r="D510" s="70"/>
      <c r="E510" s="70"/>
      <c r="F510" s="70"/>
      <c r="G510" s="70"/>
      <c r="H510" s="70"/>
      <c r="I510" s="70"/>
      <c r="J510" s="70"/>
      <c r="K510" s="70"/>
      <c r="L510" s="60"/>
    </row>
    <row r="511" spans="1:12" s="106" customFormat="1" ht="16.5">
      <c r="A511" s="105"/>
      <c r="B511" s="55"/>
      <c r="C511" s="70"/>
      <c r="D511" s="70"/>
      <c r="E511" s="70"/>
      <c r="F511" s="70"/>
      <c r="G511" s="70"/>
      <c r="H511" s="70"/>
      <c r="I511" s="70"/>
      <c r="J511" s="70"/>
      <c r="K511" s="70"/>
      <c r="L511" s="60"/>
    </row>
    <row r="512" spans="1:12" s="106" customFormat="1" ht="16.5">
      <c r="A512" s="105"/>
      <c r="B512" s="55"/>
      <c r="C512" s="70"/>
      <c r="D512" s="70"/>
      <c r="E512" s="70"/>
      <c r="F512" s="70"/>
      <c r="G512" s="70"/>
      <c r="H512" s="70"/>
      <c r="I512" s="70"/>
      <c r="J512" s="70"/>
      <c r="K512" s="70"/>
      <c r="L512" s="60"/>
    </row>
    <row r="513" spans="1:12" s="106" customFormat="1" ht="16.5">
      <c r="A513" s="105"/>
      <c r="B513" s="55"/>
      <c r="C513" s="70"/>
      <c r="D513" s="70"/>
      <c r="E513" s="70"/>
      <c r="F513" s="70"/>
      <c r="G513" s="70"/>
      <c r="H513" s="70"/>
      <c r="I513" s="70"/>
      <c r="J513" s="70"/>
      <c r="K513" s="70"/>
      <c r="L513" s="60"/>
    </row>
    <row r="514" spans="1:12" s="106" customFormat="1" ht="16.5">
      <c r="A514" s="105"/>
      <c r="B514" s="55"/>
      <c r="C514" s="70"/>
      <c r="D514" s="70"/>
      <c r="E514" s="70"/>
      <c r="F514" s="70"/>
      <c r="G514" s="70"/>
      <c r="H514" s="70"/>
      <c r="I514" s="70"/>
      <c r="J514" s="70"/>
      <c r="K514" s="70"/>
      <c r="L514" s="60"/>
    </row>
    <row r="515" spans="1:12" s="106" customFormat="1" ht="16.5">
      <c r="A515" s="105"/>
      <c r="B515" s="55"/>
      <c r="C515" s="70"/>
      <c r="D515" s="70"/>
      <c r="E515" s="70"/>
      <c r="F515" s="70"/>
      <c r="G515" s="70"/>
      <c r="H515" s="70"/>
      <c r="I515" s="70"/>
      <c r="J515" s="70"/>
      <c r="K515" s="70"/>
      <c r="L515" s="60"/>
    </row>
    <row r="516" spans="1:12" s="106" customFormat="1" ht="16.5">
      <c r="A516" s="105"/>
      <c r="B516" s="55"/>
      <c r="C516" s="70"/>
      <c r="D516" s="70"/>
      <c r="E516" s="70"/>
      <c r="F516" s="70"/>
      <c r="G516" s="70"/>
      <c r="H516" s="70"/>
      <c r="I516" s="70"/>
      <c r="J516" s="70"/>
      <c r="K516" s="70"/>
      <c r="L516" s="60"/>
    </row>
    <row r="517" spans="1:12" s="106" customFormat="1" ht="16.5">
      <c r="A517" s="105"/>
      <c r="B517" s="55"/>
      <c r="C517" s="70"/>
      <c r="D517" s="70"/>
      <c r="E517" s="70"/>
      <c r="F517" s="70"/>
      <c r="G517" s="70"/>
      <c r="H517" s="70"/>
      <c r="I517" s="70"/>
      <c r="J517" s="70"/>
      <c r="K517" s="70"/>
      <c r="L517" s="60"/>
    </row>
    <row r="518" spans="1:12" s="106" customFormat="1" ht="16.5">
      <c r="A518" s="105"/>
      <c r="B518" s="55"/>
      <c r="C518" s="70"/>
      <c r="D518" s="70"/>
      <c r="E518" s="70"/>
      <c r="F518" s="70"/>
      <c r="G518" s="70"/>
      <c r="H518" s="70"/>
      <c r="I518" s="70"/>
      <c r="J518" s="70"/>
      <c r="K518" s="70"/>
      <c r="L518" s="60"/>
    </row>
    <row r="519" spans="1:12" s="106" customFormat="1" ht="16.5">
      <c r="A519" s="105"/>
      <c r="B519" s="55"/>
      <c r="C519" s="70"/>
      <c r="D519" s="70"/>
      <c r="E519" s="70"/>
      <c r="F519" s="70"/>
      <c r="G519" s="70"/>
      <c r="H519" s="70"/>
      <c r="I519" s="70"/>
      <c r="J519" s="70"/>
      <c r="K519" s="70"/>
      <c r="L519" s="60"/>
    </row>
    <row r="520" spans="1:12" s="106" customFormat="1" ht="16.5">
      <c r="A520" s="105"/>
      <c r="B520" s="55"/>
      <c r="C520" s="70"/>
      <c r="D520" s="70"/>
      <c r="E520" s="70"/>
      <c r="F520" s="70"/>
      <c r="G520" s="70"/>
      <c r="H520" s="70"/>
      <c r="I520" s="70"/>
      <c r="J520" s="70"/>
      <c r="K520" s="70"/>
      <c r="L520" s="60"/>
    </row>
    <row r="521" spans="1:12" s="106" customFormat="1" ht="16.5">
      <c r="A521" s="105"/>
      <c r="B521" s="55"/>
      <c r="C521" s="70"/>
      <c r="D521" s="70"/>
      <c r="E521" s="70"/>
      <c r="F521" s="70"/>
      <c r="G521" s="70"/>
      <c r="H521" s="70"/>
      <c r="I521" s="70"/>
      <c r="J521" s="70"/>
      <c r="K521" s="70"/>
      <c r="L521" s="60"/>
    </row>
    <row r="522" spans="1:12" s="106" customFormat="1" ht="16.5">
      <c r="A522" s="105"/>
      <c r="B522" s="55"/>
      <c r="C522" s="70"/>
      <c r="D522" s="70"/>
      <c r="E522" s="70"/>
      <c r="F522" s="70"/>
      <c r="G522" s="70"/>
      <c r="H522" s="70"/>
      <c r="I522" s="70"/>
      <c r="J522" s="70"/>
      <c r="K522" s="70"/>
      <c r="L522" s="60"/>
    </row>
    <row r="523" spans="1:12" s="106" customFormat="1" ht="16.5">
      <c r="A523" s="105"/>
      <c r="B523" s="55"/>
      <c r="C523" s="70"/>
      <c r="D523" s="70"/>
      <c r="E523" s="70"/>
      <c r="F523" s="70"/>
      <c r="G523" s="70"/>
      <c r="H523" s="70"/>
      <c r="I523" s="70"/>
      <c r="J523" s="70"/>
      <c r="K523" s="70"/>
      <c r="L523" s="60"/>
    </row>
    <row r="524" spans="1:12" s="106" customFormat="1" ht="16.5">
      <c r="A524" s="105"/>
      <c r="B524" s="55"/>
      <c r="C524" s="70"/>
      <c r="D524" s="70"/>
      <c r="E524" s="70"/>
      <c r="F524" s="70"/>
      <c r="G524" s="70"/>
      <c r="H524" s="70"/>
      <c r="I524" s="70"/>
      <c r="J524" s="70"/>
      <c r="K524" s="70"/>
      <c r="L524" s="60"/>
    </row>
    <row r="525" spans="1:12" s="106" customFormat="1" ht="16.5">
      <c r="A525" s="105"/>
      <c r="B525" s="55"/>
      <c r="C525" s="70"/>
      <c r="D525" s="70"/>
      <c r="E525" s="70"/>
      <c r="F525" s="70"/>
      <c r="G525" s="70"/>
      <c r="H525" s="70"/>
      <c r="I525" s="70"/>
      <c r="J525" s="70"/>
      <c r="K525" s="70"/>
      <c r="L525" s="60"/>
    </row>
    <row r="526" spans="1:12" s="106" customFormat="1" ht="16.5">
      <c r="A526" s="105"/>
      <c r="B526" s="55"/>
      <c r="C526" s="70"/>
      <c r="D526" s="70"/>
      <c r="E526" s="70"/>
      <c r="F526" s="70"/>
      <c r="G526" s="70"/>
      <c r="H526" s="70"/>
      <c r="I526" s="70"/>
      <c r="J526" s="70"/>
      <c r="K526" s="70"/>
      <c r="L526" s="60"/>
    </row>
    <row r="527" spans="1:12" s="106" customFormat="1" ht="16.5">
      <c r="A527" s="105"/>
      <c r="B527" s="55"/>
      <c r="C527" s="70"/>
      <c r="D527" s="70"/>
      <c r="E527" s="70"/>
      <c r="F527" s="70"/>
      <c r="G527" s="70"/>
      <c r="H527" s="70"/>
      <c r="I527" s="70"/>
      <c r="J527" s="70"/>
      <c r="K527" s="70"/>
      <c r="L527" s="60"/>
    </row>
    <row r="528" spans="1:12" s="106" customFormat="1" ht="16.5">
      <c r="A528" s="105"/>
      <c r="B528" s="55"/>
      <c r="C528" s="70"/>
      <c r="D528" s="70"/>
      <c r="E528" s="70"/>
      <c r="F528" s="70"/>
      <c r="G528" s="70"/>
      <c r="H528" s="70"/>
      <c r="I528" s="70"/>
      <c r="J528" s="70"/>
      <c r="K528" s="70"/>
      <c r="L528" s="60"/>
    </row>
    <row r="529" spans="1:12" s="106" customFormat="1" ht="16.5">
      <c r="A529" s="105"/>
      <c r="B529" s="55"/>
      <c r="C529" s="70"/>
      <c r="D529" s="70"/>
      <c r="E529" s="70"/>
      <c r="F529" s="70"/>
      <c r="G529" s="70"/>
      <c r="H529" s="70"/>
      <c r="I529" s="70"/>
      <c r="J529" s="70"/>
      <c r="K529" s="70"/>
      <c r="L529" s="60"/>
    </row>
    <row r="530" spans="1:12" s="106" customFormat="1" ht="16.5">
      <c r="A530" s="105"/>
      <c r="B530" s="55"/>
      <c r="C530" s="70"/>
      <c r="D530" s="70"/>
      <c r="E530" s="70"/>
      <c r="F530" s="70"/>
      <c r="G530" s="70"/>
      <c r="H530" s="70"/>
      <c r="I530" s="70"/>
      <c r="J530" s="70"/>
      <c r="K530" s="70"/>
      <c r="L530" s="60"/>
    </row>
    <row r="531" spans="1:12" s="106" customFormat="1" ht="16.5">
      <c r="A531" s="105"/>
      <c r="B531" s="55"/>
      <c r="C531" s="70"/>
      <c r="D531" s="70"/>
      <c r="E531" s="70"/>
      <c r="F531" s="70"/>
      <c r="G531" s="70"/>
      <c r="H531" s="70"/>
      <c r="I531" s="70"/>
      <c r="J531" s="70"/>
      <c r="K531" s="70"/>
      <c r="L531" s="60"/>
    </row>
    <row r="532" spans="1:12" s="106" customFormat="1" ht="16.5">
      <c r="A532" s="105"/>
      <c r="B532" s="55"/>
      <c r="C532" s="70"/>
      <c r="D532" s="70"/>
      <c r="E532" s="70"/>
      <c r="F532" s="70"/>
      <c r="G532" s="70"/>
      <c r="H532" s="70"/>
      <c r="I532" s="70"/>
      <c r="J532" s="70"/>
      <c r="K532" s="70"/>
      <c r="L532" s="60"/>
    </row>
    <row r="533" spans="1:12" s="106" customFormat="1" ht="16.5">
      <c r="A533" s="105"/>
      <c r="B533" s="55"/>
      <c r="C533" s="70"/>
      <c r="D533" s="70"/>
      <c r="E533" s="70"/>
      <c r="F533" s="70"/>
      <c r="G533" s="70"/>
      <c r="H533" s="70"/>
      <c r="I533" s="70"/>
      <c r="J533" s="70"/>
      <c r="K533" s="70"/>
      <c r="L533" s="60"/>
    </row>
    <row r="534" spans="1:12" s="106" customFormat="1" ht="16.5">
      <c r="A534" s="105"/>
      <c r="B534" s="55"/>
      <c r="C534" s="70"/>
      <c r="D534" s="70"/>
      <c r="E534" s="70"/>
      <c r="F534" s="70"/>
      <c r="G534" s="70"/>
      <c r="H534" s="70"/>
      <c r="I534" s="70"/>
      <c r="J534" s="70"/>
      <c r="K534" s="70"/>
      <c r="L534" s="60"/>
    </row>
    <row r="535" spans="1:12" s="106" customFormat="1" ht="16.5">
      <c r="A535" s="105"/>
      <c r="B535" s="55"/>
      <c r="C535" s="70"/>
      <c r="D535" s="70"/>
      <c r="E535" s="70"/>
      <c r="F535" s="70"/>
      <c r="G535" s="70"/>
      <c r="H535" s="70"/>
      <c r="I535" s="70"/>
      <c r="J535" s="70"/>
      <c r="K535" s="70"/>
      <c r="L535" s="60"/>
    </row>
    <row r="536" spans="1:12" s="106" customFormat="1" ht="16.5">
      <c r="A536" s="105"/>
      <c r="B536" s="55"/>
      <c r="C536" s="70"/>
      <c r="D536" s="70"/>
      <c r="E536" s="70"/>
      <c r="F536" s="70"/>
      <c r="G536" s="70"/>
      <c r="H536" s="70"/>
      <c r="I536" s="70"/>
      <c r="J536" s="70"/>
      <c r="K536" s="70"/>
      <c r="L536" s="60"/>
    </row>
    <row r="537" spans="1:12" s="106" customFormat="1" ht="16.5">
      <c r="A537" s="105"/>
      <c r="B537" s="55"/>
      <c r="C537" s="70"/>
      <c r="D537" s="70"/>
      <c r="E537" s="70"/>
      <c r="F537" s="70"/>
      <c r="G537" s="70"/>
      <c r="H537" s="70"/>
      <c r="I537" s="70"/>
      <c r="J537" s="70"/>
      <c r="K537" s="70"/>
      <c r="L537" s="60"/>
    </row>
    <row r="538" spans="1:12" s="106" customFormat="1" ht="16.5">
      <c r="A538" s="105"/>
      <c r="B538" s="55"/>
      <c r="C538" s="70"/>
      <c r="D538" s="70"/>
      <c r="E538" s="70"/>
      <c r="F538" s="70"/>
      <c r="G538" s="70"/>
      <c r="H538" s="70"/>
      <c r="I538" s="70"/>
      <c r="J538" s="70"/>
      <c r="K538" s="70"/>
      <c r="L538" s="60"/>
    </row>
    <row r="539" spans="1:12" s="106" customFormat="1" ht="16.5">
      <c r="A539" s="105"/>
      <c r="B539" s="55"/>
      <c r="C539" s="70"/>
      <c r="D539" s="70"/>
      <c r="E539" s="70"/>
      <c r="F539" s="70"/>
      <c r="G539" s="70"/>
      <c r="H539" s="70"/>
      <c r="I539" s="70"/>
      <c r="J539" s="70"/>
      <c r="K539" s="70"/>
      <c r="L539" s="60"/>
    </row>
    <row r="540" spans="1:12" s="106" customFormat="1" ht="16.5">
      <c r="A540" s="105"/>
      <c r="B540" s="55"/>
      <c r="C540" s="70"/>
      <c r="D540" s="70"/>
      <c r="E540" s="70"/>
      <c r="F540" s="70"/>
      <c r="G540" s="70"/>
      <c r="H540" s="70"/>
      <c r="I540" s="70"/>
      <c r="J540" s="70"/>
      <c r="K540" s="70"/>
      <c r="L540" s="60"/>
    </row>
    <row r="541" spans="1:12" s="106" customFormat="1" ht="16.5">
      <c r="A541" s="105"/>
      <c r="B541" s="55"/>
      <c r="C541" s="70"/>
      <c r="D541" s="70"/>
      <c r="E541" s="70"/>
      <c r="F541" s="70"/>
      <c r="G541" s="70"/>
      <c r="H541" s="70"/>
      <c r="I541" s="70"/>
      <c r="J541" s="70"/>
      <c r="K541" s="70"/>
      <c r="L541" s="60"/>
    </row>
    <row r="542" spans="1:12" s="106" customFormat="1" ht="16.5">
      <c r="A542" s="105"/>
      <c r="B542" s="55"/>
      <c r="C542" s="70"/>
      <c r="D542" s="70"/>
      <c r="E542" s="70"/>
      <c r="F542" s="70"/>
      <c r="G542" s="70"/>
      <c r="H542" s="70"/>
      <c r="I542" s="70"/>
      <c r="J542" s="70"/>
      <c r="K542" s="70"/>
      <c r="L542" s="60"/>
    </row>
    <row r="543" spans="1:12" s="106" customFormat="1" ht="16.5">
      <c r="A543" s="105"/>
      <c r="B543" s="55"/>
      <c r="C543" s="70"/>
      <c r="D543" s="70"/>
      <c r="E543" s="70"/>
      <c r="F543" s="70"/>
      <c r="G543" s="70"/>
      <c r="H543" s="70"/>
      <c r="I543" s="70"/>
      <c r="J543" s="70"/>
      <c r="K543" s="70"/>
      <c r="L543" s="60"/>
    </row>
    <row r="544" spans="1:12" s="106" customFormat="1" ht="16.5">
      <c r="A544" s="105"/>
      <c r="B544" s="55"/>
      <c r="C544" s="70"/>
      <c r="D544" s="70"/>
      <c r="E544" s="70"/>
      <c r="F544" s="70"/>
      <c r="G544" s="70"/>
      <c r="H544" s="70"/>
      <c r="I544" s="70"/>
      <c r="J544" s="70"/>
      <c r="K544" s="70"/>
      <c r="L544" s="60"/>
    </row>
    <row r="545" spans="1:12" s="106" customFormat="1" ht="16.5">
      <c r="A545" s="105"/>
      <c r="B545" s="55"/>
      <c r="C545" s="70"/>
      <c r="D545" s="70"/>
      <c r="E545" s="70"/>
      <c r="F545" s="70"/>
      <c r="G545" s="70"/>
      <c r="H545" s="70"/>
      <c r="I545" s="70"/>
      <c r="J545" s="70"/>
      <c r="K545" s="70"/>
      <c r="L545" s="60"/>
    </row>
    <row r="546" spans="1:12" s="106" customFormat="1" ht="16.5">
      <c r="A546" s="105"/>
      <c r="B546" s="55"/>
      <c r="C546" s="70"/>
      <c r="D546" s="70"/>
      <c r="E546" s="70"/>
      <c r="F546" s="70"/>
      <c r="G546" s="70"/>
      <c r="H546" s="70"/>
      <c r="I546" s="70"/>
      <c r="J546" s="70"/>
      <c r="K546" s="70"/>
      <c r="L546" s="60"/>
    </row>
    <row r="547" spans="1:12" s="106" customFormat="1" ht="16.5">
      <c r="A547" s="105"/>
      <c r="B547" s="55"/>
      <c r="C547" s="70"/>
      <c r="D547" s="70"/>
      <c r="E547" s="70"/>
      <c r="F547" s="70"/>
      <c r="G547" s="70"/>
      <c r="H547" s="70"/>
      <c r="I547" s="70"/>
      <c r="J547" s="70"/>
      <c r="K547" s="70"/>
      <c r="L547" s="60"/>
    </row>
    <row r="548" spans="1:12" s="106" customFormat="1" ht="16.5">
      <c r="A548" s="105"/>
      <c r="B548" s="55"/>
      <c r="C548" s="70"/>
      <c r="D548" s="70"/>
      <c r="E548" s="70"/>
      <c r="F548" s="70"/>
      <c r="G548" s="70"/>
      <c r="H548" s="70"/>
      <c r="I548" s="70"/>
      <c r="J548" s="70"/>
      <c r="K548" s="70"/>
      <c r="L548" s="60"/>
    </row>
    <row r="549" spans="1:12" s="106" customFormat="1" ht="16.5">
      <c r="A549" s="105"/>
      <c r="B549" s="55"/>
      <c r="C549" s="70"/>
      <c r="D549" s="70"/>
      <c r="E549" s="70"/>
      <c r="F549" s="70"/>
      <c r="G549" s="70"/>
      <c r="H549" s="70"/>
      <c r="I549" s="70"/>
      <c r="J549" s="70"/>
      <c r="K549" s="70"/>
      <c r="L549" s="60"/>
    </row>
    <row r="550" spans="1:12" s="106" customFormat="1" ht="16.5">
      <c r="A550" s="105"/>
      <c r="B550" s="55"/>
      <c r="C550" s="70"/>
      <c r="D550" s="70"/>
      <c r="E550" s="70"/>
      <c r="F550" s="70"/>
      <c r="G550" s="70"/>
      <c r="H550" s="70"/>
      <c r="I550" s="70"/>
      <c r="J550" s="70"/>
      <c r="K550" s="70"/>
      <c r="L550" s="60"/>
    </row>
    <row r="551" spans="1:12" s="106" customFormat="1" ht="16.5">
      <c r="A551" s="105"/>
      <c r="B551" s="55"/>
      <c r="C551" s="70"/>
      <c r="D551" s="70"/>
      <c r="E551" s="70"/>
      <c r="F551" s="70"/>
      <c r="G551" s="70"/>
      <c r="H551" s="70"/>
      <c r="I551" s="70"/>
      <c r="J551" s="70"/>
      <c r="K551" s="70"/>
      <c r="L551" s="60"/>
    </row>
    <row r="552" spans="1:12" s="106" customFormat="1" ht="16.5">
      <c r="A552" s="105"/>
      <c r="B552" s="55"/>
      <c r="C552" s="70"/>
      <c r="D552" s="70"/>
      <c r="E552" s="70"/>
      <c r="F552" s="70"/>
      <c r="G552" s="70"/>
      <c r="H552" s="70"/>
      <c r="I552" s="70"/>
      <c r="J552" s="70"/>
      <c r="K552" s="70"/>
      <c r="L552" s="60"/>
    </row>
    <row r="553" spans="1:12" s="106" customFormat="1" ht="16.5">
      <c r="A553" s="105"/>
      <c r="B553" s="55"/>
      <c r="C553" s="70"/>
      <c r="D553" s="70"/>
      <c r="E553" s="70"/>
      <c r="F553" s="70"/>
      <c r="G553" s="70"/>
      <c r="H553" s="70"/>
      <c r="I553" s="70"/>
      <c r="J553" s="70"/>
      <c r="K553" s="70"/>
      <c r="L553" s="60"/>
    </row>
    <row r="554" spans="1:12" s="106" customFormat="1" ht="16.5">
      <c r="A554" s="105"/>
      <c r="B554" s="55"/>
      <c r="C554" s="70"/>
      <c r="D554" s="70"/>
      <c r="E554" s="70"/>
      <c r="F554" s="70"/>
      <c r="G554" s="70"/>
      <c r="H554" s="70"/>
      <c r="I554" s="70"/>
      <c r="J554" s="70"/>
      <c r="K554" s="70"/>
      <c r="L554" s="60"/>
    </row>
    <row r="555" spans="1:12" s="106" customFormat="1" ht="16.5">
      <c r="A555" s="105"/>
      <c r="B555" s="55"/>
      <c r="C555" s="70"/>
      <c r="D555" s="70"/>
      <c r="E555" s="70"/>
      <c r="F555" s="70"/>
      <c r="G555" s="70"/>
      <c r="H555" s="70"/>
      <c r="I555" s="70"/>
      <c r="J555" s="70"/>
      <c r="K555" s="70"/>
      <c r="L555" s="60"/>
    </row>
    <row r="556" spans="1:12" s="106" customFormat="1" ht="16.5">
      <c r="A556" s="105"/>
      <c r="B556" s="55"/>
      <c r="C556" s="70"/>
      <c r="D556" s="70"/>
      <c r="E556" s="70"/>
      <c r="F556" s="70"/>
      <c r="G556" s="70"/>
      <c r="H556" s="70"/>
      <c r="I556" s="70"/>
      <c r="J556" s="70"/>
      <c r="K556" s="70"/>
      <c r="L556" s="60"/>
    </row>
    <row r="557" spans="1:12" s="106" customFormat="1" ht="16.5">
      <c r="A557" s="105"/>
      <c r="B557" s="55"/>
      <c r="C557" s="70"/>
      <c r="D557" s="70"/>
      <c r="E557" s="70"/>
      <c r="F557" s="70"/>
      <c r="G557" s="70"/>
      <c r="H557" s="70"/>
      <c r="I557" s="70"/>
      <c r="J557" s="70"/>
      <c r="K557" s="70"/>
      <c r="L557" s="60"/>
    </row>
    <row r="558" spans="1:12" s="106" customFormat="1" ht="16.5">
      <c r="A558" s="105"/>
      <c r="B558" s="55"/>
      <c r="C558" s="70"/>
      <c r="D558" s="70"/>
      <c r="E558" s="70"/>
      <c r="F558" s="70"/>
      <c r="G558" s="70"/>
      <c r="H558" s="70"/>
      <c r="I558" s="70"/>
      <c r="J558" s="70"/>
      <c r="K558" s="70"/>
      <c r="L558" s="60"/>
    </row>
    <row r="559" spans="1:12" s="106" customFormat="1" ht="16.5">
      <c r="A559" s="105"/>
      <c r="B559" s="55"/>
      <c r="C559" s="70"/>
      <c r="D559" s="70"/>
      <c r="E559" s="70"/>
      <c r="F559" s="70"/>
      <c r="G559" s="70"/>
      <c r="H559" s="70"/>
      <c r="I559" s="70"/>
      <c r="J559" s="70"/>
      <c r="K559" s="70"/>
      <c r="L559" s="60"/>
    </row>
    <row r="560" spans="1:12" s="106" customFormat="1" ht="16.5">
      <c r="A560" s="105"/>
      <c r="B560" s="55"/>
      <c r="C560" s="70"/>
      <c r="D560" s="70"/>
      <c r="E560" s="70"/>
      <c r="F560" s="70"/>
      <c r="G560" s="70"/>
      <c r="H560" s="70"/>
      <c r="I560" s="70"/>
      <c r="J560" s="70"/>
      <c r="K560" s="70"/>
      <c r="L560" s="60"/>
    </row>
    <row r="561" spans="1:12" s="106" customFormat="1" ht="16.5">
      <c r="A561" s="105"/>
      <c r="B561" s="55"/>
      <c r="C561" s="70"/>
      <c r="D561" s="70"/>
      <c r="E561" s="70"/>
      <c r="F561" s="70"/>
      <c r="G561" s="70"/>
      <c r="H561" s="70"/>
      <c r="I561" s="70"/>
      <c r="J561" s="70"/>
      <c r="K561" s="70"/>
      <c r="L561" s="60"/>
    </row>
    <row r="562" spans="1:12" s="106" customFormat="1" ht="16.5">
      <c r="A562" s="105"/>
      <c r="B562" s="55"/>
      <c r="C562" s="70"/>
      <c r="D562" s="70"/>
      <c r="E562" s="70"/>
      <c r="F562" s="70"/>
      <c r="G562" s="70"/>
      <c r="H562" s="70"/>
      <c r="I562" s="70"/>
      <c r="J562" s="70"/>
      <c r="K562" s="70"/>
      <c r="L562" s="60"/>
    </row>
    <row r="563" spans="1:12" s="106" customFormat="1" ht="16.5">
      <c r="A563" s="105"/>
      <c r="B563" s="55"/>
      <c r="C563" s="70"/>
      <c r="D563" s="70"/>
      <c r="E563" s="70"/>
      <c r="F563" s="70"/>
      <c r="G563" s="70"/>
      <c r="H563" s="70"/>
      <c r="I563" s="70"/>
      <c r="J563" s="70"/>
      <c r="K563" s="70"/>
      <c r="L563" s="60"/>
    </row>
    <row r="564" spans="1:12" s="106" customFormat="1" ht="16.5">
      <c r="A564" s="105"/>
      <c r="B564" s="55"/>
      <c r="C564" s="70"/>
      <c r="D564" s="70"/>
      <c r="E564" s="70"/>
      <c r="F564" s="70"/>
      <c r="G564" s="70"/>
      <c r="H564" s="70"/>
      <c r="I564" s="70"/>
      <c r="J564" s="70"/>
      <c r="K564" s="70"/>
      <c r="L564" s="60"/>
    </row>
    <row r="565" spans="1:12" s="106" customFormat="1" ht="16.5">
      <c r="A565" s="105"/>
      <c r="B565" s="55"/>
      <c r="C565" s="70"/>
      <c r="D565" s="70"/>
      <c r="E565" s="70"/>
      <c r="F565" s="70"/>
      <c r="G565" s="70"/>
      <c r="H565" s="70"/>
      <c r="I565" s="70"/>
      <c r="J565" s="70"/>
      <c r="K565" s="70"/>
      <c r="L565" s="60"/>
    </row>
    <row r="566" spans="1:12" s="106" customFormat="1" ht="16.5">
      <c r="A566" s="105"/>
      <c r="B566" s="55"/>
      <c r="C566" s="70"/>
      <c r="D566" s="70"/>
      <c r="E566" s="70"/>
      <c r="F566" s="70"/>
      <c r="G566" s="70"/>
      <c r="H566" s="70"/>
      <c r="I566" s="70"/>
      <c r="J566" s="70"/>
      <c r="K566" s="70"/>
      <c r="L566" s="60"/>
    </row>
    <row r="567" spans="1:12" s="106" customFormat="1" ht="16.5">
      <c r="A567" s="105"/>
      <c r="B567" s="55"/>
      <c r="C567" s="70"/>
      <c r="D567" s="70"/>
      <c r="E567" s="70"/>
      <c r="F567" s="70"/>
      <c r="G567" s="70"/>
      <c r="H567" s="70"/>
      <c r="I567" s="70"/>
      <c r="J567" s="70"/>
      <c r="K567" s="70"/>
      <c r="L567" s="60"/>
    </row>
    <row r="568" spans="1:12" s="106" customFormat="1" ht="16.5">
      <c r="A568" s="105"/>
      <c r="B568" s="55"/>
      <c r="C568" s="70"/>
      <c r="D568" s="70"/>
      <c r="E568" s="70"/>
      <c r="F568" s="70"/>
      <c r="G568" s="70"/>
      <c r="H568" s="70"/>
      <c r="I568" s="70"/>
      <c r="J568" s="70"/>
      <c r="K568" s="70"/>
      <c r="L568" s="60"/>
    </row>
    <row r="569" spans="1:12" s="106" customFormat="1" ht="16.5">
      <c r="A569" s="105"/>
      <c r="B569" s="55"/>
      <c r="C569" s="70"/>
      <c r="D569" s="70"/>
      <c r="E569" s="70"/>
      <c r="F569" s="70"/>
      <c r="G569" s="70"/>
      <c r="H569" s="70"/>
      <c r="I569" s="70"/>
      <c r="J569" s="70"/>
      <c r="K569" s="70"/>
      <c r="L569" s="60"/>
    </row>
    <row r="570" spans="1:12" s="106" customFormat="1" ht="16.5">
      <c r="A570" s="105"/>
      <c r="B570" s="55"/>
      <c r="C570" s="70"/>
      <c r="D570" s="70"/>
      <c r="E570" s="70"/>
      <c r="F570" s="70"/>
      <c r="G570" s="70"/>
      <c r="H570" s="70"/>
      <c r="I570" s="70"/>
      <c r="J570" s="70"/>
      <c r="K570" s="70"/>
      <c r="L570" s="60"/>
    </row>
    <row r="571" spans="1:12" s="106" customFormat="1" ht="16.5">
      <c r="A571" s="105"/>
      <c r="B571" s="55"/>
      <c r="C571" s="70"/>
      <c r="D571" s="70"/>
      <c r="E571" s="70"/>
      <c r="F571" s="70"/>
      <c r="G571" s="70"/>
      <c r="H571" s="70"/>
      <c r="I571" s="70"/>
      <c r="J571" s="70"/>
      <c r="K571" s="70"/>
      <c r="L571" s="60"/>
    </row>
    <row r="572" spans="1:12" s="106" customFormat="1" ht="16.5">
      <c r="A572" s="105"/>
      <c r="B572" s="55"/>
      <c r="C572" s="70"/>
      <c r="D572" s="70"/>
      <c r="E572" s="70"/>
      <c r="F572" s="70"/>
      <c r="G572" s="70"/>
      <c r="H572" s="70"/>
      <c r="I572" s="70"/>
      <c r="J572" s="70"/>
      <c r="K572" s="70"/>
      <c r="L572" s="60"/>
    </row>
    <row r="573" spans="1:12" s="106" customFormat="1" ht="16.5">
      <c r="A573" s="105"/>
      <c r="B573" s="55"/>
      <c r="C573" s="70"/>
      <c r="D573" s="70"/>
      <c r="E573" s="70"/>
      <c r="F573" s="70"/>
      <c r="G573" s="70"/>
      <c r="H573" s="70"/>
      <c r="I573" s="70"/>
      <c r="J573" s="70"/>
      <c r="K573" s="70"/>
      <c r="L573" s="60"/>
    </row>
    <row r="574" spans="1:12" s="106" customFormat="1" ht="16.5">
      <c r="A574" s="105"/>
      <c r="B574" s="55"/>
      <c r="C574" s="70"/>
      <c r="D574" s="70"/>
      <c r="E574" s="70"/>
      <c r="F574" s="70"/>
      <c r="G574" s="70"/>
      <c r="H574" s="70"/>
      <c r="I574" s="70"/>
      <c r="J574" s="70"/>
      <c r="K574" s="70"/>
      <c r="L574" s="60"/>
    </row>
    <row r="575" spans="1:12" s="106" customFormat="1" ht="16.5">
      <c r="A575" s="105"/>
      <c r="B575" s="55"/>
      <c r="C575" s="70"/>
      <c r="D575" s="70"/>
      <c r="E575" s="70"/>
      <c r="F575" s="70"/>
      <c r="G575" s="70"/>
      <c r="H575" s="70"/>
      <c r="I575" s="70"/>
      <c r="J575" s="70"/>
      <c r="K575" s="70"/>
      <c r="L575" s="60"/>
    </row>
    <row r="576" spans="1:12" s="106" customFormat="1" ht="16.5">
      <c r="A576" s="105"/>
      <c r="B576" s="55"/>
      <c r="C576" s="70"/>
      <c r="D576" s="70"/>
      <c r="E576" s="70"/>
      <c r="F576" s="70"/>
      <c r="G576" s="70"/>
      <c r="H576" s="70"/>
      <c r="I576" s="70"/>
      <c r="J576" s="70"/>
      <c r="K576" s="70"/>
      <c r="L576" s="60"/>
    </row>
    <row r="577" spans="1:12" s="106" customFormat="1" ht="16.5">
      <c r="A577" s="105"/>
      <c r="B577" s="55"/>
      <c r="C577" s="70"/>
      <c r="D577" s="70"/>
      <c r="E577" s="70"/>
      <c r="F577" s="70"/>
      <c r="G577" s="70"/>
      <c r="H577" s="70"/>
      <c r="I577" s="70"/>
      <c r="J577" s="70"/>
      <c r="K577" s="70"/>
      <c r="L577" s="60"/>
    </row>
    <row r="578" spans="1:12" s="106" customFormat="1" ht="16.5">
      <c r="A578" s="105"/>
      <c r="B578" s="55"/>
      <c r="C578" s="70"/>
      <c r="D578" s="70"/>
      <c r="E578" s="70"/>
      <c r="F578" s="70"/>
      <c r="G578" s="70"/>
      <c r="H578" s="70"/>
      <c r="I578" s="70"/>
      <c r="J578" s="70"/>
      <c r="K578" s="70"/>
      <c r="L578" s="60"/>
    </row>
    <row r="579" spans="1:12" s="106" customFormat="1" ht="16.5">
      <c r="A579" s="105"/>
      <c r="B579" s="55"/>
      <c r="C579" s="70"/>
      <c r="D579" s="70"/>
      <c r="E579" s="70"/>
      <c r="F579" s="70"/>
      <c r="G579" s="70"/>
      <c r="H579" s="70"/>
      <c r="I579" s="70"/>
      <c r="J579" s="70"/>
      <c r="K579" s="70"/>
      <c r="L579" s="60"/>
    </row>
    <row r="580" spans="1:12" s="106" customFormat="1" ht="16.5">
      <c r="A580" s="105"/>
      <c r="B580" s="55"/>
      <c r="C580" s="70"/>
      <c r="D580" s="70"/>
      <c r="E580" s="70"/>
      <c r="F580" s="70"/>
      <c r="G580" s="70"/>
      <c r="H580" s="70"/>
      <c r="I580" s="70"/>
      <c r="J580" s="70"/>
      <c r="K580" s="70"/>
      <c r="L580" s="60"/>
    </row>
    <row r="581" spans="1:12" s="106" customFormat="1" ht="16.5">
      <c r="A581" s="105"/>
      <c r="B581" s="55"/>
      <c r="C581" s="70"/>
      <c r="D581" s="70"/>
      <c r="E581" s="70"/>
      <c r="F581" s="70"/>
      <c r="G581" s="70"/>
      <c r="H581" s="70"/>
      <c r="I581" s="70"/>
      <c r="J581" s="70"/>
      <c r="K581" s="70"/>
      <c r="L581" s="60"/>
    </row>
    <row r="582" spans="1:12" s="106" customFormat="1" ht="16.5">
      <c r="A582" s="105"/>
      <c r="B582" s="55"/>
      <c r="C582" s="70"/>
      <c r="D582" s="70"/>
      <c r="E582" s="70"/>
      <c r="F582" s="70"/>
      <c r="G582" s="70"/>
      <c r="H582" s="70"/>
      <c r="I582" s="70"/>
      <c r="J582" s="70"/>
      <c r="K582" s="70"/>
      <c r="L582" s="60"/>
    </row>
    <row r="583" spans="1:12" s="106" customFormat="1" ht="16.5">
      <c r="A583" s="105"/>
      <c r="B583" s="55"/>
      <c r="C583" s="70"/>
      <c r="D583" s="70"/>
      <c r="E583" s="70"/>
      <c r="F583" s="70"/>
      <c r="G583" s="70"/>
      <c r="H583" s="70"/>
      <c r="I583" s="70"/>
      <c r="J583" s="70"/>
      <c r="K583" s="70"/>
      <c r="L583" s="60"/>
    </row>
    <row r="584" spans="1:12" s="106" customFormat="1" ht="16.5">
      <c r="A584" s="105"/>
      <c r="B584" s="55"/>
      <c r="C584" s="70"/>
      <c r="D584" s="70"/>
      <c r="E584" s="70"/>
      <c r="F584" s="70"/>
      <c r="G584" s="70"/>
      <c r="H584" s="70"/>
      <c r="I584" s="70"/>
      <c r="J584" s="70"/>
      <c r="K584" s="70"/>
      <c r="L584" s="60"/>
    </row>
    <row r="585" spans="1:12" s="106" customFormat="1" ht="16.5">
      <c r="A585" s="105"/>
      <c r="B585" s="55"/>
      <c r="C585" s="70"/>
      <c r="D585" s="70"/>
      <c r="E585" s="70"/>
      <c r="F585" s="70"/>
      <c r="G585" s="70"/>
      <c r="H585" s="70"/>
      <c r="I585" s="70"/>
      <c r="J585" s="70"/>
      <c r="K585" s="70"/>
      <c r="L585" s="60"/>
    </row>
    <row r="586" spans="1:12" s="106" customFormat="1" ht="16.5">
      <c r="A586" s="105"/>
      <c r="B586" s="55"/>
      <c r="C586" s="70"/>
      <c r="D586" s="70"/>
      <c r="E586" s="70"/>
      <c r="F586" s="70"/>
      <c r="G586" s="70"/>
      <c r="H586" s="70"/>
      <c r="I586" s="70"/>
      <c r="J586" s="70"/>
      <c r="K586" s="70"/>
      <c r="L586" s="60"/>
    </row>
    <row r="587" spans="1:12" s="106" customFormat="1" ht="16.5">
      <c r="A587" s="105"/>
      <c r="B587" s="55"/>
      <c r="C587" s="70"/>
      <c r="D587" s="70"/>
      <c r="E587" s="70"/>
      <c r="F587" s="70"/>
      <c r="G587" s="70"/>
      <c r="H587" s="70"/>
      <c r="I587" s="70"/>
      <c r="J587" s="70"/>
      <c r="K587" s="70"/>
      <c r="L587" s="60"/>
    </row>
    <row r="588" spans="1:12" s="106" customFormat="1" ht="16.5">
      <c r="A588" s="105"/>
      <c r="B588" s="55"/>
      <c r="C588" s="70"/>
      <c r="D588" s="70"/>
      <c r="E588" s="70"/>
      <c r="F588" s="70"/>
      <c r="G588" s="70"/>
      <c r="H588" s="70"/>
      <c r="I588" s="70"/>
      <c r="J588" s="70"/>
      <c r="K588" s="70"/>
      <c r="L588" s="60"/>
    </row>
    <row r="589" spans="1:12" s="106" customFormat="1" ht="16.5">
      <c r="A589" s="105"/>
      <c r="B589" s="55"/>
      <c r="C589" s="70"/>
      <c r="D589" s="70"/>
      <c r="E589" s="70"/>
      <c r="F589" s="70"/>
      <c r="G589" s="70"/>
      <c r="H589" s="70"/>
      <c r="I589" s="70"/>
      <c r="J589" s="70"/>
      <c r="K589" s="70"/>
      <c r="L589" s="60"/>
    </row>
    <row r="590" spans="1:12" s="106" customFormat="1" ht="16.5">
      <c r="A590" s="105"/>
      <c r="B590" s="55"/>
      <c r="C590" s="70"/>
      <c r="D590" s="70"/>
      <c r="E590" s="70"/>
      <c r="F590" s="70"/>
      <c r="G590" s="70"/>
      <c r="H590" s="70"/>
      <c r="I590" s="70"/>
      <c r="J590" s="70"/>
      <c r="K590" s="70"/>
      <c r="L590" s="60"/>
    </row>
    <row r="591" spans="1:12" s="106" customFormat="1" ht="16.5">
      <c r="A591" s="105"/>
      <c r="B591" s="55"/>
      <c r="C591" s="70"/>
      <c r="D591" s="70"/>
      <c r="E591" s="70"/>
      <c r="F591" s="70"/>
      <c r="G591" s="70"/>
      <c r="H591" s="70"/>
      <c r="I591" s="70"/>
      <c r="J591" s="70"/>
      <c r="K591" s="70"/>
      <c r="L591" s="60"/>
    </row>
    <row r="592" spans="1:12" s="106" customFormat="1" ht="16.5">
      <c r="A592" s="105"/>
      <c r="B592" s="55"/>
      <c r="C592" s="70"/>
      <c r="D592" s="70"/>
      <c r="E592" s="70"/>
      <c r="F592" s="70"/>
      <c r="G592" s="70"/>
      <c r="H592" s="70"/>
      <c r="I592" s="70"/>
      <c r="J592" s="70"/>
      <c r="K592" s="70"/>
      <c r="L592" s="60"/>
    </row>
    <row r="593" spans="1:12" s="106" customFormat="1" ht="16.5">
      <c r="A593" s="105"/>
      <c r="B593" s="55"/>
      <c r="C593" s="70"/>
      <c r="D593" s="70"/>
      <c r="E593" s="70"/>
      <c r="F593" s="70"/>
      <c r="G593" s="70"/>
      <c r="H593" s="70"/>
      <c r="I593" s="70"/>
      <c r="J593" s="70"/>
      <c r="K593" s="70"/>
      <c r="L593" s="60"/>
    </row>
    <row r="594" spans="1:12" s="106" customFormat="1" ht="16.5">
      <c r="A594" s="105"/>
      <c r="B594" s="55"/>
      <c r="C594" s="70"/>
      <c r="D594" s="70"/>
      <c r="E594" s="70"/>
      <c r="F594" s="70"/>
      <c r="G594" s="70"/>
      <c r="H594" s="70"/>
      <c r="I594" s="70"/>
      <c r="J594" s="70"/>
      <c r="K594" s="70"/>
      <c r="L594" s="60"/>
    </row>
    <row r="595" spans="1:12" s="106" customFormat="1" ht="16.5">
      <c r="A595" s="105"/>
      <c r="B595" s="55"/>
      <c r="C595" s="70"/>
      <c r="D595" s="70"/>
      <c r="E595" s="70"/>
      <c r="F595" s="70"/>
      <c r="G595" s="70"/>
      <c r="H595" s="70"/>
      <c r="I595" s="70"/>
      <c r="J595" s="70"/>
      <c r="K595" s="70"/>
      <c r="L595" s="60"/>
    </row>
    <row r="596" spans="1:12" s="106" customFormat="1" ht="16.5">
      <c r="A596" s="105"/>
      <c r="B596" s="55"/>
      <c r="C596" s="70"/>
      <c r="D596" s="70"/>
      <c r="E596" s="70"/>
      <c r="F596" s="70"/>
      <c r="G596" s="70"/>
      <c r="H596" s="70"/>
      <c r="I596" s="70"/>
      <c r="J596" s="70"/>
      <c r="K596" s="70"/>
      <c r="L596" s="60"/>
    </row>
    <row r="597" spans="1:12" s="106" customFormat="1" ht="16.5">
      <c r="A597" s="105"/>
      <c r="B597" s="55"/>
      <c r="C597" s="70"/>
      <c r="D597" s="70"/>
      <c r="E597" s="70"/>
      <c r="F597" s="70"/>
      <c r="G597" s="70"/>
      <c r="H597" s="70"/>
      <c r="I597" s="70"/>
      <c r="J597" s="70"/>
      <c r="K597" s="70"/>
      <c r="L597" s="60"/>
    </row>
    <row r="598" spans="1:12" s="106" customFormat="1" ht="16.5">
      <c r="A598" s="105"/>
      <c r="B598" s="55"/>
      <c r="C598" s="70"/>
      <c r="D598" s="70"/>
      <c r="E598" s="70"/>
      <c r="F598" s="70"/>
      <c r="G598" s="70"/>
      <c r="H598" s="70"/>
      <c r="I598" s="70"/>
      <c r="J598" s="70"/>
      <c r="K598" s="70"/>
      <c r="L598" s="60"/>
    </row>
    <row r="599" spans="1:12" s="106" customFormat="1" ht="16.5">
      <c r="A599" s="105"/>
      <c r="B599" s="55"/>
      <c r="C599" s="70"/>
      <c r="D599" s="70"/>
      <c r="E599" s="70"/>
      <c r="F599" s="70"/>
      <c r="G599" s="70"/>
      <c r="H599" s="70"/>
      <c r="I599" s="70"/>
      <c r="J599" s="70"/>
      <c r="K599" s="70"/>
      <c r="L599" s="60"/>
    </row>
    <row r="600" spans="1:12" s="106" customFormat="1" ht="16.5">
      <c r="A600" s="105"/>
      <c r="B600" s="55"/>
      <c r="C600" s="70"/>
      <c r="D600" s="70"/>
      <c r="E600" s="70"/>
      <c r="F600" s="70"/>
      <c r="G600" s="70"/>
      <c r="H600" s="70"/>
      <c r="I600" s="70"/>
      <c r="J600" s="70"/>
      <c r="K600" s="70"/>
      <c r="L600" s="60"/>
    </row>
    <row r="601" spans="1:12" s="106" customFormat="1" ht="16.5">
      <c r="A601" s="105"/>
      <c r="B601" s="55"/>
      <c r="C601" s="70"/>
      <c r="D601" s="70"/>
      <c r="E601" s="70"/>
      <c r="F601" s="70"/>
      <c r="G601" s="70"/>
      <c r="H601" s="70"/>
      <c r="I601" s="70"/>
      <c r="J601" s="70"/>
      <c r="K601" s="70"/>
      <c r="L601" s="60"/>
    </row>
    <row r="602" spans="1:12" s="106" customFormat="1" ht="16.5">
      <c r="A602" s="105"/>
      <c r="B602" s="55"/>
      <c r="C602" s="70"/>
      <c r="D602" s="70"/>
      <c r="E602" s="70"/>
      <c r="F602" s="70"/>
      <c r="G602" s="70"/>
      <c r="H602" s="70"/>
      <c r="I602" s="70"/>
      <c r="J602" s="70"/>
      <c r="K602" s="70"/>
      <c r="L602" s="60"/>
    </row>
    <row r="603" spans="1:12" s="106" customFormat="1" ht="16.5">
      <c r="A603" s="105"/>
      <c r="B603" s="55"/>
      <c r="C603" s="70"/>
      <c r="D603" s="70"/>
      <c r="E603" s="70"/>
      <c r="F603" s="70"/>
      <c r="G603" s="70"/>
      <c r="H603" s="70"/>
      <c r="I603" s="70"/>
      <c r="J603" s="70"/>
      <c r="K603" s="70"/>
      <c r="L603" s="60"/>
    </row>
    <row r="604" spans="1:12" s="106" customFormat="1" ht="16.5">
      <c r="A604" s="105"/>
      <c r="B604" s="55"/>
      <c r="C604" s="70"/>
      <c r="D604" s="70"/>
      <c r="E604" s="70"/>
      <c r="F604" s="70"/>
      <c r="G604" s="70"/>
      <c r="H604" s="70"/>
      <c r="I604" s="70"/>
      <c r="J604" s="70"/>
      <c r="K604" s="70"/>
      <c r="L604" s="60"/>
    </row>
    <row r="605" spans="1:12" s="106" customFormat="1" ht="16.5">
      <c r="A605" s="105"/>
      <c r="B605" s="55"/>
      <c r="C605" s="70"/>
      <c r="D605" s="70"/>
      <c r="E605" s="70"/>
      <c r="F605" s="70"/>
      <c r="G605" s="70"/>
      <c r="H605" s="70"/>
      <c r="I605" s="70"/>
      <c r="J605" s="70"/>
      <c r="K605" s="70"/>
      <c r="L605" s="60"/>
    </row>
    <row r="606" spans="1:12" s="106" customFormat="1" ht="16.5">
      <c r="A606" s="105"/>
      <c r="B606" s="55"/>
      <c r="C606" s="70"/>
      <c r="D606" s="70"/>
      <c r="E606" s="70"/>
      <c r="F606" s="70"/>
      <c r="G606" s="70"/>
      <c r="H606" s="70"/>
      <c r="I606" s="70"/>
      <c r="J606" s="70"/>
      <c r="K606" s="70"/>
      <c r="L606" s="60"/>
    </row>
    <row r="607" spans="1:12" s="106" customFormat="1" ht="16.5">
      <c r="A607" s="105"/>
      <c r="B607" s="55"/>
      <c r="C607" s="70"/>
      <c r="D607" s="70"/>
      <c r="E607" s="70"/>
      <c r="F607" s="70"/>
      <c r="G607" s="70"/>
      <c r="H607" s="70"/>
      <c r="I607" s="70"/>
      <c r="J607" s="70"/>
      <c r="K607" s="70"/>
      <c r="L607" s="60"/>
    </row>
    <row r="608" spans="1:12" s="106" customFormat="1" ht="16.5">
      <c r="A608" s="105"/>
      <c r="B608" s="55"/>
      <c r="C608" s="70"/>
      <c r="D608" s="70"/>
      <c r="E608" s="70"/>
      <c r="F608" s="70"/>
      <c r="G608" s="70"/>
      <c r="H608" s="70"/>
      <c r="I608" s="70"/>
      <c r="J608" s="70"/>
      <c r="K608" s="70"/>
      <c r="L608" s="60"/>
    </row>
    <row r="609" spans="1:12" s="106" customFormat="1" ht="16.5">
      <c r="A609" s="105"/>
      <c r="B609" s="55"/>
      <c r="C609" s="70"/>
      <c r="D609" s="70"/>
      <c r="E609" s="70"/>
      <c r="F609" s="70"/>
      <c r="G609" s="70"/>
      <c r="H609" s="70"/>
      <c r="I609" s="70"/>
      <c r="J609" s="70"/>
      <c r="K609" s="70"/>
      <c r="L609" s="60"/>
    </row>
    <row r="610" spans="1:12" s="106" customFormat="1" ht="16.5">
      <c r="A610" s="105"/>
      <c r="B610" s="55"/>
      <c r="C610" s="70"/>
      <c r="D610" s="70"/>
      <c r="E610" s="70"/>
      <c r="F610" s="70"/>
      <c r="G610" s="70"/>
      <c r="H610" s="70"/>
      <c r="I610" s="70"/>
      <c r="J610" s="70"/>
      <c r="K610" s="70"/>
      <c r="L610" s="60"/>
    </row>
    <row r="611" spans="1:12" s="106" customFormat="1" ht="16.5">
      <c r="A611" s="105"/>
      <c r="B611" s="55"/>
      <c r="C611" s="70"/>
      <c r="D611" s="70"/>
      <c r="E611" s="70"/>
      <c r="F611" s="70"/>
      <c r="G611" s="70"/>
      <c r="H611" s="70"/>
      <c r="I611" s="70"/>
      <c r="J611" s="70"/>
      <c r="K611" s="70"/>
      <c r="L611" s="60"/>
    </row>
    <row r="612" spans="1:12" s="106" customFormat="1" ht="16.5">
      <c r="A612" s="105"/>
      <c r="B612" s="55"/>
      <c r="C612" s="70"/>
      <c r="D612" s="70"/>
      <c r="E612" s="70"/>
      <c r="F612" s="70"/>
      <c r="G612" s="70"/>
      <c r="H612" s="70"/>
      <c r="I612" s="70"/>
      <c r="J612" s="70"/>
      <c r="K612" s="70"/>
      <c r="L612" s="60"/>
    </row>
    <row r="613" spans="1:12" s="106" customFormat="1" ht="16.5">
      <c r="A613" s="105"/>
      <c r="B613" s="55"/>
      <c r="C613" s="70"/>
      <c r="D613" s="70"/>
      <c r="E613" s="70"/>
      <c r="F613" s="70"/>
      <c r="G613" s="70"/>
      <c r="H613" s="70"/>
      <c r="I613" s="70"/>
      <c r="J613" s="70"/>
      <c r="K613" s="70"/>
      <c r="L613" s="60"/>
    </row>
    <row r="614" spans="1:12" s="106" customFormat="1" ht="16.5">
      <c r="A614" s="105"/>
      <c r="B614" s="55"/>
      <c r="C614" s="70"/>
      <c r="D614" s="70"/>
      <c r="E614" s="70"/>
      <c r="F614" s="70"/>
      <c r="G614" s="70"/>
      <c r="H614" s="70"/>
      <c r="I614" s="70"/>
      <c r="J614" s="70"/>
      <c r="K614" s="70"/>
      <c r="L614" s="60"/>
    </row>
    <row r="615" spans="1:12" s="106" customFormat="1" ht="16.5">
      <c r="A615" s="105"/>
      <c r="B615" s="55"/>
      <c r="C615" s="70"/>
      <c r="D615" s="70"/>
      <c r="E615" s="70"/>
      <c r="F615" s="70"/>
      <c r="G615" s="70"/>
      <c r="H615" s="70"/>
      <c r="I615" s="70"/>
      <c r="J615" s="70"/>
      <c r="K615" s="70"/>
      <c r="L615" s="60"/>
    </row>
    <row r="616" spans="1:12" s="106" customFormat="1" ht="16.5">
      <c r="A616" s="105"/>
      <c r="B616" s="55"/>
      <c r="C616" s="70"/>
      <c r="D616" s="70"/>
      <c r="E616" s="70"/>
      <c r="F616" s="70"/>
      <c r="G616" s="70"/>
      <c r="H616" s="70"/>
      <c r="I616" s="70"/>
      <c r="J616" s="70"/>
      <c r="K616" s="70"/>
      <c r="L616" s="60"/>
    </row>
    <row r="617" spans="1:12" s="106" customFormat="1" ht="16.5">
      <c r="A617" s="105"/>
      <c r="B617" s="55"/>
      <c r="C617" s="70"/>
      <c r="D617" s="70"/>
      <c r="E617" s="70"/>
      <c r="F617" s="70"/>
      <c r="G617" s="70"/>
      <c r="H617" s="70"/>
      <c r="I617" s="70"/>
      <c r="J617" s="70"/>
      <c r="K617" s="70"/>
      <c r="L617" s="60"/>
    </row>
    <row r="618" spans="1:12" s="106" customFormat="1" ht="16.5">
      <c r="A618" s="105"/>
      <c r="B618" s="55"/>
      <c r="C618" s="70"/>
      <c r="D618" s="70"/>
      <c r="E618" s="70"/>
      <c r="F618" s="70"/>
      <c r="G618" s="70"/>
      <c r="H618" s="70"/>
      <c r="I618" s="70"/>
      <c r="J618" s="70"/>
      <c r="K618" s="70"/>
      <c r="L618" s="60"/>
    </row>
    <row r="619" spans="1:12" s="106" customFormat="1" ht="16.5">
      <c r="A619" s="105"/>
      <c r="B619" s="55"/>
      <c r="C619" s="70"/>
      <c r="D619" s="70"/>
      <c r="E619" s="70"/>
      <c r="F619" s="70"/>
      <c r="G619" s="70"/>
      <c r="H619" s="70"/>
      <c r="I619" s="70"/>
      <c r="J619" s="70"/>
      <c r="K619" s="70"/>
      <c r="L619" s="60"/>
    </row>
    <row r="620" spans="1:12" s="106" customFormat="1" ht="16.5">
      <c r="A620" s="105"/>
      <c r="B620" s="55"/>
      <c r="C620" s="70"/>
      <c r="D620" s="70"/>
      <c r="E620" s="70"/>
      <c r="F620" s="70"/>
      <c r="G620" s="70"/>
      <c r="H620" s="70"/>
      <c r="I620" s="70"/>
      <c r="J620" s="70"/>
      <c r="K620" s="70"/>
      <c r="L620" s="60"/>
    </row>
    <row r="621" spans="1:12" s="106" customFormat="1" ht="16.5">
      <c r="A621" s="105"/>
      <c r="B621" s="55"/>
      <c r="C621" s="70"/>
      <c r="D621" s="70"/>
      <c r="E621" s="70"/>
      <c r="F621" s="70"/>
      <c r="G621" s="70"/>
      <c r="H621" s="70"/>
      <c r="I621" s="70"/>
      <c r="J621" s="70"/>
      <c r="K621" s="70"/>
      <c r="L621" s="60"/>
    </row>
    <row r="622" spans="1:12" s="106" customFormat="1" ht="16.5">
      <c r="A622" s="105"/>
      <c r="B622" s="55"/>
      <c r="C622" s="70"/>
      <c r="D622" s="70"/>
      <c r="E622" s="70"/>
      <c r="F622" s="70"/>
      <c r="G622" s="70"/>
      <c r="H622" s="70"/>
      <c r="I622" s="70"/>
      <c r="J622" s="70"/>
      <c r="K622" s="70"/>
      <c r="L622" s="60"/>
    </row>
    <row r="623" spans="1:12" s="106" customFormat="1" ht="16.5">
      <c r="A623" s="105"/>
      <c r="B623" s="55"/>
      <c r="C623" s="70"/>
      <c r="D623" s="70"/>
      <c r="E623" s="70"/>
      <c r="F623" s="70"/>
      <c r="G623" s="70"/>
      <c r="H623" s="70"/>
      <c r="I623" s="70"/>
      <c r="J623" s="70"/>
      <c r="K623" s="70"/>
      <c r="L623" s="60"/>
    </row>
    <row r="624" spans="1:12" s="106" customFormat="1" ht="16.5">
      <c r="A624" s="105"/>
      <c r="B624" s="55"/>
      <c r="C624" s="70"/>
      <c r="D624" s="70"/>
      <c r="E624" s="70"/>
      <c r="F624" s="70"/>
      <c r="G624" s="70"/>
      <c r="H624" s="70"/>
      <c r="I624" s="70"/>
      <c r="J624" s="70"/>
      <c r="K624" s="70"/>
      <c r="L624" s="60"/>
    </row>
    <row r="625" spans="1:12" s="106" customFormat="1" ht="16.5">
      <c r="A625" s="105"/>
      <c r="B625" s="55"/>
      <c r="C625" s="70"/>
      <c r="D625" s="70"/>
      <c r="E625" s="70"/>
      <c r="F625" s="70"/>
      <c r="G625" s="70"/>
      <c r="H625" s="70"/>
      <c r="I625" s="70"/>
      <c r="J625" s="70"/>
      <c r="K625" s="70"/>
      <c r="L625" s="60"/>
    </row>
    <row r="626" spans="1:12" s="106" customFormat="1" ht="16.5">
      <c r="A626" s="105"/>
      <c r="B626" s="55"/>
      <c r="C626" s="70"/>
      <c r="D626" s="70"/>
      <c r="E626" s="70"/>
      <c r="F626" s="70"/>
      <c r="G626" s="70"/>
      <c r="H626" s="70"/>
      <c r="I626" s="70"/>
      <c r="J626" s="70"/>
      <c r="K626" s="70"/>
      <c r="L626" s="60"/>
    </row>
    <row r="627" spans="1:12" s="106" customFormat="1" ht="16.5">
      <c r="A627" s="105"/>
      <c r="B627" s="55"/>
      <c r="C627" s="70"/>
      <c r="D627" s="70"/>
      <c r="E627" s="70"/>
      <c r="F627" s="70"/>
      <c r="G627" s="70"/>
      <c r="H627" s="70"/>
      <c r="I627" s="70"/>
      <c r="J627" s="70"/>
      <c r="K627" s="70"/>
      <c r="L627" s="60"/>
    </row>
    <row r="628" spans="1:12" s="106" customFormat="1" ht="16.5">
      <c r="A628" s="105"/>
      <c r="B628" s="55"/>
      <c r="C628" s="70"/>
      <c r="D628" s="70"/>
      <c r="E628" s="70"/>
      <c r="F628" s="70"/>
      <c r="G628" s="70"/>
      <c r="H628" s="70"/>
      <c r="I628" s="70"/>
      <c r="J628" s="70"/>
      <c r="K628" s="70"/>
      <c r="L628" s="60"/>
    </row>
    <row r="629" spans="1:12" s="106" customFormat="1" ht="16.5">
      <c r="A629" s="105"/>
      <c r="B629" s="55"/>
      <c r="C629" s="70"/>
      <c r="D629" s="70"/>
      <c r="E629" s="70"/>
      <c r="F629" s="70"/>
      <c r="G629" s="70"/>
      <c r="H629" s="70"/>
      <c r="I629" s="70"/>
      <c r="J629" s="70"/>
      <c r="K629" s="70"/>
      <c r="L629" s="60"/>
    </row>
    <row r="630" spans="1:12" s="106" customFormat="1" ht="16.5">
      <c r="A630" s="105"/>
      <c r="B630" s="55"/>
      <c r="C630" s="70"/>
      <c r="D630" s="70"/>
      <c r="E630" s="70"/>
      <c r="F630" s="70"/>
      <c r="G630" s="70"/>
      <c r="H630" s="70"/>
      <c r="I630" s="70"/>
      <c r="J630" s="70"/>
      <c r="K630" s="70"/>
      <c r="L630" s="60"/>
    </row>
    <row r="631" spans="1:12" s="106" customFormat="1" ht="16.5">
      <c r="A631" s="105"/>
      <c r="B631" s="55"/>
      <c r="C631" s="70"/>
      <c r="D631" s="70"/>
      <c r="E631" s="70"/>
      <c r="F631" s="70"/>
      <c r="G631" s="70"/>
      <c r="H631" s="70"/>
      <c r="I631" s="70"/>
      <c r="J631" s="70"/>
      <c r="K631" s="70"/>
      <c r="L631" s="60"/>
    </row>
    <row r="632" spans="1:12" s="106" customFormat="1" ht="16.5">
      <c r="A632" s="105"/>
      <c r="B632" s="55"/>
      <c r="C632" s="70"/>
      <c r="D632" s="70"/>
      <c r="E632" s="70"/>
      <c r="F632" s="70"/>
      <c r="G632" s="70"/>
      <c r="H632" s="70"/>
      <c r="I632" s="70"/>
      <c r="J632" s="70"/>
      <c r="K632" s="70"/>
      <c r="L632" s="60"/>
    </row>
    <row r="633" spans="1:12" s="106" customFormat="1" ht="16.5">
      <c r="A633" s="105"/>
      <c r="B633" s="55"/>
      <c r="C633" s="70"/>
      <c r="D633" s="70"/>
      <c r="E633" s="70"/>
      <c r="F633" s="70"/>
      <c r="G633" s="70"/>
      <c r="H633" s="70"/>
      <c r="I633" s="70"/>
      <c r="J633" s="70"/>
      <c r="K633" s="70"/>
      <c r="L633" s="60"/>
    </row>
    <row r="634" spans="1:12" s="106" customFormat="1" ht="16.5">
      <c r="A634" s="105"/>
      <c r="B634" s="55"/>
      <c r="C634" s="70"/>
      <c r="D634" s="70"/>
      <c r="E634" s="70"/>
      <c r="F634" s="70"/>
      <c r="G634" s="70"/>
      <c r="H634" s="70"/>
      <c r="I634" s="70"/>
      <c r="J634" s="70"/>
      <c r="K634" s="70"/>
      <c r="L634" s="60"/>
    </row>
    <row r="635" spans="1:12" s="106" customFormat="1" ht="16.5">
      <c r="A635" s="105"/>
      <c r="B635" s="55"/>
      <c r="C635" s="70"/>
      <c r="D635" s="70"/>
      <c r="E635" s="70"/>
      <c r="F635" s="70"/>
      <c r="G635" s="70"/>
      <c r="H635" s="70"/>
      <c r="I635" s="70"/>
      <c r="J635" s="70"/>
      <c r="K635" s="70"/>
      <c r="L635" s="60"/>
    </row>
    <row r="636" spans="1:12" s="106" customFormat="1" ht="16.5">
      <c r="A636" s="105"/>
      <c r="B636" s="55"/>
      <c r="C636" s="70"/>
      <c r="D636" s="70"/>
      <c r="E636" s="70"/>
      <c r="F636" s="70"/>
      <c r="G636" s="70"/>
      <c r="H636" s="70"/>
      <c r="I636" s="70"/>
      <c r="J636" s="70"/>
      <c r="K636" s="70"/>
      <c r="L636" s="60"/>
    </row>
    <row r="637" spans="1:12" s="106" customFormat="1" ht="16.5">
      <c r="A637" s="105"/>
      <c r="B637" s="55"/>
      <c r="C637" s="70"/>
      <c r="D637" s="70"/>
      <c r="E637" s="70"/>
      <c r="F637" s="70"/>
      <c r="G637" s="70"/>
      <c r="H637" s="70"/>
      <c r="I637" s="70"/>
      <c r="J637" s="70"/>
      <c r="K637" s="70"/>
      <c r="L637" s="60"/>
    </row>
    <row r="638" spans="1:12" s="106" customFormat="1" ht="16.5">
      <c r="A638" s="105"/>
      <c r="B638" s="55"/>
      <c r="C638" s="70"/>
      <c r="D638" s="70"/>
      <c r="E638" s="70"/>
      <c r="F638" s="70"/>
      <c r="G638" s="70"/>
      <c r="H638" s="70"/>
      <c r="I638" s="70"/>
      <c r="J638" s="70"/>
      <c r="K638" s="70"/>
      <c r="L638" s="60"/>
    </row>
    <row r="639" spans="1:12" s="106" customFormat="1" ht="16.5">
      <c r="A639" s="105"/>
      <c r="B639" s="55"/>
      <c r="C639" s="70"/>
      <c r="D639" s="70"/>
      <c r="E639" s="70"/>
      <c r="F639" s="70"/>
      <c r="G639" s="70"/>
      <c r="H639" s="70"/>
      <c r="I639" s="70"/>
      <c r="J639" s="70"/>
      <c r="K639" s="70"/>
      <c r="L639" s="60"/>
    </row>
    <row r="640" spans="1:12" s="106" customFormat="1" ht="16.5">
      <c r="A640" s="105"/>
      <c r="B640" s="55"/>
      <c r="C640" s="70"/>
      <c r="D640" s="70"/>
      <c r="E640" s="70"/>
      <c r="F640" s="70"/>
      <c r="G640" s="70"/>
      <c r="H640" s="70"/>
      <c r="I640" s="70"/>
      <c r="J640" s="70"/>
      <c r="K640" s="70"/>
      <c r="L640" s="60"/>
    </row>
    <row r="641" spans="1:12" s="106" customFormat="1" ht="16.5">
      <c r="A641" s="105"/>
      <c r="B641" s="55"/>
      <c r="C641" s="70"/>
      <c r="D641" s="70"/>
      <c r="E641" s="70"/>
      <c r="F641" s="70"/>
      <c r="G641" s="70"/>
      <c r="H641" s="70"/>
      <c r="I641" s="70"/>
      <c r="J641" s="70"/>
      <c r="K641" s="70"/>
      <c r="L641" s="60"/>
    </row>
    <row r="642" spans="1:12" s="106" customFormat="1" ht="16.5">
      <c r="A642" s="105"/>
      <c r="B642" s="55"/>
      <c r="C642" s="70"/>
      <c r="D642" s="70"/>
      <c r="E642" s="70"/>
      <c r="F642" s="70"/>
      <c r="G642" s="70"/>
      <c r="H642" s="70"/>
      <c r="I642" s="70"/>
      <c r="J642" s="70"/>
      <c r="K642" s="70"/>
      <c r="L642" s="60"/>
    </row>
    <row r="643" spans="1:12" s="106" customFormat="1" ht="16.5">
      <c r="A643" s="105"/>
      <c r="B643" s="55"/>
      <c r="C643" s="70"/>
      <c r="D643" s="70"/>
      <c r="E643" s="70"/>
      <c r="F643" s="70"/>
      <c r="G643" s="70"/>
      <c r="H643" s="70"/>
      <c r="I643" s="70"/>
      <c r="J643" s="70"/>
      <c r="K643" s="70"/>
      <c r="L643" s="60"/>
    </row>
    <row r="644" spans="1:12" s="106" customFormat="1" ht="16.5">
      <c r="A644" s="105"/>
      <c r="B644" s="55"/>
      <c r="C644" s="70"/>
      <c r="D644" s="70"/>
      <c r="E644" s="70"/>
      <c r="F644" s="70"/>
      <c r="G644" s="70"/>
      <c r="H644" s="70"/>
      <c r="I644" s="70"/>
      <c r="J644" s="70"/>
      <c r="K644" s="70"/>
      <c r="L644" s="60"/>
    </row>
    <row r="645" spans="1:12" s="106" customFormat="1" ht="16.5">
      <c r="A645" s="105"/>
      <c r="B645" s="55"/>
      <c r="C645" s="70"/>
      <c r="D645" s="70"/>
      <c r="E645" s="70"/>
      <c r="F645" s="70"/>
      <c r="G645" s="70"/>
      <c r="H645" s="70"/>
      <c r="I645" s="70"/>
      <c r="J645" s="70"/>
      <c r="K645" s="70"/>
      <c r="L645" s="60"/>
    </row>
    <row r="646" spans="1:12" s="106" customFormat="1" ht="16.5">
      <c r="A646" s="105"/>
      <c r="B646" s="55"/>
      <c r="C646" s="70"/>
      <c r="D646" s="70"/>
      <c r="E646" s="70"/>
      <c r="F646" s="70"/>
      <c r="G646" s="70"/>
      <c r="H646" s="70"/>
      <c r="I646" s="70"/>
      <c r="J646" s="70"/>
      <c r="K646" s="70"/>
      <c r="L646" s="60"/>
    </row>
    <row r="647" spans="1:12" s="106" customFormat="1" ht="16.5">
      <c r="A647" s="105"/>
      <c r="B647" s="55"/>
      <c r="C647" s="70"/>
      <c r="D647" s="70"/>
      <c r="E647" s="70"/>
      <c r="F647" s="70"/>
      <c r="G647" s="70"/>
      <c r="H647" s="70"/>
      <c r="I647" s="70"/>
      <c r="J647" s="70"/>
      <c r="K647" s="70"/>
      <c r="L647" s="60"/>
    </row>
    <row r="648" spans="1:12" s="106" customFormat="1" ht="16.5">
      <c r="A648" s="105"/>
      <c r="B648" s="55"/>
      <c r="C648" s="70"/>
      <c r="D648" s="70"/>
      <c r="E648" s="70"/>
      <c r="F648" s="70"/>
      <c r="G648" s="70"/>
      <c r="H648" s="70"/>
      <c r="I648" s="70"/>
      <c r="J648" s="70"/>
      <c r="K648" s="70"/>
      <c r="L648" s="60"/>
    </row>
    <row r="649" spans="1:12" s="106" customFormat="1" ht="16.5">
      <c r="A649" s="105"/>
      <c r="B649" s="55"/>
      <c r="C649" s="70"/>
      <c r="D649" s="70"/>
      <c r="E649" s="70"/>
      <c r="F649" s="70"/>
      <c r="G649" s="70"/>
      <c r="H649" s="70"/>
      <c r="I649" s="70"/>
      <c r="J649" s="70"/>
      <c r="K649" s="70"/>
      <c r="L649" s="60"/>
    </row>
    <row r="650" spans="1:12" s="106" customFormat="1" ht="16.5">
      <c r="A650" s="105"/>
      <c r="B650" s="55"/>
      <c r="C650" s="70"/>
      <c r="D650" s="70"/>
      <c r="E650" s="70"/>
      <c r="F650" s="70"/>
      <c r="G650" s="70"/>
      <c r="H650" s="70"/>
      <c r="I650" s="70"/>
      <c r="J650" s="70"/>
      <c r="K650" s="70"/>
      <c r="L650" s="60"/>
    </row>
    <row r="651" spans="1:12" s="106" customFormat="1" ht="16.5">
      <c r="A651" s="105"/>
      <c r="B651" s="55"/>
      <c r="C651" s="70"/>
      <c r="D651" s="70"/>
      <c r="E651" s="70"/>
      <c r="F651" s="70"/>
      <c r="G651" s="70"/>
      <c r="H651" s="70"/>
      <c r="I651" s="70"/>
      <c r="J651" s="70"/>
      <c r="K651" s="70"/>
      <c r="L651" s="60"/>
    </row>
    <row r="652" spans="1:12" s="106" customFormat="1" ht="16.5">
      <c r="A652" s="105"/>
      <c r="B652" s="55"/>
      <c r="C652" s="70"/>
      <c r="D652" s="70"/>
      <c r="E652" s="70"/>
      <c r="F652" s="70"/>
      <c r="G652" s="70"/>
      <c r="H652" s="70"/>
      <c r="I652" s="70"/>
      <c r="J652" s="70"/>
      <c r="K652" s="70"/>
      <c r="L652" s="60"/>
    </row>
    <row r="653" spans="1:12" s="106" customFormat="1" ht="16.5">
      <c r="A653" s="105"/>
      <c r="B653" s="55"/>
      <c r="C653" s="70"/>
      <c r="D653" s="70"/>
      <c r="E653" s="70"/>
      <c r="F653" s="70"/>
      <c r="G653" s="70"/>
      <c r="H653" s="70"/>
      <c r="I653" s="70"/>
      <c r="J653" s="70"/>
      <c r="K653" s="70"/>
      <c r="L653" s="60"/>
    </row>
    <row r="654" spans="1:12" s="106" customFormat="1" ht="16.5">
      <c r="A654" s="105"/>
      <c r="B654" s="55"/>
      <c r="C654" s="70"/>
      <c r="D654" s="70"/>
      <c r="E654" s="70"/>
      <c r="F654" s="70"/>
      <c r="G654" s="70"/>
      <c r="H654" s="70"/>
      <c r="I654" s="70"/>
      <c r="J654" s="70"/>
      <c r="K654" s="70"/>
      <c r="L654" s="60"/>
    </row>
    <row r="655" spans="1:12" s="106" customFormat="1" ht="16.5">
      <c r="A655" s="105"/>
      <c r="B655" s="55"/>
      <c r="C655" s="70"/>
      <c r="D655" s="70"/>
      <c r="E655" s="70"/>
      <c r="F655" s="70"/>
      <c r="G655" s="70"/>
      <c r="H655" s="70"/>
      <c r="I655" s="70"/>
      <c r="J655" s="70"/>
      <c r="K655" s="70"/>
      <c r="L655" s="60"/>
    </row>
    <row r="656" spans="1:12" s="106" customFormat="1" ht="16.5">
      <c r="A656" s="105"/>
      <c r="B656" s="55"/>
      <c r="C656" s="70"/>
      <c r="D656" s="70"/>
      <c r="E656" s="70"/>
      <c r="F656" s="70"/>
      <c r="G656" s="70"/>
      <c r="H656" s="70"/>
      <c r="I656" s="70"/>
      <c r="J656" s="70"/>
      <c r="K656" s="70"/>
      <c r="L656" s="60"/>
    </row>
    <row r="657" spans="1:12" s="106" customFormat="1" ht="16.5">
      <c r="A657" s="105"/>
      <c r="B657" s="55"/>
      <c r="C657" s="70"/>
      <c r="D657" s="70"/>
      <c r="E657" s="70"/>
      <c r="F657" s="70"/>
      <c r="G657" s="70"/>
      <c r="H657" s="70"/>
      <c r="I657" s="70"/>
      <c r="J657" s="70"/>
      <c r="K657" s="70"/>
      <c r="L657" s="60"/>
    </row>
    <row r="658" spans="1:12" s="106" customFormat="1" ht="16.5">
      <c r="A658" s="105"/>
      <c r="B658" s="55"/>
      <c r="C658" s="70"/>
      <c r="D658" s="70"/>
      <c r="E658" s="70"/>
      <c r="F658" s="70"/>
      <c r="G658" s="70"/>
      <c r="H658" s="70"/>
      <c r="I658" s="70"/>
      <c r="J658" s="70"/>
      <c r="K658" s="70"/>
      <c r="L658" s="60"/>
    </row>
    <row r="659" spans="1:12" s="106" customFormat="1" ht="16.5">
      <c r="A659" s="105"/>
      <c r="B659" s="55"/>
      <c r="C659" s="70"/>
      <c r="D659" s="70"/>
      <c r="E659" s="70"/>
      <c r="F659" s="70"/>
      <c r="G659" s="70"/>
      <c r="H659" s="70"/>
      <c r="I659" s="70"/>
      <c r="J659" s="70"/>
      <c r="K659" s="70"/>
      <c r="L659" s="60"/>
    </row>
    <row r="660" spans="1:12" s="106" customFormat="1" ht="16.5">
      <c r="A660" s="105"/>
      <c r="B660" s="55"/>
      <c r="C660" s="70"/>
      <c r="D660" s="70"/>
      <c r="E660" s="70"/>
      <c r="F660" s="70"/>
      <c r="G660" s="70"/>
      <c r="H660" s="70"/>
      <c r="I660" s="70"/>
      <c r="J660" s="70"/>
      <c r="K660" s="70"/>
      <c r="L660" s="60"/>
    </row>
    <row r="661" spans="1:12" s="106" customFormat="1" ht="16.5">
      <c r="A661" s="105"/>
      <c r="B661" s="55"/>
      <c r="C661" s="70"/>
      <c r="D661" s="70"/>
      <c r="E661" s="70"/>
      <c r="F661" s="70"/>
      <c r="G661" s="70"/>
      <c r="H661" s="70"/>
      <c r="I661" s="70"/>
      <c r="J661" s="70"/>
      <c r="K661" s="70"/>
      <c r="L661" s="60"/>
    </row>
    <row r="662" spans="1:12" s="106" customFormat="1" ht="16.5">
      <c r="A662" s="105"/>
      <c r="B662" s="55"/>
      <c r="C662" s="70"/>
      <c r="D662" s="70"/>
      <c r="E662" s="70"/>
      <c r="F662" s="70"/>
      <c r="G662" s="70"/>
      <c r="H662" s="70"/>
      <c r="I662" s="70"/>
      <c r="J662" s="70"/>
      <c r="K662" s="70"/>
      <c r="L662" s="60"/>
    </row>
    <row r="663" spans="1:12" s="106" customFormat="1" ht="16.5">
      <c r="A663" s="105"/>
      <c r="B663" s="55"/>
      <c r="C663" s="70"/>
      <c r="D663" s="70"/>
      <c r="E663" s="70"/>
      <c r="F663" s="70"/>
      <c r="G663" s="70"/>
      <c r="H663" s="70"/>
      <c r="I663" s="70"/>
      <c r="J663" s="70"/>
      <c r="K663" s="70"/>
      <c r="L663" s="60"/>
    </row>
    <row r="664" spans="1:12" s="106" customFormat="1" ht="16.5">
      <c r="A664" s="105"/>
      <c r="B664" s="55"/>
      <c r="C664" s="70"/>
      <c r="D664" s="70"/>
      <c r="E664" s="70"/>
      <c r="F664" s="70"/>
      <c r="G664" s="70"/>
      <c r="H664" s="70"/>
      <c r="I664" s="70"/>
      <c r="J664" s="70"/>
      <c r="K664" s="70"/>
      <c r="L664" s="60"/>
    </row>
    <row r="665" spans="1:12" s="106" customFormat="1" ht="16.5">
      <c r="A665" s="105"/>
      <c r="B665" s="55"/>
      <c r="C665" s="70"/>
      <c r="D665" s="70"/>
      <c r="E665" s="70"/>
      <c r="F665" s="70"/>
      <c r="G665" s="70"/>
      <c r="H665" s="70"/>
      <c r="I665" s="70"/>
      <c r="J665" s="70"/>
      <c r="K665" s="70"/>
      <c r="L665" s="60"/>
    </row>
    <row r="666" spans="1:12" s="106" customFormat="1" ht="16.5">
      <c r="A666" s="105"/>
      <c r="B666" s="55"/>
      <c r="C666" s="70"/>
      <c r="D666" s="70"/>
      <c r="E666" s="70"/>
      <c r="F666" s="70"/>
      <c r="G666" s="70"/>
      <c r="H666" s="70"/>
      <c r="I666" s="70"/>
      <c r="J666" s="70"/>
      <c r="K666" s="70"/>
      <c r="L666" s="60"/>
    </row>
    <row r="667" spans="1:12" s="106" customFormat="1" ht="16.5">
      <c r="A667" s="105"/>
      <c r="B667" s="55"/>
      <c r="C667" s="70"/>
      <c r="D667" s="70"/>
      <c r="E667" s="70"/>
      <c r="F667" s="70"/>
      <c r="G667" s="70"/>
      <c r="H667" s="70"/>
      <c r="I667" s="70"/>
      <c r="J667" s="70"/>
      <c r="K667" s="70"/>
      <c r="L667" s="60"/>
    </row>
    <row r="668" spans="1:12" s="106" customFormat="1" ht="16.5">
      <c r="A668" s="105"/>
      <c r="B668" s="55"/>
      <c r="C668" s="70"/>
      <c r="D668" s="70"/>
      <c r="E668" s="70"/>
      <c r="F668" s="70"/>
      <c r="G668" s="70"/>
      <c r="H668" s="70"/>
      <c r="I668" s="70"/>
      <c r="J668" s="70"/>
      <c r="K668" s="70"/>
      <c r="L668" s="60"/>
    </row>
    <row r="669" spans="1:12" s="106" customFormat="1" ht="16.5">
      <c r="A669" s="105"/>
      <c r="B669" s="55"/>
      <c r="C669" s="70"/>
      <c r="D669" s="70"/>
      <c r="E669" s="70"/>
      <c r="F669" s="70"/>
      <c r="G669" s="70"/>
      <c r="H669" s="70"/>
      <c r="I669" s="70"/>
      <c r="J669" s="70"/>
      <c r="K669" s="70"/>
      <c r="L669" s="60"/>
    </row>
    <row r="670" spans="1:12" s="106" customFormat="1" ht="16.5">
      <c r="A670" s="105"/>
      <c r="B670" s="55"/>
      <c r="C670" s="70"/>
      <c r="D670" s="70"/>
      <c r="E670" s="70"/>
      <c r="F670" s="70"/>
      <c r="G670" s="70"/>
      <c r="H670" s="70"/>
      <c r="I670" s="70"/>
      <c r="J670" s="70"/>
      <c r="K670" s="70"/>
      <c r="L670" s="60"/>
    </row>
    <row r="671" spans="1:12" s="106" customFormat="1" ht="16.5">
      <c r="A671" s="105"/>
      <c r="B671" s="55"/>
      <c r="C671" s="70"/>
      <c r="D671" s="70"/>
      <c r="E671" s="70"/>
      <c r="F671" s="70"/>
      <c r="G671" s="70"/>
      <c r="H671" s="70"/>
      <c r="I671" s="70"/>
      <c r="J671" s="70"/>
      <c r="K671" s="70"/>
      <c r="L671" s="60"/>
    </row>
    <row r="672" spans="1:12" s="106" customFormat="1" ht="16.5">
      <c r="A672" s="105"/>
      <c r="B672" s="55"/>
      <c r="C672" s="70"/>
      <c r="D672" s="70"/>
      <c r="E672" s="70"/>
      <c r="F672" s="70"/>
      <c r="G672" s="70"/>
      <c r="H672" s="70"/>
      <c r="I672" s="70"/>
      <c r="J672" s="70"/>
      <c r="K672" s="70"/>
      <c r="L672" s="60"/>
    </row>
    <row r="673" spans="1:12" s="106" customFormat="1" ht="16.5">
      <c r="A673" s="105"/>
      <c r="B673" s="55"/>
      <c r="C673" s="70"/>
      <c r="D673" s="70"/>
      <c r="E673" s="70"/>
      <c r="F673" s="70"/>
      <c r="G673" s="70"/>
      <c r="H673" s="70"/>
      <c r="I673" s="70"/>
      <c r="J673" s="70"/>
      <c r="K673" s="70"/>
      <c r="L673" s="60"/>
    </row>
    <row r="674" spans="1:12" s="106" customFormat="1" ht="16.5">
      <c r="A674" s="105"/>
      <c r="B674" s="55"/>
      <c r="C674" s="70"/>
      <c r="D674" s="70"/>
      <c r="E674" s="70"/>
      <c r="F674" s="70"/>
      <c r="G674" s="70"/>
      <c r="H674" s="70"/>
      <c r="I674" s="70"/>
      <c r="J674" s="70"/>
      <c r="K674" s="70"/>
      <c r="L674" s="60"/>
    </row>
    <row r="675" spans="1:12" s="106" customFormat="1" ht="16.5">
      <c r="A675" s="105"/>
      <c r="B675" s="55"/>
      <c r="C675" s="70"/>
      <c r="D675" s="70"/>
      <c r="E675" s="70"/>
      <c r="F675" s="70"/>
      <c r="G675" s="70"/>
      <c r="H675" s="70"/>
      <c r="I675" s="70"/>
      <c r="J675" s="70"/>
      <c r="K675" s="70"/>
      <c r="L675" s="60"/>
    </row>
    <row r="676" spans="1:12" s="106" customFormat="1" ht="16.5">
      <c r="A676" s="105"/>
      <c r="B676" s="55"/>
      <c r="C676" s="70"/>
      <c r="D676" s="70"/>
      <c r="E676" s="70"/>
      <c r="F676" s="70"/>
      <c r="G676" s="70"/>
      <c r="H676" s="70"/>
      <c r="I676" s="70"/>
      <c r="J676" s="70"/>
      <c r="K676" s="70"/>
      <c r="L676" s="60"/>
    </row>
    <row r="677" spans="1:12" s="106" customFormat="1" ht="16.5">
      <c r="A677" s="105"/>
      <c r="B677" s="55"/>
      <c r="C677" s="70"/>
      <c r="D677" s="70"/>
      <c r="E677" s="70"/>
      <c r="F677" s="70"/>
      <c r="G677" s="70"/>
      <c r="H677" s="70"/>
      <c r="I677" s="70"/>
      <c r="J677" s="70"/>
      <c r="K677" s="70"/>
      <c r="L677" s="60"/>
    </row>
    <row r="678" spans="1:12" s="106" customFormat="1" ht="16.5">
      <c r="A678" s="105"/>
      <c r="B678" s="55"/>
      <c r="C678" s="70"/>
      <c r="D678" s="70"/>
      <c r="E678" s="70"/>
      <c r="F678" s="70"/>
      <c r="G678" s="70"/>
      <c r="H678" s="70"/>
      <c r="I678" s="70"/>
      <c r="J678" s="70"/>
      <c r="K678" s="70"/>
      <c r="L678" s="60"/>
    </row>
    <row r="679" spans="1:12" s="106" customFormat="1" ht="16.5">
      <c r="A679" s="105"/>
      <c r="B679" s="55"/>
      <c r="C679" s="70"/>
      <c r="D679" s="70"/>
      <c r="E679" s="70"/>
      <c r="F679" s="70"/>
      <c r="G679" s="70"/>
      <c r="H679" s="70"/>
      <c r="I679" s="70"/>
      <c r="J679" s="70"/>
      <c r="K679" s="70"/>
      <c r="L679" s="60"/>
    </row>
    <row r="680" spans="1:12" s="106" customFormat="1" ht="16.5">
      <c r="A680" s="105"/>
      <c r="B680" s="55"/>
      <c r="C680" s="70"/>
      <c r="D680" s="70"/>
      <c r="E680" s="70"/>
      <c r="F680" s="70"/>
      <c r="G680" s="70"/>
      <c r="H680" s="70"/>
      <c r="I680" s="70"/>
      <c r="J680" s="70"/>
      <c r="K680" s="70"/>
      <c r="L680" s="60"/>
    </row>
    <row r="681" spans="1:12" s="106" customFormat="1" ht="16.5">
      <c r="A681" s="105"/>
      <c r="B681" s="55"/>
      <c r="C681" s="70"/>
      <c r="D681" s="70"/>
      <c r="E681" s="70"/>
      <c r="F681" s="70"/>
      <c r="G681" s="70"/>
      <c r="H681" s="70"/>
      <c r="I681" s="70"/>
      <c r="J681" s="70"/>
      <c r="K681" s="70"/>
      <c r="L681" s="60"/>
    </row>
    <row r="682" spans="1:12" s="106" customFormat="1" ht="16.5">
      <c r="A682" s="105"/>
      <c r="B682" s="55"/>
      <c r="C682" s="70"/>
      <c r="D682" s="70"/>
      <c r="E682" s="70"/>
      <c r="F682" s="70"/>
      <c r="G682" s="70"/>
      <c r="H682" s="70"/>
      <c r="I682" s="70"/>
      <c r="J682" s="70"/>
      <c r="K682" s="70"/>
      <c r="L682" s="60"/>
    </row>
    <row r="683" spans="1:12" s="106" customFormat="1" ht="16.5">
      <c r="A683" s="105"/>
      <c r="B683" s="55"/>
      <c r="C683" s="70"/>
      <c r="D683" s="70"/>
      <c r="E683" s="70"/>
      <c r="F683" s="70"/>
      <c r="G683" s="70"/>
      <c r="H683" s="70"/>
      <c r="I683" s="70"/>
      <c r="J683" s="70"/>
      <c r="K683" s="70"/>
      <c r="L683" s="60"/>
    </row>
    <row r="684" spans="1:12" s="106" customFormat="1" ht="16.5">
      <c r="A684" s="105"/>
      <c r="B684" s="55"/>
      <c r="C684" s="70"/>
      <c r="D684" s="70"/>
      <c r="E684" s="70"/>
      <c r="F684" s="70"/>
      <c r="G684" s="70"/>
      <c r="H684" s="70"/>
      <c r="I684" s="70"/>
      <c r="J684" s="70"/>
      <c r="K684" s="70"/>
      <c r="L684" s="60"/>
    </row>
    <row r="685" spans="1:12" s="106" customFormat="1" ht="16.5">
      <c r="A685" s="105"/>
      <c r="B685" s="55"/>
      <c r="C685" s="70"/>
      <c r="D685" s="70"/>
      <c r="E685" s="70"/>
      <c r="F685" s="70"/>
      <c r="G685" s="70"/>
      <c r="H685" s="70"/>
      <c r="I685" s="70"/>
      <c r="J685" s="70"/>
      <c r="K685" s="70"/>
      <c r="L685" s="60"/>
    </row>
    <row r="686" spans="1:12" s="106" customFormat="1" ht="16.5">
      <c r="A686" s="105"/>
      <c r="B686" s="55"/>
      <c r="C686" s="70"/>
      <c r="D686" s="70"/>
      <c r="E686" s="70"/>
      <c r="F686" s="70"/>
      <c r="G686" s="70"/>
      <c r="H686" s="70"/>
      <c r="I686" s="70"/>
      <c r="J686" s="70"/>
      <c r="K686" s="70"/>
      <c r="L686" s="60"/>
    </row>
    <row r="687" spans="1:12" s="106" customFormat="1" ht="16.5">
      <c r="A687" s="105"/>
      <c r="B687" s="55"/>
      <c r="C687" s="70"/>
      <c r="D687" s="70"/>
      <c r="E687" s="70"/>
      <c r="F687" s="70"/>
      <c r="G687" s="70"/>
      <c r="H687" s="70"/>
      <c r="I687" s="70"/>
      <c r="J687" s="70"/>
      <c r="K687" s="70"/>
      <c r="L687" s="60"/>
    </row>
    <row r="688" spans="1:12" s="106" customFormat="1" ht="16.5">
      <c r="A688" s="105"/>
      <c r="B688" s="55"/>
      <c r="C688" s="70"/>
      <c r="D688" s="70"/>
      <c r="E688" s="70"/>
      <c r="F688" s="70"/>
      <c r="G688" s="70"/>
      <c r="H688" s="70"/>
      <c r="I688" s="70"/>
      <c r="J688" s="70"/>
      <c r="K688" s="70"/>
      <c r="L688" s="60"/>
    </row>
    <row r="689" spans="1:12" s="106" customFormat="1" ht="16.5">
      <c r="A689" s="105"/>
      <c r="B689" s="55"/>
      <c r="C689" s="70"/>
      <c r="D689" s="70"/>
      <c r="E689" s="70"/>
      <c r="F689" s="70"/>
      <c r="G689" s="70"/>
      <c r="H689" s="70"/>
      <c r="I689" s="70"/>
      <c r="J689" s="70"/>
      <c r="K689" s="70"/>
      <c r="L689" s="60"/>
    </row>
    <row r="690" spans="1:12" s="106" customFormat="1" ht="16.5">
      <c r="A690" s="105"/>
      <c r="B690" s="55"/>
      <c r="C690" s="70"/>
      <c r="D690" s="70"/>
      <c r="E690" s="70"/>
      <c r="F690" s="70"/>
      <c r="G690" s="70"/>
      <c r="H690" s="70"/>
      <c r="I690" s="70"/>
      <c r="J690" s="70"/>
      <c r="K690" s="70"/>
      <c r="L690" s="60"/>
    </row>
    <row r="691" spans="1:12" s="106" customFormat="1" ht="16.5">
      <c r="A691" s="105"/>
      <c r="B691" s="55"/>
      <c r="C691" s="70"/>
      <c r="D691" s="70"/>
      <c r="E691" s="70"/>
      <c r="F691" s="70"/>
      <c r="G691" s="70"/>
      <c r="H691" s="70"/>
      <c r="I691" s="70"/>
      <c r="J691" s="70"/>
      <c r="K691" s="70"/>
      <c r="L691" s="60"/>
    </row>
    <row r="692" spans="1:12" s="106" customFormat="1" ht="16.5">
      <c r="A692" s="105"/>
      <c r="B692" s="55"/>
      <c r="C692" s="70"/>
      <c r="D692" s="70"/>
      <c r="E692" s="70"/>
      <c r="F692" s="70"/>
      <c r="G692" s="70"/>
      <c r="H692" s="70"/>
      <c r="I692" s="70"/>
      <c r="J692" s="70"/>
      <c r="K692" s="70"/>
      <c r="L692" s="60"/>
    </row>
    <row r="693" spans="1:12" s="106" customFormat="1" ht="16.5">
      <c r="A693" s="105"/>
      <c r="B693" s="55"/>
      <c r="C693" s="70"/>
      <c r="D693" s="70"/>
      <c r="E693" s="70"/>
      <c r="F693" s="70"/>
      <c r="G693" s="70"/>
      <c r="H693" s="70"/>
      <c r="I693" s="70"/>
      <c r="J693" s="70"/>
      <c r="K693" s="70"/>
      <c r="L693" s="60"/>
    </row>
    <row r="694" spans="1:12" s="106" customFormat="1" ht="16.5">
      <c r="A694" s="105"/>
      <c r="B694" s="55"/>
      <c r="C694" s="70"/>
      <c r="D694" s="70"/>
      <c r="E694" s="70"/>
      <c r="F694" s="70"/>
      <c r="G694" s="70"/>
      <c r="H694" s="70"/>
      <c r="I694" s="70"/>
      <c r="J694" s="70"/>
      <c r="K694" s="70"/>
      <c r="L694" s="60"/>
    </row>
    <row r="695" spans="1:12" s="106" customFormat="1" ht="16.5">
      <c r="A695" s="105"/>
      <c r="B695" s="55"/>
      <c r="C695" s="70"/>
      <c r="D695" s="70"/>
      <c r="E695" s="70"/>
      <c r="F695" s="70"/>
      <c r="G695" s="70"/>
      <c r="H695" s="70"/>
      <c r="I695" s="70"/>
      <c r="J695" s="70"/>
      <c r="K695" s="70"/>
      <c r="L695" s="60"/>
    </row>
    <row r="696" spans="1:12" s="106" customFormat="1" ht="16.5">
      <c r="A696" s="105"/>
      <c r="B696" s="55"/>
      <c r="C696" s="70"/>
      <c r="D696" s="70"/>
      <c r="E696" s="70"/>
      <c r="F696" s="70"/>
      <c r="G696" s="70"/>
      <c r="H696" s="70"/>
      <c r="I696" s="70"/>
      <c r="J696" s="70"/>
      <c r="K696" s="70"/>
      <c r="L696" s="60"/>
    </row>
    <row r="697" spans="1:12" s="106" customFormat="1" ht="16.5">
      <c r="A697" s="105"/>
      <c r="B697" s="55"/>
      <c r="C697" s="70"/>
      <c r="D697" s="70"/>
      <c r="E697" s="70"/>
      <c r="F697" s="70"/>
      <c r="G697" s="70"/>
      <c r="H697" s="70"/>
      <c r="I697" s="70"/>
      <c r="J697" s="70"/>
      <c r="K697" s="70"/>
      <c r="L697" s="60"/>
    </row>
    <row r="698" spans="1:12" s="106" customFormat="1" ht="16.5">
      <c r="A698" s="105"/>
      <c r="B698" s="55"/>
      <c r="C698" s="70"/>
      <c r="D698" s="70"/>
      <c r="E698" s="70"/>
      <c r="F698" s="70"/>
      <c r="G698" s="70"/>
      <c r="H698" s="70"/>
      <c r="I698" s="70"/>
      <c r="J698" s="70"/>
      <c r="K698" s="70"/>
      <c r="L698" s="60"/>
    </row>
    <row r="699" spans="1:12" s="106" customFormat="1" ht="16.5">
      <c r="A699" s="105"/>
      <c r="B699" s="55"/>
      <c r="C699" s="70"/>
      <c r="D699" s="70"/>
      <c r="E699" s="70"/>
      <c r="F699" s="70"/>
      <c r="G699" s="70"/>
      <c r="H699" s="70"/>
      <c r="I699" s="70"/>
      <c r="J699" s="70"/>
      <c r="K699" s="70"/>
      <c r="L699" s="60"/>
    </row>
    <row r="700" spans="1:12" s="106" customFormat="1" ht="16.5">
      <c r="A700" s="105"/>
      <c r="B700" s="55"/>
      <c r="C700" s="70"/>
      <c r="D700" s="70"/>
      <c r="E700" s="70"/>
      <c r="F700" s="70"/>
      <c r="G700" s="70"/>
      <c r="H700" s="70"/>
      <c r="I700" s="70"/>
      <c r="J700" s="70"/>
      <c r="K700" s="70"/>
      <c r="L700" s="60"/>
    </row>
    <row r="701" spans="1:12" s="106" customFormat="1" ht="16.5">
      <c r="A701" s="105"/>
      <c r="B701" s="55"/>
      <c r="C701" s="70"/>
      <c r="D701" s="70"/>
      <c r="E701" s="70"/>
      <c r="F701" s="70"/>
      <c r="G701" s="70"/>
      <c r="H701" s="70"/>
      <c r="I701" s="70"/>
      <c r="J701" s="70"/>
      <c r="K701" s="70"/>
      <c r="L701" s="60"/>
    </row>
    <row r="702" spans="1:12" s="106" customFormat="1" ht="16.5">
      <c r="A702" s="105"/>
      <c r="B702" s="55"/>
      <c r="C702" s="70"/>
      <c r="D702" s="70"/>
      <c r="E702" s="70"/>
      <c r="F702" s="70"/>
      <c r="G702" s="70"/>
      <c r="H702" s="70"/>
      <c r="I702" s="70"/>
      <c r="J702" s="70"/>
      <c r="K702" s="70"/>
      <c r="L702" s="60"/>
    </row>
    <row r="703" spans="1:12" s="106" customFormat="1" ht="16.5">
      <c r="A703" s="105"/>
      <c r="B703" s="55"/>
      <c r="C703" s="70"/>
      <c r="D703" s="70"/>
      <c r="E703" s="70"/>
      <c r="F703" s="70"/>
      <c r="G703" s="70"/>
      <c r="H703" s="70"/>
      <c r="I703" s="70"/>
      <c r="J703" s="70"/>
      <c r="K703" s="70"/>
      <c r="L703" s="60"/>
    </row>
    <row r="704" spans="1:12" s="106" customFormat="1" ht="16.5">
      <c r="A704" s="105"/>
      <c r="B704" s="55"/>
      <c r="C704" s="70"/>
      <c r="D704" s="70"/>
      <c r="E704" s="70"/>
      <c r="F704" s="70"/>
      <c r="G704" s="70"/>
      <c r="H704" s="70"/>
      <c r="I704" s="70"/>
      <c r="J704" s="70"/>
      <c r="K704" s="70"/>
      <c r="L704" s="60"/>
    </row>
    <row r="705" spans="1:12" s="106" customFormat="1" ht="16.5">
      <c r="A705" s="105"/>
      <c r="B705" s="55"/>
      <c r="C705" s="70"/>
      <c r="D705" s="70"/>
      <c r="E705" s="70"/>
      <c r="F705" s="70"/>
      <c r="G705" s="70"/>
      <c r="H705" s="70"/>
      <c r="I705" s="70"/>
      <c r="J705" s="70"/>
      <c r="K705" s="70"/>
      <c r="L705" s="60"/>
    </row>
    <row r="706" spans="1:12" s="106" customFormat="1" ht="16.5">
      <c r="A706" s="105"/>
      <c r="B706" s="55"/>
      <c r="C706" s="70"/>
      <c r="D706" s="70"/>
      <c r="E706" s="70"/>
      <c r="F706" s="70"/>
      <c r="G706" s="70"/>
      <c r="H706" s="70"/>
      <c r="I706" s="70"/>
      <c r="J706" s="70"/>
      <c r="K706" s="70"/>
      <c r="L706" s="60"/>
    </row>
    <row r="707" spans="1:12" s="106" customFormat="1" ht="16.5">
      <c r="A707" s="105"/>
      <c r="B707" s="55"/>
      <c r="C707" s="70"/>
      <c r="D707" s="70"/>
      <c r="E707" s="70"/>
      <c r="F707" s="70"/>
      <c r="G707" s="70"/>
      <c r="H707" s="70"/>
      <c r="I707" s="70"/>
      <c r="J707" s="70"/>
      <c r="K707" s="70"/>
      <c r="L707" s="60"/>
    </row>
    <row r="708" spans="1:12" s="106" customFormat="1" ht="16.5">
      <c r="A708" s="105"/>
      <c r="B708" s="55"/>
      <c r="C708" s="70"/>
      <c r="D708" s="70"/>
      <c r="E708" s="70"/>
      <c r="F708" s="70"/>
      <c r="G708" s="70"/>
      <c r="H708" s="70"/>
      <c r="I708" s="70"/>
      <c r="J708" s="70"/>
      <c r="K708" s="70"/>
      <c r="L708" s="60"/>
    </row>
    <row r="709" spans="1:12" s="106" customFormat="1" ht="16.5">
      <c r="A709" s="105"/>
      <c r="B709" s="55"/>
      <c r="C709" s="70"/>
      <c r="D709" s="70"/>
      <c r="E709" s="70"/>
      <c r="F709" s="70"/>
      <c r="G709" s="70"/>
      <c r="H709" s="70"/>
      <c r="I709" s="70"/>
      <c r="J709" s="70"/>
      <c r="K709" s="70"/>
      <c r="L709" s="60"/>
    </row>
    <row r="710" spans="1:12" s="106" customFormat="1" ht="16.5">
      <c r="A710" s="105"/>
      <c r="B710" s="55"/>
      <c r="C710" s="70"/>
      <c r="D710" s="70"/>
      <c r="E710" s="70"/>
      <c r="F710" s="70"/>
      <c r="G710" s="70"/>
      <c r="H710" s="70"/>
      <c r="I710" s="70"/>
      <c r="J710" s="70"/>
      <c r="K710" s="70"/>
      <c r="L710" s="60"/>
    </row>
    <row r="711" spans="1:12" s="106" customFormat="1" ht="16.5">
      <c r="A711" s="105"/>
      <c r="B711" s="55"/>
      <c r="C711" s="70"/>
      <c r="D711" s="70"/>
      <c r="E711" s="70"/>
      <c r="F711" s="70"/>
      <c r="G711" s="70"/>
      <c r="H711" s="70"/>
      <c r="I711" s="70"/>
      <c r="J711" s="70"/>
      <c r="K711" s="70"/>
      <c r="L711" s="60"/>
    </row>
    <row r="712" spans="1:12" s="106" customFormat="1" ht="16.5">
      <c r="A712" s="105"/>
      <c r="B712" s="55"/>
      <c r="C712" s="70"/>
      <c r="D712" s="70"/>
      <c r="E712" s="70"/>
      <c r="F712" s="70"/>
      <c r="G712" s="70"/>
      <c r="H712" s="70"/>
      <c r="I712" s="70"/>
      <c r="J712" s="70"/>
      <c r="K712" s="70"/>
      <c r="L712" s="60"/>
    </row>
    <row r="713" spans="1:12" s="106" customFormat="1" ht="16.5">
      <c r="A713" s="105"/>
      <c r="B713" s="55"/>
      <c r="C713" s="70"/>
      <c r="D713" s="70"/>
      <c r="E713" s="70"/>
      <c r="F713" s="70"/>
      <c r="G713" s="70"/>
      <c r="H713" s="70"/>
      <c r="I713" s="70"/>
      <c r="J713" s="70"/>
      <c r="K713" s="70"/>
      <c r="L713" s="60"/>
    </row>
    <row r="714" spans="1:12" s="106" customFormat="1" ht="16.5">
      <c r="A714" s="105"/>
      <c r="B714" s="55"/>
      <c r="C714" s="70"/>
      <c r="D714" s="70"/>
      <c r="E714" s="70"/>
      <c r="F714" s="70"/>
      <c r="G714" s="70"/>
      <c r="H714" s="70"/>
      <c r="I714" s="70"/>
      <c r="J714" s="70"/>
      <c r="K714" s="70"/>
      <c r="L714" s="60"/>
    </row>
    <row r="715" spans="1:12" s="106" customFormat="1" ht="16.5">
      <c r="A715" s="105"/>
      <c r="B715" s="55"/>
      <c r="C715" s="70"/>
      <c r="D715" s="70"/>
      <c r="E715" s="70"/>
      <c r="F715" s="70"/>
      <c r="G715" s="70"/>
      <c r="H715" s="70"/>
      <c r="I715" s="70"/>
      <c r="J715" s="70"/>
      <c r="K715" s="70"/>
      <c r="L715" s="60"/>
    </row>
    <row r="716" spans="1:12" s="106" customFormat="1" ht="16.5">
      <c r="A716" s="105"/>
      <c r="B716" s="55"/>
      <c r="C716" s="70"/>
      <c r="D716" s="70"/>
      <c r="E716" s="70"/>
      <c r="F716" s="70"/>
      <c r="G716" s="70"/>
      <c r="H716" s="70"/>
      <c r="I716" s="70"/>
      <c r="J716" s="70"/>
      <c r="K716" s="70"/>
      <c r="L716" s="60"/>
    </row>
    <row r="717" spans="1:12" s="106" customFormat="1" ht="16.5">
      <c r="A717" s="105"/>
      <c r="B717" s="55"/>
      <c r="C717" s="70"/>
      <c r="D717" s="70"/>
      <c r="E717" s="70"/>
      <c r="F717" s="70"/>
      <c r="G717" s="70"/>
      <c r="H717" s="70"/>
      <c r="I717" s="70"/>
      <c r="J717" s="70"/>
      <c r="K717" s="70"/>
      <c r="L717" s="60"/>
    </row>
    <row r="718" spans="1:12" s="106" customFormat="1" ht="16.5">
      <c r="A718" s="105"/>
      <c r="B718" s="55"/>
      <c r="C718" s="70"/>
      <c r="D718" s="70"/>
      <c r="E718" s="70"/>
      <c r="F718" s="70"/>
      <c r="G718" s="70"/>
      <c r="H718" s="70"/>
      <c r="I718" s="70"/>
      <c r="J718" s="70"/>
      <c r="K718" s="70"/>
      <c r="L718" s="60"/>
    </row>
    <row r="719" spans="1:12" s="106" customFormat="1" ht="16.5">
      <c r="A719" s="105"/>
      <c r="B719" s="55"/>
      <c r="C719" s="70"/>
      <c r="D719" s="70"/>
      <c r="E719" s="70"/>
      <c r="F719" s="70"/>
      <c r="G719" s="70"/>
      <c r="H719" s="70"/>
      <c r="I719" s="70"/>
      <c r="J719" s="70"/>
      <c r="K719" s="70"/>
      <c r="L719" s="60"/>
    </row>
    <row r="720" spans="1:12" s="106" customFormat="1" ht="16.5">
      <c r="A720" s="105"/>
      <c r="B720" s="55"/>
      <c r="C720" s="70"/>
      <c r="D720" s="70"/>
      <c r="E720" s="70"/>
      <c r="F720" s="70"/>
      <c r="G720" s="70"/>
      <c r="H720" s="70"/>
      <c r="I720" s="70"/>
      <c r="J720" s="70"/>
      <c r="K720" s="70"/>
      <c r="L720" s="60"/>
    </row>
    <row r="721" spans="1:12" s="106" customFormat="1" ht="16.5">
      <c r="A721" s="105"/>
      <c r="B721" s="55"/>
      <c r="C721" s="70"/>
      <c r="D721" s="70"/>
      <c r="E721" s="70"/>
      <c r="F721" s="70"/>
      <c r="G721" s="70"/>
      <c r="H721" s="70"/>
      <c r="I721" s="70"/>
      <c r="J721" s="70"/>
      <c r="K721" s="70"/>
      <c r="L721" s="60"/>
    </row>
    <row r="722" spans="1:12" s="106" customFormat="1" ht="16.5">
      <c r="A722" s="105"/>
      <c r="B722" s="55"/>
      <c r="C722" s="70"/>
      <c r="D722" s="70"/>
      <c r="E722" s="70"/>
      <c r="F722" s="70"/>
      <c r="G722" s="70"/>
      <c r="H722" s="70"/>
      <c r="I722" s="70"/>
      <c r="J722" s="70"/>
      <c r="K722" s="70"/>
      <c r="L722" s="60"/>
    </row>
    <row r="723" spans="1:12" s="106" customFormat="1" ht="16.5">
      <c r="A723" s="105"/>
      <c r="B723" s="55"/>
      <c r="C723" s="70"/>
      <c r="D723" s="70"/>
      <c r="E723" s="70"/>
      <c r="F723" s="70"/>
      <c r="G723" s="70"/>
      <c r="H723" s="70"/>
      <c r="I723" s="70"/>
      <c r="J723" s="70"/>
      <c r="K723" s="70"/>
      <c r="L723" s="60"/>
    </row>
    <row r="724" spans="1:12" s="106" customFormat="1" ht="16.5">
      <c r="A724" s="105"/>
      <c r="B724" s="55"/>
      <c r="C724" s="70"/>
      <c r="D724" s="70"/>
      <c r="E724" s="70"/>
      <c r="F724" s="70"/>
      <c r="G724" s="70"/>
      <c r="H724" s="70"/>
      <c r="I724" s="70"/>
      <c r="J724" s="70"/>
      <c r="K724" s="70"/>
      <c r="L724" s="60"/>
    </row>
    <row r="725" spans="1:12" s="106" customFormat="1" ht="16.5">
      <c r="A725" s="105"/>
      <c r="B725" s="55"/>
      <c r="C725" s="70"/>
      <c r="D725" s="70"/>
      <c r="E725" s="70"/>
      <c r="F725" s="70"/>
      <c r="G725" s="70"/>
      <c r="H725" s="70"/>
      <c r="I725" s="70"/>
      <c r="J725" s="70"/>
      <c r="K725" s="70"/>
      <c r="L725" s="60"/>
    </row>
    <row r="726" spans="1:12" s="106" customFormat="1" ht="16.5">
      <c r="A726" s="105"/>
      <c r="B726" s="55"/>
      <c r="C726" s="70"/>
      <c r="D726" s="70"/>
      <c r="E726" s="70"/>
      <c r="F726" s="70"/>
      <c r="G726" s="70"/>
      <c r="H726" s="70"/>
      <c r="I726" s="70"/>
      <c r="J726" s="70"/>
      <c r="K726" s="70"/>
      <c r="L726" s="60"/>
    </row>
    <row r="727" spans="1:12" s="106" customFormat="1" ht="16.5">
      <c r="A727" s="105"/>
      <c r="B727" s="55"/>
      <c r="C727" s="70"/>
      <c r="D727" s="70"/>
      <c r="E727" s="70"/>
      <c r="F727" s="70"/>
      <c r="G727" s="70"/>
      <c r="H727" s="70"/>
      <c r="I727" s="70"/>
      <c r="J727" s="70"/>
      <c r="K727" s="70"/>
      <c r="L727" s="60"/>
    </row>
    <row r="728" spans="1:12" s="106" customFormat="1" ht="16.5">
      <c r="A728" s="105"/>
      <c r="B728" s="55"/>
      <c r="C728" s="70"/>
      <c r="D728" s="70"/>
      <c r="E728" s="70"/>
      <c r="F728" s="70"/>
      <c r="G728" s="70"/>
      <c r="H728" s="70"/>
      <c r="I728" s="70"/>
      <c r="J728" s="70"/>
      <c r="K728" s="70"/>
      <c r="L728" s="60"/>
    </row>
    <row r="729" spans="1:12" s="106" customFormat="1" ht="16.5">
      <c r="A729" s="105"/>
      <c r="B729" s="55"/>
      <c r="C729" s="70"/>
      <c r="D729" s="70"/>
      <c r="E729" s="70"/>
      <c r="F729" s="70"/>
      <c r="G729" s="70"/>
      <c r="H729" s="70"/>
      <c r="I729" s="70"/>
      <c r="J729" s="70"/>
      <c r="K729" s="70"/>
      <c r="L729" s="60"/>
    </row>
    <row r="730" spans="1:12" s="106" customFormat="1" ht="16.5">
      <c r="A730" s="105"/>
      <c r="B730" s="55"/>
      <c r="C730" s="70"/>
      <c r="D730" s="70"/>
      <c r="E730" s="70"/>
      <c r="F730" s="70"/>
      <c r="G730" s="70"/>
      <c r="H730" s="70"/>
      <c r="I730" s="70"/>
      <c r="J730" s="70"/>
      <c r="K730" s="70"/>
      <c r="L730" s="60"/>
    </row>
    <row r="731" spans="1:12" s="106" customFormat="1" ht="16.5">
      <c r="A731" s="105"/>
      <c r="B731" s="55"/>
      <c r="C731" s="70"/>
      <c r="D731" s="70"/>
      <c r="E731" s="70"/>
      <c r="F731" s="70"/>
      <c r="G731" s="70"/>
      <c r="H731" s="70"/>
      <c r="I731" s="70"/>
      <c r="J731" s="70"/>
      <c r="K731" s="70"/>
      <c r="L731" s="60"/>
    </row>
    <row r="732" spans="1:12" s="106" customFormat="1" ht="16.5">
      <c r="A732" s="105"/>
      <c r="B732" s="55"/>
      <c r="C732" s="70"/>
      <c r="D732" s="70"/>
      <c r="E732" s="70"/>
      <c r="F732" s="70"/>
      <c r="G732" s="70"/>
      <c r="H732" s="70"/>
      <c r="I732" s="70"/>
      <c r="J732" s="70"/>
      <c r="K732" s="70"/>
      <c r="L732" s="60"/>
    </row>
    <row r="733" spans="1:12" s="106" customFormat="1" ht="16.5">
      <c r="A733" s="105"/>
      <c r="B733" s="55"/>
      <c r="C733" s="70"/>
      <c r="D733" s="70"/>
      <c r="E733" s="70"/>
      <c r="F733" s="70"/>
      <c r="G733" s="70"/>
      <c r="H733" s="70"/>
      <c r="I733" s="70"/>
      <c r="J733" s="70"/>
      <c r="K733" s="70"/>
      <c r="L733" s="60"/>
    </row>
    <row r="734" spans="1:12" s="106" customFormat="1" ht="16.5">
      <c r="A734" s="105"/>
      <c r="B734" s="55"/>
      <c r="C734" s="70"/>
      <c r="D734" s="70"/>
      <c r="E734" s="70"/>
      <c r="F734" s="70"/>
      <c r="G734" s="70"/>
      <c r="H734" s="70"/>
      <c r="I734" s="70"/>
      <c r="J734" s="70"/>
      <c r="K734" s="70"/>
      <c r="L734" s="60"/>
    </row>
    <row r="735" spans="1:12" s="106" customFormat="1" ht="16.5">
      <c r="A735" s="105"/>
      <c r="B735" s="55"/>
      <c r="C735" s="70"/>
      <c r="D735" s="70"/>
      <c r="E735" s="70"/>
      <c r="F735" s="70"/>
      <c r="G735" s="70"/>
      <c r="H735" s="70"/>
      <c r="I735" s="70"/>
      <c r="J735" s="70"/>
      <c r="K735" s="70"/>
      <c r="L735" s="60"/>
    </row>
    <row r="736" spans="1:12" s="106" customFormat="1" ht="16.5">
      <c r="A736" s="105"/>
      <c r="B736" s="55"/>
      <c r="C736" s="70"/>
      <c r="D736" s="70"/>
      <c r="E736" s="70"/>
      <c r="F736" s="70"/>
      <c r="G736" s="70"/>
      <c r="H736" s="70"/>
      <c r="I736" s="70"/>
      <c r="J736" s="70"/>
      <c r="K736" s="70"/>
      <c r="L736" s="60"/>
    </row>
    <row r="737" spans="1:12" s="106" customFormat="1" ht="16.5">
      <c r="A737" s="105"/>
      <c r="B737" s="55"/>
      <c r="C737" s="70"/>
      <c r="D737" s="70"/>
      <c r="E737" s="70"/>
      <c r="F737" s="70"/>
      <c r="G737" s="70"/>
      <c r="H737" s="70"/>
      <c r="I737" s="70"/>
      <c r="J737" s="70"/>
      <c r="K737" s="70"/>
      <c r="L737" s="60"/>
    </row>
    <row r="738" spans="1:12" s="106" customFormat="1" ht="16.5">
      <c r="A738" s="105"/>
      <c r="B738" s="55"/>
      <c r="C738" s="70"/>
      <c r="D738" s="70"/>
      <c r="E738" s="70"/>
      <c r="F738" s="70"/>
      <c r="G738" s="70"/>
      <c r="H738" s="70"/>
      <c r="I738" s="70"/>
      <c r="J738" s="70"/>
      <c r="K738" s="70"/>
      <c r="L738" s="60"/>
    </row>
    <row r="739" spans="1:12" s="106" customFormat="1" ht="16.5">
      <c r="A739" s="105"/>
      <c r="B739" s="55"/>
      <c r="C739" s="70"/>
      <c r="D739" s="70"/>
      <c r="E739" s="70"/>
      <c r="F739" s="70"/>
      <c r="G739" s="70"/>
      <c r="H739" s="70"/>
      <c r="I739" s="70"/>
      <c r="J739" s="70"/>
      <c r="K739" s="70"/>
      <c r="L739" s="60"/>
    </row>
    <row r="740" spans="1:12" s="106" customFormat="1" ht="16.5">
      <c r="A740" s="105"/>
      <c r="B740" s="55"/>
      <c r="C740" s="70"/>
      <c r="D740" s="70"/>
      <c r="E740" s="70"/>
      <c r="F740" s="70"/>
      <c r="G740" s="70"/>
      <c r="H740" s="70"/>
      <c r="I740" s="70"/>
      <c r="J740" s="70"/>
      <c r="K740" s="70"/>
      <c r="L740" s="60"/>
    </row>
    <row r="741" spans="1:12" s="106" customFormat="1" ht="16.5">
      <c r="A741" s="105"/>
      <c r="B741" s="55"/>
      <c r="C741" s="70"/>
      <c r="D741" s="70"/>
      <c r="E741" s="70"/>
      <c r="F741" s="70"/>
      <c r="G741" s="70"/>
      <c r="H741" s="70"/>
      <c r="I741" s="70"/>
      <c r="J741" s="70"/>
      <c r="K741" s="70"/>
      <c r="L741" s="60"/>
    </row>
    <row r="742" spans="1:12" s="106" customFormat="1" ht="16.5">
      <c r="A742" s="105"/>
      <c r="B742" s="55"/>
      <c r="C742" s="70"/>
      <c r="D742" s="70"/>
      <c r="E742" s="70"/>
      <c r="F742" s="70"/>
      <c r="G742" s="70"/>
      <c r="H742" s="70"/>
      <c r="I742" s="70"/>
      <c r="J742" s="70"/>
      <c r="K742" s="70"/>
      <c r="L742" s="60"/>
    </row>
    <row r="743" spans="1:12" s="106" customFormat="1" ht="16.5">
      <c r="A743" s="105"/>
      <c r="B743" s="55"/>
      <c r="C743" s="70"/>
      <c r="D743" s="70"/>
      <c r="E743" s="70"/>
      <c r="F743" s="70"/>
      <c r="G743" s="70"/>
      <c r="H743" s="70"/>
      <c r="I743" s="70"/>
      <c r="J743" s="70"/>
      <c r="K743" s="70"/>
      <c r="L743" s="60"/>
    </row>
  </sheetData>
  <sheetProtection/>
  <mergeCells count="15">
    <mergeCell ref="B58:C58"/>
    <mergeCell ref="B136:C136"/>
    <mergeCell ref="B259:M259"/>
    <mergeCell ref="A260:L260"/>
    <mergeCell ref="J5:K5"/>
    <mergeCell ref="B256:D256"/>
    <mergeCell ref="A1:L1"/>
    <mergeCell ref="A2:L2"/>
    <mergeCell ref="A5:A6"/>
    <mergeCell ref="B5:B6"/>
    <mergeCell ref="C5:C6"/>
    <mergeCell ref="D5:D6"/>
    <mergeCell ref="E5:E6"/>
    <mergeCell ref="F5:G5"/>
    <mergeCell ref="H5:I5"/>
  </mergeCells>
  <conditionalFormatting sqref="C187:E194 C147:C153 C156 C167:E169 B192:B194 C172:E177 C182:E184 E197 C219:C227 C230:E232 C234 E113 D120:E124 B113:C124 D65:D66 B18:E18 C48:C54 B43:B45 C33:E35 D60:D61 B84:E84 C38:E45 B94:E100 B130:E130 C126 B134:E134 B145:E145 C178:C179 E178 B205:E207 B209:E217 C208:E208 C32 E32 C37 E37 B83:C83 E83 B86:E86 B85:C85 E85 B88:E89 B87:C87 E87 B92:C93 B102:E102 B101:C101 E101 B104:E105 B103:C103 E103 B107:E107 B106:C106 E106 B109:E111 B108:C108 E108 E119 E126 B129:C129 E129 B131:C131 E131 C166 E166 C171 E171 C181 E181 C186 E186 B204:C204 E204 C229 E229 E234 B90:D90 E90:E93">
    <cfRule type="cellIs" priority="22" dxfId="21" operator="equal" stopIfTrue="1">
      <formula>0</formula>
    </cfRule>
  </conditionalFormatting>
  <conditionalFormatting sqref="C19:C20">
    <cfRule type="cellIs" priority="21" dxfId="21" operator="equal" stopIfTrue="1">
      <formula>0</formula>
    </cfRule>
  </conditionalFormatting>
  <conditionalFormatting sqref="B79:E81 B78:C78 E78">
    <cfRule type="cellIs" priority="12" dxfId="21" operator="equal" stopIfTrue="1">
      <formula>0</formula>
    </cfRule>
  </conditionalFormatting>
  <conditionalFormatting sqref="C91">
    <cfRule type="cellIs" priority="13" dxfId="21" operator="equal" stopIfTrue="1">
      <formula>0</formula>
    </cfRule>
  </conditionalFormatting>
  <conditionalFormatting sqref="C82">
    <cfRule type="cellIs" priority="11" dxfId="21" operator="equal" stopIfTrue="1">
      <formula>0</formula>
    </cfRule>
  </conditionalFormatting>
  <conditionalFormatting sqref="B127:E128">
    <cfRule type="cellIs" priority="10" dxfId="21" operator="equal" stopIfTrue="1">
      <formula>0</formula>
    </cfRule>
  </conditionalFormatting>
  <conditionalFormatting sqref="B132:E133">
    <cfRule type="cellIs" priority="9" dxfId="21" operator="equal" stopIfTrue="1">
      <formula>0</formula>
    </cfRule>
  </conditionalFormatting>
  <conditionalFormatting sqref="B142:E142">
    <cfRule type="cellIs" priority="8" dxfId="21" operator="equal" stopIfTrue="1">
      <formula>0</formula>
    </cfRule>
  </conditionalFormatting>
  <conditionalFormatting sqref="C143:C144">
    <cfRule type="cellIs" priority="7" dxfId="21" operator="equal" stopIfTrue="1">
      <formula>0</formula>
    </cfRule>
  </conditionalFormatting>
  <conditionalFormatting sqref="C157:C164">
    <cfRule type="cellIs" priority="6" dxfId="21" operator="equal" stopIfTrue="1">
      <formula>0</formula>
    </cfRule>
  </conditionalFormatting>
  <conditionalFormatting sqref="D179:E179">
    <cfRule type="cellIs" priority="5" dxfId="21" operator="equal" stopIfTrue="1">
      <formula>0</formula>
    </cfRule>
  </conditionalFormatting>
  <conditionalFormatting sqref="D178">
    <cfRule type="cellIs" priority="4" dxfId="21" operator="equal" stopIfTrue="1">
      <formula>0</formula>
    </cfRule>
  </conditionalFormatting>
  <conditionalFormatting sqref="B208">
    <cfRule type="cellIs" priority="3" dxfId="21" operator="equal" stopIfTrue="1">
      <formula>0</formula>
    </cfRule>
  </conditionalFormatting>
  <conditionalFormatting sqref="C235:E242">
    <cfRule type="cellIs" priority="2" dxfId="21" operator="equal" stopIfTrue="1">
      <formula>0</formula>
    </cfRule>
  </conditionalFormatting>
  <conditionalFormatting sqref="B126">
    <cfRule type="cellIs" priority="1" dxfId="21" operator="equal" stopIfTrue="1">
      <formula>0</formula>
    </cfRule>
  </conditionalFormatting>
  <printOptions horizontalCentered="1"/>
  <pageMargins left="0.11811023622047245" right="0.11811023622047245" top="0.9448818897637796" bottom="0.9448818897637796" header="0.5118110236220472" footer="0.5118110236220472"/>
  <pageSetup cellComments="asDisplayed" fitToHeight="0" horizontalDpi="600" verticalDpi="600" orientation="landscape" scale="70" r:id="rId1"/>
  <headerFooter>
    <oddHeader>&amp;Cინსპექტირების ანგარიში № IR_18-10-A023/F/I&amp;Rდანართი №5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56"/>
  <sheetViews>
    <sheetView view="pageBreakPreview" zoomScaleSheetLayoutView="100" zoomScalePageLayoutView="0" workbookViewId="0" topLeftCell="A1">
      <selection activeCell="I17" sqref="I17"/>
    </sheetView>
  </sheetViews>
  <sheetFormatPr defaultColWidth="9.140625" defaultRowHeight="15"/>
  <cols>
    <col min="1" max="1" width="6.140625" style="34" customWidth="1"/>
    <col min="2" max="2" width="62.00390625" style="34" customWidth="1"/>
    <col min="3" max="3" width="10.57421875" style="34" customWidth="1"/>
    <col min="4" max="5" width="12.140625" style="34" customWidth="1"/>
    <col min="6" max="6" width="9.140625" style="44" customWidth="1"/>
    <col min="7" max="8" width="12.140625" style="44" customWidth="1"/>
    <col min="9" max="9" width="10.421875" style="44" customWidth="1"/>
    <col min="10" max="10" width="11.57421875" style="44" customWidth="1"/>
    <col min="11" max="12" width="11.00390625" style="44" customWidth="1"/>
    <col min="13" max="13" width="9.140625" style="34" customWidth="1"/>
    <col min="14" max="14" width="10.421875" style="34" bestFit="1" customWidth="1"/>
    <col min="15" max="16384" width="9.140625" style="34" customWidth="1"/>
  </cols>
  <sheetData>
    <row r="1" spans="1:12" ht="28.5" customHeight="1">
      <c r="A1" s="372" t="s">
        <v>502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s="37" customFormat="1" ht="15" customHeight="1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s="110" customFormat="1" ht="11.25" customHeight="1">
      <c r="A3" s="345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</row>
    <row r="4" spans="1:12" s="57" customFormat="1" ht="27.75" customHeight="1">
      <c r="A4" s="367" t="s">
        <v>425</v>
      </c>
      <c r="B4" s="368" t="s">
        <v>2</v>
      </c>
      <c r="C4" s="369" t="s">
        <v>424</v>
      </c>
      <c r="D4" s="368" t="s">
        <v>423</v>
      </c>
      <c r="E4" s="368"/>
      <c r="F4" s="370" t="s">
        <v>6</v>
      </c>
      <c r="G4" s="370"/>
      <c r="H4" s="370" t="s">
        <v>7</v>
      </c>
      <c r="I4" s="370"/>
      <c r="J4" s="370" t="s">
        <v>422</v>
      </c>
      <c r="K4" s="370"/>
      <c r="L4" s="371" t="s">
        <v>1</v>
      </c>
    </row>
    <row r="5" spans="1:12" s="57" customFormat="1" ht="27.75" customHeight="1">
      <c r="A5" s="367"/>
      <c r="B5" s="368"/>
      <c r="C5" s="369"/>
      <c r="D5" s="341" t="s">
        <v>421</v>
      </c>
      <c r="E5" s="342" t="s">
        <v>9</v>
      </c>
      <c r="F5" s="340" t="s">
        <v>420</v>
      </c>
      <c r="G5" s="340" t="s">
        <v>9</v>
      </c>
      <c r="H5" s="339" t="s">
        <v>420</v>
      </c>
      <c r="I5" s="340" t="s">
        <v>9</v>
      </c>
      <c r="J5" s="339" t="s">
        <v>420</v>
      </c>
      <c r="K5" s="340" t="s">
        <v>9</v>
      </c>
      <c r="L5" s="371"/>
    </row>
    <row r="6" spans="1:12" ht="18">
      <c r="A6" s="343">
        <v>1</v>
      </c>
      <c r="B6" s="343">
        <v>2</v>
      </c>
      <c r="C6" s="343">
        <v>3</v>
      </c>
      <c r="D6" s="343">
        <v>4</v>
      </c>
      <c r="E6" s="343">
        <v>5</v>
      </c>
      <c r="F6" s="397">
        <v>6</v>
      </c>
      <c r="G6" s="397">
        <v>7</v>
      </c>
      <c r="H6" s="397">
        <v>8</v>
      </c>
      <c r="I6" s="397">
        <v>9</v>
      </c>
      <c r="J6" s="397">
        <v>10</v>
      </c>
      <c r="K6" s="397">
        <v>11</v>
      </c>
      <c r="L6" s="398">
        <v>12</v>
      </c>
    </row>
    <row r="7" spans="1:12" ht="18">
      <c r="A7" s="197"/>
      <c r="B7" s="113" t="s">
        <v>419</v>
      </c>
      <c r="C7" s="343"/>
      <c r="D7" s="343"/>
      <c r="E7" s="343"/>
      <c r="F7" s="114"/>
      <c r="G7" s="114"/>
      <c r="H7" s="114"/>
      <c r="I7" s="114"/>
      <c r="J7" s="114"/>
      <c r="K7" s="114"/>
      <c r="L7" s="198"/>
    </row>
    <row r="8" spans="1:12" s="119" customFormat="1" ht="15.75">
      <c r="A8" s="199" t="s">
        <v>136</v>
      </c>
      <c r="B8" s="115" t="s">
        <v>418</v>
      </c>
      <c r="C8" s="116" t="s">
        <v>417</v>
      </c>
      <c r="D8" s="117"/>
      <c r="E8" s="217">
        <f>817.4/1000</f>
        <v>0.8174</v>
      </c>
      <c r="F8" s="79"/>
      <c r="G8" s="79"/>
      <c r="H8" s="79"/>
      <c r="I8" s="79"/>
      <c r="J8" s="79"/>
      <c r="K8" s="79"/>
      <c r="L8" s="200"/>
    </row>
    <row r="9" spans="1:12" s="127" customFormat="1" ht="15.75">
      <c r="A9" s="201" t="s">
        <v>138</v>
      </c>
      <c r="B9" s="120" t="s">
        <v>31</v>
      </c>
      <c r="C9" s="121" t="s">
        <v>40</v>
      </c>
      <c r="D9" s="122">
        <v>93.22</v>
      </c>
      <c r="E9" s="18">
        <f>E8*D9</f>
        <v>76.198028</v>
      </c>
      <c r="F9" s="180"/>
      <c r="G9" s="180"/>
      <c r="H9" s="181"/>
      <c r="I9" s="181"/>
      <c r="J9" s="181"/>
      <c r="K9" s="181"/>
      <c r="L9" s="182"/>
    </row>
    <row r="10" spans="1:12" s="35" customFormat="1" ht="18">
      <c r="A10" s="202" t="s">
        <v>140</v>
      </c>
      <c r="B10" s="113" t="s">
        <v>416</v>
      </c>
      <c r="C10" s="42"/>
      <c r="D10" s="41"/>
      <c r="E10" s="128"/>
      <c r="F10" s="123"/>
      <c r="G10" s="123"/>
      <c r="H10" s="124"/>
      <c r="I10" s="125"/>
      <c r="J10" s="124"/>
      <c r="K10" s="124"/>
      <c r="L10" s="126"/>
    </row>
    <row r="11" spans="1:12" s="35" customFormat="1" ht="36">
      <c r="A11" s="199" t="s">
        <v>146</v>
      </c>
      <c r="B11" s="129" t="s">
        <v>415</v>
      </c>
      <c r="C11" s="130" t="s">
        <v>456</v>
      </c>
      <c r="D11" s="131"/>
      <c r="E11" s="183">
        <v>100</v>
      </c>
      <c r="F11" s="184"/>
      <c r="G11" s="184"/>
      <c r="H11" s="185"/>
      <c r="I11" s="185"/>
      <c r="J11" s="185"/>
      <c r="K11" s="185"/>
      <c r="L11" s="186"/>
    </row>
    <row r="12" spans="1:12" s="35" customFormat="1" ht="18">
      <c r="A12" s="201" t="s">
        <v>148</v>
      </c>
      <c r="B12" s="132" t="s">
        <v>122</v>
      </c>
      <c r="C12" s="42" t="s">
        <v>17</v>
      </c>
      <c r="D12" s="128">
        <f>0.0132+0.00323</f>
        <v>0.01643</v>
      </c>
      <c r="E12" s="187">
        <f>D12*E11</f>
        <v>1.643</v>
      </c>
      <c r="F12" s="180"/>
      <c r="G12" s="180"/>
      <c r="H12" s="181"/>
      <c r="I12" s="181"/>
      <c r="J12" s="181"/>
      <c r="K12" s="181"/>
      <c r="L12" s="182"/>
    </row>
    <row r="13" spans="1:12" s="35" customFormat="1" ht="19.5">
      <c r="A13" s="202" t="s">
        <v>150</v>
      </c>
      <c r="B13" s="132" t="s">
        <v>466</v>
      </c>
      <c r="C13" s="42" t="s">
        <v>124</v>
      </c>
      <c r="D13" s="128">
        <v>0.0295</v>
      </c>
      <c r="E13" s="187">
        <f>E11*D13</f>
        <v>2.9499999999999997</v>
      </c>
      <c r="F13" s="180"/>
      <c r="G13" s="180"/>
      <c r="H13" s="181"/>
      <c r="I13" s="181"/>
      <c r="J13" s="181"/>
      <c r="K13" s="181"/>
      <c r="L13" s="182"/>
    </row>
    <row r="14" spans="1:12" s="35" customFormat="1" ht="18">
      <c r="A14" s="199" t="s">
        <v>151</v>
      </c>
      <c r="B14" s="132" t="s">
        <v>125</v>
      </c>
      <c r="C14" s="42" t="s">
        <v>126</v>
      </c>
      <c r="D14" s="133">
        <f>0.0021+0.00018</f>
        <v>0.00228</v>
      </c>
      <c r="E14" s="187">
        <f>E11*D14</f>
        <v>0.22799999999999998</v>
      </c>
      <c r="F14" s="180"/>
      <c r="G14" s="180"/>
      <c r="H14" s="181"/>
      <c r="I14" s="181"/>
      <c r="J14" s="181"/>
      <c r="K14" s="181"/>
      <c r="L14" s="182"/>
    </row>
    <row r="15" spans="1:12" s="38" customFormat="1" ht="15">
      <c r="A15" s="201" t="s">
        <v>504</v>
      </c>
      <c r="B15" s="134" t="s">
        <v>380</v>
      </c>
      <c r="C15" s="135" t="s">
        <v>124</v>
      </c>
      <c r="D15" s="136">
        <v>0.00362</v>
      </c>
      <c r="E15" s="188">
        <f>E11*D15</f>
        <v>0.362</v>
      </c>
      <c r="F15" s="180"/>
      <c r="G15" s="180"/>
      <c r="H15" s="181"/>
      <c r="I15" s="181"/>
      <c r="J15" s="181"/>
      <c r="K15" s="181"/>
      <c r="L15" s="182"/>
    </row>
    <row r="16" spans="1:12" s="35" customFormat="1" ht="19.5">
      <c r="A16" s="202" t="s">
        <v>505</v>
      </c>
      <c r="B16" s="132" t="s">
        <v>108</v>
      </c>
      <c r="C16" s="42" t="s">
        <v>467</v>
      </c>
      <c r="D16" s="133">
        <f>0.00005+0.00004</f>
        <v>9E-05</v>
      </c>
      <c r="E16" s="187">
        <f>E11*D16</f>
        <v>0.009000000000000001</v>
      </c>
      <c r="F16" s="180"/>
      <c r="G16" s="180"/>
      <c r="H16" s="181"/>
      <c r="I16" s="181"/>
      <c r="J16" s="181"/>
      <c r="K16" s="181"/>
      <c r="L16" s="182"/>
    </row>
    <row r="17" spans="1:12" s="35" customFormat="1" ht="36">
      <c r="A17" s="199" t="s">
        <v>506</v>
      </c>
      <c r="B17" s="129" t="s">
        <v>414</v>
      </c>
      <c r="C17" s="130" t="s">
        <v>456</v>
      </c>
      <c r="D17" s="131"/>
      <c r="E17" s="183">
        <v>10</v>
      </c>
      <c r="F17" s="184"/>
      <c r="G17" s="184"/>
      <c r="H17" s="185"/>
      <c r="I17" s="185"/>
      <c r="J17" s="185"/>
      <c r="K17" s="185"/>
      <c r="L17" s="186"/>
    </row>
    <row r="18" spans="1:12" s="35" customFormat="1" ht="18">
      <c r="A18" s="201" t="s">
        <v>507</v>
      </c>
      <c r="B18" s="132" t="s">
        <v>122</v>
      </c>
      <c r="C18" s="42" t="s">
        <v>17</v>
      </c>
      <c r="D18" s="136">
        <f>2.06+1.21+0.00323</f>
        <v>3.27323</v>
      </c>
      <c r="E18" s="187">
        <f>D18*E17</f>
        <v>32.732299999999995</v>
      </c>
      <c r="F18" s="180"/>
      <c r="G18" s="180"/>
      <c r="H18" s="181"/>
      <c r="I18" s="181"/>
      <c r="J18" s="181"/>
      <c r="K18" s="181"/>
      <c r="L18" s="182"/>
    </row>
    <row r="19" spans="1:12" s="38" customFormat="1" ht="15.75">
      <c r="A19" s="202" t="s">
        <v>508</v>
      </c>
      <c r="B19" s="134" t="s">
        <v>380</v>
      </c>
      <c r="C19" s="135" t="s">
        <v>124</v>
      </c>
      <c r="D19" s="136">
        <v>0.00362</v>
      </c>
      <c r="E19" s="188">
        <f>E17*D19</f>
        <v>0.036199999999999996</v>
      </c>
      <c r="F19" s="180"/>
      <c r="G19" s="180"/>
      <c r="H19" s="181"/>
      <c r="I19" s="181"/>
      <c r="J19" s="181"/>
      <c r="K19" s="181"/>
      <c r="L19" s="182"/>
    </row>
    <row r="20" spans="1:12" s="35" customFormat="1" ht="18">
      <c r="A20" s="199" t="s">
        <v>509</v>
      </c>
      <c r="B20" s="132" t="s">
        <v>125</v>
      </c>
      <c r="C20" s="42" t="s">
        <v>126</v>
      </c>
      <c r="D20" s="133">
        <v>0.00018</v>
      </c>
      <c r="E20" s="187">
        <f>D20*E17</f>
        <v>0.0018000000000000002</v>
      </c>
      <c r="F20" s="180"/>
      <c r="G20" s="180"/>
      <c r="H20" s="181"/>
      <c r="I20" s="181"/>
      <c r="J20" s="181"/>
      <c r="K20" s="181"/>
      <c r="L20" s="182"/>
    </row>
    <row r="21" spans="1:12" s="35" customFormat="1" ht="19.5">
      <c r="A21" s="201" t="s">
        <v>510</v>
      </c>
      <c r="B21" s="132" t="s">
        <v>108</v>
      </c>
      <c r="C21" s="42" t="s">
        <v>467</v>
      </c>
      <c r="D21" s="133">
        <v>4E-05</v>
      </c>
      <c r="E21" s="187">
        <f>E17*D21</f>
        <v>0.0004</v>
      </c>
      <c r="F21" s="180"/>
      <c r="G21" s="180"/>
      <c r="H21" s="181"/>
      <c r="I21" s="181"/>
      <c r="J21" s="181"/>
      <c r="K21" s="181"/>
      <c r="L21" s="182"/>
    </row>
    <row r="22" spans="1:12" s="35" customFormat="1" ht="36">
      <c r="A22" s="202" t="s">
        <v>511</v>
      </c>
      <c r="B22" s="129" t="s">
        <v>413</v>
      </c>
      <c r="C22" s="130" t="s">
        <v>456</v>
      </c>
      <c r="D22" s="131"/>
      <c r="E22" s="183">
        <f>E17+E11</f>
        <v>110</v>
      </c>
      <c r="F22" s="184"/>
      <c r="G22" s="184"/>
      <c r="H22" s="185"/>
      <c r="I22" s="185"/>
      <c r="J22" s="185"/>
      <c r="K22" s="185"/>
      <c r="L22" s="186"/>
    </row>
    <row r="23" spans="1:12" s="35" customFormat="1" ht="18">
      <c r="A23" s="199" t="s">
        <v>154</v>
      </c>
      <c r="B23" s="132" t="s">
        <v>378</v>
      </c>
      <c r="C23" s="42" t="s">
        <v>116</v>
      </c>
      <c r="D23" s="138">
        <v>1.95</v>
      </c>
      <c r="E23" s="188">
        <f>E22*D23</f>
        <v>214.5</v>
      </c>
      <c r="F23" s="180"/>
      <c r="G23" s="180"/>
      <c r="H23" s="181"/>
      <c r="I23" s="181"/>
      <c r="J23" s="181"/>
      <c r="K23" s="181"/>
      <c r="L23" s="182"/>
    </row>
    <row r="24" spans="1:12" s="35" customFormat="1" ht="36">
      <c r="A24" s="201" t="s">
        <v>158</v>
      </c>
      <c r="B24" s="129" t="s">
        <v>412</v>
      </c>
      <c r="C24" s="130" t="s">
        <v>456</v>
      </c>
      <c r="D24" s="131"/>
      <c r="E24" s="183">
        <v>343.0529711999999</v>
      </c>
      <c r="F24" s="184"/>
      <c r="G24" s="184"/>
      <c r="H24" s="185"/>
      <c r="I24" s="185"/>
      <c r="J24" s="185"/>
      <c r="K24" s="185"/>
      <c r="L24" s="186"/>
    </row>
    <row r="25" spans="1:12" s="35" customFormat="1" ht="18" customHeight="1">
      <c r="A25" s="202" t="s">
        <v>159</v>
      </c>
      <c r="B25" s="132" t="s">
        <v>122</v>
      </c>
      <c r="C25" s="42" t="s">
        <v>17</v>
      </c>
      <c r="D25" s="138">
        <v>0.15</v>
      </c>
      <c r="E25" s="187">
        <f>D25*E24</f>
        <v>51.45794567999998</v>
      </c>
      <c r="F25" s="180"/>
      <c r="G25" s="180"/>
      <c r="H25" s="181"/>
      <c r="I25" s="181"/>
      <c r="J25" s="181"/>
      <c r="K25" s="181"/>
      <c r="L25" s="182"/>
    </row>
    <row r="26" spans="1:12" s="35" customFormat="1" ht="18" customHeight="1">
      <c r="A26" s="199" t="s">
        <v>168</v>
      </c>
      <c r="B26" s="132" t="s">
        <v>389</v>
      </c>
      <c r="C26" s="42" t="s">
        <v>124</v>
      </c>
      <c r="D26" s="136">
        <v>0.0216</v>
      </c>
      <c r="E26" s="187">
        <f>E24*D26</f>
        <v>7.409944177919998</v>
      </c>
      <c r="F26" s="180"/>
      <c r="G26" s="180"/>
      <c r="H26" s="181"/>
      <c r="I26" s="181"/>
      <c r="J26" s="181"/>
      <c r="K26" s="181"/>
      <c r="L26" s="182"/>
    </row>
    <row r="27" spans="1:12" s="35" customFormat="1" ht="18" customHeight="1">
      <c r="A27" s="201" t="s">
        <v>169</v>
      </c>
      <c r="B27" s="132" t="s">
        <v>388</v>
      </c>
      <c r="C27" s="42" t="s">
        <v>124</v>
      </c>
      <c r="D27" s="136">
        <v>0.0273</v>
      </c>
      <c r="E27" s="187">
        <f>E24*D27</f>
        <v>9.365346113759998</v>
      </c>
      <c r="F27" s="180"/>
      <c r="G27" s="180"/>
      <c r="H27" s="181"/>
      <c r="I27" s="181"/>
      <c r="J27" s="181"/>
      <c r="K27" s="181"/>
      <c r="L27" s="182"/>
    </row>
    <row r="28" spans="1:12" s="35" customFormat="1" ht="18" customHeight="1">
      <c r="A28" s="202" t="s">
        <v>177</v>
      </c>
      <c r="B28" s="139" t="s">
        <v>387</v>
      </c>
      <c r="C28" s="140" t="s">
        <v>124</v>
      </c>
      <c r="D28" s="136">
        <v>0.0097</v>
      </c>
      <c r="E28" s="187">
        <f>E24*D28</f>
        <v>3.327613820639999</v>
      </c>
      <c r="F28" s="180"/>
      <c r="G28" s="180"/>
      <c r="H28" s="181"/>
      <c r="I28" s="181"/>
      <c r="J28" s="181"/>
      <c r="K28" s="181"/>
      <c r="L28" s="182"/>
    </row>
    <row r="29" spans="1:12" s="35" customFormat="1" ht="19.5" customHeight="1">
      <c r="A29" s="199" t="s">
        <v>178</v>
      </c>
      <c r="B29" s="141" t="s">
        <v>411</v>
      </c>
      <c r="C29" s="140" t="s">
        <v>467</v>
      </c>
      <c r="D29" s="138">
        <v>1.22</v>
      </c>
      <c r="E29" s="187">
        <f>E24*D29</f>
        <v>418.52462486399986</v>
      </c>
      <c r="F29" s="180"/>
      <c r="G29" s="180"/>
      <c r="H29" s="181"/>
      <c r="I29" s="181"/>
      <c r="J29" s="181"/>
      <c r="K29" s="181"/>
      <c r="L29" s="182"/>
    </row>
    <row r="30" spans="1:12" s="35" customFormat="1" ht="19.5" customHeight="1">
      <c r="A30" s="201" t="s">
        <v>179</v>
      </c>
      <c r="B30" s="132" t="s">
        <v>385</v>
      </c>
      <c r="C30" s="140" t="s">
        <v>467</v>
      </c>
      <c r="D30" s="138">
        <v>0.07</v>
      </c>
      <c r="E30" s="187">
        <f>E24*D30</f>
        <v>24.013707983999993</v>
      </c>
      <c r="F30" s="180"/>
      <c r="G30" s="180"/>
      <c r="H30" s="181"/>
      <c r="I30" s="181"/>
      <c r="J30" s="181"/>
      <c r="K30" s="181"/>
      <c r="L30" s="182"/>
    </row>
    <row r="31" spans="1:12" s="35" customFormat="1" ht="18">
      <c r="A31" s="202" t="s">
        <v>182</v>
      </c>
      <c r="B31" s="113" t="s">
        <v>410</v>
      </c>
      <c r="C31" s="42"/>
      <c r="D31" s="128"/>
      <c r="E31" s="187"/>
      <c r="F31" s="180"/>
      <c r="G31" s="180"/>
      <c r="H31" s="181"/>
      <c r="I31" s="181"/>
      <c r="J31" s="181"/>
      <c r="K31" s="181"/>
      <c r="L31" s="182"/>
    </row>
    <row r="32" spans="1:12" s="35" customFormat="1" ht="30">
      <c r="A32" s="199" t="s">
        <v>184</v>
      </c>
      <c r="B32" s="142" t="s">
        <v>409</v>
      </c>
      <c r="C32" s="130" t="s">
        <v>469</v>
      </c>
      <c r="D32" s="131"/>
      <c r="E32" s="183">
        <v>3000</v>
      </c>
      <c r="F32" s="184"/>
      <c r="G32" s="184"/>
      <c r="H32" s="185"/>
      <c r="I32" s="185"/>
      <c r="J32" s="185"/>
      <c r="K32" s="185"/>
      <c r="L32" s="186"/>
    </row>
    <row r="33" spans="1:12" s="35" customFormat="1" ht="18">
      <c r="A33" s="201" t="s">
        <v>190</v>
      </c>
      <c r="B33" s="132" t="s">
        <v>122</v>
      </c>
      <c r="C33" s="42" t="s">
        <v>17</v>
      </c>
      <c r="D33" s="128">
        <f>42.9*0.001</f>
        <v>0.0429</v>
      </c>
      <c r="E33" s="187">
        <f>D33*E32</f>
        <v>128.7</v>
      </c>
      <c r="F33" s="180"/>
      <c r="G33" s="180"/>
      <c r="H33" s="181"/>
      <c r="I33" s="181"/>
      <c r="J33" s="181"/>
      <c r="K33" s="181"/>
      <c r="L33" s="182"/>
    </row>
    <row r="34" spans="1:12" s="35" customFormat="1" ht="18">
      <c r="A34" s="202" t="s">
        <v>191</v>
      </c>
      <c r="B34" s="132" t="s">
        <v>389</v>
      </c>
      <c r="C34" s="42" t="s">
        <v>124</v>
      </c>
      <c r="D34" s="133">
        <f>2.69*0.001</f>
        <v>0.00269</v>
      </c>
      <c r="E34" s="187">
        <f>E32*D34</f>
        <v>8.07</v>
      </c>
      <c r="F34" s="180"/>
      <c r="G34" s="180"/>
      <c r="H34" s="181"/>
      <c r="I34" s="181"/>
      <c r="J34" s="181"/>
      <c r="K34" s="181"/>
      <c r="L34" s="182"/>
    </row>
    <row r="35" spans="1:12" s="35" customFormat="1" ht="18">
      <c r="A35" s="199" t="s">
        <v>512</v>
      </c>
      <c r="B35" s="132" t="s">
        <v>388</v>
      </c>
      <c r="C35" s="42" t="s">
        <v>124</v>
      </c>
      <c r="D35" s="133">
        <f>0.41*0.001</f>
        <v>0.00041</v>
      </c>
      <c r="E35" s="187">
        <f>E32*D35</f>
        <v>1.23</v>
      </c>
      <c r="F35" s="180"/>
      <c r="G35" s="180"/>
      <c r="H35" s="181"/>
      <c r="I35" s="181"/>
      <c r="J35" s="181"/>
      <c r="K35" s="181"/>
      <c r="L35" s="182"/>
    </row>
    <row r="36" spans="1:12" s="35" customFormat="1" ht="18">
      <c r="A36" s="201" t="s">
        <v>513</v>
      </c>
      <c r="B36" s="132" t="s">
        <v>394</v>
      </c>
      <c r="C36" s="42" t="s">
        <v>124</v>
      </c>
      <c r="D36" s="128">
        <f>7.6*0.001</f>
        <v>0.0076</v>
      </c>
      <c r="E36" s="187">
        <f>E32*D36</f>
        <v>22.8</v>
      </c>
      <c r="F36" s="180"/>
      <c r="G36" s="180"/>
      <c r="H36" s="181"/>
      <c r="I36" s="181"/>
      <c r="J36" s="181"/>
      <c r="K36" s="181"/>
      <c r="L36" s="182"/>
    </row>
    <row r="37" spans="1:12" s="35" customFormat="1" ht="18">
      <c r="A37" s="202" t="s">
        <v>198</v>
      </c>
      <c r="B37" s="132" t="s">
        <v>393</v>
      </c>
      <c r="C37" s="42" t="s">
        <v>124</v>
      </c>
      <c r="D37" s="128">
        <f>7.4*0.001</f>
        <v>0.0074</v>
      </c>
      <c r="E37" s="187">
        <f>E32*D37</f>
        <v>22.2</v>
      </c>
      <c r="F37" s="180"/>
      <c r="G37" s="180"/>
      <c r="H37" s="181"/>
      <c r="I37" s="181"/>
      <c r="J37" s="181"/>
      <c r="K37" s="181"/>
      <c r="L37" s="182"/>
    </row>
    <row r="38" spans="1:12" s="35" customFormat="1" ht="18">
      <c r="A38" s="199" t="s">
        <v>203</v>
      </c>
      <c r="B38" s="139" t="s">
        <v>387</v>
      </c>
      <c r="C38" s="140" t="s">
        <v>124</v>
      </c>
      <c r="D38" s="133">
        <f>1.48*0.001</f>
        <v>0.00148</v>
      </c>
      <c r="E38" s="187">
        <f>E32*D38</f>
        <v>4.4399999999999995</v>
      </c>
      <c r="F38" s="180"/>
      <c r="G38" s="180"/>
      <c r="H38" s="181"/>
      <c r="I38" s="181"/>
      <c r="J38" s="181"/>
      <c r="K38" s="181"/>
      <c r="L38" s="182"/>
    </row>
    <row r="39" spans="1:12" s="35" customFormat="1" ht="19.5">
      <c r="A39" s="201" t="s">
        <v>205</v>
      </c>
      <c r="B39" s="143" t="s">
        <v>400</v>
      </c>
      <c r="C39" s="140" t="s">
        <v>467</v>
      </c>
      <c r="D39" s="128">
        <f>(149+12.4*3)*0.001</f>
        <v>0.1862</v>
      </c>
      <c r="E39" s="187">
        <f>E32*D39</f>
        <v>558.6</v>
      </c>
      <c r="F39" s="180"/>
      <c r="G39" s="180"/>
      <c r="H39" s="181"/>
      <c r="I39" s="181"/>
      <c r="J39" s="181"/>
      <c r="K39" s="181"/>
      <c r="L39" s="182"/>
    </row>
    <row r="40" spans="1:12" ht="18" customHeight="1">
      <c r="A40" s="202" t="s">
        <v>207</v>
      </c>
      <c r="B40" s="132" t="s">
        <v>385</v>
      </c>
      <c r="C40" s="140" t="s">
        <v>467</v>
      </c>
      <c r="D40" s="128">
        <v>0.011</v>
      </c>
      <c r="E40" s="187">
        <f>E32*D40</f>
        <v>33</v>
      </c>
      <c r="F40" s="180"/>
      <c r="G40" s="180"/>
      <c r="H40" s="181"/>
      <c r="I40" s="181"/>
      <c r="J40" s="181"/>
      <c r="K40" s="181"/>
      <c r="L40" s="182"/>
    </row>
    <row r="41" spans="1:12" s="35" customFormat="1" ht="37.5">
      <c r="A41" s="199" t="s">
        <v>212</v>
      </c>
      <c r="B41" s="129" t="s">
        <v>399</v>
      </c>
      <c r="C41" s="130" t="s">
        <v>116</v>
      </c>
      <c r="D41" s="131"/>
      <c r="E41" s="211">
        <f>E32*0.0007</f>
        <v>2.1</v>
      </c>
      <c r="F41" s="184"/>
      <c r="G41" s="184"/>
      <c r="H41" s="185"/>
      <c r="I41" s="185"/>
      <c r="J41" s="185"/>
      <c r="K41" s="185"/>
      <c r="L41" s="186"/>
    </row>
    <row r="42" spans="1:12" s="35" customFormat="1" ht="18">
      <c r="A42" s="201" t="s">
        <v>213</v>
      </c>
      <c r="B42" s="139" t="s">
        <v>398</v>
      </c>
      <c r="C42" s="140" t="s">
        <v>124</v>
      </c>
      <c r="D42" s="64">
        <v>0.3</v>
      </c>
      <c r="E42" s="187">
        <f>E41*D42</f>
        <v>0.63</v>
      </c>
      <c r="F42" s="180"/>
      <c r="G42" s="180"/>
      <c r="H42" s="181"/>
      <c r="I42" s="181"/>
      <c r="J42" s="181"/>
      <c r="K42" s="181"/>
      <c r="L42" s="182"/>
    </row>
    <row r="43" spans="1:12" s="35" customFormat="1" ht="18">
      <c r="A43" s="202" t="s">
        <v>221</v>
      </c>
      <c r="B43" s="139" t="s">
        <v>397</v>
      </c>
      <c r="C43" s="140" t="s">
        <v>116</v>
      </c>
      <c r="D43" s="64">
        <v>1.03</v>
      </c>
      <c r="E43" s="187">
        <f>E41*D43</f>
        <v>2.1630000000000003</v>
      </c>
      <c r="F43" s="180"/>
      <c r="G43" s="180"/>
      <c r="H43" s="181"/>
      <c r="I43" s="181"/>
      <c r="J43" s="181"/>
      <c r="K43" s="181"/>
      <c r="L43" s="182"/>
    </row>
    <row r="44" spans="1:12" s="35" customFormat="1" ht="54">
      <c r="A44" s="199" t="s">
        <v>222</v>
      </c>
      <c r="B44" s="129" t="s">
        <v>408</v>
      </c>
      <c r="C44" s="130" t="s">
        <v>469</v>
      </c>
      <c r="D44" s="131"/>
      <c r="E44" s="183">
        <v>2640</v>
      </c>
      <c r="F44" s="184"/>
      <c r="G44" s="184"/>
      <c r="H44" s="185"/>
      <c r="I44" s="185"/>
      <c r="J44" s="185"/>
      <c r="K44" s="185"/>
      <c r="L44" s="186"/>
    </row>
    <row r="45" spans="1:12" s="35" customFormat="1" ht="18">
      <c r="A45" s="201" t="s">
        <v>225</v>
      </c>
      <c r="B45" s="132" t="s">
        <v>122</v>
      </c>
      <c r="C45" s="42" t="s">
        <v>17</v>
      </c>
      <c r="D45" s="133">
        <f>0.0375+0.00007*4</f>
        <v>0.03778</v>
      </c>
      <c r="E45" s="187">
        <f>D45*E44</f>
        <v>99.7392</v>
      </c>
      <c r="F45" s="180"/>
      <c r="G45" s="180"/>
      <c r="H45" s="181"/>
      <c r="I45" s="181"/>
      <c r="J45" s="181"/>
      <c r="K45" s="181"/>
      <c r="L45" s="182"/>
    </row>
    <row r="46" spans="1:12" s="35" customFormat="1" ht="18">
      <c r="A46" s="202" t="s">
        <v>227</v>
      </c>
      <c r="B46" s="132" t="s">
        <v>395</v>
      </c>
      <c r="C46" s="140" t="s">
        <v>124</v>
      </c>
      <c r="D46" s="133">
        <v>0.00302</v>
      </c>
      <c r="E46" s="187">
        <f>E44*D46</f>
        <v>7.9728</v>
      </c>
      <c r="F46" s="180"/>
      <c r="G46" s="180"/>
      <c r="H46" s="181"/>
      <c r="I46" s="181"/>
      <c r="J46" s="181"/>
      <c r="K46" s="181"/>
      <c r="L46" s="182"/>
    </row>
    <row r="47" spans="1:12" s="35" customFormat="1" ht="18">
      <c r="A47" s="199" t="s">
        <v>231</v>
      </c>
      <c r="B47" s="132" t="s">
        <v>394</v>
      </c>
      <c r="C47" s="42" t="s">
        <v>124</v>
      </c>
      <c r="D47" s="133">
        <v>0.0037</v>
      </c>
      <c r="E47" s="187">
        <f>E44*D47</f>
        <v>9.768</v>
      </c>
      <c r="F47" s="180"/>
      <c r="G47" s="180"/>
      <c r="H47" s="181"/>
      <c r="I47" s="181"/>
      <c r="J47" s="181"/>
      <c r="K47" s="181"/>
      <c r="L47" s="182"/>
    </row>
    <row r="48" spans="1:12" s="35" customFormat="1" ht="18">
      <c r="A48" s="201" t="s">
        <v>232</v>
      </c>
      <c r="B48" s="132" t="s">
        <v>393</v>
      </c>
      <c r="C48" s="42" t="s">
        <v>124</v>
      </c>
      <c r="D48" s="133">
        <v>0.0111</v>
      </c>
      <c r="E48" s="187">
        <f>E44*D48</f>
        <v>29.304000000000002</v>
      </c>
      <c r="F48" s="180"/>
      <c r="G48" s="180"/>
      <c r="H48" s="181"/>
      <c r="I48" s="181"/>
      <c r="J48" s="181"/>
      <c r="K48" s="181"/>
      <c r="L48" s="182"/>
    </row>
    <row r="49" spans="1:12" s="35" customFormat="1" ht="18">
      <c r="A49" s="202" t="s">
        <v>238</v>
      </c>
      <c r="B49" s="132" t="s">
        <v>125</v>
      </c>
      <c r="C49" s="42" t="s">
        <v>126</v>
      </c>
      <c r="D49" s="128">
        <v>0.0023</v>
      </c>
      <c r="E49" s="187">
        <f>E44*D49</f>
        <v>6.072</v>
      </c>
      <c r="F49" s="180"/>
      <c r="G49" s="180"/>
      <c r="H49" s="181"/>
      <c r="I49" s="181"/>
      <c r="J49" s="181"/>
      <c r="K49" s="181"/>
      <c r="L49" s="182"/>
    </row>
    <row r="50" spans="1:12" s="35" customFormat="1" ht="18">
      <c r="A50" s="199" t="s">
        <v>244</v>
      </c>
      <c r="B50" s="132" t="s">
        <v>407</v>
      </c>
      <c r="C50" s="42" t="s">
        <v>391</v>
      </c>
      <c r="D50" s="133">
        <f>0.0931+0.0116*4</f>
        <v>0.1395</v>
      </c>
      <c r="E50" s="187">
        <f>E44*D50</f>
        <v>368.28000000000003</v>
      </c>
      <c r="F50" s="180"/>
      <c r="G50" s="180"/>
      <c r="H50" s="181"/>
      <c r="I50" s="181"/>
      <c r="J50" s="181"/>
      <c r="K50" s="181"/>
      <c r="L50" s="182"/>
    </row>
    <row r="51" spans="1:12" s="35" customFormat="1" ht="18">
      <c r="A51" s="201" t="s">
        <v>245</v>
      </c>
      <c r="B51" s="132" t="s">
        <v>132</v>
      </c>
      <c r="C51" s="42" t="s">
        <v>126</v>
      </c>
      <c r="D51" s="128">
        <f>0.0145+0.0002*4</f>
        <v>0.015300000000000001</v>
      </c>
      <c r="E51" s="187">
        <f>E44*D51</f>
        <v>40.392</v>
      </c>
      <c r="F51" s="180"/>
      <c r="G51" s="180"/>
      <c r="H51" s="181"/>
      <c r="I51" s="181"/>
      <c r="J51" s="181"/>
      <c r="K51" s="181"/>
      <c r="L51" s="182"/>
    </row>
    <row r="52" spans="1:12" s="35" customFormat="1" ht="37.5">
      <c r="A52" s="202" t="s">
        <v>248</v>
      </c>
      <c r="B52" s="129" t="s">
        <v>406</v>
      </c>
      <c r="C52" s="130" t="s">
        <v>116</v>
      </c>
      <c r="D52" s="131"/>
      <c r="E52" s="183">
        <f>E44*0.0003</f>
        <v>0.7919999999999999</v>
      </c>
      <c r="F52" s="184"/>
      <c r="G52" s="184"/>
      <c r="H52" s="185"/>
      <c r="I52" s="185"/>
      <c r="J52" s="185"/>
      <c r="K52" s="185"/>
      <c r="L52" s="186"/>
    </row>
    <row r="53" spans="1:12" s="35" customFormat="1" ht="18" customHeight="1">
      <c r="A53" s="199" t="s">
        <v>250</v>
      </c>
      <c r="B53" s="139" t="s">
        <v>398</v>
      </c>
      <c r="C53" s="140" t="s">
        <v>124</v>
      </c>
      <c r="D53" s="64">
        <v>0.3</v>
      </c>
      <c r="E53" s="187">
        <f>E52*D53</f>
        <v>0.23759999999999998</v>
      </c>
      <c r="F53" s="180"/>
      <c r="G53" s="180"/>
      <c r="H53" s="181"/>
      <c r="I53" s="181"/>
      <c r="J53" s="181"/>
      <c r="K53" s="181"/>
      <c r="L53" s="182"/>
    </row>
    <row r="54" spans="1:12" ht="18" customHeight="1">
      <c r="A54" s="201" t="s">
        <v>253</v>
      </c>
      <c r="B54" s="139" t="s">
        <v>397</v>
      </c>
      <c r="C54" s="140" t="s">
        <v>116</v>
      </c>
      <c r="D54" s="64">
        <v>1.03</v>
      </c>
      <c r="E54" s="187">
        <f>E52*D54</f>
        <v>0.8157599999999999</v>
      </c>
      <c r="F54" s="180"/>
      <c r="G54" s="180"/>
      <c r="H54" s="181"/>
      <c r="I54" s="181"/>
      <c r="J54" s="181"/>
      <c r="K54" s="181"/>
      <c r="L54" s="182"/>
    </row>
    <row r="55" spans="1:12" ht="54">
      <c r="A55" s="202" t="s">
        <v>254</v>
      </c>
      <c r="B55" s="129" t="s">
        <v>405</v>
      </c>
      <c r="C55" s="130" t="s">
        <v>470</v>
      </c>
      <c r="D55" s="144"/>
      <c r="E55" s="183">
        <v>2640</v>
      </c>
      <c r="F55" s="184"/>
      <c r="G55" s="184"/>
      <c r="H55" s="185"/>
      <c r="I55" s="185"/>
      <c r="J55" s="185"/>
      <c r="K55" s="185"/>
      <c r="L55" s="186"/>
    </row>
    <row r="56" spans="1:12" ht="18" customHeight="1">
      <c r="A56" s="199" t="s">
        <v>256</v>
      </c>
      <c r="B56" s="132" t="s">
        <v>122</v>
      </c>
      <c r="C56" s="42" t="s">
        <v>17</v>
      </c>
      <c r="D56" s="133">
        <f>0.0375</f>
        <v>0.0375</v>
      </c>
      <c r="E56" s="187">
        <f>D56*E55</f>
        <v>99</v>
      </c>
      <c r="F56" s="180"/>
      <c r="G56" s="180"/>
      <c r="H56" s="181"/>
      <c r="I56" s="181"/>
      <c r="J56" s="181"/>
      <c r="K56" s="181"/>
      <c r="L56" s="182"/>
    </row>
    <row r="57" spans="1:12" ht="18" customHeight="1">
      <c r="A57" s="201" t="s">
        <v>261</v>
      </c>
      <c r="B57" s="132" t="s">
        <v>395</v>
      </c>
      <c r="C57" s="140" t="s">
        <v>124</v>
      </c>
      <c r="D57" s="133">
        <v>0.00302</v>
      </c>
      <c r="E57" s="187">
        <f>E55*D57</f>
        <v>7.9728</v>
      </c>
      <c r="F57" s="180"/>
      <c r="G57" s="180"/>
      <c r="H57" s="181"/>
      <c r="I57" s="181"/>
      <c r="J57" s="181"/>
      <c r="K57" s="181"/>
      <c r="L57" s="182"/>
    </row>
    <row r="58" spans="1:12" ht="20.25" customHeight="1">
      <c r="A58" s="202" t="s">
        <v>262</v>
      </c>
      <c r="B58" s="132" t="s">
        <v>394</v>
      </c>
      <c r="C58" s="42" t="s">
        <v>124</v>
      </c>
      <c r="D58" s="133">
        <v>0.0037</v>
      </c>
      <c r="E58" s="187">
        <f>E55*D58</f>
        <v>9.768</v>
      </c>
      <c r="F58" s="180"/>
      <c r="G58" s="180"/>
      <c r="H58" s="181"/>
      <c r="I58" s="181"/>
      <c r="J58" s="181"/>
      <c r="K58" s="181"/>
      <c r="L58" s="182"/>
    </row>
    <row r="59" spans="1:12" ht="20.25" customHeight="1">
      <c r="A59" s="199" t="s">
        <v>270</v>
      </c>
      <c r="B59" s="132" t="s">
        <v>393</v>
      </c>
      <c r="C59" s="42" t="s">
        <v>124</v>
      </c>
      <c r="D59" s="133">
        <v>0.0111</v>
      </c>
      <c r="E59" s="187">
        <f>E55*D59</f>
        <v>29.304000000000002</v>
      </c>
      <c r="F59" s="180"/>
      <c r="G59" s="180"/>
      <c r="H59" s="181"/>
      <c r="I59" s="181"/>
      <c r="J59" s="181"/>
      <c r="K59" s="181"/>
      <c r="L59" s="182"/>
    </row>
    <row r="60" spans="1:12" ht="20.25" customHeight="1">
      <c r="A60" s="201" t="s">
        <v>271</v>
      </c>
      <c r="B60" s="132" t="s">
        <v>125</v>
      </c>
      <c r="C60" s="42" t="s">
        <v>126</v>
      </c>
      <c r="D60" s="128">
        <v>0.0023</v>
      </c>
      <c r="E60" s="187">
        <f>E55*D60</f>
        <v>6.072</v>
      </c>
      <c r="F60" s="180"/>
      <c r="G60" s="180"/>
      <c r="H60" s="181"/>
      <c r="I60" s="181"/>
      <c r="J60" s="181"/>
      <c r="K60" s="181"/>
      <c r="L60" s="182"/>
    </row>
    <row r="61" spans="1:12" ht="20.25" customHeight="1">
      <c r="A61" s="202" t="s">
        <v>281</v>
      </c>
      <c r="B61" s="132" t="s">
        <v>392</v>
      </c>
      <c r="C61" s="42" t="s">
        <v>391</v>
      </c>
      <c r="D61" s="136">
        <f>0.099</f>
        <v>0.099</v>
      </c>
      <c r="E61" s="187">
        <f>E55*D61</f>
        <v>261.36</v>
      </c>
      <c r="F61" s="180"/>
      <c r="G61" s="180"/>
      <c r="H61" s="181"/>
      <c r="I61" s="181"/>
      <c r="J61" s="181"/>
      <c r="K61" s="181"/>
      <c r="L61" s="182"/>
    </row>
    <row r="62" spans="1:12" ht="18">
      <c r="A62" s="199" t="s">
        <v>282</v>
      </c>
      <c r="B62" s="132" t="s">
        <v>132</v>
      </c>
      <c r="C62" s="42" t="s">
        <v>126</v>
      </c>
      <c r="D62" s="128">
        <f>0.0145</f>
        <v>0.0145</v>
      </c>
      <c r="E62" s="187">
        <f>E55*D62</f>
        <v>38.28</v>
      </c>
      <c r="F62" s="180"/>
      <c r="G62" s="180"/>
      <c r="H62" s="181"/>
      <c r="I62" s="181"/>
      <c r="J62" s="181"/>
      <c r="K62" s="181"/>
      <c r="L62" s="182"/>
    </row>
    <row r="63" spans="1:12" ht="18">
      <c r="A63" s="201" t="s">
        <v>286</v>
      </c>
      <c r="B63" s="129" t="s">
        <v>404</v>
      </c>
      <c r="C63" s="130" t="s">
        <v>456</v>
      </c>
      <c r="D63" s="144"/>
      <c r="E63" s="183">
        <v>163.48000000000002</v>
      </c>
      <c r="F63" s="184"/>
      <c r="G63" s="184"/>
      <c r="H63" s="185"/>
      <c r="I63" s="185"/>
      <c r="J63" s="185"/>
      <c r="K63" s="185"/>
      <c r="L63" s="186"/>
    </row>
    <row r="64" spans="1:12" ht="18" customHeight="1">
      <c r="A64" s="202" t="s">
        <v>287</v>
      </c>
      <c r="B64" s="132" t="s">
        <v>122</v>
      </c>
      <c r="C64" s="42" t="s">
        <v>17</v>
      </c>
      <c r="D64" s="128">
        <v>0.15</v>
      </c>
      <c r="E64" s="187">
        <f>E63*D64</f>
        <v>24.522000000000002</v>
      </c>
      <c r="F64" s="180"/>
      <c r="G64" s="180"/>
      <c r="H64" s="181"/>
      <c r="I64" s="181"/>
      <c r="J64" s="181"/>
      <c r="K64" s="181"/>
      <c r="L64" s="182"/>
    </row>
    <row r="65" spans="1:12" ht="18" customHeight="1">
      <c r="A65" s="199" t="s">
        <v>296</v>
      </c>
      <c r="B65" s="132" t="s">
        <v>389</v>
      </c>
      <c r="C65" s="42" t="s">
        <v>124</v>
      </c>
      <c r="D65" s="128">
        <v>0.0216</v>
      </c>
      <c r="E65" s="187">
        <f>E63*D65</f>
        <v>3.5311680000000005</v>
      </c>
      <c r="F65" s="180"/>
      <c r="G65" s="180"/>
      <c r="H65" s="181"/>
      <c r="I65" s="181"/>
      <c r="J65" s="181"/>
      <c r="K65" s="181"/>
      <c r="L65" s="182"/>
    </row>
    <row r="66" spans="1:12" ht="18" customHeight="1">
      <c r="A66" s="201" t="s">
        <v>297</v>
      </c>
      <c r="B66" s="132" t="s">
        <v>388</v>
      </c>
      <c r="C66" s="42" t="s">
        <v>124</v>
      </c>
      <c r="D66" s="128">
        <v>0.0273</v>
      </c>
      <c r="E66" s="187">
        <f>E63*D66</f>
        <v>4.463004000000001</v>
      </c>
      <c r="F66" s="180"/>
      <c r="G66" s="180"/>
      <c r="H66" s="181"/>
      <c r="I66" s="181"/>
      <c r="J66" s="181"/>
      <c r="K66" s="181"/>
      <c r="L66" s="182"/>
    </row>
    <row r="67" spans="1:12" ht="18" customHeight="1">
      <c r="A67" s="202" t="s">
        <v>301</v>
      </c>
      <c r="B67" s="139" t="s">
        <v>387</v>
      </c>
      <c r="C67" s="140" t="s">
        <v>124</v>
      </c>
      <c r="D67" s="128">
        <v>0.0097</v>
      </c>
      <c r="E67" s="187">
        <f>E63*D67</f>
        <v>1.5857560000000002</v>
      </c>
      <c r="F67" s="180"/>
      <c r="G67" s="180"/>
      <c r="H67" s="181"/>
      <c r="I67" s="181"/>
      <c r="J67" s="181"/>
      <c r="K67" s="181"/>
      <c r="L67" s="182"/>
    </row>
    <row r="68" spans="1:12" ht="19.5" customHeight="1">
      <c r="A68" s="199" t="s">
        <v>302</v>
      </c>
      <c r="B68" s="141" t="s">
        <v>403</v>
      </c>
      <c r="C68" s="140" t="s">
        <v>467</v>
      </c>
      <c r="D68" s="128">
        <v>1.22</v>
      </c>
      <c r="E68" s="187">
        <f>E63*D68</f>
        <v>199.4456</v>
      </c>
      <c r="F68" s="180"/>
      <c r="G68" s="180"/>
      <c r="H68" s="181"/>
      <c r="I68" s="181"/>
      <c r="J68" s="181"/>
      <c r="K68" s="181"/>
      <c r="L68" s="182"/>
    </row>
    <row r="69" spans="1:12" ht="19.5" customHeight="1">
      <c r="A69" s="201" t="s">
        <v>311</v>
      </c>
      <c r="B69" s="132" t="s">
        <v>385</v>
      </c>
      <c r="C69" s="140" t="s">
        <v>467</v>
      </c>
      <c r="D69" s="128">
        <v>0.07</v>
      </c>
      <c r="E69" s="187">
        <f>E63*D69</f>
        <v>11.443600000000002</v>
      </c>
      <c r="F69" s="180"/>
      <c r="G69" s="180"/>
      <c r="H69" s="181"/>
      <c r="I69" s="181"/>
      <c r="J69" s="181"/>
      <c r="K69" s="181"/>
      <c r="L69" s="182"/>
    </row>
    <row r="70" spans="1:12" ht="18">
      <c r="A70" s="202" t="s">
        <v>312</v>
      </c>
      <c r="B70" s="113" t="s">
        <v>402</v>
      </c>
      <c r="C70" s="140"/>
      <c r="D70" s="128"/>
      <c r="E70" s="187"/>
      <c r="F70" s="180"/>
      <c r="G70" s="180"/>
      <c r="H70" s="181"/>
      <c r="I70" s="181"/>
      <c r="J70" s="181"/>
      <c r="K70" s="181"/>
      <c r="L70" s="182"/>
    </row>
    <row r="71" spans="1:12" ht="45">
      <c r="A71" s="199" t="s">
        <v>318</v>
      </c>
      <c r="B71" s="142" t="s">
        <v>401</v>
      </c>
      <c r="C71" s="130" t="s">
        <v>469</v>
      </c>
      <c r="D71" s="144"/>
      <c r="E71" s="183">
        <v>456</v>
      </c>
      <c r="F71" s="184"/>
      <c r="G71" s="184"/>
      <c r="H71" s="185"/>
      <c r="I71" s="185"/>
      <c r="J71" s="185"/>
      <c r="K71" s="185"/>
      <c r="L71" s="186"/>
    </row>
    <row r="72" spans="1:12" ht="18">
      <c r="A72" s="201" t="s">
        <v>319</v>
      </c>
      <c r="B72" s="132" t="s">
        <v>122</v>
      </c>
      <c r="C72" s="42" t="s">
        <v>17</v>
      </c>
      <c r="D72" s="128">
        <f>42.9*0.001</f>
        <v>0.0429</v>
      </c>
      <c r="E72" s="187">
        <f>D72*E71</f>
        <v>19.5624</v>
      </c>
      <c r="F72" s="180"/>
      <c r="G72" s="180"/>
      <c r="H72" s="181"/>
      <c r="I72" s="181"/>
      <c r="J72" s="181"/>
      <c r="K72" s="181"/>
      <c r="L72" s="182"/>
    </row>
    <row r="73" spans="1:12" ht="18">
      <c r="A73" s="202" t="s">
        <v>332</v>
      </c>
      <c r="B73" s="132" t="s">
        <v>389</v>
      </c>
      <c r="C73" s="42" t="s">
        <v>124</v>
      </c>
      <c r="D73" s="133">
        <f>2.69*0.001</f>
        <v>0.00269</v>
      </c>
      <c r="E73" s="187">
        <f>E71*D73</f>
        <v>1.22664</v>
      </c>
      <c r="F73" s="180"/>
      <c r="G73" s="180"/>
      <c r="H73" s="181"/>
      <c r="I73" s="181"/>
      <c r="J73" s="181"/>
      <c r="K73" s="181"/>
      <c r="L73" s="182"/>
    </row>
    <row r="74" spans="1:12" ht="18">
      <c r="A74" s="199" t="s">
        <v>333</v>
      </c>
      <c r="B74" s="132" t="s">
        <v>388</v>
      </c>
      <c r="C74" s="42" t="s">
        <v>124</v>
      </c>
      <c r="D74" s="133">
        <f>0.41*0.001</f>
        <v>0.00041</v>
      </c>
      <c r="E74" s="187">
        <f>E71*D74</f>
        <v>0.18696</v>
      </c>
      <c r="F74" s="180"/>
      <c r="G74" s="180"/>
      <c r="H74" s="181"/>
      <c r="I74" s="181"/>
      <c r="J74" s="181"/>
      <c r="K74" s="181"/>
      <c r="L74" s="182"/>
    </row>
    <row r="75" spans="1:12" ht="18">
      <c r="A75" s="201" t="s">
        <v>343</v>
      </c>
      <c r="B75" s="132" t="s">
        <v>394</v>
      </c>
      <c r="C75" s="42" t="s">
        <v>124</v>
      </c>
      <c r="D75" s="128">
        <f>7.6*0.001</f>
        <v>0.0076</v>
      </c>
      <c r="E75" s="187">
        <f>E71*D75</f>
        <v>3.4656</v>
      </c>
      <c r="F75" s="180"/>
      <c r="G75" s="180"/>
      <c r="H75" s="181"/>
      <c r="I75" s="181"/>
      <c r="J75" s="181"/>
      <c r="K75" s="181"/>
      <c r="L75" s="182"/>
    </row>
    <row r="76" spans="1:12" ht="18">
      <c r="A76" s="202" t="s">
        <v>344</v>
      </c>
      <c r="B76" s="132" t="s">
        <v>393</v>
      </c>
      <c r="C76" s="42" t="s">
        <v>124</v>
      </c>
      <c r="D76" s="128">
        <f>7.4*0.001</f>
        <v>0.0074</v>
      </c>
      <c r="E76" s="187">
        <f>E71*D76</f>
        <v>3.3744</v>
      </c>
      <c r="F76" s="180"/>
      <c r="G76" s="180"/>
      <c r="H76" s="181"/>
      <c r="I76" s="181"/>
      <c r="J76" s="181"/>
      <c r="K76" s="181"/>
      <c r="L76" s="182"/>
    </row>
    <row r="77" spans="1:12" ht="18">
      <c r="A77" s="199" t="s">
        <v>348</v>
      </c>
      <c r="B77" s="139" t="s">
        <v>387</v>
      </c>
      <c r="C77" s="140" t="s">
        <v>124</v>
      </c>
      <c r="D77" s="133">
        <f>1.48*0.001</f>
        <v>0.00148</v>
      </c>
      <c r="E77" s="187">
        <f>E71*D77</f>
        <v>0.67488</v>
      </c>
      <c r="F77" s="180"/>
      <c r="G77" s="180"/>
      <c r="H77" s="181"/>
      <c r="I77" s="181"/>
      <c r="J77" s="181"/>
      <c r="K77" s="181"/>
      <c r="L77" s="182"/>
    </row>
    <row r="78" spans="1:12" ht="19.5">
      <c r="A78" s="201" t="s">
        <v>514</v>
      </c>
      <c r="B78" s="143" t="s">
        <v>400</v>
      </c>
      <c r="C78" s="140" t="s">
        <v>467</v>
      </c>
      <c r="D78" s="128">
        <f>(149+12.4*3)*0.001</f>
        <v>0.1862</v>
      </c>
      <c r="E78" s="187">
        <f>E71*D78</f>
        <v>84.9072</v>
      </c>
      <c r="F78" s="180"/>
      <c r="G78" s="180"/>
      <c r="H78" s="181"/>
      <c r="I78" s="181"/>
      <c r="J78" s="181"/>
      <c r="K78" s="181"/>
      <c r="L78" s="182"/>
    </row>
    <row r="79" spans="1:12" ht="19.5">
      <c r="A79" s="202" t="s">
        <v>358</v>
      </c>
      <c r="B79" s="132" t="s">
        <v>385</v>
      </c>
      <c r="C79" s="140" t="s">
        <v>467</v>
      </c>
      <c r="D79" s="128">
        <v>0.011</v>
      </c>
      <c r="E79" s="187">
        <f>E71*D79</f>
        <v>5.016</v>
      </c>
      <c r="F79" s="180"/>
      <c r="G79" s="180"/>
      <c r="H79" s="181"/>
      <c r="I79" s="181"/>
      <c r="J79" s="181"/>
      <c r="K79" s="181"/>
      <c r="L79" s="182"/>
    </row>
    <row r="80" spans="1:12" ht="37.5">
      <c r="A80" s="199" t="s">
        <v>359</v>
      </c>
      <c r="B80" s="129" t="s">
        <v>399</v>
      </c>
      <c r="C80" s="130" t="s">
        <v>116</v>
      </c>
      <c r="D80" s="144"/>
      <c r="E80" s="183">
        <v>0.31920000000000004</v>
      </c>
      <c r="F80" s="184"/>
      <c r="G80" s="184"/>
      <c r="H80" s="185"/>
      <c r="I80" s="185"/>
      <c r="J80" s="185"/>
      <c r="K80" s="185"/>
      <c r="L80" s="186"/>
    </row>
    <row r="81" spans="1:12" ht="18">
      <c r="A81" s="201" t="s">
        <v>360</v>
      </c>
      <c r="B81" s="139" t="s">
        <v>398</v>
      </c>
      <c r="C81" s="140" t="s">
        <v>124</v>
      </c>
      <c r="D81" s="64">
        <v>0.3</v>
      </c>
      <c r="E81" s="187">
        <f>E80*D81</f>
        <v>0.09576000000000001</v>
      </c>
      <c r="F81" s="180"/>
      <c r="G81" s="180"/>
      <c r="H81" s="181"/>
      <c r="I81" s="181"/>
      <c r="J81" s="181"/>
      <c r="K81" s="181"/>
      <c r="L81" s="182"/>
    </row>
    <row r="82" spans="1:12" ht="18">
      <c r="A82" s="202" t="s">
        <v>515</v>
      </c>
      <c r="B82" s="139" t="s">
        <v>397</v>
      </c>
      <c r="C82" s="140" t="s">
        <v>116</v>
      </c>
      <c r="D82" s="64">
        <v>1.03</v>
      </c>
      <c r="E82" s="187">
        <f>E80*D82</f>
        <v>0.32877600000000007</v>
      </c>
      <c r="F82" s="180"/>
      <c r="G82" s="180"/>
      <c r="H82" s="181"/>
      <c r="I82" s="181"/>
      <c r="J82" s="181"/>
      <c r="K82" s="181"/>
      <c r="L82" s="182"/>
    </row>
    <row r="83" spans="1:12" ht="30">
      <c r="A83" s="199" t="s">
        <v>516</v>
      </c>
      <c r="B83" s="142" t="s">
        <v>396</v>
      </c>
      <c r="C83" s="130" t="s">
        <v>469</v>
      </c>
      <c r="D83" s="144"/>
      <c r="E83" s="183">
        <v>456</v>
      </c>
      <c r="F83" s="184"/>
      <c r="G83" s="184"/>
      <c r="H83" s="185"/>
      <c r="I83" s="185"/>
      <c r="J83" s="185"/>
      <c r="K83" s="185"/>
      <c r="L83" s="186"/>
    </row>
    <row r="84" spans="1:12" ht="18">
      <c r="A84" s="201" t="s">
        <v>517</v>
      </c>
      <c r="B84" s="132" t="s">
        <v>122</v>
      </c>
      <c r="C84" s="42" t="s">
        <v>17</v>
      </c>
      <c r="D84" s="133">
        <f>0.0375+0.00007*2</f>
        <v>0.03764</v>
      </c>
      <c r="E84" s="187">
        <f>D84*E83</f>
        <v>17.16384</v>
      </c>
      <c r="F84" s="180"/>
      <c r="G84" s="180"/>
      <c r="H84" s="181"/>
      <c r="I84" s="181"/>
      <c r="J84" s="181"/>
      <c r="K84" s="181"/>
      <c r="L84" s="182"/>
    </row>
    <row r="85" spans="1:12" ht="18">
      <c r="A85" s="202" t="s">
        <v>518</v>
      </c>
      <c r="B85" s="132" t="s">
        <v>395</v>
      </c>
      <c r="C85" s="140" t="s">
        <v>124</v>
      </c>
      <c r="D85" s="133">
        <v>0.00302</v>
      </c>
      <c r="E85" s="187">
        <f>E83*D85</f>
        <v>1.3771200000000001</v>
      </c>
      <c r="F85" s="180"/>
      <c r="G85" s="180"/>
      <c r="H85" s="181"/>
      <c r="I85" s="181"/>
      <c r="J85" s="181"/>
      <c r="K85" s="181"/>
      <c r="L85" s="182"/>
    </row>
    <row r="86" spans="1:12" ht="18">
      <c r="A86" s="199" t="s">
        <v>519</v>
      </c>
      <c r="B86" s="132" t="s">
        <v>394</v>
      </c>
      <c r="C86" s="42" t="s">
        <v>124</v>
      </c>
      <c r="D86" s="133">
        <v>0.0037</v>
      </c>
      <c r="E86" s="187">
        <f>E83*D86</f>
        <v>1.6872</v>
      </c>
      <c r="F86" s="180"/>
      <c r="G86" s="180"/>
      <c r="H86" s="181"/>
      <c r="I86" s="181"/>
      <c r="J86" s="181"/>
      <c r="K86" s="181"/>
      <c r="L86" s="182"/>
    </row>
    <row r="87" spans="1:12" ht="18">
      <c r="A87" s="201" t="s">
        <v>520</v>
      </c>
      <c r="B87" s="132" t="s">
        <v>393</v>
      </c>
      <c r="C87" s="42" t="s">
        <v>124</v>
      </c>
      <c r="D87" s="133">
        <v>0.0111</v>
      </c>
      <c r="E87" s="187">
        <f>E83*D87</f>
        <v>5.0616</v>
      </c>
      <c r="F87" s="180"/>
      <c r="G87" s="180"/>
      <c r="H87" s="181"/>
      <c r="I87" s="181"/>
      <c r="J87" s="181"/>
      <c r="K87" s="181"/>
      <c r="L87" s="182"/>
    </row>
    <row r="88" spans="1:12" ht="18">
      <c r="A88" s="202" t="s">
        <v>521</v>
      </c>
      <c r="B88" s="132" t="s">
        <v>125</v>
      </c>
      <c r="C88" s="42" t="s">
        <v>126</v>
      </c>
      <c r="D88" s="128">
        <v>0.0023</v>
      </c>
      <c r="E88" s="187">
        <f>E83*D88</f>
        <v>1.0488</v>
      </c>
      <c r="F88" s="180"/>
      <c r="G88" s="180"/>
      <c r="H88" s="181"/>
      <c r="I88" s="181"/>
      <c r="J88" s="181"/>
      <c r="K88" s="181"/>
      <c r="L88" s="182"/>
    </row>
    <row r="89" spans="1:12" ht="18">
      <c r="A89" s="199" t="s">
        <v>522</v>
      </c>
      <c r="B89" s="132" t="s">
        <v>392</v>
      </c>
      <c r="C89" s="42" t="s">
        <v>391</v>
      </c>
      <c r="D89" s="136">
        <f>0.0939+0.0117*2</f>
        <v>0.1173</v>
      </c>
      <c r="E89" s="187">
        <f>E83*D89</f>
        <v>53.4888</v>
      </c>
      <c r="F89" s="180"/>
      <c r="G89" s="180"/>
      <c r="H89" s="181"/>
      <c r="I89" s="181"/>
      <c r="J89" s="181"/>
      <c r="K89" s="181"/>
      <c r="L89" s="182"/>
    </row>
    <row r="90" spans="1:12" ht="18">
      <c r="A90" s="201" t="s">
        <v>523</v>
      </c>
      <c r="B90" s="132" t="s">
        <v>132</v>
      </c>
      <c r="C90" s="42" t="s">
        <v>126</v>
      </c>
      <c r="D90" s="128">
        <f>0.0145+0.0002*2</f>
        <v>0.0149</v>
      </c>
      <c r="E90" s="187">
        <f>E83*D90</f>
        <v>6.7944</v>
      </c>
      <c r="F90" s="180"/>
      <c r="G90" s="180"/>
      <c r="H90" s="181"/>
      <c r="I90" s="181"/>
      <c r="J90" s="181"/>
      <c r="K90" s="181"/>
      <c r="L90" s="182"/>
    </row>
    <row r="91" spans="1:12" ht="18">
      <c r="A91" s="202" t="s">
        <v>524</v>
      </c>
      <c r="B91" s="129" t="s">
        <v>390</v>
      </c>
      <c r="C91" s="130" t="s">
        <v>456</v>
      </c>
      <c r="D91" s="144"/>
      <c r="E91" s="183">
        <v>8.9</v>
      </c>
      <c r="F91" s="184"/>
      <c r="G91" s="184"/>
      <c r="H91" s="185"/>
      <c r="I91" s="185"/>
      <c r="J91" s="185"/>
      <c r="K91" s="185"/>
      <c r="L91" s="186"/>
    </row>
    <row r="92" spans="1:12" ht="18" customHeight="1">
      <c r="A92" s="199" t="s">
        <v>525</v>
      </c>
      <c r="B92" s="132" t="s">
        <v>122</v>
      </c>
      <c r="C92" s="42" t="s">
        <v>17</v>
      </c>
      <c r="D92" s="128">
        <v>0.15</v>
      </c>
      <c r="E92" s="187">
        <f>E91*D92</f>
        <v>1.335</v>
      </c>
      <c r="F92" s="180"/>
      <c r="G92" s="180"/>
      <c r="H92" s="181"/>
      <c r="I92" s="181"/>
      <c r="J92" s="181"/>
      <c r="K92" s="181"/>
      <c r="L92" s="182"/>
    </row>
    <row r="93" spans="1:12" ht="18" customHeight="1">
      <c r="A93" s="201" t="s">
        <v>526</v>
      </c>
      <c r="B93" s="132" t="s">
        <v>389</v>
      </c>
      <c r="C93" s="42" t="s">
        <v>124</v>
      </c>
      <c r="D93" s="128">
        <v>0.0216</v>
      </c>
      <c r="E93" s="187">
        <f>E91*D93</f>
        <v>0.19224000000000002</v>
      </c>
      <c r="F93" s="180"/>
      <c r="G93" s="180"/>
      <c r="H93" s="181"/>
      <c r="I93" s="181"/>
      <c r="J93" s="181"/>
      <c r="K93" s="181"/>
      <c r="L93" s="182"/>
    </row>
    <row r="94" spans="1:12" ht="18" customHeight="1">
      <c r="A94" s="202" t="s">
        <v>527</v>
      </c>
      <c r="B94" s="132" t="s">
        <v>388</v>
      </c>
      <c r="C94" s="42" t="s">
        <v>124</v>
      </c>
      <c r="D94" s="128">
        <v>0.0273</v>
      </c>
      <c r="E94" s="187">
        <f>E91*D94</f>
        <v>0.24297000000000002</v>
      </c>
      <c r="F94" s="180"/>
      <c r="G94" s="180"/>
      <c r="H94" s="181"/>
      <c r="I94" s="181"/>
      <c r="J94" s="181"/>
      <c r="K94" s="181"/>
      <c r="L94" s="182"/>
    </row>
    <row r="95" spans="1:12" ht="18" customHeight="1">
      <c r="A95" s="199" t="s">
        <v>528</v>
      </c>
      <c r="B95" s="139" t="s">
        <v>387</v>
      </c>
      <c r="C95" s="140" t="s">
        <v>124</v>
      </c>
      <c r="D95" s="128">
        <v>0.0097</v>
      </c>
      <c r="E95" s="187">
        <f>E91*D95</f>
        <v>0.08633</v>
      </c>
      <c r="F95" s="180"/>
      <c r="G95" s="180"/>
      <c r="H95" s="181"/>
      <c r="I95" s="181"/>
      <c r="J95" s="181"/>
      <c r="K95" s="181"/>
      <c r="L95" s="182"/>
    </row>
    <row r="96" spans="1:12" ht="19.5" customHeight="1">
      <c r="A96" s="201" t="s">
        <v>529</v>
      </c>
      <c r="B96" s="143" t="s">
        <v>386</v>
      </c>
      <c r="C96" s="140" t="s">
        <v>467</v>
      </c>
      <c r="D96" s="128">
        <v>1.22</v>
      </c>
      <c r="E96" s="187">
        <f>E91*D96</f>
        <v>10.858</v>
      </c>
      <c r="F96" s="180"/>
      <c r="G96" s="180"/>
      <c r="H96" s="181"/>
      <c r="I96" s="181"/>
      <c r="J96" s="181"/>
      <c r="K96" s="181"/>
      <c r="L96" s="182"/>
    </row>
    <row r="97" spans="1:12" ht="19.5" customHeight="1">
      <c r="A97" s="202" t="s">
        <v>530</v>
      </c>
      <c r="B97" s="132" t="s">
        <v>385</v>
      </c>
      <c r="C97" s="140" t="s">
        <v>467</v>
      </c>
      <c r="D97" s="128">
        <v>0.07</v>
      </c>
      <c r="E97" s="187">
        <f>E91*D97</f>
        <v>0.6230000000000001</v>
      </c>
      <c r="F97" s="180"/>
      <c r="G97" s="180"/>
      <c r="H97" s="181"/>
      <c r="I97" s="181"/>
      <c r="J97" s="181"/>
      <c r="K97" s="181"/>
      <c r="L97" s="182"/>
    </row>
    <row r="98" spans="1:12" ht="18">
      <c r="A98" s="199" t="s">
        <v>531</v>
      </c>
      <c r="B98" s="113" t="s">
        <v>384</v>
      </c>
      <c r="C98" s="42"/>
      <c r="D98" s="128"/>
      <c r="E98" s="187"/>
      <c r="F98" s="180"/>
      <c r="G98" s="180"/>
      <c r="H98" s="181"/>
      <c r="I98" s="181"/>
      <c r="J98" s="181"/>
      <c r="K98" s="181"/>
      <c r="L98" s="182"/>
    </row>
    <row r="99" spans="1:12" s="38" customFormat="1" ht="17.25">
      <c r="A99" s="201" t="s">
        <v>532</v>
      </c>
      <c r="B99" s="142" t="s">
        <v>383</v>
      </c>
      <c r="C99" s="145" t="s">
        <v>471</v>
      </c>
      <c r="D99" s="146"/>
      <c r="E99" s="179">
        <v>130.78</v>
      </c>
      <c r="F99" s="184"/>
      <c r="G99" s="184"/>
      <c r="H99" s="185"/>
      <c r="I99" s="185"/>
      <c r="J99" s="185"/>
      <c r="K99" s="185"/>
      <c r="L99" s="186"/>
    </row>
    <row r="100" spans="1:12" s="38" customFormat="1" ht="15.75">
      <c r="A100" s="202" t="s">
        <v>533</v>
      </c>
      <c r="B100" s="134" t="s">
        <v>122</v>
      </c>
      <c r="C100" s="135" t="s">
        <v>17</v>
      </c>
      <c r="D100" s="136">
        <f>2.06+1.21+0.00323</f>
        <v>3.27323</v>
      </c>
      <c r="E100" s="188">
        <f>D100*E99</f>
        <v>428.07301939999996</v>
      </c>
      <c r="F100" s="180"/>
      <c r="G100" s="180"/>
      <c r="H100" s="181"/>
      <c r="I100" s="181"/>
      <c r="J100" s="181"/>
      <c r="K100" s="181"/>
      <c r="L100" s="182"/>
    </row>
    <row r="101" spans="1:12" s="150" customFormat="1" ht="15.75">
      <c r="A101" s="199" t="s">
        <v>534</v>
      </c>
      <c r="B101" s="148" t="s">
        <v>382</v>
      </c>
      <c r="C101" s="149" t="s">
        <v>46</v>
      </c>
      <c r="D101" s="149"/>
      <c r="E101" s="83">
        <v>26.16</v>
      </c>
      <c r="F101" s="184"/>
      <c r="G101" s="184"/>
      <c r="H101" s="185"/>
      <c r="I101" s="185"/>
      <c r="J101" s="185"/>
      <c r="K101" s="185"/>
      <c r="L101" s="186"/>
    </row>
    <row r="102" spans="1:12" s="150" customFormat="1" ht="15.75">
      <c r="A102" s="201" t="s">
        <v>535</v>
      </c>
      <c r="B102" s="120" t="s">
        <v>31</v>
      </c>
      <c r="C102" s="121" t="s">
        <v>40</v>
      </c>
      <c r="D102" s="121">
        <v>1.21</v>
      </c>
      <c r="E102" s="94">
        <f>E101*D102</f>
        <v>31.6536</v>
      </c>
      <c r="F102" s="180"/>
      <c r="G102" s="180"/>
      <c r="H102" s="181"/>
      <c r="I102" s="181"/>
      <c r="J102" s="181"/>
      <c r="K102" s="181"/>
      <c r="L102" s="182"/>
    </row>
    <row r="103" spans="1:12" s="38" customFormat="1" ht="17.25">
      <c r="A103" s="202" t="s">
        <v>536</v>
      </c>
      <c r="B103" s="148" t="s">
        <v>381</v>
      </c>
      <c r="C103" s="145" t="s">
        <v>471</v>
      </c>
      <c r="D103" s="146"/>
      <c r="E103" s="179">
        <f>E99-E101</f>
        <v>104.62</v>
      </c>
      <c r="F103" s="184"/>
      <c r="G103" s="184"/>
      <c r="H103" s="185"/>
      <c r="I103" s="185"/>
      <c r="J103" s="185"/>
      <c r="K103" s="185"/>
      <c r="L103" s="186"/>
    </row>
    <row r="104" spans="1:12" s="38" customFormat="1" ht="15">
      <c r="A104" s="199" t="s">
        <v>537</v>
      </c>
      <c r="B104" s="134" t="s">
        <v>122</v>
      </c>
      <c r="C104" s="135" t="s">
        <v>17</v>
      </c>
      <c r="D104" s="136">
        <f>1.21+0.00323</f>
        <v>1.21323</v>
      </c>
      <c r="E104" s="188">
        <f>D104*E103</f>
        <v>126.92812260000001</v>
      </c>
      <c r="F104" s="180"/>
      <c r="G104" s="180"/>
      <c r="H104" s="181"/>
      <c r="I104" s="181"/>
      <c r="J104" s="181"/>
      <c r="K104" s="181"/>
      <c r="L104" s="182"/>
    </row>
    <row r="105" spans="1:12" s="38" customFormat="1" ht="15">
      <c r="A105" s="201" t="s">
        <v>538</v>
      </c>
      <c r="B105" s="134" t="s">
        <v>380</v>
      </c>
      <c r="C105" s="135" t="s">
        <v>124</v>
      </c>
      <c r="D105" s="136">
        <v>0.00362</v>
      </c>
      <c r="E105" s="189">
        <f>E103*D105</f>
        <v>0.3787244</v>
      </c>
      <c r="F105" s="180"/>
      <c r="G105" s="180"/>
      <c r="H105" s="181"/>
      <c r="I105" s="181"/>
      <c r="J105" s="181"/>
      <c r="K105" s="181"/>
      <c r="L105" s="182"/>
    </row>
    <row r="106" spans="1:12" s="38" customFormat="1" ht="15.75">
      <c r="A106" s="202" t="s">
        <v>539</v>
      </c>
      <c r="B106" s="134" t="s">
        <v>125</v>
      </c>
      <c r="C106" s="135" t="s">
        <v>126</v>
      </c>
      <c r="D106" s="136">
        <v>0.00018</v>
      </c>
      <c r="E106" s="188">
        <f>E103*D106</f>
        <v>0.0188316</v>
      </c>
      <c r="F106" s="180"/>
      <c r="G106" s="180"/>
      <c r="H106" s="181"/>
      <c r="I106" s="181"/>
      <c r="J106" s="181"/>
      <c r="K106" s="181"/>
      <c r="L106" s="182"/>
    </row>
    <row r="107" spans="1:12" s="38" customFormat="1" ht="17.25">
      <c r="A107" s="199" t="s">
        <v>540</v>
      </c>
      <c r="B107" s="134" t="s">
        <v>108</v>
      </c>
      <c r="C107" s="135" t="s">
        <v>468</v>
      </c>
      <c r="D107" s="136">
        <v>4E-05</v>
      </c>
      <c r="E107" s="188">
        <f>E103*D107</f>
        <v>0.004184800000000001</v>
      </c>
      <c r="F107" s="180"/>
      <c r="G107" s="180"/>
      <c r="H107" s="181"/>
      <c r="I107" s="181"/>
      <c r="J107" s="181"/>
      <c r="K107" s="181"/>
      <c r="L107" s="182"/>
    </row>
    <row r="108" spans="1:12" s="38" customFormat="1" ht="30">
      <c r="A108" s="201" t="s">
        <v>541</v>
      </c>
      <c r="B108" s="142" t="s">
        <v>379</v>
      </c>
      <c r="C108" s="145" t="s">
        <v>471</v>
      </c>
      <c r="D108" s="146"/>
      <c r="E108" s="179">
        <f>E103</f>
        <v>104.62</v>
      </c>
      <c r="F108" s="184"/>
      <c r="G108" s="184"/>
      <c r="H108" s="185"/>
      <c r="I108" s="185"/>
      <c r="J108" s="185"/>
      <c r="K108" s="185"/>
      <c r="L108" s="186"/>
    </row>
    <row r="109" spans="1:12" s="38" customFormat="1" ht="15.75">
      <c r="A109" s="202" t="s">
        <v>542</v>
      </c>
      <c r="B109" s="134" t="s">
        <v>378</v>
      </c>
      <c r="C109" s="135" t="s">
        <v>116</v>
      </c>
      <c r="D109" s="138">
        <v>1.95</v>
      </c>
      <c r="E109" s="188">
        <f>E108*D109</f>
        <v>204.00900000000001</v>
      </c>
      <c r="F109" s="180"/>
      <c r="G109" s="180"/>
      <c r="H109" s="181"/>
      <c r="I109" s="181"/>
      <c r="J109" s="181"/>
      <c r="K109" s="181"/>
      <c r="L109" s="182"/>
    </row>
    <row r="110" spans="1:12" s="154" customFormat="1" ht="20.25" customHeight="1">
      <c r="A110" s="199" t="s">
        <v>543</v>
      </c>
      <c r="B110" s="142" t="s">
        <v>481</v>
      </c>
      <c r="C110" s="152" t="s">
        <v>111</v>
      </c>
      <c r="D110" s="153"/>
      <c r="E110" s="79">
        <v>49.04</v>
      </c>
      <c r="F110" s="184"/>
      <c r="G110" s="184"/>
      <c r="H110" s="185"/>
      <c r="I110" s="185"/>
      <c r="J110" s="185"/>
      <c r="K110" s="185"/>
      <c r="L110" s="186"/>
    </row>
    <row r="111" spans="1:12" s="110" customFormat="1" ht="22.5" customHeight="1">
      <c r="A111" s="201" t="s">
        <v>544</v>
      </c>
      <c r="B111" s="120" t="s">
        <v>377</v>
      </c>
      <c r="C111" s="121" t="s">
        <v>17</v>
      </c>
      <c r="D111" s="122">
        <v>0.8</v>
      </c>
      <c r="E111" s="18">
        <f>E110*D111</f>
        <v>39.232</v>
      </c>
      <c r="F111" s="180"/>
      <c r="G111" s="180"/>
      <c r="H111" s="181"/>
      <c r="I111" s="181"/>
      <c r="J111" s="181"/>
      <c r="K111" s="181"/>
      <c r="L111" s="182"/>
    </row>
    <row r="112" spans="1:12" s="110" customFormat="1" ht="22.5" customHeight="1">
      <c r="A112" s="202" t="s">
        <v>545</v>
      </c>
      <c r="B112" s="120" t="s">
        <v>72</v>
      </c>
      <c r="C112" s="121" t="s">
        <v>19</v>
      </c>
      <c r="D112" s="122">
        <v>0.32</v>
      </c>
      <c r="E112" s="18">
        <f>E110*D112</f>
        <v>15.6928</v>
      </c>
      <c r="F112" s="180"/>
      <c r="G112" s="180"/>
      <c r="H112" s="181"/>
      <c r="I112" s="181"/>
      <c r="J112" s="181"/>
      <c r="K112" s="181"/>
      <c r="L112" s="182"/>
    </row>
    <row r="113" spans="1:12" s="110" customFormat="1" ht="22.5" customHeight="1">
      <c r="A113" s="199" t="s">
        <v>546</v>
      </c>
      <c r="B113" s="155" t="s">
        <v>44</v>
      </c>
      <c r="C113" s="121"/>
      <c r="D113" s="122"/>
      <c r="E113" s="18"/>
      <c r="F113" s="180"/>
      <c r="G113" s="180"/>
      <c r="H113" s="181"/>
      <c r="I113" s="181"/>
      <c r="J113" s="181"/>
      <c r="K113" s="181"/>
      <c r="L113" s="182"/>
    </row>
    <row r="114" spans="1:12" s="110" customFormat="1" ht="22.5" customHeight="1">
      <c r="A114" s="201" t="s">
        <v>547</v>
      </c>
      <c r="B114" s="120" t="s">
        <v>45</v>
      </c>
      <c r="C114" s="156" t="s">
        <v>376</v>
      </c>
      <c r="D114" s="122">
        <v>1.1</v>
      </c>
      <c r="E114" s="18">
        <f>E110*D114</f>
        <v>53.944</v>
      </c>
      <c r="F114" s="180"/>
      <c r="G114" s="180"/>
      <c r="H114" s="181"/>
      <c r="I114" s="181"/>
      <c r="J114" s="181"/>
      <c r="K114" s="181"/>
      <c r="L114" s="182"/>
    </row>
    <row r="115" spans="1:12" s="110" customFormat="1" ht="22.5" customHeight="1">
      <c r="A115" s="202" t="s">
        <v>548</v>
      </c>
      <c r="B115" s="120" t="s">
        <v>73</v>
      </c>
      <c r="C115" s="121" t="s">
        <v>19</v>
      </c>
      <c r="D115" s="122">
        <v>0.02</v>
      </c>
      <c r="E115" s="18">
        <f>E110*D115</f>
        <v>0.9808</v>
      </c>
      <c r="F115" s="180"/>
      <c r="G115" s="180"/>
      <c r="H115" s="181"/>
      <c r="I115" s="181"/>
      <c r="J115" s="181"/>
      <c r="K115" s="181"/>
      <c r="L115" s="182"/>
    </row>
    <row r="116" spans="1:12" s="157" customFormat="1" ht="60">
      <c r="A116" s="199" t="s">
        <v>549</v>
      </c>
      <c r="B116" s="212" t="s">
        <v>488</v>
      </c>
      <c r="C116" s="116" t="s">
        <v>375</v>
      </c>
      <c r="D116" s="116"/>
      <c r="E116" s="190">
        <v>115</v>
      </c>
      <c r="F116" s="184"/>
      <c r="G116" s="184"/>
      <c r="H116" s="185"/>
      <c r="I116" s="185"/>
      <c r="J116" s="185"/>
      <c r="K116" s="185"/>
      <c r="L116" s="186"/>
    </row>
    <row r="117" spans="1:12" s="157" customFormat="1" ht="15.75">
      <c r="A117" s="201" t="s">
        <v>550</v>
      </c>
      <c r="B117" s="88" t="s">
        <v>39</v>
      </c>
      <c r="C117" s="62" t="s">
        <v>371</v>
      </c>
      <c r="D117" s="62">
        <v>8.4</v>
      </c>
      <c r="E117" s="191">
        <f>E116*D117</f>
        <v>966</v>
      </c>
      <c r="F117" s="180"/>
      <c r="G117" s="192"/>
      <c r="H117" s="181"/>
      <c r="I117" s="181"/>
      <c r="J117" s="181"/>
      <c r="K117" s="181"/>
      <c r="L117" s="182"/>
    </row>
    <row r="118" spans="1:12" s="157" customFormat="1" ht="15.75">
      <c r="A118" s="202" t="s">
        <v>551</v>
      </c>
      <c r="B118" s="88" t="s">
        <v>72</v>
      </c>
      <c r="C118" s="62" t="s">
        <v>29</v>
      </c>
      <c r="D118" s="62">
        <v>0.68</v>
      </c>
      <c r="E118" s="191">
        <f>E116*D118</f>
        <v>78.2</v>
      </c>
      <c r="F118" s="180"/>
      <c r="G118" s="192"/>
      <c r="H118" s="181"/>
      <c r="I118" s="181"/>
      <c r="J118" s="181"/>
      <c r="K118" s="181"/>
      <c r="L118" s="182"/>
    </row>
    <row r="119" spans="1:14" s="157" customFormat="1" ht="18">
      <c r="A119" s="199" t="s">
        <v>552</v>
      </c>
      <c r="B119" s="88" t="s">
        <v>374</v>
      </c>
      <c r="C119" s="62" t="s">
        <v>373</v>
      </c>
      <c r="D119" s="63">
        <v>1.02</v>
      </c>
      <c r="E119" s="191">
        <f>188*1.02</f>
        <v>191.76</v>
      </c>
      <c r="F119" s="180"/>
      <c r="G119" s="192"/>
      <c r="H119" s="181"/>
      <c r="I119" s="181"/>
      <c r="J119" s="181"/>
      <c r="K119" s="181"/>
      <c r="L119" s="182"/>
      <c r="N119" s="158"/>
    </row>
    <row r="120" spans="1:12" s="157" customFormat="1" ht="15.75">
      <c r="A120" s="201" t="s">
        <v>553</v>
      </c>
      <c r="B120" s="88" t="s">
        <v>485</v>
      </c>
      <c r="C120" s="62" t="s">
        <v>61</v>
      </c>
      <c r="D120" s="62" t="s">
        <v>484</v>
      </c>
      <c r="E120" s="191">
        <v>16.52</v>
      </c>
      <c r="F120" s="180"/>
      <c r="G120" s="192"/>
      <c r="H120" s="181"/>
      <c r="I120" s="181"/>
      <c r="J120" s="181"/>
      <c r="K120" s="181"/>
      <c r="L120" s="182"/>
    </row>
    <row r="121" spans="1:12" s="157" customFormat="1" ht="15.75">
      <c r="A121" s="202" t="s">
        <v>554</v>
      </c>
      <c r="B121" s="88" t="s">
        <v>482</v>
      </c>
      <c r="C121" s="62" t="s">
        <v>57</v>
      </c>
      <c r="D121" s="62"/>
      <c r="E121" s="191">
        <v>180</v>
      </c>
      <c r="F121" s="180"/>
      <c r="G121" s="192"/>
      <c r="H121" s="181"/>
      <c r="I121" s="181"/>
      <c r="J121" s="181"/>
      <c r="K121" s="181"/>
      <c r="L121" s="182"/>
    </row>
    <row r="122" spans="1:12" s="157" customFormat="1" ht="15.75">
      <c r="A122" s="199" t="s">
        <v>555</v>
      </c>
      <c r="B122" s="88" t="s">
        <v>483</v>
      </c>
      <c r="C122" s="62" t="s">
        <v>417</v>
      </c>
      <c r="D122" s="62"/>
      <c r="E122" s="191">
        <v>80</v>
      </c>
      <c r="F122" s="180"/>
      <c r="G122" s="192"/>
      <c r="H122" s="181"/>
      <c r="I122" s="181"/>
      <c r="J122" s="181"/>
      <c r="K122" s="181"/>
      <c r="L122" s="182"/>
    </row>
    <row r="123" spans="1:12" s="157" customFormat="1" ht="15.75">
      <c r="A123" s="201" t="s">
        <v>556</v>
      </c>
      <c r="B123" s="88" t="s">
        <v>73</v>
      </c>
      <c r="C123" s="62" t="s">
        <v>29</v>
      </c>
      <c r="D123" s="62">
        <v>0.88</v>
      </c>
      <c r="E123" s="191">
        <f>D123*E116</f>
        <v>101.2</v>
      </c>
      <c r="F123" s="180"/>
      <c r="G123" s="192"/>
      <c r="H123" s="181"/>
      <c r="I123" s="181"/>
      <c r="J123" s="181"/>
      <c r="K123" s="181"/>
      <c r="L123" s="182"/>
    </row>
    <row r="124" spans="1:12" s="157" customFormat="1" ht="15.75">
      <c r="A124" s="202" t="s">
        <v>557</v>
      </c>
      <c r="B124" s="115" t="s">
        <v>372</v>
      </c>
      <c r="C124" s="116" t="s">
        <v>61</v>
      </c>
      <c r="D124" s="116"/>
      <c r="E124" s="190">
        <f>E127+E128+E129</f>
        <v>2.1828978</v>
      </c>
      <c r="F124" s="184"/>
      <c r="G124" s="184"/>
      <c r="H124" s="185"/>
      <c r="I124" s="185"/>
      <c r="J124" s="185"/>
      <c r="K124" s="185"/>
      <c r="L124" s="186"/>
    </row>
    <row r="125" spans="1:12" s="157" customFormat="1" ht="15.75">
      <c r="A125" s="199" t="s">
        <v>558</v>
      </c>
      <c r="B125" s="88" t="s">
        <v>39</v>
      </c>
      <c r="C125" s="62" t="s">
        <v>371</v>
      </c>
      <c r="D125" s="62">
        <f>31.2+37.4</f>
        <v>68.6</v>
      </c>
      <c r="E125" s="191">
        <f>E124*D125</f>
        <v>149.74678907999999</v>
      </c>
      <c r="F125" s="180"/>
      <c r="G125" s="180"/>
      <c r="H125" s="181"/>
      <c r="I125" s="181"/>
      <c r="J125" s="181"/>
      <c r="K125" s="181"/>
      <c r="L125" s="182"/>
    </row>
    <row r="126" spans="1:12" s="157" customFormat="1" ht="15.75">
      <c r="A126" s="201" t="s">
        <v>559</v>
      </c>
      <c r="B126" s="88" t="s">
        <v>72</v>
      </c>
      <c r="C126" s="62" t="s">
        <v>29</v>
      </c>
      <c r="D126" s="62">
        <f>2.76+6.32</f>
        <v>9.08</v>
      </c>
      <c r="E126" s="191">
        <f>D126*E124</f>
        <v>19.820712024000002</v>
      </c>
      <c r="F126" s="180"/>
      <c r="G126" s="180"/>
      <c r="H126" s="181"/>
      <c r="I126" s="181"/>
      <c r="J126" s="181"/>
      <c r="K126" s="181"/>
      <c r="L126" s="182"/>
    </row>
    <row r="127" spans="1:12" s="157" customFormat="1" ht="18">
      <c r="A127" s="202" t="s">
        <v>560</v>
      </c>
      <c r="B127" s="159" t="s">
        <v>370</v>
      </c>
      <c r="C127" s="160" t="s">
        <v>116</v>
      </c>
      <c r="D127" s="62"/>
      <c r="E127" s="193">
        <f>41.13*8.72/1000</f>
        <v>0.3586536</v>
      </c>
      <c r="F127" s="180"/>
      <c r="G127" s="180"/>
      <c r="H127" s="181"/>
      <c r="I127" s="181"/>
      <c r="J127" s="181"/>
      <c r="K127" s="181"/>
      <c r="L127" s="182"/>
    </row>
    <row r="128" spans="1:12" s="157" customFormat="1" ht="18">
      <c r="A128" s="199" t="s">
        <v>561</v>
      </c>
      <c r="B128" s="159" t="s">
        <v>369</v>
      </c>
      <c r="C128" s="160" t="s">
        <v>116</v>
      </c>
      <c r="D128" s="62"/>
      <c r="E128" s="193">
        <f>41.1*9.42/1000</f>
        <v>0.38716200000000006</v>
      </c>
      <c r="F128" s="180"/>
      <c r="G128" s="180"/>
      <c r="H128" s="181"/>
      <c r="I128" s="181"/>
      <c r="J128" s="181"/>
      <c r="K128" s="181"/>
      <c r="L128" s="182"/>
    </row>
    <row r="129" spans="1:12" s="157" customFormat="1" ht="18">
      <c r="A129" s="201" t="s">
        <v>562</v>
      </c>
      <c r="B129" s="159" t="s">
        <v>368</v>
      </c>
      <c r="C129" s="160" t="s">
        <v>116</v>
      </c>
      <c r="D129" s="62"/>
      <c r="E129" s="193">
        <f>41.13*34.94/1000</f>
        <v>1.4370822</v>
      </c>
      <c r="F129" s="180"/>
      <c r="G129" s="180"/>
      <c r="H129" s="181"/>
      <c r="I129" s="181"/>
      <c r="J129" s="181"/>
      <c r="K129" s="181"/>
      <c r="L129" s="182"/>
    </row>
    <row r="130" spans="1:12" s="157" customFormat="1" ht="15.75">
      <c r="A130" s="202" t="s">
        <v>563</v>
      </c>
      <c r="B130" s="88" t="s">
        <v>367</v>
      </c>
      <c r="C130" s="62" t="s">
        <v>46</v>
      </c>
      <c r="D130" s="62">
        <v>0.75</v>
      </c>
      <c r="E130" s="191">
        <f>D130*E124</f>
        <v>1.63717335</v>
      </c>
      <c r="F130" s="180"/>
      <c r="G130" s="180"/>
      <c r="H130" s="181"/>
      <c r="I130" s="181"/>
      <c r="J130" s="181"/>
      <c r="K130" s="181"/>
      <c r="L130" s="182"/>
    </row>
    <row r="131" spans="1:12" s="157" customFormat="1" ht="15.75">
      <c r="A131" s="199" t="s">
        <v>564</v>
      </c>
      <c r="B131" s="88" t="s">
        <v>366</v>
      </c>
      <c r="C131" s="62" t="s">
        <v>61</v>
      </c>
      <c r="D131" s="62">
        <v>0.06</v>
      </c>
      <c r="E131" s="191">
        <f>D131*E124</f>
        <v>0.130973868</v>
      </c>
      <c r="F131" s="180"/>
      <c r="G131" s="180"/>
      <c r="H131" s="181"/>
      <c r="I131" s="181"/>
      <c r="J131" s="181"/>
      <c r="K131" s="181"/>
      <c r="L131" s="182"/>
    </row>
    <row r="132" spans="1:12" s="157" customFormat="1" ht="15.75">
      <c r="A132" s="201" t="s">
        <v>565</v>
      </c>
      <c r="B132" s="88" t="s">
        <v>73</v>
      </c>
      <c r="C132" s="62" t="s">
        <v>29</v>
      </c>
      <c r="D132" s="62">
        <f>0.12+7.63</f>
        <v>7.75</v>
      </c>
      <c r="E132" s="191">
        <f>D132*E124</f>
        <v>16.91745795</v>
      </c>
      <c r="F132" s="180"/>
      <c r="G132" s="180"/>
      <c r="H132" s="181"/>
      <c r="I132" s="181"/>
      <c r="J132" s="181"/>
      <c r="K132" s="181"/>
      <c r="L132" s="182"/>
    </row>
    <row r="133" spans="1:12" ht="18">
      <c r="A133" s="202"/>
      <c r="B133" s="213" t="s">
        <v>363</v>
      </c>
      <c r="C133" s="343"/>
      <c r="D133" s="343"/>
      <c r="E133" s="194"/>
      <c r="F133" s="193"/>
      <c r="G133" s="194"/>
      <c r="H133" s="194"/>
      <c r="I133" s="194"/>
      <c r="J133" s="194"/>
      <c r="K133" s="194"/>
      <c r="L133" s="204"/>
    </row>
    <row r="134" spans="1:12" s="163" customFormat="1" ht="15">
      <c r="A134" s="203"/>
      <c r="B134" s="214" t="s">
        <v>365</v>
      </c>
      <c r="C134" s="216"/>
      <c r="D134" s="162"/>
      <c r="E134" s="179"/>
      <c r="F134" s="195"/>
      <c r="G134" s="179"/>
      <c r="H134" s="179"/>
      <c r="I134" s="179"/>
      <c r="J134" s="179"/>
      <c r="K134" s="179"/>
      <c r="L134" s="205"/>
    </row>
    <row r="135" spans="1:12" s="163" customFormat="1" ht="15">
      <c r="A135" s="203"/>
      <c r="B135" s="214" t="s">
        <v>1</v>
      </c>
      <c r="C135" s="162"/>
      <c r="D135" s="162"/>
      <c r="E135" s="179"/>
      <c r="F135" s="195"/>
      <c r="G135" s="179"/>
      <c r="H135" s="179"/>
      <c r="I135" s="179"/>
      <c r="J135" s="179"/>
      <c r="K135" s="179"/>
      <c r="L135" s="205"/>
    </row>
    <row r="136" spans="1:12" s="37" customFormat="1" ht="15">
      <c r="A136" s="206"/>
      <c r="B136" s="214" t="s">
        <v>100</v>
      </c>
      <c r="C136" s="164"/>
      <c r="D136" s="165"/>
      <c r="E136" s="196"/>
      <c r="F136" s="196"/>
      <c r="G136" s="196"/>
      <c r="H136" s="196"/>
      <c r="I136" s="196"/>
      <c r="J136" s="196"/>
      <c r="K136" s="196"/>
      <c r="L136" s="205"/>
    </row>
    <row r="137" spans="1:12" s="37" customFormat="1" ht="15">
      <c r="A137" s="206"/>
      <c r="B137" s="214" t="s">
        <v>363</v>
      </c>
      <c r="C137" s="135"/>
      <c r="D137" s="165"/>
      <c r="E137" s="196"/>
      <c r="F137" s="196"/>
      <c r="G137" s="196"/>
      <c r="H137" s="196"/>
      <c r="I137" s="196"/>
      <c r="J137" s="196"/>
      <c r="K137" s="196"/>
      <c r="L137" s="205"/>
    </row>
    <row r="138" spans="1:12" s="37" customFormat="1" ht="15">
      <c r="A138" s="206"/>
      <c r="B138" s="214" t="s">
        <v>364</v>
      </c>
      <c r="C138" s="164"/>
      <c r="D138" s="165"/>
      <c r="E138" s="196"/>
      <c r="F138" s="196"/>
      <c r="G138" s="196"/>
      <c r="H138" s="196"/>
      <c r="I138" s="196"/>
      <c r="J138" s="196"/>
      <c r="K138" s="196"/>
      <c r="L138" s="205"/>
    </row>
    <row r="139" spans="1:12" s="37" customFormat="1" ht="15">
      <c r="A139" s="206"/>
      <c r="B139" s="214" t="s">
        <v>363</v>
      </c>
      <c r="C139" s="135"/>
      <c r="D139" s="165"/>
      <c r="E139" s="196"/>
      <c r="F139" s="196"/>
      <c r="G139" s="196"/>
      <c r="H139" s="196"/>
      <c r="I139" s="196"/>
      <c r="J139" s="196"/>
      <c r="K139" s="196"/>
      <c r="L139" s="205"/>
    </row>
    <row r="140" spans="1:12" s="37" customFormat="1" ht="15">
      <c r="A140" s="206"/>
      <c r="B140" s="214" t="s">
        <v>103</v>
      </c>
      <c r="C140" s="164">
        <v>0.03</v>
      </c>
      <c r="D140" s="165"/>
      <c r="E140" s="196"/>
      <c r="F140" s="196"/>
      <c r="G140" s="196"/>
      <c r="H140" s="196"/>
      <c r="I140" s="196"/>
      <c r="J140" s="196"/>
      <c r="K140" s="196"/>
      <c r="L140" s="205"/>
    </row>
    <row r="141" spans="1:12" s="37" customFormat="1" ht="15">
      <c r="A141" s="206"/>
      <c r="B141" s="214" t="s">
        <v>363</v>
      </c>
      <c r="C141" s="135"/>
      <c r="D141" s="165"/>
      <c r="E141" s="196"/>
      <c r="F141" s="196"/>
      <c r="G141" s="196"/>
      <c r="H141" s="196"/>
      <c r="I141" s="196"/>
      <c r="J141" s="196"/>
      <c r="K141" s="196"/>
      <c r="L141" s="205"/>
    </row>
    <row r="142" spans="1:12" ht="18">
      <c r="A142" s="207"/>
      <c r="B142" s="215" t="s">
        <v>362</v>
      </c>
      <c r="C142" s="208">
        <v>0.18</v>
      </c>
      <c r="D142" s="209"/>
      <c r="E142" s="210"/>
      <c r="F142" s="210"/>
      <c r="G142" s="210"/>
      <c r="H142" s="210"/>
      <c r="I142" s="210"/>
      <c r="J142" s="210"/>
      <c r="K142" s="210"/>
      <c r="L142" s="205"/>
    </row>
    <row r="143" spans="1:12" ht="18">
      <c r="A143" s="207"/>
      <c r="B143" s="215" t="s">
        <v>361</v>
      </c>
      <c r="C143" s="208"/>
      <c r="D143" s="209"/>
      <c r="E143" s="210"/>
      <c r="F143" s="210"/>
      <c r="G143" s="210"/>
      <c r="H143" s="210"/>
      <c r="I143" s="210"/>
      <c r="J143" s="210"/>
      <c r="K143" s="210"/>
      <c r="L143" s="205"/>
    </row>
    <row r="144" spans="1:12" ht="18">
      <c r="A144" s="166"/>
      <c r="B144" s="167"/>
      <c r="C144" s="168"/>
      <c r="D144" s="169"/>
      <c r="E144" s="169"/>
      <c r="F144" s="170"/>
      <c r="G144" s="170"/>
      <c r="H144" s="170"/>
      <c r="I144" s="170"/>
      <c r="J144" s="170"/>
      <c r="K144" s="170"/>
      <c r="L144" s="171"/>
    </row>
    <row r="145" spans="1:12" ht="18">
      <c r="A145" s="166"/>
      <c r="B145" s="344"/>
      <c r="C145" s="168"/>
      <c r="D145" s="169"/>
      <c r="E145" s="169"/>
      <c r="F145" s="170"/>
      <c r="G145" s="170"/>
      <c r="H145" s="170"/>
      <c r="I145" s="170"/>
      <c r="J145" s="170"/>
      <c r="K145" s="170"/>
      <c r="L145" s="171"/>
    </row>
    <row r="146" spans="1:12" ht="78" customHeight="1">
      <c r="A146" s="172"/>
      <c r="B146" s="364" t="s">
        <v>566</v>
      </c>
      <c r="C146" s="374"/>
      <c r="D146" s="374"/>
      <c r="E146" s="374"/>
      <c r="F146" s="65"/>
      <c r="G146" s="67"/>
      <c r="H146" s="67"/>
      <c r="I146" s="67"/>
      <c r="J146" s="67"/>
      <c r="K146" s="67"/>
      <c r="L146" s="68"/>
    </row>
    <row r="147" spans="1:12" ht="16.5" customHeight="1">
      <c r="A147" s="172"/>
      <c r="B147" s="175"/>
      <c r="C147" s="173"/>
      <c r="D147" s="174"/>
      <c r="E147" s="174"/>
      <c r="F147" s="65"/>
      <c r="G147" s="373"/>
      <c r="H147" s="373"/>
      <c r="I147" s="373"/>
      <c r="J147" s="65"/>
      <c r="K147" s="65"/>
      <c r="L147" s="66"/>
    </row>
    <row r="148" spans="1:12" ht="18">
      <c r="A148" s="172"/>
      <c r="B148" s="176"/>
      <c r="C148" s="173"/>
      <c r="D148" s="174"/>
      <c r="E148" s="174"/>
      <c r="F148" s="65"/>
      <c r="G148" s="65"/>
      <c r="H148" s="65"/>
      <c r="I148" s="65"/>
      <c r="J148" s="65"/>
      <c r="K148" s="65"/>
      <c r="L148" s="66"/>
    </row>
    <row r="149" spans="1:12" ht="18">
      <c r="A149" s="172"/>
      <c r="B149" s="176"/>
      <c r="C149" s="173"/>
      <c r="D149" s="174"/>
      <c r="E149" s="174"/>
      <c r="F149" s="65"/>
      <c r="G149" s="65"/>
      <c r="H149" s="65"/>
      <c r="I149" s="65"/>
      <c r="J149" s="65"/>
      <c r="K149" s="65"/>
      <c r="L149" s="66"/>
    </row>
    <row r="150" spans="1:12" ht="26.25" customHeight="1">
      <c r="A150" s="365"/>
      <c r="B150" s="366"/>
      <c r="C150" s="366"/>
      <c r="D150" s="366"/>
      <c r="E150" s="366"/>
      <c r="F150" s="366"/>
      <c r="G150" s="366"/>
      <c r="H150" s="366"/>
      <c r="I150" s="366"/>
      <c r="J150" s="366"/>
      <c r="K150" s="366"/>
      <c r="L150" s="366"/>
    </row>
    <row r="151" spans="1:12" ht="18" hidden="1">
      <c r="A151" s="166"/>
      <c r="B151" s="167"/>
      <c r="C151" s="168"/>
      <c r="D151" s="169"/>
      <c r="E151" s="169"/>
      <c r="F151" s="170"/>
      <c r="G151" s="170"/>
      <c r="H151" s="170"/>
      <c r="I151" s="170"/>
      <c r="J151" s="170"/>
      <c r="K151" s="170"/>
      <c r="L151" s="171"/>
    </row>
    <row r="152" spans="1:12" ht="18" hidden="1">
      <c r="A152" s="166"/>
      <c r="B152" s="167"/>
      <c r="C152" s="177"/>
      <c r="D152" s="169"/>
      <c r="E152" s="169"/>
      <c r="F152" s="170"/>
      <c r="G152" s="170"/>
      <c r="H152" s="170"/>
      <c r="I152" s="170"/>
      <c r="J152" s="170"/>
      <c r="K152" s="170"/>
      <c r="L152" s="171"/>
    </row>
    <row r="153" spans="6:12" s="37" customFormat="1" ht="15" hidden="1">
      <c r="F153" s="178"/>
      <c r="G153" s="178"/>
      <c r="H153" s="178"/>
      <c r="I153" s="178"/>
      <c r="J153" s="178"/>
      <c r="K153" s="178"/>
      <c r="L153" s="178"/>
    </row>
    <row r="154" spans="6:12" s="37" customFormat="1" ht="15" hidden="1">
      <c r="F154" s="178"/>
      <c r="G154" s="178"/>
      <c r="H154" s="178"/>
      <c r="I154" s="178"/>
      <c r="J154" s="178"/>
      <c r="K154" s="178"/>
      <c r="L154" s="178"/>
    </row>
    <row r="155" spans="6:12" s="37" customFormat="1" ht="15" hidden="1">
      <c r="F155" s="178"/>
      <c r="G155" s="178"/>
      <c r="H155" s="178"/>
      <c r="I155" s="178"/>
      <c r="J155" s="178"/>
      <c r="K155" s="178"/>
      <c r="L155" s="178"/>
    </row>
    <row r="156" spans="6:12" s="37" customFormat="1" ht="15" hidden="1">
      <c r="F156" s="178"/>
      <c r="G156" s="178"/>
      <c r="H156" s="178"/>
      <c r="I156" s="178"/>
      <c r="J156" s="178"/>
      <c r="K156" s="178"/>
      <c r="L156" s="178"/>
    </row>
    <row r="157" ht="1.5" customHeight="1"/>
  </sheetData>
  <sheetProtection/>
  <mergeCells count="12">
    <mergeCell ref="A1:L1"/>
    <mergeCell ref="G147:I147"/>
    <mergeCell ref="B146:E146"/>
    <mergeCell ref="A150:L150"/>
    <mergeCell ref="A4:A5"/>
    <mergeCell ref="B4:B5"/>
    <mergeCell ref="C4:C5"/>
    <mergeCell ref="D4:E4"/>
    <mergeCell ref="F4:G4"/>
    <mergeCell ref="H4:I4"/>
    <mergeCell ref="J4:K4"/>
    <mergeCell ref="L4:L5"/>
  </mergeCells>
  <printOptions horizontalCentered="1"/>
  <pageMargins left="0.11811023622047245" right="0.11811023622047245" top="0.9055118110236221" bottom="0.9055118110236221" header="0.5118110236220472" footer="0.5118110236220472"/>
  <pageSetup horizontalDpi="600" verticalDpi="600" orientation="landscape" paperSize="9" scale="80" r:id="rId1"/>
  <headerFooter>
    <oddHeader>&amp;C ინსპექტირების ანგარიში № IR_18-10-A023/F/I&amp;Rდანართი №4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view="pageBreakPreview" zoomScale="80" zoomScaleNormal="80" zoomScaleSheetLayoutView="80" zoomScalePageLayoutView="0" workbookViewId="0" topLeftCell="A1">
      <selection activeCell="A4" sqref="A4:L4"/>
    </sheetView>
  </sheetViews>
  <sheetFormatPr defaultColWidth="9.140625" defaultRowHeight="15"/>
  <cols>
    <col min="1" max="1" width="4.28125" style="97" bestFit="1" customWidth="1"/>
    <col min="2" max="2" width="40.7109375" style="275" bestFit="1" customWidth="1"/>
    <col min="3" max="3" width="9.7109375" style="97" bestFit="1" customWidth="1"/>
    <col min="4" max="4" width="12.57421875" style="97" bestFit="1" customWidth="1"/>
    <col min="5" max="5" width="10.140625" style="97" bestFit="1" customWidth="1"/>
    <col min="6" max="6" width="11.28125" style="97" bestFit="1" customWidth="1"/>
    <col min="7" max="7" width="13.421875" style="97" bestFit="1" customWidth="1"/>
    <col min="8" max="8" width="11.28125" style="97" bestFit="1" customWidth="1"/>
    <col min="9" max="9" width="11.140625" style="97" bestFit="1" customWidth="1"/>
    <col min="10" max="10" width="11.28125" style="97" bestFit="1" customWidth="1"/>
    <col min="11" max="11" width="10.57421875" style="97" bestFit="1" customWidth="1"/>
    <col min="12" max="12" width="15.421875" style="97" customWidth="1"/>
    <col min="13" max="13" width="9.140625" style="97" customWidth="1"/>
    <col min="14" max="14" width="12.7109375" style="97" customWidth="1"/>
    <col min="15" max="16384" width="9.140625" style="97" customWidth="1"/>
  </cols>
  <sheetData>
    <row r="1" spans="1:12" ht="40.5" customHeight="1">
      <c r="A1" s="379" t="s">
        <v>495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1"/>
    </row>
    <row r="2" spans="1:12" ht="15">
      <c r="A2" s="382" t="s">
        <v>425</v>
      </c>
      <c r="B2" s="383" t="s">
        <v>2</v>
      </c>
      <c r="C2" s="384" t="s">
        <v>424</v>
      </c>
      <c r="D2" s="383" t="s">
        <v>423</v>
      </c>
      <c r="E2" s="383"/>
      <c r="F2" s="375" t="s">
        <v>6</v>
      </c>
      <c r="G2" s="375"/>
      <c r="H2" s="375" t="s">
        <v>7</v>
      </c>
      <c r="I2" s="375"/>
      <c r="J2" s="375" t="s">
        <v>422</v>
      </c>
      <c r="K2" s="375"/>
      <c r="L2" s="377" t="s">
        <v>1</v>
      </c>
    </row>
    <row r="3" spans="1:12" ht="15">
      <c r="A3" s="382"/>
      <c r="B3" s="383"/>
      <c r="C3" s="384"/>
      <c r="D3" s="268" t="s">
        <v>421</v>
      </c>
      <c r="E3" s="269" t="s">
        <v>9</v>
      </c>
      <c r="F3" s="268" t="s">
        <v>420</v>
      </c>
      <c r="G3" s="269" t="s">
        <v>9</v>
      </c>
      <c r="H3" s="268" t="s">
        <v>420</v>
      </c>
      <c r="I3" s="269" t="s">
        <v>9</v>
      </c>
      <c r="J3" s="268" t="s">
        <v>420</v>
      </c>
      <c r="K3" s="269" t="s">
        <v>9</v>
      </c>
      <c r="L3" s="378"/>
    </row>
    <row r="4" spans="1:12" ht="15">
      <c r="A4" s="270">
        <v>1</v>
      </c>
      <c r="B4" s="268">
        <v>2</v>
      </c>
      <c r="C4" s="349">
        <v>3</v>
      </c>
      <c r="D4" s="350">
        <v>4</v>
      </c>
      <c r="E4" s="349">
        <v>5</v>
      </c>
      <c r="F4" s="350">
        <v>6</v>
      </c>
      <c r="G4" s="349">
        <v>7</v>
      </c>
      <c r="H4" s="350">
        <v>8</v>
      </c>
      <c r="I4" s="349">
        <v>9</v>
      </c>
      <c r="J4" s="350">
        <v>10</v>
      </c>
      <c r="K4" s="349">
        <v>11</v>
      </c>
      <c r="L4" s="350">
        <v>12</v>
      </c>
    </row>
    <row r="5" spans="1:12" ht="15">
      <c r="A5" s="227"/>
      <c r="B5" s="273" t="s">
        <v>452</v>
      </c>
      <c r="C5" s="135"/>
      <c r="D5" s="147"/>
      <c r="E5" s="138"/>
      <c r="F5" s="279"/>
      <c r="G5" s="137"/>
      <c r="H5" s="279"/>
      <c r="I5" s="137"/>
      <c r="J5" s="279"/>
      <c r="K5" s="89"/>
      <c r="L5" s="229"/>
    </row>
    <row r="6" spans="1:12" ht="45">
      <c r="A6" s="228">
        <v>1</v>
      </c>
      <c r="B6" s="142" t="s">
        <v>451</v>
      </c>
      <c r="C6" s="228" t="s">
        <v>474</v>
      </c>
      <c r="D6" s="271"/>
      <c r="E6" s="179">
        <v>103.5</v>
      </c>
      <c r="F6" s="81"/>
      <c r="G6" s="81"/>
      <c r="H6" s="81"/>
      <c r="I6" s="81"/>
      <c r="J6" s="81"/>
      <c r="K6" s="81"/>
      <c r="L6" s="81"/>
    </row>
    <row r="7" spans="1:12" ht="30">
      <c r="A7" s="227"/>
      <c r="B7" s="134" t="s">
        <v>122</v>
      </c>
      <c r="C7" s="135" t="s">
        <v>17</v>
      </c>
      <c r="D7" s="138">
        <f>0.0132+0.00323</f>
        <v>0.01643</v>
      </c>
      <c r="E7" s="188">
        <f>D7*E6</f>
        <v>1.700505</v>
      </c>
      <c r="F7" s="18"/>
      <c r="G7" s="18"/>
      <c r="H7" s="18"/>
      <c r="I7" s="18"/>
      <c r="J7" s="18"/>
      <c r="K7" s="18"/>
      <c r="L7" s="18"/>
    </row>
    <row r="8" spans="1:12" ht="32.25">
      <c r="A8" s="227"/>
      <c r="B8" s="134" t="s">
        <v>491</v>
      </c>
      <c r="C8" s="135" t="s">
        <v>124</v>
      </c>
      <c r="D8" s="138">
        <v>0.0295</v>
      </c>
      <c r="E8" s="188">
        <f>E6*D8</f>
        <v>3.05325</v>
      </c>
      <c r="F8" s="18"/>
      <c r="G8" s="18"/>
      <c r="H8" s="18"/>
      <c r="I8" s="18"/>
      <c r="J8" s="18"/>
      <c r="K8" s="18"/>
      <c r="L8" s="18"/>
    </row>
    <row r="9" spans="1:12" ht="15">
      <c r="A9" s="227"/>
      <c r="B9" s="134" t="s">
        <v>125</v>
      </c>
      <c r="C9" s="135" t="s">
        <v>126</v>
      </c>
      <c r="D9" s="136">
        <f>0.0021+0.00018</f>
        <v>0.00228</v>
      </c>
      <c r="E9" s="188">
        <f>E6*D9</f>
        <v>0.23598</v>
      </c>
      <c r="F9" s="18"/>
      <c r="G9" s="18"/>
      <c r="H9" s="18"/>
      <c r="I9" s="18"/>
      <c r="J9" s="18"/>
      <c r="K9" s="18"/>
      <c r="L9" s="18"/>
    </row>
    <row r="10" spans="1:12" ht="15">
      <c r="A10" s="227"/>
      <c r="B10" s="134" t="s">
        <v>436</v>
      </c>
      <c r="C10" s="135" t="s">
        <v>124</v>
      </c>
      <c r="D10" s="136">
        <v>0.00263</v>
      </c>
      <c r="E10" s="188">
        <f>E6*D10</f>
        <v>0.272205</v>
      </c>
      <c r="F10" s="18"/>
      <c r="G10" s="18"/>
      <c r="H10" s="18"/>
      <c r="I10" s="18"/>
      <c r="J10" s="18"/>
      <c r="K10" s="18"/>
      <c r="L10" s="18"/>
    </row>
    <row r="11" spans="1:12" ht="17.25">
      <c r="A11" s="227"/>
      <c r="B11" s="134" t="s">
        <v>108</v>
      </c>
      <c r="C11" s="135" t="s">
        <v>468</v>
      </c>
      <c r="D11" s="136">
        <f>0.00005+0.00004</f>
        <v>9E-05</v>
      </c>
      <c r="E11" s="188">
        <f>E6*D11</f>
        <v>0.009315</v>
      </c>
      <c r="F11" s="18"/>
      <c r="G11" s="18"/>
      <c r="H11" s="18"/>
      <c r="I11" s="18"/>
      <c r="J11" s="18"/>
      <c r="K11" s="18"/>
      <c r="L11" s="18"/>
    </row>
    <row r="12" spans="1:12" ht="30">
      <c r="A12" s="228">
        <f>A6+1</f>
        <v>2</v>
      </c>
      <c r="B12" s="142" t="s">
        <v>450</v>
      </c>
      <c r="C12" s="228" t="s">
        <v>474</v>
      </c>
      <c r="D12" s="271"/>
      <c r="E12" s="179">
        <v>11.5</v>
      </c>
      <c r="F12" s="81"/>
      <c r="G12" s="81"/>
      <c r="H12" s="81"/>
      <c r="I12" s="81"/>
      <c r="J12" s="81"/>
      <c r="K12" s="81"/>
      <c r="L12" s="81"/>
    </row>
    <row r="13" spans="1:12" ht="30">
      <c r="A13" s="227"/>
      <c r="B13" s="134" t="s">
        <v>122</v>
      </c>
      <c r="C13" s="135" t="s">
        <v>17</v>
      </c>
      <c r="D13" s="136">
        <f>2.06</f>
        <v>2.06</v>
      </c>
      <c r="E13" s="188">
        <f>D13*E12</f>
        <v>23.69</v>
      </c>
      <c r="F13" s="18"/>
      <c r="G13" s="18"/>
      <c r="H13" s="18"/>
      <c r="I13" s="18"/>
      <c r="J13" s="18"/>
      <c r="K13" s="18"/>
      <c r="L13" s="18"/>
    </row>
    <row r="14" spans="1:12" ht="45">
      <c r="A14" s="228" t="s">
        <v>449</v>
      </c>
      <c r="B14" s="142" t="s">
        <v>448</v>
      </c>
      <c r="C14" s="228" t="s">
        <v>474</v>
      </c>
      <c r="D14" s="271"/>
      <c r="E14" s="179">
        <v>11.5</v>
      </c>
      <c r="F14" s="81"/>
      <c r="G14" s="81"/>
      <c r="H14" s="81"/>
      <c r="I14" s="81"/>
      <c r="J14" s="81"/>
      <c r="K14" s="81"/>
      <c r="L14" s="81"/>
    </row>
    <row r="15" spans="1:12" ht="30">
      <c r="A15" s="227"/>
      <c r="B15" s="134" t="s">
        <v>122</v>
      </c>
      <c r="C15" s="135" t="s">
        <v>17</v>
      </c>
      <c r="D15" s="136">
        <v>1.54</v>
      </c>
      <c r="E15" s="188">
        <f>D15*E14</f>
        <v>17.71</v>
      </c>
      <c r="F15" s="18"/>
      <c r="G15" s="18"/>
      <c r="H15" s="18"/>
      <c r="I15" s="18"/>
      <c r="J15" s="18"/>
      <c r="K15" s="18"/>
      <c r="L15" s="18"/>
    </row>
    <row r="16" spans="1:12" ht="17.25">
      <c r="A16" s="228" t="s">
        <v>447</v>
      </c>
      <c r="B16" s="142" t="s">
        <v>431</v>
      </c>
      <c r="C16" s="228" t="s">
        <v>474</v>
      </c>
      <c r="D16" s="271"/>
      <c r="E16" s="179">
        <v>11.5</v>
      </c>
      <c r="F16" s="81"/>
      <c r="G16" s="81"/>
      <c r="H16" s="81"/>
      <c r="I16" s="81"/>
      <c r="J16" s="81"/>
      <c r="K16" s="81"/>
      <c r="L16" s="81"/>
    </row>
    <row r="17" spans="1:12" ht="30">
      <c r="A17" s="227"/>
      <c r="B17" s="134" t="s">
        <v>122</v>
      </c>
      <c r="C17" s="135" t="s">
        <v>17</v>
      </c>
      <c r="D17" s="136">
        <f>3.23*0.001</f>
        <v>0.0032300000000000002</v>
      </c>
      <c r="E17" s="188">
        <f>D17*E16</f>
        <v>0.037145000000000004</v>
      </c>
      <c r="F17" s="18"/>
      <c r="G17" s="18"/>
      <c r="H17" s="18"/>
      <c r="I17" s="18"/>
      <c r="J17" s="18"/>
      <c r="K17" s="18"/>
      <c r="L17" s="18"/>
    </row>
    <row r="18" spans="1:12" ht="15">
      <c r="A18" s="227"/>
      <c r="B18" s="134" t="s">
        <v>430</v>
      </c>
      <c r="C18" s="135" t="s">
        <v>124</v>
      </c>
      <c r="D18" s="136">
        <f>3.62*0.001</f>
        <v>0.0036200000000000004</v>
      </c>
      <c r="E18" s="188">
        <f>D18*E16</f>
        <v>0.04163000000000001</v>
      </c>
      <c r="F18" s="18"/>
      <c r="G18" s="18"/>
      <c r="H18" s="18"/>
      <c r="I18" s="18"/>
      <c r="J18" s="18"/>
      <c r="K18" s="18"/>
      <c r="L18" s="18"/>
    </row>
    <row r="19" spans="1:12" ht="15">
      <c r="A19" s="227"/>
      <c r="B19" s="134" t="s">
        <v>125</v>
      </c>
      <c r="C19" s="135" t="s">
        <v>126</v>
      </c>
      <c r="D19" s="136">
        <f>0.18*0.001</f>
        <v>0.00017999999999999998</v>
      </c>
      <c r="E19" s="188">
        <f>D19*E16</f>
        <v>0.00207</v>
      </c>
      <c r="F19" s="18"/>
      <c r="G19" s="18"/>
      <c r="H19" s="18"/>
      <c r="I19" s="18"/>
      <c r="J19" s="18"/>
      <c r="K19" s="18"/>
      <c r="L19" s="18"/>
    </row>
    <row r="20" spans="1:12" ht="17.25">
      <c r="A20" s="227"/>
      <c r="B20" s="134" t="s">
        <v>108</v>
      </c>
      <c r="C20" s="135" t="s">
        <v>468</v>
      </c>
      <c r="D20" s="136">
        <f>0.04*0.001</f>
        <v>4E-05</v>
      </c>
      <c r="E20" s="188">
        <f>D20*E16</f>
        <v>0.00046</v>
      </c>
      <c r="F20" s="18"/>
      <c r="G20" s="18"/>
      <c r="H20" s="18"/>
      <c r="I20" s="18"/>
      <c r="J20" s="18"/>
      <c r="K20" s="18"/>
      <c r="L20" s="18"/>
    </row>
    <row r="21" spans="1:12" ht="45">
      <c r="A21" s="228">
        <f>A12+1</f>
        <v>3</v>
      </c>
      <c r="B21" s="142" t="s">
        <v>413</v>
      </c>
      <c r="C21" s="228" t="s">
        <v>474</v>
      </c>
      <c r="D21" s="271"/>
      <c r="E21" s="179">
        <f>E12+E6</f>
        <v>115</v>
      </c>
      <c r="F21" s="81"/>
      <c r="G21" s="81"/>
      <c r="H21" s="81"/>
      <c r="I21" s="81"/>
      <c r="J21" s="81"/>
      <c r="K21" s="81"/>
      <c r="L21" s="81"/>
    </row>
    <row r="22" spans="1:12" ht="30">
      <c r="A22" s="227"/>
      <c r="B22" s="134" t="s">
        <v>378</v>
      </c>
      <c r="C22" s="135" t="s">
        <v>116</v>
      </c>
      <c r="D22" s="138">
        <v>1.6</v>
      </c>
      <c r="E22" s="188">
        <f>E21*D22</f>
        <v>184</v>
      </c>
      <c r="F22" s="18"/>
      <c r="G22" s="18"/>
      <c r="H22" s="18"/>
      <c r="I22" s="18"/>
      <c r="J22" s="18"/>
      <c r="K22" s="18"/>
      <c r="L22" s="18"/>
    </row>
    <row r="23" spans="1:12" ht="30">
      <c r="A23" s="228">
        <f>A21+1</f>
        <v>4</v>
      </c>
      <c r="B23" s="142" t="s">
        <v>455</v>
      </c>
      <c r="C23" s="228" t="s">
        <v>476</v>
      </c>
      <c r="D23" s="271"/>
      <c r="E23" s="179">
        <v>764.4</v>
      </c>
      <c r="F23" s="81"/>
      <c r="G23" s="81"/>
      <c r="H23" s="81"/>
      <c r="I23" s="81"/>
      <c r="J23" s="81"/>
      <c r="K23" s="81"/>
      <c r="L23" s="81"/>
    </row>
    <row r="24" spans="1:12" ht="30">
      <c r="A24" s="227"/>
      <c r="B24" s="134" t="s">
        <v>122</v>
      </c>
      <c r="C24" s="135" t="s">
        <v>17</v>
      </c>
      <c r="D24" s="138">
        <f>13*0.001</f>
        <v>0.013000000000000001</v>
      </c>
      <c r="E24" s="188">
        <f>D24*E23</f>
        <v>9.9372</v>
      </c>
      <c r="F24" s="18"/>
      <c r="G24" s="18"/>
      <c r="H24" s="18"/>
      <c r="I24" s="18"/>
      <c r="J24" s="18"/>
      <c r="K24" s="18"/>
      <c r="L24" s="18"/>
    </row>
    <row r="25" spans="1:12" ht="30">
      <c r="A25" s="227"/>
      <c r="B25" s="134" t="s">
        <v>439</v>
      </c>
      <c r="C25" s="135" t="s">
        <v>124</v>
      </c>
      <c r="D25" s="136">
        <v>0.0318</v>
      </c>
      <c r="E25" s="188">
        <f>E23*D25</f>
        <v>24.30792</v>
      </c>
      <c r="F25" s="18"/>
      <c r="G25" s="18"/>
      <c r="H25" s="18"/>
      <c r="I25" s="18"/>
      <c r="J25" s="18"/>
      <c r="K25" s="18"/>
      <c r="L25" s="18"/>
    </row>
    <row r="26" spans="1:12" ht="30">
      <c r="A26" s="227"/>
      <c r="B26" s="134" t="s">
        <v>445</v>
      </c>
      <c r="C26" s="135" t="s">
        <v>124</v>
      </c>
      <c r="D26" s="136">
        <f>0.94*0.001</f>
        <v>0.00094</v>
      </c>
      <c r="E26" s="188">
        <f>D26*E23</f>
        <v>0.718536</v>
      </c>
      <c r="F26" s="18"/>
      <c r="G26" s="18"/>
      <c r="H26" s="18"/>
      <c r="I26" s="18"/>
      <c r="J26" s="18"/>
      <c r="K26" s="18"/>
      <c r="L26" s="18"/>
    </row>
    <row r="27" spans="1:12" ht="30">
      <c r="A27" s="227"/>
      <c r="B27" s="134" t="s">
        <v>444</v>
      </c>
      <c r="C27" s="135" t="s">
        <v>124</v>
      </c>
      <c r="D27" s="136">
        <f>2.31*0.001</f>
        <v>0.00231</v>
      </c>
      <c r="E27" s="188">
        <f>D27*E23</f>
        <v>1.765764</v>
      </c>
      <c r="F27" s="18"/>
      <c r="G27" s="18"/>
      <c r="H27" s="18"/>
      <c r="I27" s="18"/>
      <c r="J27" s="18"/>
      <c r="K27" s="18"/>
      <c r="L27" s="18"/>
    </row>
    <row r="28" spans="1:12" ht="15">
      <c r="A28" s="227"/>
      <c r="B28" s="134" t="s">
        <v>443</v>
      </c>
      <c r="C28" s="135" t="s">
        <v>124</v>
      </c>
      <c r="D28" s="136">
        <f>1.76*0.001</f>
        <v>0.00176</v>
      </c>
      <c r="E28" s="188">
        <f>D28*E23</f>
        <v>1.345344</v>
      </c>
      <c r="F28" s="18"/>
      <c r="G28" s="18"/>
      <c r="H28" s="18"/>
      <c r="I28" s="18"/>
      <c r="J28" s="18"/>
      <c r="K28" s="18"/>
      <c r="L28" s="18"/>
    </row>
    <row r="29" spans="1:12" ht="15">
      <c r="A29" s="227"/>
      <c r="B29" s="134" t="s">
        <v>125</v>
      </c>
      <c r="C29" s="135" t="s">
        <v>126</v>
      </c>
      <c r="D29" s="136">
        <f>0.53*0.001</f>
        <v>0.0005300000000000001</v>
      </c>
      <c r="E29" s="188">
        <f>E23*D29</f>
        <v>0.40513200000000005</v>
      </c>
      <c r="F29" s="18"/>
      <c r="G29" s="18"/>
      <c r="H29" s="18"/>
      <c r="I29" s="18"/>
      <c r="J29" s="18"/>
      <c r="K29" s="18"/>
      <c r="L29" s="18"/>
    </row>
    <row r="30" spans="1:12" ht="17.25">
      <c r="A30" s="227"/>
      <c r="B30" s="134" t="s">
        <v>385</v>
      </c>
      <c r="C30" s="250" t="s">
        <v>468</v>
      </c>
      <c r="D30" s="138">
        <v>0.011</v>
      </c>
      <c r="E30" s="188">
        <f>E23*D30</f>
        <v>8.408399999999999</v>
      </c>
      <c r="F30" s="18"/>
      <c r="G30" s="18"/>
      <c r="H30" s="18"/>
      <c r="I30" s="18"/>
      <c r="J30" s="18"/>
      <c r="K30" s="18"/>
      <c r="L30" s="18"/>
    </row>
    <row r="31" spans="1:12" ht="15">
      <c r="A31" s="227"/>
      <c r="B31" s="134"/>
      <c r="C31" s="135"/>
      <c r="D31" s="136"/>
      <c r="E31" s="188"/>
      <c r="F31" s="18"/>
      <c r="G31" s="18"/>
      <c r="H31" s="18"/>
      <c r="I31" s="18"/>
      <c r="J31" s="18"/>
      <c r="K31" s="18"/>
      <c r="L31" s="18"/>
    </row>
    <row r="32" spans="1:12" ht="15">
      <c r="A32" s="227"/>
      <c r="B32" s="273" t="s">
        <v>442</v>
      </c>
      <c r="C32" s="135"/>
      <c r="D32" s="138"/>
      <c r="E32" s="188"/>
      <c r="F32" s="18"/>
      <c r="G32" s="18"/>
      <c r="H32" s="18"/>
      <c r="I32" s="18"/>
      <c r="J32" s="18"/>
      <c r="K32" s="18"/>
      <c r="L32" s="18"/>
    </row>
    <row r="33" spans="1:12" ht="60">
      <c r="A33" s="228">
        <f>A23+1</f>
        <v>5</v>
      </c>
      <c r="B33" s="142" t="s">
        <v>441</v>
      </c>
      <c r="C33" s="228" t="s">
        <v>477</v>
      </c>
      <c r="D33" s="271"/>
      <c r="E33" s="179">
        <v>764.4</v>
      </c>
      <c r="F33" s="81"/>
      <c r="G33" s="81"/>
      <c r="H33" s="81"/>
      <c r="I33" s="81"/>
      <c r="J33" s="81"/>
      <c r="K33" s="81"/>
      <c r="L33" s="81"/>
    </row>
    <row r="34" spans="1:12" ht="30">
      <c r="A34" s="227"/>
      <c r="B34" s="134" t="s">
        <v>122</v>
      </c>
      <c r="C34" s="135" t="s">
        <v>17</v>
      </c>
      <c r="D34" s="138">
        <f>42.9*0.001</f>
        <v>0.0429</v>
      </c>
      <c r="E34" s="188">
        <f>D34*E33</f>
        <v>32.79276</v>
      </c>
      <c r="F34" s="18"/>
      <c r="G34" s="18"/>
      <c r="H34" s="18"/>
      <c r="I34" s="18"/>
      <c r="J34" s="18"/>
      <c r="K34" s="18"/>
      <c r="L34" s="18"/>
    </row>
    <row r="35" spans="1:12" ht="30">
      <c r="A35" s="227"/>
      <c r="B35" s="134" t="s">
        <v>439</v>
      </c>
      <c r="C35" s="135" t="s">
        <v>124</v>
      </c>
      <c r="D35" s="136">
        <f>2.69*0.001</f>
        <v>0.00269</v>
      </c>
      <c r="E35" s="188">
        <f>E33*D35</f>
        <v>2.056236</v>
      </c>
      <c r="F35" s="18"/>
      <c r="G35" s="18"/>
      <c r="H35" s="18"/>
      <c r="I35" s="18"/>
      <c r="J35" s="18"/>
      <c r="K35" s="18"/>
      <c r="L35" s="18"/>
    </row>
    <row r="36" spans="1:12" ht="30">
      <c r="A36" s="227"/>
      <c r="B36" s="134" t="s">
        <v>388</v>
      </c>
      <c r="C36" s="135" t="s">
        <v>124</v>
      </c>
      <c r="D36" s="136">
        <f>0.41*0.001</f>
        <v>0.00041</v>
      </c>
      <c r="E36" s="188">
        <f>E33*D36</f>
        <v>0.31340399999999996</v>
      </c>
      <c r="F36" s="18"/>
      <c r="G36" s="18"/>
      <c r="H36" s="18"/>
      <c r="I36" s="18"/>
      <c r="J36" s="18"/>
      <c r="K36" s="18"/>
      <c r="L36" s="18"/>
    </row>
    <row r="37" spans="1:12" ht="30">
      <c r="A37" s="227"/>
      <c r="B37" s="134" t="s">
        <v>394</v>
      </c>
      <c r="C37" s="135" t="s">
        <v>124</v>
      </c>
      <c r="D37" s="138">
        <f>7.6*0.001</f>
        <v>0.0076</v>
      </c>
      <c r="E37" s="188">
        <f>E33*D37</f>
        <v>5.8094399999999995</v>
      </c>
      <c r="F37" s="18"/>
      <c r="G37" s="18"/>
      <c r="H37" s="18"/>
      <c r="I37" s="18"/>
      <c r="J37" s="18"/>
      <c r="K37" s="18"/>
      <c r="L37" s="18"/>
    </row>
    <row r="38" spans="1:12" ht="30">
      <c r="A38" s="227"/>
      <c r="B38" s="134" t="s">
        <v>393</v>
      </c>
      <c r="C38" s="135" t="s">
        <v>124</v>
      </c>
      <c r="D38" s="138">
        <f>7.4*0.001</f>
        <v>0.0074</v>
      </c>
      <c r="E38" s="188">
        <f>E33*D38</f>
        <v>5.65656</v>
      </c>
      <c r="F38" s="18"/>
      <c r="G38" s="18"/>
      <c r="H38" s="18"/>
      <c r="I38" s="18"/>
      <c r="J38" s="18"/>
      <c r="K38" s="18"/>
      <c r="L38" s="18"/>
    </row>
    <row r="39" spans="1:12" ht="15">
      <c r="A39" s="227"/>
      <c r="B39" s="251" t="s">
        <v>387</v>
      </c>
      <c r="C39" s="250" t="s">
        <v>124</v>
      </c>
      <c r="D39" s="136">
        <f>1.48*0.001</f>
        <v>0.00148</v>
      </c>
      <c r="E39" s="188">
        <f>E33*D39</f>
        <v>1.1313119999999999</v>
      </c>
      <c r="F39" s="18"/>
      <c r="G39" s="18"/>
      <c r="H39" s="18"/>
      <c r="I39" s="18"/>
      <c r="J39" s="18"/>
      <c r="K39" s="18"/>
      <c r="L39" s="18"/>
    </row>
    <row r="40" spans="1:12" ht="17.25">
      <c r="A40" s="227"/>
      <c r="B40" s="143" t="s">
        <v>403</v>
      </c>
      <c r="C40" s="250" t="s">
        <v>468</v>
      </c>
      <c r="D40" s="138">
        <f>(149+12.4*8)*0.001</f>
        <v>0.2482</v>
      </c>
      <c r="E40" s="188">
        <f>E33*D40</f>
        <v>189.72408</v>
      </c>
      <c r="F40" s="18"/>
      <c r="G40" s="18"/>
      <c r="H40" s="18"/>
      <c r="I40" s="18"/>
      <c r="J40" s="18"/>
      <c r="K40" s="18"/>
      <c r="L40" s="18"/>
    </row>
    <row r="41" spans="1:12" ht="17.25">
      <c r="A41" s="227"/>
      <c r="B41" s="134" t="s">
        <v>385</v>
      </c>
      <c r="C41" s="250" t="s">
        <v>468</v>
      </c>
      <c r="D41" s="138">
        <v>0.011</v>
      </c>
      <c r="E41" s="188">
        <f>E33*D41</f>
        <v>8.408399999999999</v>
      </c>
      <c r="F41" s="18"/>
      <c r="G41" s="18"/>
      <c r="H41" s="18"/>
      <c r="I41" s="18"/>
      <c r="J41" s="18"/>
      <c r="K41" s="18"/>
      <c r="L41" s="18"/>
    </row>
    <row r="42" spans="1:12" ht="75">
      <c r="A42" s="228">
        <f>A33+1</f>
        <v>6</v>
      </c>
      <c r="B42" s="142" t="s">
        <v>440</v>
      </c>
      <c r="C42" s="228" t="s">
        <v>477</v>
      </c>
      <c r="D42" s="271"/>
      <c r="E42" s="179">
        <v>69</v>
      </c>
      <c r="F42" s="81"/>
      <c r="G42" s="81"/>
      <c r="H42" s="81"/>
      <c r="I42" s="81"/>
      <c r="J42" s="81"/>
      <c r="K42" s="81"/>
      <c r="L42" s="81"/>
    </row>
    <row r="43" spans="1:12" ht="30">
      <c r="A43" s="227"/>
      <c r="B43" s="134" t="s">
        <v>122</v>
      </c>
      <c r="C43" s="135" t="s">
        <v>17</v>
      </c>
      <c r="D43" s="138">
        <f>42.9*0.001</f>
        <v>0.0429</v>
      </c>
      <c r="E43" s="188">
        <f>D43*E42</f>
        <v>2.9601</v>
      </c>
      <c r="F43" s="18"/>
      <c r="G43" s="18"/>
      <c r="H43" s="18"/>
      <c r="I43" s="18"/>
      <c r="J43" s="18"/>
      <c r="K43" s="18"/>
      <c r="L43" s="18"/>
    </row>
    <row r="44" spans="1:12" ht="30">
      <c r="A44" s="227"/>
      <c r="B44" s="134" t="s">
        <v>439</v>
      </c>
      <c r="C44" s="135" t="s">
        <v>124</v>
      </c>
      <c r="D44" s="136">
        <f>2.69*0.001</f>
        <v>0.00269</v>
      </c>
      <c r="E44" s="188">
        <f>E42*D44</f>
        <v>0.18561</v>
      </c>
      <c r="F44" s="18"/>
      <c r="G44" s="18"/>
      <c r="H44" s="18"/>
      <c r="I44" s="18"/>
      <c r="J44" s="18"/>
      <c r="K44" s="18"/>
      <c r="L44" s="18"/>
    </row>
    <row r="45" spans="1:12" ht="30">
      <c r="A45" s="227"/>
      <c r="B45" s="134" t="s">
        <v>388</v>
      </c>
      <c r="C45" s="135" t="s">
        <v>124</v>
      </c>
      <c r="D45" s="136">
        <f>0.41*0.001</f>
        <v>0.00041</v>
      </c>
      <c r="E45" s="188">
        <f>E42*D45</f>
        <v>0.02829</v>
      </c>
      <c r="F45" s="18"/>
      <c r="G45" s="18"/>
      <c r="H45" s="18"/>
      <c r="I45" s="18"/>
      <c r="J45" s="18"/>
      <c r="K45" s="18"/>
      <c r="L45" s="18"/>
    </row>
    <row r="46" spans="1:12" ht="30">
      <c r="A46" s="227"/>
      <c r="B46" s="134" t="s">
        <v>394</v>
      </c>
      <c r="C46" s="135" t="s">
        <v>124</v>
      </c>
      <c r="D46" s="138">
        <f>7.6*0.001</f>
        <v>0.0076</v>
      </c>
      <c r="E46" s="188">
        <f>E42*D46</f>
        <v>0.5244</v>
      </c>
      <c r="F46" s="18"/>
      <c r="G46" s="18"/>
      <c r="H46" s="18"/>
      <c r="I46" s="18"/>
      <c r="J46" s="18"/>
      <c r="K46" s="18"/>
      <c r="L46" s="18"/>
    </row>
    <row r="47" spans="1:12" ht="30">
      <c r="A47" s="227"/>
      <c r="B47" s="134" t="s">
        <v>393</v>
      </c>
      <c r="C47" s="135" t="s">
        <v>124</v>
      </c>
      <c r="D47" s="138">
        <f>7.4*0.001</f>
        <v>0.0074</v>
      </c>
      <c r="E47" s="188">
        <f>E42*D47</f>
        <v>0.5106</v>
      </c>
      <c r="F47" s="18"/>
      <c r="G47" s="18"/>
      <c r="H47" s="18"/>
      <c r="I47" s="18"/>
      <c r="J47" s="18"/>
      <c r="K47" s="18"/>
      <c r="L47" s="18"/>
    </row>
    <row r="48" spans="1:12" ht="15">
      <c r="A48" s="227"/>
      <c r="B48" s="251" t="s">
        <v>387</v>
      </c>
      <c r="C48" s="250" t="s">
        <v>124</v>
      </c>
      <c r="D48" s="136">
        <f>1.48*0.001</f>
        <v>0.00148</v>
      </c>
      <c r="E48" s="188">
        <f>E42*D48</f>
        <v>0.10212</v>
      </c>
      <c r="F48" s="18"/>
      <c r="G48" s="18"/>
      <c r="H48" s="18"/>
      <c r="I48" s="18"/>
      <c r="J48" s="18"/>
      <c r="K48" s="18"/>
      <c r="L48" s="18"/>
    </row>
    <row r="49" spans="1:12" ht="17.25">
      <c r="A49" s="227"/>
      <c r="B49" s="143" t="s">
        <v>403</v>
      </c>
      <c r="C49" s="250" t="s">
        <v>468</v>
      </c>
      <c r="D49" s="138">
        <f>(149+12.4*8)*0.001</f>
        <v>0.2482</v>
      </c>
      <c r="E49" s="188">
        <f>E42*D49</f>
        <v>17.1258</v>
      </c>
      <c r="F49" s="18"/>
      <c r="G49" s="18"/>
      <c r="H49" s="18"/>
      <c r="I49" s="18"/>
      <c r="J49" s="18"/>
      <c r="K49" s="18"/>
      <c r="L49" s="18"/>
    </row>
    <row r="50" spans="1:12" ht="17.25">
      <c r="A50" s="227"/>
      <c r="B50" s="134" t="s">
        <v>385</v>
      </c>
      <c r="C50" s="250" t="s">
        <v>468</v>
      </c>
      <c r="D50" s="138">
        <v>0.011</v>
      </c>
      <c r="E50" s="188">
        <f>E42*D50</f>
        <v>0.759</v>
      </c>
      <c r="F50" s="18"/>
      <c r="G50" s="18"/>
      <c r="H50" s="18"/>
      <c r="I50" s="18"/>
      <c r="J50" s="18"/>
      <c r="K50" s="18"/>
      <c r="L50" s="18"/>
    </row>
    <row r="51" spans="1:12" ht="15">
      <c r="A51" s="227"/>
      <c r="B51" s="273" t="s">
        <v>438</v>
      </c>
      <c r="C51" s="135"/>
      <c r="D51" s="138"/>
      <c r="E51" s="188"/>
      <c r="F51" s="18"/>
      <c r="G51" s="18"/>
      <c r="H51" s="18"/>
      <c r="I51" s="18"/>
      <c r="J51" s="18"/>
      <c r="K51" s="18"/>
      <c r="L51" s="18"/>
    </row>
    <row r="52" spans="1:12" ht="60">
      <c r="A52" s="228">
        <f>A42+1</f>
        <v>7</v>
      </c>
      <c r="B52" s="142" t="s">
        <v>437</v>
      </c>
      <c r="C52" s="228" t="s">
        <v>474</v>
      </c>
      <c r="D52" s="271"/>
      <c r="E52" s="179">
        <v>127.8</v>
      </c>
      <c r="F52" s="81"/>
      <c r="G52" s="81"/>
      <c r="H52" s="81"/>
      <c r="I52" s="81"/>
      <c r="J52" s="81"/>
      <c r="K52" s="81"/>
      <c r="L52" s="81"/>
    </row>
    <row r="53" spans="1:12" ht="30">
      <c r="A53" s="227"/>
      <c r="B53" s="134" t="s">
        <v>122</v>
      </c>
      <c r="C53" s="135" t="s">
        <v>17</v>
      </c>
      <c r="D53" s="138">
        <f>0.0132+0.00323</f>
        <v>0.01643</v>
      </c>
      <c r="E53" s="188">
        <f>D53*E52</f>
        <v>2.099754</v>
      </c>
      <c r="F53" s="18"/>
      <c r="G53" s="18"/>
      <c r="H53" s="18"/>
      <c r="I53" s="18"/>
      <c r="J53" s="18"/>
      <c r="K53" s="18"/>
      <c r="L53" s="18"/>
    </row>
    <row r="54" spans="1:12" ht="21" customHeight="1">
      <c r="A54" s="227"/>
      <c r="B54" s="134" t="s">
        <v>491</v>
      </c>
      <c r="C54" s="135" t="s">
        <v>124</v>
      </c>
      <c r="D54" s="138">
        <v>0.0295</v>
      </c>
      <c r="E54" s="188">
        <f>E52*D54</f>
        <v>3.7701</v>
      </c>
      <c r="F54" s="18"/>
      <c r="G54" s="18"/>
      <c r="H54" s="18"/>
      <c r="I54" s="18"/>
      <c r="J54" s="18"/>
      <c r="K54" s="18"/>
      <c r="L54" s="18"/>
    </row>
    <row r="55" spans="1:12" ht="15">
      <c r="A55" s="227"/>
      <c r="B55" s="134" t="s">
        <v>125</v>
      </c>
      <c r="C55" s="135" t="s">
        <v>126</v>
      </c>
      <c r="D55" s="136">
        <f>0.0021+0.00018</f>
        <v>0.00228</v>
      </c>
      <c r="E55" s="188">
        <f>E52*D55</f>
        <v>0.291384</v>
      </c>
      <c r="F55" s="18"/>
      <c r="G55" s="18"/>
      <c r="H55" s="18"/>
      <c r="I55" s="18"/>
      <c r="J55" s="18"/>
      <c r="K55" s="18"/>
      <c r="L55" s="18"/>
    </row>
    <row r="56" spans="1:12" ht="15">
      <c r="A56" s="227"/>
      <c r="B56" s="134" t="s">
        <v>436</v>
      </c>
      <c r="C56" s="135" t="s">
        <v>124</v>
      </c>
      <c r="D56" s="136">
        <v>0.00263</v>
      </c>
      <c r="E56" s="188">
        <f>E52*D56</f>
        <v>0.33611399999999997</v>
      </c>
      <c r="F56" s="18"/>
      <c r="G56" s="18"/>
      <c r="H56" s="18"/>
      <c r="I56" s="18"/>
      <c r="J56" s="18"/>
      <c r="K56" s="18"/>
      <c r="L56" s="18"/>
    </row>
    <row r="57" spans="1:12" ht="17.25">
      <c r="A57" s="227"/>
      <c r="B57" s="134" t="s">
        <v>108</v>
      </c>
      <c r="C57" s="135" t="s">
        <v>468</v>
      </c>
      <c r="D57" s="136">
        <f>0.00005+0.00004</f>
        <v>9E-05</v>
      </c>
      <c r="E57" s="188">
        <f>E52*D57</f>
        <v>0.011502</v>
      </c>
      <c r="F57" s="18"/>
      <c r="G57" s="18"/>
      <c r="H57" s="18"/>
      <c r="I57" s="18"/>
      <c r="J57" s="18"/>
      <c r="K57" s="18"/>
      <c r="L57" s="18"/>
    </row>
    <row r="58" spans="1:12" ht="33.75" customHeight="1">
      <c r="A58" s="228">
        <f>A52+1</f>
        <v>8</v>
      </c>
      <c r="B58" s="142" t="s">
        <v>435</v>
      </c>
      <c r="C58" s="228" t="s">
        <v>474</v>
      </c>
      <c r="D58" s="118"/>
      <c r="E58" s="179">
        <v>14.200000000000001</v>
      </c>
      <c r="F58" s="81"/>
      <c r="G58" s="81"/>
      <c r="H58" s="81"/>
      <c r="I58" s="81"/>
      <c r="J58" s="81"/>
      <c r="K58" s="81"/>
      <c r="L58" s="81"/>
    </row>
    <row r="59" spans="1:12" ht="30">
      <c r="A59" s="227"/>
      <c r="B59" s="134" t="s">
        <v>122</v>
      </c>
      <c r="C59" s="135" t="s">
        <v>17</v>
      </c>
      <c r="D59" s="136">
        <f>2.06+0.12</f>
        <v>2.18</v>
      </c>
      <c r="E59" s="188">
        <f>D59*E58</f>
        <v>30.956000000000003</v>
      </c>
      <c r="F59" s="18"/>
      <c r="G59" s="18"/>
      <c r="H59" s="18"/>
      <c r="I59" s="18"/>
      <c r="J59" s="18"/>
      <c r="K59" s="18"/>
      <c r="L59" s="18"/>
    </row>
    <row r="60" spans="1:12" ht="36" customHeight="1">
      <c r="A60" s="228" t="s">
        <v>434</v>
      </c>
      <c r="B60" s="142" t="s">
        <v>433</v>
      </c>
      <c r="C60" s="228" t="s">
        <v>474</v>
      </c>
      <c r="D60" s="118"/>
      <c r="E60" s="179">
        <v>14.200000000000001</v>
      </c>
      <c r="F60" s="81"/>
      <c r="G60" s="81"/>
      <c r="H60" s="81"/>
      <c r="I60" s="81"/>
      <c r="J60" s="81"/>
      <c r="K60" s="81"/>
      <c r="L60" s="81"/>
    </row>
    <row r="61" spans="1:12" ht="30">
      <c r="A61" s="227"/>
      <c r="B61" s="134" t="s">
        <v>122</v>
      </c>
      <c r="C61" s="135" t="s">
        <v>17</v>
      </c>
      <c r="D61" s="136">
        <v>1.54</v>
      </c>
      <c r="E61" s="188">
        <f>D61*E60</f>
        <v>21.868000000000002</v>
      </c>
      <c r="F61" s="18"/>
      <c r="G61" s="18"/>
      <c r="H61" s="18"/>
      <c r="I61" s="18"/>
      <c r="J61" s="18"/>
      <c r="K61" s="18"/>
      <c r="L61" s="18"/>
    </row>
    <row r="62" spans="1:12" ht="17.25">
      <c r="A62" s="228">
        <f>A57+1</f>
        <v>1</v>
      </c>
      <c r="B62" s="142" t="s">
        <v>431</v>
      </c>
      <c r="C62" s="228" t="s">
        <v>474</v>
      </c>
      <c r="D62" s="118"/>
      <c r="E62" s="179">
        <v>14.200000000000001</v>
      </c>
      <c r="F62" s="81"/>
      <c r="G62" s="81"/>
      <c r="H62" s="81"/>
      <c r="I62" s="81"/>
      <c r="J62" s="81"/>
      <c r="K62" s="81"/>
      <c r="L62" s="81"/>
    </row>
    <row r="63" spans="1:12" ht="30">
      <c r="A63" s="227"/>
      <c r="B63" s="134" t="s">
        <v>122</v>
      </c>
      <c r="C63" s="135" t="s">
        <v>17</v>
      </c>
      <c r="D63" s="136">
        <f>3.23*0.001</f>
        <v>0.0032300000000000002</v>
      </c>
      <c r="E63" s="188">
        <f>D63*E62</f>
        <v>0.045866000000000004</v>
      </c>
      <c r="F63" s="18"/>
      <c r="G63" s="18"/>
      <c r="H63" s="18"/>
      <c r="I63" s="18"/>
      <c r="J63" s="18"/>
      <c r="K63" s="18"/>
      <c r="L63" s="18"/>
    </row>
    <row r="64" spans="1:12" ht="15">
      <c r="A64" s="227"/>
      <c r="B64" s="134" t="s">
        <v>430</v>
      </c>
      <c r="C64" s="135" t="s">
        <v>124</v>
      </c>
      <c r="D64" s="136">
        <f>3.62*0.001</f>
        <v>0.0036200000000000004</v>
      </c>
      <c r="E64" s="188">
        <f>D64*E62</f>
        <v>0.05140400000000001</v>
      </c>
      <c r="F64" s="18"/>
      <c r="G64" s="18"/>
      <c r="H64" s="18"/>
      <c r="I64" s="18"/>
      <c r="J64" s="18"/>
      <c r="K64" s="18"/>
      <c r="L64" s="18"/>
    </row>
    <row r="65" spans="1:12" ht="15">
      <c r="A65" s="227"/>
      <c r="B65" s="134" t="s">
        <v>125</v>
      </c>
      <c r="C65" s="135" t="s">
        <v>126</v>
      </c>
      <c r="D65" s="136">
        <f>0.18*0.001</f>
        <v>0.00017999999999999998</v>
      </c>
      <c r="E65" s="188">
        <f>D65*E62</f>
        <v>0.002556</v>
      </c>
      <c r="F65" s="18"/>
      <c r="G65" s="18"/>
      <c r="H65" s="18"/>
      <c r="I65" s="18"/>
      <c r="J65" s="18"/>
      <c r="K65" s="18"/>
      <c r="L65" s="18"/>
    </row>
    <row r="66" spans="1:12" ht="17.25">
      <c r="A66" s="227"/>
      <c r="B66" s="134" t="s">
        <v>108</v>
      </c>
      <c r="C66" s="135" t="s">
        <v>468</v>
      </c>
      <c r="D66" s="136">
        <f>0.04*0.001</f>
        <v>4E-05</v>
      </c>
      <c r="E66" s="188">
        <f>D66*E62</f>
        <v>0.000568</v>
      </c>
      <c r="F66" s="18"/>
      <c r="G66" s="18"/>
      <c r="H66" s="18"/>
      <c r="I66" s="18"/>
      <c r="J66" s="18"/>
      <c r="K66" s="18"/>
      <c r="L66" s="18"/>
    </row>
    <row r="67" spans="1:12" ht="45">
      <c r="A67" s="145">
        <f>A58+1</f>
        <v>9</v>
      </c>
      <c r="B67" s="142" t="s">
        <v>413</v>
      </c>
      <c r="C67" s="228" t="s">
        <v>474</v>
      </c>
      <c r="D67" s="271"/>
      <c r="E67" s="179">
        <v>95</v>
      </c>
      <c r="F67" s="81"/>
      <c r="G67" s="81"/>
      <c r="H67" s="81"/>
      <c r="I67" s="81"/>
      <c r="J67" s="81"/>
      <c r="K67" s="81"/>
      <c r="L67" s="81"/>
    </row>
    <row r="68" spans="1:12" ht="30">
      <c r="A68" s="276"/>
      <c r="B68" s="134" t="s">
        <v>378</v>
      </c>
      <c r="C68" s="135" t="s">
        <v>116</v>
      </c>
      <c r="D68" s="138">
        <v>1.6</v>
      </c>
      <c r="E68" s="188">
        <f>E67*D68</f>
        <v>152</v>
      </c>
      <c r="F68" s="18"/>
      <c r="G68" s="18"/>
      <c r="H68" s="18"/>
      <c r="I68" s="18"/>
      <c r="J68" s="18"/>
      <c r="K68" s="18"/>
      <c r="L68" s="18"/>
    </row>
    <row r="69" spans="1:12" ht="45">
      <c r="A69" s="228">
        <f>A67+1</f>
        <v>10</v>
      </c>
      <c r="B69" s="142" t="s">
        <v>454</v>
      </c>
      <c r="C69" s="228" t="s">
        <v>478</v>
      </c>
      <c r="D69" s="272"/>
      <c r="E69" s="179">
        <v>6.78</v>
      </c>
      <c r="F69" s="81"/>
      <c r="G69" s="81"/>
      <c r="H69" s="81"/>
      <c r="I69" s="81"/>
      <c r="J69" s="81"/>
      <c r="K69" s="81"/>
      <c r="L69" s="81"/>
    </row>
    <row r="70" spans="1:12" ht="30">
      <c r="A70" s="227"/>
      <c r="B70" s="134" t="s">
        <v>122</v>
      </c>
      <c r="C70" s="135" t="s">
        <v>17</v>
      </c>
      <c r="D70" s="137">
        <f>8*0.8</f>
        <v>6.4</v>
      </c>
      <c r="E70" s="188">
        <f>D70*E69</f>
        <v>43.392</v>
      </c>
      <c r="F70" s="18"/>
      <c r="G70" s="18"/>
      <c r="H70" s="18"/>
      <c r="I70" s="18"/>
      <c r="J70" s="18"/>
      <c r="K70" s="18"/>
      <c r="L70" s="18"/>
    </row>
    <row r="71" spans="1:12" ht="15">
      <c r="A71" s="227"/>
      <c r="B71" s="134" t="s">
        <v>123</v>
      </c>
      <c r="C71" s="135" t="s">
        <v>124</v>
      </c>
      <c r="D71" s="151">
        <f>1.98*0.8</f>
        <v>1.584</v>
      </c>
      <c r="E71" s="188">
        <f>E69*D71</f>
        <v>10.73952</v>
      </c>
      <c r="F71" s="18"/>
      <c r="G71" s="18"/>
      <c r="H71" s="18"/>
      <c r="I71" s="18"/>
      <c r="J71" s="18"/>
      <c r="K71" s="18"/>
      <c r="L71" s="18"/>
    </row>
    <row r="72" spans="1:12" ht="15">
      <c r="A72" s="227"/>
      <c r="B72" s="134" t="s">
        <v>132</v>
      </c>
      <c r="C72" s="135" t="s">
        <v>126</v>
      </c>
      <c r="D72" s="137">
        <f>6.36*0.8</f>
        <v>5.088000000000001</v>
      </c>
      <c r="E72" s="188">
        <f>E69*D72</f>
        <v>34.496640000000006</v>
      </c>
      <c r="F72" s="18"/>
      <c r="G72" s="18"/>
      <c r="H72" s="18"/>
      <c r="I72" s="18"/>
      <c r="J72" s="18"/>
      <c r="K72" s="18"/>
      <c r="L72" s="18"/>
    </row>
    <row r="73" spans="1:12" ht="30">
      <c r="A73" s="228">
        <f>A69+1</f>
        <v>11</v>
      </c>
      <c r="B73" s="142" t="s">
        <v>481</v>
      </c>
      <c r="C73" s="228" t="s">
        <v>478</v>
      </c>
      <c r="D73" s="272"/>
      <c r="E73" s="179">
        <v>18.340000000000003</v>
      </c>
      <c r="F73" s="81"/>
      <c r="G73" s="81"/>
      <c r="H73" s="81"/>
      <c r="I73" s="81"/>
      <c r="J73" s="81"/>
      <c r="K73" s="81"/>
      <c r="L73" s="81"/>
    </row>
    <row r="74" spans="1:12" ht="30">
      <c r="A74" s="227"/>
      <c r="B74" s="134" t="s">
        <v>122</v>
      </c>
      <c r="C74" s="135" t="s">
        <v>17</v>
      </c>
      <c r="D74" s="136">
        <v>0.8</v>
      </c>
      <c r="E74" s="188">
        <f>D74*E73</f>
        <v>14.672000000000004</v>
      </c>
      <c r="F74" s="18"/>
      <c r="G74" s="18"/>
      <c r="H74" s="18"/>
      <c r="I74" s="18"/>
      <c r="J74" s="18"/>
      <c r="K74" s="18"/>
      <c r="L74" s="18"/>
    </row>
    <row r="75" spans="1:12" ht="15">
      <c r="A75" s="227"/>
      <c r="B75" s="134" t="s">
        <v>125</v>
      </c>
      <c r="C75" s="135" t="s">
        <v>126</v>
      </c>
      <c r="D75" s="138">
        <v>0.32</v>
      </c>
      <c r="E75" s="188">
        <f>E73*D75</f>
        <v>5.868800000000001</v>
      </c>
      <c r="F75" s="18"/>
      <c r="G75" s="18"/>
      <c r="H75" s="18"/>
      <c r="I75" s="18"/>
      <c r="J75" s="18"/>
      <c r="K75" s="18"/>
      <c r="L75" s="18"/>
    </row>
    <row r="76" spans="1:12" ht="17.25">
      <c r="A76" s="227"/>
      <c r="B76" s="134" t="s">
        <v>429</v>
      </c>
      <c r="C76" s="250" t="s">
        <v>468</v>
      </c>
      <c r="D76" s="151">
        <v>1.15</v>
      </c>
      <c r="E76" s="188">
        <f>E73*D76</f>
        <v>21.091</v>
      </c>
      <c r="F76" s="18"/>
      <c r="G76" s="18"/>
      <c r="H76" s="18"/>
      <c r="I76" s="18"/>
      <c r="J76" s="18"/>
      <c r="K76" s="18"/>
      <c r="L76" s="18"/>
    </row>
    <row r="77" spans="1:12" ht="17.25">
      <c r="A77" s="227"/>
      <c r="B77" s="134" t="s">
        <v>453</v>
      </c>
      <c r="C77" s="135" t="s">
        <v>492</v>
      </c>
      <c r="D77" s="138">
        <v>0.02</v>
      </c>
      <c r="E77" s="188">
        <f>E73*D77</f>
        <v>0.36680000000000007</v>
      </c>
      <c r="F77" s="18"/>
      <c r="G77" s="18"/>
      <c r="H77" s="18"/>
      <c r="I77" s="18"/>
      <c r="J77" s="18"/>
      <c r="K77" s="18"/>
      <c r="L77" s="18"/>
    </row>
    <row r="78" spans="1:12" ht="90">
      <c r="A78" s="228">
        <f>A73+1</f>
        <v>12</v>
      </c>
      <c r="B78" s="142" t="s">
        <v>486</v>
      </c>
      <c r="C78" s="228" t="s">
        <v>478</v>
      </c>
      <c r="D78" s="272"/>
      <c r="E78" s="179">
        <v>44.540000000000006</v>
      </c>
      <c r="F78" s="81"/>
      <c r="G78" s="81"/>
      <c r="H78" s="81"/>
      <c r="I78" s="81"/>
      <c r="J78" s="81"/>
      <c r="K78" s="81"/>
      <c r="L78" s="81"/>
    </row>
    <row r="79" spans="1:12" ht="25.5" customHeight="1">
      <c r="A79" s="228"/>
      <c r="B79" s="120" t="s">
        <v>31</v>
      </c>
      <c r="C79" s="121" t="s">
        <v>40</v>
      </c>
      <c r="D79" s="24">
        <v>2.96</v>
      </c>
      <c r="E79" s="6">
        <f>E78*D79</f>
        <v>131.8384</v>
      </c>
      <c r="F79" s="180"/>
      <c r="G79" s="180"/>
      <c r="H79" s="181"/>
      <c r="I79" s="181"/>
      <c r="J79" s="181"/>
      <c r="K79" s="181"/>
      <c r="L79" s="259"/>
    </row>
    <row r="80" spans="1:12" ht="25.5" customHeight="1">
      <c r="A80" s="228"/>
      <c r="B80" s="120" t="s">
        <v>72</v>
      </c>
      <c r="C80" s="121" t="s">
        <v>29</v>
      </c>
      <c r="D80" s="25">
        <v>0.624</v>
      </c>
      <c r="E80" s="6">
        <f>E78*D80</f>
        <v>27.792960000000004</v>
      </c>
      <c r="F80" s="180"/>
      <c r="G80" s="180"/>
      <c r="H80" s="181"/>
      <c r="I80" s="181"/>
      <c r="J80" s="181"/>
      <c r="K80" s="181"/>
      <c r="L80" s="259"/>
    </row>
    <row r="81" spans="1:12" ht="25.5" customHeight="1">
      <c r="A81" s="228"/>
      <c r="B81" s="88" t="s">
        <v>374</v>
      </c>
      <c r="C81" s="62" t="s">
        <v>373</v>
      </c>
      <c r="D81" s="63">
        <v>1.02</v>
      </c>
      <c r="E81" s="191">
        <f>E78*D81</f>
        <v>45.430800000000005</v>
      </c>
      <c r="F81" s="192"/>
      <c r="G81" s="192"/>
      <c r="H81" s="181"/>
      <c r="I81" s="181"/>
      <c r="J81" s="181"/>
      <c r="K81" s="181"/>
      <c r="L81" s="182"/>
    </row>
    <row r="82" spans="1:12" ht="25.5" customHeight="1">
      <c r="A82" s="228"/>
      <c r="B82" s="88" t="s">
        <v>485</v>
      </c>
      <c r="C82" s="62" t="s">
        <v>61</v>
      </c>
      <c r="D82" s="62" t="s">
        <v>484</v>
      </c>
      <c r="E82" s="191">
        <v>3.5</v>
      </c>
      <c r="F82" s="192"/>
      <c r="G82" s="192"/>
      <c r="H82" s="181"/>
      <c r="I82" s="181"/>
      <c r="J82" s="181"/>
      <c r="K82" s="181"/>
      <c r="L82" s="182"/>
    </row>
    <row r="83" spans="1:12" ht="25.5" customHeight="1">
      <c r="A83" s="228"/>
      <c r="B83" s="88" t="s">
        <v>482</v>
      </c>
      <c r="C83" s="62" t="s">
        <v>57</v>
      </c>
      <c r="D83" s="62"/>
      <c r="E83" s="191">
        <v>40</v>
      </c>
      <c r="F83" s="192"/>
      <c r="G83" s="192"/>
      <c r="H83" s="181"/>
      <c r="I83" s="181"/>
      <c r="J83" s="181"/>
      <c r="K83" s="181"/>
      <c r="L83" s="182"/>
    </row>
    <row r="84" spans="1:12" ht="25.5" customHeight="1">
      <c r="A84" s="228"/>
      <c r="B84" s="88" t="s">
        <v>483</v>
      </c>
      <c r="C84" s="62" t="s">
        <v>417</v>
      </c>
      <c r="D84" s="62"/>
      <c r="E84" s="191">
        <v>15</v>
      </c>
      <c r="F84" s="192"/>
      <c r="G84" s="192"/>
      <c r="H84" s="181"/>
      <c r="I84" s="181"/>
      <c r="J84" s="181"/>
      <c r="K84" s="181"/>
      <c r="L84" s="182"/>
    </row>
    <row r="85" spans="1:12" ht="25.5" customHeight="1">
      <c r="A85" s="228"/>
      <c r="B85" s="88" t="s">
        <v>73</v>
      </c>
      <c r="C85" s="62" t="s">
        <v>29</v>
      </c>
      <c r="D85" s="62">
        <v>0.88</v>
      </c>
      <c r="E85" s="191">
        <f>E78*D85</f>
        <v>39.19520000000001</v>
      </c>
      <c r="F85" s="192"/>
      <c r="G85" s="192"/>
      <c r="H85" s="181"/>
      <c r="I85" s="181"/>
      <c r="J85" s="181"/>
      <c r="K85" s="181"/>
      <c r="L85" s="182"/>
    </row>
    <row r="86" spans="1:12" ht="30">
      <c r="A86" s="228">
        <f>A78+1</f>
        <v>13</v>
      </c>
      <c r="B86" s="142" t="s">
        <v>428</v>
      </c>
      <c r="C86" s="228" t="s">
        <v>116</v>
      </c>
      <c r="D86" s="272"/>
      <c r="E86" s="179">
        <v>1.6985599999999998</v>
      </c>
      <c r="F86" s="81"/>
      <c r="G86" s="81"/>
      <c r="H86" s="81"/>
      <c r="I86" s="81"/>
      <c r="J86" s="81"/>
      <c r="K86" s="81"/>
      <c r="L86" s="81"/>
    </row>
    <row r="87" spans="1:12" ht="16.5">
      <c r="A87" s="277"/>
      <c r="B87" s="120" t="s">
        <v>31</v>
      </c>
      <c r="C87" s="121" t="s">
        <v>17</v>
      </c>
      <c r="D87" s="61">
        <v>37.4</v>
      </c>
      <c r="E87" s="18">
        <f>E86*D87</f>
        <v>63.526143999999995</v>
      </c>
      <c r="F87" s="18"/>
      <c r="G87" s="18"/>
      <c r="H87" s="18"/>
      <c r="I87" s="18"/>
      <c r="J87" s="18"/>
      <c r="K87" s="18"/>
      <c r="L87" s="18"/>
    </row>
    <row r="88" spans="1:12" ht="16.5">
      <c r="A88" s="277"/>
      <c r="B88" s="120" t="s">
        <v>72</v>
      </c>
      <c r="C88" s="121" t="s">
        <v>19</v>
      </c>
      <c r="D88" s="61">
        <v>6.32</v>
      </c>
      <c r="E88" s="18">
        <f>E86*D88</f>
        <v>10.7348992</v>
      </c>
      <c r="F88" s="18"/>
      <c r="G88" s="18"/>
      <c r="H88" s="18"/>
      <c r="I88" s="18"/>
      <c r="J88" s="18"/>
      <c r="K88" s="18"/>
      <c r="L88" s="18"/>
    </row>
    <row r="89" spans="1:12" ht="15">
      <c r="A89" s="227"/>
      <c r="B89" s="134" t="s">
        <v>427</v>
      </c>
      <c r="C89" s="135" t="s">
        <v>116</v>
      </c>
      <c r="D89" s="137">
        <v>1</v>
      </c>
      <c r="E89" s="188">
        <f>E86*D89</f>
        <v>1.6985599999999998</v>
      </c>
      <c r="F89" s="18"/>
      <c r="G89" s="18"/>
      <c r="H89" s="18"/>
      <c r="I89" s="18"/>
      <c r="J89" s="18"/>
      <c r="K89" s="18"/>
      <c r="L89" s="18"/>
    </row>
    <row r="90" spans="1:12" ht="16.5">
      <c r="A90" s="277"/>
      <c r="B90" s="120" t="s">
        <v>73</v>
      </c>
      <c r="C90" s="121" t="s">
        <v>19</v>
      </c>
      <c r="D90" s="61">
        <v>7.63</v>
      </c>
      <c r="E90" s="18">
        <f>E86*D90</f>
        <v>12.9600128</v>
      </c>
      <c r="F90" s="18"/>
      <c r="G90" s="18"/>
      <c r="H90" s="18"/>
      <c r="I90" s="18"/>
      <c r="J90" s="18"/>
      <c r="K90" s="18"/>
      <c r="L90" s="18"/>
    </row>
    <row r="91" spans="1:12" ht="30">
      <c r="A91" s="228">
        <f>A86+1</f>
        <v>14</v>
      </c>
      <c r="B91" s="142" t="s">
        <v>426</v>
      </c>
      <c r="C91" s="228" t="s">
        <v>478</v>
      </c>
      <c r="D91" s="272"/>
      <c r="E91" s="179">
        <v>47</v>
      </c>
      <c r="F91" s="81"/>
      <c r="G91" s="81"/>
      <c r="H91" s="81"/>
      <c r="I91" s="81"/>
      <c r="J91" s="81"/>
      <c r="K91" s="81"/>
      <c r="L91" s="81"/>
    </row>
    <row r="92" spans="1:12" ht="30">
      <c r="A92" s="227"/>
      <c r="B92" s="134" t="s">
        <v>122</v>
      </c>
      <c r="C92" s="135" t="s">
        <v>17</v>
      </c>
      <c r="D92" s="137">
        <v>1.21</v>
      </c>
      <c r="E92" s="188">
        <f>D92*E91</f>
        <v>56.87</v>
      </c>
      <c r="F92" s="18"/>
      <c r="G92" s="18"/>
      <c r="H92" s="18"/>
      <c r="I92" s="18"/>
      <c r="J92" s="18"/>
      <c r="K92" s="18"/>
      <c r="L92" s="18"/>
    </row>
    <row r="93" spans="1:12" ht="18">
      <c r="A93" s="227"/>
      <c r="B93" s="273" t="s">
        <v>363</v>
      </c>
      <c r="C93" s="112"/>
      <c r="D93" s="112"/>
      <c r="E93" s="194"/>
      <c r="F93" s="193"/>
      <c r="G93" s="194"/>
      <c r="H93" s="194"/>
      <c r="I93" s="194"/>
      <c r="J93" s="194"/>
      <c r="K93" s="194"/>
      <c r="L93" s="280"/>
    </row>
    <row r="94" spans="1:12" ht="18">
      <c r="A94" s="278"/>
      <c r="B94" s="162" t="s">
        <v>100</v>
      </c>
      <c r="C94" s="208"/>
      <c r="D94" s="209"/>
      <c r="E94" s="210"/>
      <c r="F94" s="210"/>
      <c r="G94" s="210"/>
      <c r="H94" s="210"/>
      <c r="I94" s="210"/>
      <c r="J94" s="210"/>
      <c r="K94" s="210"/>
      <c r="L94" s="183"/>
    </row>
    <row r="95" spans="1:12" ht="18">
      <c r="A95" s="278"/>
      <c r="B95" s="162" t="s">
        <v>363</v>
      </c>
      <c r="C95" s="42"/>
      <c r="D95" s="209"/>
      <c r="E95" s="210"/>
      <c r="F95" s="210"/>
      <c r="G95" s="210"/>
      <c r="H95" s="210"/>
      <c r="I95" s="210"/>
      <c r="J95" s="210"/>
      <c r="K95" s="210"/>
      <c r="L95" s="183"/>
    </row>
    <row r="96" spans="1:12" ht="18">
      <c r="A96" s="278"/>
      <c r="B96" s="162" t="s">
        <v>364</v>
      </c>
      <c r="C96" s="208"/>
      <c r="D96" s="209"/>
      <c r="E96" s="210"/>
      <c r="F96" s="210"/>
      <c r="G96" s="210"/>
      <c r="H96" s="210"/>
      <c r="I96" s="210"/>
      <c r="J96" s="210"/>
      <c r="K96" s="210"/>
      <c r="L96" s="183"/>
    </row>
    <row r="97" spans="1:12" ht="18">
      <c r="A97" s="278"/>
      <c r="B97" s="162" t="s">
        <v>363</v>
      </c>
      <c r="C97" s="42"/>
      <c r="D97" s="209"/>
      <c r="E97" s="210"/>
      <c r="F97" s="210"/>
      <c r="G97" s="210"/>
      <c r="H97" s="210"/>
      <c r="I97" s="210"/>
      <c r="J97" s="210"/>
      <c r="K97" s="210"/>
      <c r="L97" s="183"/>
    </row>
    <row r="98" spans="1:12" ht="18">
      <c r="A98" s="278"/>
      <c r="B98" s="162" t="s">
        <v>103</v>
      </c>
      <c r="C98" s="208">
        <v>0.03</v>
      </c>
      <c r="D98" s="209"/>
      <c r="E98" s="210"/>
      <c r="F98" s="210"/>
      <c r="G98" s="210"/>
      <c r="H98" s="210"/>
      <c r="I98" s="210"/>
      <c r="J98" s="210"/>
      <c r="K98" s="210"/>
      <c r="L98" s="183"/>
    </row>
    <row r="99" spans="1:12" ht="18">
      <c r="A99" s="278"/>
      <c r="B99" s="162" t="s">
        <v>363</v>
      </c>
      <c r="C99" s="208"/>
      <c r="D99" s="209"/>
      <c r="E99" s="210"/>
      <c r="F99" s="210"/>
      <c r="G99" s="210"/>
      <c r="H99" s="210"/>
      <c r="I99" s="210"/>
      <c r="J99" s="210"/>
      <c r="K99" s="210"/>
      <c r="L99" s="183"/>
    </row>
    <row r="100" spans="1:12" ht="18">
      <c r="A100" s="278"/>
      <c r="B100" s="162" t="s">
        <v>362</v>
      </c>
      <c r="C100" s="208">
        <v>0.18</v>
      </c>
      <c r="D100" s="209"/>
      <c r="E100" s="210"/>
      <c r="F100" s="210"/>
      <c r="G100" s="210"/>
      <c r="H100" s="210"/>
      <c r="I100" s="210"/>
      <c r="J100" s="210"/>
      <c r="K100" s="210"/>
      <c r="L100" s="183"/>
    </row>
    <row r="101" spans="1:12" ht="18">
      <c r="A101" s="278"/>
      <c r="B101" s="162" t="s">
        <v>361</v>
      </c>
      <c r="C101" s="42"/>
      <c r="D101" s="209"/>
      <c r="E101" s="210"/>
      <c r="F101" s="210"/>
      <c r="G101" s="210"/>
      <c r="H101" s="210"/>
      <c r="I101" s="210"/>
      <c r="J101" s="210"/>
      <c r="K101" s="210"/>
      <c r="L101" s="183"/>
    </row>
    <row r="103" spans="2:4" ht="15.75">
      <c r="B103" s="344"/>
      <c r="D103" s="36"/>
    </row>
    <row r="104" spans="2:5" ht="60" customHeight="1">
      <c r="B104" s="364" t="s">
        <v>567</v>
      </c>
      <c r="C104" s="364"/>
      <c r="D104" s="364"/>
      <c r="E104" s="364"/>
    </row>
    <row r="105" ht="27.75" customHeight="1">
      <c r="B105" s="100"/>
    </row>
    <row r="106" spans="2:4" ht="15">
      <c r="B106" s="376"/>
      <c r="C106" s="376"/>
      <c r="D106" s="376"/>
    </row>
    <row r="107" ht="15">
      <c r="B107" s="101"/>
    </row>
    <row r="108" spans="1:12" ht="30.75" customHeight="1">
      <c r="A108" s="362"/>
      <c r="B108" s="362"/>
      <c r="C108" s="362"/>
      <c r="D108" s="362"/>
      <c r="E108" s="362"/>
      <c r="F108" s="362"/>
      <c r="G108" s="362"/>
      <c r="H108" s="362"/>
      <c r="I108" s="362"/>
      <c r="J108" s="362"/>
      <c r="K108" s="362"/>
      <c r="L108" s="362"/>
    </row>
    <row r="111" ht="15">
      <c r="B111" s="274"/>
    </row>
  </sheetData>
  <sheetProtection/>
  <mergeCells count="12">
    <mergeCell ref="A108:L108"/>
    <mergeCell ref="A1:L1"/>
    <mergeCell ref="A2:A3"/>
    <mergeCell ref="B2:B3"/>
    <mergeCell ref="C2:C3"/>
    <mergeCell ref="D2:E2"/>
    <mergeCell ref="F2:G2"/>
    <mergeCell ref="H2:I2"/>
    <mergeCell ref="J2:K2"/>
    <mergeCell ref="B104:E104"/>
    <mergeCell ref="B106:D106"/>
    <mergeCell ref="L2:L3"/>
  </mergeCells>
  <conditionalFormatting sqref="B87:E88">
    <cfRule type="cellIs" priority="2" dxfId="21" operator="equal" stopIfTrue="1">
      <formula>0</formula>
    </cfRule>
  </conditionalFormatting>
  <conditionalFormatting sqref="B90:E90">
    <cfRule type="cellIs" priority="1" dxfId="21" operator="equal" stopIfTrue="1">
      <formula>0</formula>
    </cfRule>
  </conditionalFormatting>
  <printOptions horizontalCentered="1"/>
  <pageMargins left="0.31496062992125984" right="0.31496062992125984" top="0.9448818897637796" bottom="0.9448818897637796" header="0.5118110236220472" footer="0.5118110236220472"/>
  <pageSetup fitToHeight="0" horizontalDpi="600" verticalDpi="600" orientation="landscape" scale="70" r:id="rId1"/>
  <headerFooter>
    <oddHeader>&amp;Cინსპექტირების ანგარიში № IR_18-10-A023/F/I&amp;Rდანართი №6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Normal="89" zoomScaleSheetLayoutView="100" zoomScalePageLayoutView="0" workbookViewId="0" topLeftCell="A1">
      <selection activeCell="A4" sqref="A4:L4"/>
    </sheetView>
  </sheetViews>
  <sheetFormatPr defaultColWidth="9.140625" defaultRowHeight="15"/>
  <cols>
    <col min="1" max="1" width="4.421875" style="97" bestFit="1" customWidth="1"/>
    <col min="2" max="2" width="41.57421875" style="275" customWidth="1"/>
    <col min="3" max="3" width="8.28125" style="97" customWidth="1"/>
    <col min="4" max="4" width="13.7109375" style="97" bestFit="1" customWidth="1"/>
    <col min="5" max="5" width="12.140625" style="97" bestFit="1" customWidth="1"/>
    <col min="6" max="6" width="10.28125" style="97" customWidth="1"/>
    <col min="7" max="7" width="10.421875" style="97" bestFit="1" customWidth="1"/>
    <col min="8" max="8" width="12.00390625" style="97" bestFit="1" customWidth="1"/>
    <col min="9" max="9" width="8.7109375" style="97" bestFit="1" customWidth="1"/>
    <col min="10" max="10" width="12.00390625" style="97" bestFit="1" customWidth="1"/>
    <col min="11" max="11" width="10.421875" style="97" bestFit="1" customWidth="1"/>
    <col min="12" max="12" width="13.57421875" style="275" bestFit="1" customWidth="1"/>
    <col min="13" max="16384" width="9.140625" style="97" customWidth="1"/>
  </cols>
  <sheetData>
    <row r="1" spans="1:12" ht="42" customHeight="1">
      <c r="A1" s="372" t="s">
        <v>494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29.25" customHeight="1">
      <c r="A2" s="388" t="s">
        <v>425</v>
      </c>
      <c r="B2" s="388" t="s">
        <v>2</v>
      </c>
      <c r="C2" s="389" t="s">
        <v>424</v>
      </c>
      <c r="D2" s="390" t="s">
        <v>423</v>
      </c>
      <c r="E2" s="391"/>
      <c r="F2" s="392" t="s">
        <v>6</v>
      </c>
      <c r="G2" s="392"/>
      <c r="H2" s="392" t="s">
        <v>7</v>
      </c>
      <c r="I2" s="392"/>
      <c r="J2" s="392" t="s">
        <v>422</v>
      </c>
      <c r="K2" s="392"/>
      <c r="L2" s="386" t="s">
        <v>1</v>
      </c>
    </row>
    <row r="3" spans="1:12" ht="36">
      <c r="A3" s="388"/>
      <c r="B3" s="388"/>
      <c r="C3" s="389"/>
      <c r="D3" s="112" t="s">
        <v>421</v>
      </c>
      <c r="E3" s="281" t="s">
        <v>9</v>
      </c>
      <c r="F3" s="281" t="s">
        <v>420</v>
      </c>
      <c r="G3" s="281" t="s">
        <v>9</v>
      </c>
      <c r="H3" s="112" t="s">
        <v>420</v>
      </c>
      <c r="I3" s="281" t="s">
        <v>9</v>
      </c>
      <c r="J3" s="112" t="s">
        <v>420</v>
      </c>
      <c r="K3" s="281" t="s">
        <v>9</v>
      </c>
      <c r="L3" s="387"/>
    </row>
    <row r="4" spans="1:12" ht="18">
      <c r="A4" s="112">
        <v>1</v>
      </c>
      <c r="B4" s="112">
        <v>2</v>
      </c>
      <c r="C4" s="351">
        <v>3</v>
      </c>
      <c r="D4" s="351">
        <v>4</v>
      </c>
      <c r="E4" s="351">
        <v>5</v>
      </c>
      <c r="F4" s="351">
        <v>6</v>
      </c>
      <c r="G4" s="351">
        <v>7</v>
      </c>
      <c r="H4" s="351">
        <v>8</v>
      </c>
      <c r="I4" s="351">
        <v>9</v>
      </c>
      <c r="J4" s="351">
        <v>10</v>
      </c>
      <c r="K4" s="351">
        <v>11</v>
      </c>
      <c r="L4" s="351">
        <v>12</v>
      </c>
    </row>
    <row r="5" spans="1:12" ht="18">
      <c r="A5" s="43"/>
      <c r="B5" s="113" t="s">
        <v>452</v>
      </c>
      <c r="C5" s="42"/>
      <c r="D5" s="41"/>
      <c r="E5" s="128"/>
      <c r="F5" s="288"/>
      <c r="G5" s="64"/>
      <c r="H5" s="288"/>
      <c r="I5" s="64"/>
      <c r="J5" s="288"/>
      <c r="K5" s="289"/>
      <c r="L5" s="40"/>
    </row>
    <row r="6" spans="1:12" ht="54">
      <c r="A6" s="130">
        <v>1</v>
      </c>
      <c r="B6" s="129" t="s">
        <v>451</v>
      </c>
      <c r="C6" s="298" t="s">
        <v>456</v>
      </c>
      <c r="D6" s="299"/>
      <c r="E6" s="183">
        <v>148.5</v>
      </c>
      <c r="F6" s="280"/>
      <c r="G6" s="280"/>
      <c r="H6" s="280"/>
      <c r="I6" s="280"/>
      <c r="J6" s="280"/>
      <c r="K6" s="280"/>
      <c r="L6" s="291"/>
    </row>
    <row r="7" spans="1:12" ht="30">
      <c r="A7" s="227"/>
      <c r="B7" s="134" t="s">
        <v>122</v>
      </c>
      <c r="C7" s="135" t="s">
        <v>17</v>
      </c>
      <c r="D7" s="138">
        <f>0.0132+0.00323</f>
        <v>0.01643</v>
      </c>
      <c r="E7" s="188">
        <f>D7*E6</f>
        <v>2.439855</v>
      </c>
      <c r="F7" s="18"/>
      <c r="G7" s="18"/>
      <c r="H7" s="18"/>
      <c r="I7" s="18"/>
      <c r="J7" s="18"/>
      <c r="K7" s="18"/>
      <c r="L7" s="292"/>
    </row>
    <row r="8" spans="1:12" ht="17.25">
      <c r="A8" s="227"/>
      <c r="B8" s="134" t="s">
        <v>491</v>
      </c>
      <c r="C8" s="135" t="s">
        <v>124</v>
      </c>
      <c r="D8" s="138">
        <v>0.0295</v>
      </c>
      <c r="E8" s="188">
        <f>E6*D8</f>
        <v>4.38075</v>
      </c>
      <c r="F8" s="18"/>
      <c r="G8" s="18"/>
      <c r="H8" s="18"/>
      <c r="I8" s="18"/>
      <c r="J8" s="18"/>
      <c r="K8" s="18"/>
      <c r="L8" s="292"/>
    </row>
    <row r="9" spans="1:12" ht="15">
      <c r="A9" s="227"/>
      <c r="B9" s="134" t="s">
        <v>125</v>
      </c>
      <c r="C9" s="135" t="s">
        <v>126</v>
      </c>
      <c r="D9" s="136">
        <f>0.0021+0.00018</f>
        <v>0.00228</v>
      </c>
      <c r="E9" s="188">
        <f>E6*D9</f>
        <v>0.33858</v>
      </c>
      <c r="F9" s="18"/>
      <c r="G9" s="18"/>
      <c r="H9" s="18"/>
      <c r="I9" s="18"/>
      <c r="J9" s="18"/>
      <c r="K9" s="18"/>
      <c r="L9" s="292"/>
    </row>
    <row r="10" spans="1:12" ht="15">
      <c r="A10" s="227"/>
      <c r="B10" s="134" t="s">
        <v>436</v>
      </c>
      <c r="C10" s="135" t="s">
        <v>124</v>
      </c>
      <c r="D10" s="136">
        <v>0.00263</v>
      </c>
      <c r="E10" s="188">
        <f>E6*D10</f>
        <v>0.390555</v>
      </c>
      <c r="F10" s="18"/>
      <c r="G10" s="18"/>
      <c r="H10" s="18"/>
      <c r="I10" s="18"/>
      <c r="J10" s="18"/>
      <c r="K10" s="18"/>
      <c r="L10" s="292"/>
    </row>
    <row r="11" spans="1:12" ht="17.25">
      <c r="A11" s="227"/>
      <c r="B11" s="134" t="s">
        <v>108</v>
      </c>
      <c r="C11" s="135" t="s">
        <v>468</v>
      </c>
      <c r="D11" s="136">
        <f>0.00005+0.00004</f>
        <v>9E-05</v>
      </c>
      <c r="E11" s="188">
        <f>E6*D11</f>
        <v>0.013365</v>
      </c>
      <c r="F11" s="18"/>
      <c r="G11" s="18"/>
      <c r="H11" s="18"/>
      <c r="I11" s="18"/>
      <c r="J11" s="18"/>
      <c r="K11" s="18"/>
      <c r="L11" s="292"/>
    </row>
    <row r="12" spans="1:12" ht="30">
      <c r="A12" s="130">
        <f>A6+1</f>
        <v>2</v>
      </c>
      <c r="B12" s="142" t="s">
        <v>450</v>
      </c>
      <c r="C12" s="298" t="s">
        <v>456</v>
      </c>
      <c r="D12" s="299"/>
      <c r="E12" s="183">
        <v>16.5</v>
      </c>
      <c r="F12" s="293"/>
      <c r="G12" s="293"/>
      <c r="H12" s="293"/>
      <c r="I12" s="293"/>
      <c r="J12" s="293"/>
      <c r="K12" s="293"/>
      <c r="L12" s="291"/>
    </row>
    <row r="13" spans="1:12" ht="36">
      <c r="A13" s="43"/>
      <c r="B13" s="132" t="s">
        <v>122</v>
      </c>
      <c r="C13" s="42" t="s">
        <v>17</v>
      </c>
      <c r="D13" s="136">
        <f>2.06</f>
        <v>2.06</v>
      </c>
      <c r="E13" s="188">
        <f>D13*E12</f>
        <v>33.99</v>
      </c>
      <c r="F13" s="18"/>
      <c r="G13" s="18"/>
      <c r="H13" s="18"/>
      <c r="I13" s="18"/>
      <c r="J13" s="18"/>
      <c r="K13" s="18"/>
      <c r="L13" s="292"/>
    </row>
    <row r="14" spans="1:12" ht="49.5" customHeight="1">
      <c r="A14" s="228" t="s">
        <v>449</v>
      </c>
      <c r="B14" s="142" t="s">
        <v>448</v>
      </c>
      <c r="C14" s="228" t="s">
        <v>474</v>
      </c>
      <c r="D14" s="300"/>
      <c r="E14" s="179">
        <f>E12</f>
        <v>16.5</v>
      </c>
      <c r="F14" s="296"/>
      <c r="G14" s="296"/>
      <c r="H14" s="296"/>
      <c r="I14" s="296"/>
      <c r="J14" s="296"/>
      <c r="K14" s="296"/>
      <c r="L14" s="258"/>
    </row>
    <row r="15" spans="1:12" ht="30">
      <c r="A15" s="227"/>
      <c r="B15" s="134" t="s">
        <v>122</v>
      </c>
      <c r="C15" s="135" t="s">
        <v>17</v>
      </c>
      <c r="D15" s="136">
        <v>1.54</v>
      </c>
      <c r="E15" s="188">
        <f>D15*E14</f>
        <v>25.41</v>
      </c>
      <c r="F15" s="18"/>
      <c r="G15" s="18"/>
      <c r="H15" s="18"/>
      <c r="I15" s="18"/>
      <c r="J15" s="18"/>
      <c r="K15" s="18"/>
      <c r="L15" s="292"/>
    </row>
    <row r="16" spans="1:12" ht="17.25">
      <c r="A16" s="228" t="s">
        <v>447</v>
      </c>
      <c r="B16" s="142" t="s">
        <v>431</v>
      </c>
      <c r="C16" s="228" t="s">
        <v>474</v>
      </c>
      <c r="D16" s="300"/>
      <c r="E16" s="179">
        <f>E12</f>
        <v>16.5</v>
      </c>
      <c r="F16" s="296"/>
      <c r="G16" s="296"/>
      <c r="H16" s="296"/>
      <c r="I16" s="296"/>
      <c r="J16" s="296"/>
      <c r="K16" s="296"/>
      <c r="L16" s="258"/>
    </row>
    <row r="17" spans="1:12" ht="30">
      <c r="A17" s="227"/>
      <c r="B17" s="134" t="s">
        <v>122</v>
      </c>
      <c r="C17" s="135" t="s">
        <v>17</v>
      </c>
      <c r="D17" s="136">
        <f>3.23*0.001</f>
        <v>0.0032300000000000002</v>
      </c>
      <c r="E17" s="188">
        <f>D17*E16</f>
        <v>0.053295</v>
      </c>
      <c r="F17" s="18"/>
      <c r="G17" s="18"/>
      <c r="H17" s="18"/>
      <c r="I17" s="18"/>
      <c r="J17" s="18"/>
      <c r="K17" s="18"/>
      <c r="L17" s="292"/>
    </row>
    <row r="18" spans="1:12" ht="15">
      <c r="A18" s="227"/>
      <c r="B18" s="134" t="s">
        <v>430</v>
      </c>
      <c r="C18" s="135" t="s">
        <v>124</v>
      </c>
      <c r="D18" s="136">
        <f>3.62*0.001</f>
        <v>0.0036200000000000004</v>
      </c>
      <c r="E18" s="188">
        <f>D18*E16</f>
        <v>0.059730000000000005</v>
      </c>
      <c r="F18" s="18"/>
      <c r="G18" s="18"/>
      <c r="H18" s="18"/>
      <c r="I18" s="18"/>
      <c r="J18" s="18"/>
      <c r="K18" s="18"/>
      <c r="L18" s="292"/>
    </row>
    <row r="19" spans="1:12" ht="15">
      <c r="A19" s="227"/>
      <c r="B19" s="134" t="s">
        <v>125</v>
      </c>
      <c r="C19" s="135" t="s">
        <v>126</v>
      </c>
      <c r="D19" s="136">
        <f>0.18*0.001</f>
        <v>0.00017999999999999998</v>
      </c>
      <c r="E19" s="188">
        <f>D19*E16</f>
        <v>0.0029699999999999996</v>
      </c>
      <c r="F19" s="18"/>
      <c r="G19" s="18"/>
      <c r="H19" s="18"/>
      <c r="I19" s="18"/>
      <c r="J19" s="18"/>
      <c r="K19" s="18"/>
      <c r="L19" s="292"/>
    </row>
    <row r="20" spans="1:12" ht="17.25">
      <c r="A20" s="227"/>
      <c r="B20" s="134" t="s">
        <v>108</v>
      </c>
      <c r="C20" s="135" t="s">
        <v>468</v>
      </c>
      <c r="D20" s="136">
        <f>0.04*0.001</f>
        <v>4E-05</v>
      </c>
      <c r="E20" s="188">
        <f>D20*E16</f>
        <v>0.0006600000000000001</v>
      </c>
      <c r="F20" s="18"/>
      <c r="G20" s="18"/>
      <c r="H20" s="18"/>
      <c r="I20" s="18"/>
      <c r="J20" s="18"/>
      <c r="K20" s="18"/>
      <c r="L20" s="292"/>
    </row>
    <row r="21" spans="1:12" ht="54">
      <c r="A21" s="130">
        <f>A12+1</f>
        <v>3</v>
      </c>
      <c r="B21" s="129" t="s">
        <v>413</v>
      </c>
      <c r="C21" s="130" t="s">
        <v>456</v>
      </c>
      <c r="D21" s="299"/>
      <c r="E21" s="183">
        <f>E12+E6</f>
        <v>165</v>
      </c>
      <c r="F21" s="183"/>
      <c r="G21" s="183"/>
      <c r="H21" s="183"/>
      <c r="I21" s="183"/>
      <c r="J21" s="183"/>
      <c r="K21" s="183"/>
      <c r="L21" s="291"/>
    </row>
    <row r="22" spans="1:12" ht="36">
      <c r="A22" s="43"/>
      <c r="B22" s="132" t="s">
        <v>378</v>
      </c>
      <c r="C22" s="42" t="s">
        <v>116</v>
      </c>
      <c r="D22" s="128">
        <v>1.6</v>
      </c>
      <c r="E22" s="187">
        <f>E21*D22</f>
        <v>264</v>
      </c>
      <c r="F22" s="18"/>
      <c r="G22" s="18"/>
      <c r="H22" s="18"/>
      <c r="I22" s="18"/>
      <c r="J22" s="18"/>
      <c r="K22" s="18"/>
      <c r="L22" s="292"/>
    </row>
    <row r="23" spans="1:12" ht="30">
      <c r="A23" s="130">
        <f>A21+1</f>
        <v>4</v>
      </c>
      <c r="B23" s="142" t="s">
        <v>446</v>
      </c>
      <c r="C23" s="130" t="s">
        <v>470</v>
      </c>
      <c r="D23" s="299"/>
      <c r="E23" s="183">
        <v>1448.72</v>
      </c>
      <c r="F23" s="183"/>
      <c r="G23" s="183"/>
      <c r="H23" s="183"/>
      <c r="I23" s="183"/>
      <c r="J23" s="183"/>
      <c r="K23" s="183"/>
      <c r="L23" s="291"/>
    </row>
    <row r="24" spans="1:12" ht="30">
      <c r="A24" s="227"/>
      <c r="B24" s="134" t="s">
        <v>122</v>
      </c>
      <c r="C24" s="135" t="s">
        <v>17</v>
      </c>
      <c r="D24" s="138">
        <f>13*0.001</f>
        <v>0.013000000000000001</v>
      </c>
      <c r="E24" s="188">
        <f>D24*E23</f>
        <v>18.833360000000003</v>
      </c>
      <c r="F24" s="18"/>
      <c r="G24" s="18"/>
      <c r="H24" s="18"/>
      <c r="I24" s="18"/>
      <c r="J24" s="18"/>
      <c r="K24" s="18"/>
      <c r="L24" s="292"/>
    </row>
    <row r="25" spans="1:12" ht="30">
      <c r="A25" s="227"/>
      <c r="B25" s="134" t="s">
        <v>439</v>
      </c>
      <c r="C25" s="135" t="s">
        <v>124</v>
      </c>
      <c r="D25" s="136">
        <v>0.0318</v>
      </c>
      <c r="E25" s="188">
        <f>E23*D25</f>
        <v>46.069296</v>
      </c>
      <c r="F25" s="18"/>
      <c r="G25" s="18"/>
      <c r="H25" s="18"/>
      <c r="I25" s="18"/>
      <c r="J25" s="18"/>
      <c r="K25" s="18"/>
      <c r="L25" s="292"/>
    </row>
    <row r="26" spans="1:12" ht="30">
      <c r="A26" s="227"/>
      <c r="B26" s="134" t="s">
        <v>445</v>
      </c>
      <c r="C26" s="135" t="s">
        <v>124</v>
      </c>
      <c r="D26" s="136">
        <f>0.94*0.001</f>
        <v>0.00094</v>
      </c>
      <c r="E26" s="188">
        <f>D26*E23</f>
        <v>1.3617968</v>
      </c>
      <c r="F26" s="18"/>
      <c r="G26" s="18"/>
      <c r="H26" s="18"/>
      <c r="I26" s="18"/>
      <c r="J26" s="18"/>
      <c r="K26" s="18"/>
      <c r="L26" s="292"/>
    </row>
    <row r="27" spans="1:12" ht="30">
      <c r="A27" s="227"/>
      <c r="B27" s="134" t="s">
        <v>444</v>
      </c>
      <c r="C27" s="135" t="s">
        <v>124</v>
      </c>
      <c r="D27" s="136">
        <f>2.31*0.001</f>
        <v>0.00231</v>
      </c>
      <c r="E27" s="188">
        <f>D27*E23</f>
        <v>3.3465432</v>
      </c>
      <c r="F27" s="18"/>
      <c r="G27" s="18"/>
      <c r="H27" s="18"/>
      <c r="I27" s="18"/>
      <c r="J27" s="18"/>
      <c r="K27" s="18"/>
      <c r="L27" s="292"/>
    </row>
    <row r="28" spans="1:12" ht="15">
      <c r="A28" s="227"/>
      <c r="B28" s="134" t="s">
        <v>443</v>
      </c>
      <c r="C28" s="135" t="s">
        <v>124</v>
      </c>
      <c r="D28" s="136">
        <f>1.76*0.001</f>
        <v>0.00176</v>
      </c>
      <c r="E28" s="188">
        <f>D28*E23</f>
        <v>2.5497472</v>
      </c>
      <c r="F28" s="18"/>
      <c r="G28" s="18"/>
      <c r="H28" s="18"/>
      <c r="I28" s="18"/>
      <c r="J28" s="18"/>
      <c r="K28" s="18"/>
      <c r="L28" s="292"/>
    </row>
    <row r="29" spans="1:12" ht="15">
      <c r="A29" s="227"/>
      <c r="B29" s="134" t="s">
        <v>125</v>
      </c>
      <c r="C29" s="135" t="s">
        <v>126</v>
      </c>
      <c r="D29" s="136">
        <f>0.53*0.001</f>
        <v>0.0005300000000000001</v>
      </c>
      <c r="E29" s="188">
        <f>E23*D29</f>
        <v>0.7678216000000001</v>
      </c>
      <c r="F29" s="18"/>
      <c r="G29" s="18"/>
      <c r="H29" s="18"/>
      <c r="I29" s="18"/>
      <c r="J29" s="18"/>
      <c r="K29" s="18"/>
      <c r="L29" s="292"/>
    </row>
    <row r="30" spans="1:12" ht="17.25">
      <c r="A30" s="227"/>
      <c r="B30" s="134" t="s">
        <v>385</v>
      </c>
      <c r="C30" s="250" t="s">
        <v>468</v>
      </c>
      <c r="D30" s="138">
        <v>0.011</v>
      </c>
      <c r="E30" s="188">
        <f>E23*D30</f>
        <v>15.93592</v>
      </c>
      <c r="F30" s="18"/>
      <c r="G30" s="18"/>
      <c r="H30" s="18"/>
      <c r="I30" s="18"/>
      <c r="J30" s="18"/>
      <c r="K30" s="18"/>
      <c r="L30" s="292"/>
    </row>
    <row r="31" spans="1:12" ht="18">
      <c r="A31" s="43"/>
      <c r="B31" s="113" t="s">
        <v>442</v>
      </c>
      <c r="C31" s="42"/>
      <c r="D31" s="128"/>
      <c r="E31" s="187"/>
      <c r="F31" s="187"/>
      <c r="G31" s="187"/>
      <c r="H31" s="187"/>
      <c r="I31" s="187"/>
      <c r="J31" s="187"/>
      <c r="K31" s="187"/>
      <c r="L31" s="294"/>
    </row>
    <row r="32" spans="1:12" ht="72">
      <c r="A32" s="130">
        <f>A23+1</f>
        <v>5</v>
      </c>
      <c r="B32" s="129" t="s">
        <v>441</v>
      </c>
      <c r="C32" s="130" t="s">
        <v>469</v>
      </c>
      <c r="D32" s="299"/>
      <c r="E32" s="183">
        <v>1448.72</v>
      </c>
      <c r="F32" s="280"/>
      <c r="G32" s="280"/>
      <c r="H32" s="280"/>
      <c r="I32" s="280"/>
      <c r="J32" s="280"/>
      <c r="K32" s="280"/>
      <c r="L32" s="291"/>
    </row>
    <row r="33" spans="1:12" ht="30">
      <c r="A33" s="227"/>
      <c r="B33" s="134" t="s">
        <v>122</v>
      </c>
      <c r="C33" s="135" t="s">
        <v>17</v>
      </c>
      <c r="D33" s="138">
        <f>42.9*0.001</f>
        <v>0.0429</v>
      </c>
      <c r="E33" s="188">
        <f>D33*E32</f>
        <v>62.150088000000004</v>
      </c>
      <c r="F33" s="18"/>
      <c r="G33" s="18"/>
      <c r="H33" s="18"/>
      <c r="I33" s="18"/>
      <c r="J33" s="18"/>
      <c r="K33" s="18"/>
      <c r="L33" s="292"/>
    </row>
    <row r="34" spans="1:12" ht="30">
      <c r="A34" s="227"/>
      <c r="B34" s="134" t="s">
        <v>439</v>
      </c>
      <c r="C34" s="135" t="s">
        <v>124</v>
      </c>
      <c r="D34" s="136">
        <f>2.69*0.001</f>
        <v>0.00269</v>
      </c>
      <c r="E34" s="188">
        <f>E32*D34</f>
        <v>3.8970568</v>
      </c>
      <c r="F34" s="18"/>
      <c r="G34" s="18"/>
      <c r="H34" s="18"/>
      <c r="I34" s="18"/>
      <c r="J34" s="18"/>
      <c r="K34" s="18"/>
      <c r="L34" s="292"/>
    </row>
    <row r="35" spans="1:12" ht="30">
      <c r="A35" s="227"/>
      <c r="B35" s="134" t="s">
        <v>388</v>
      </c>
      <c r="C35" s="135" t="s">
        <v>124</v>
      </c>
      <c r="D35" s="136">
        <f>0.41*0.001</f>
        <v>0.00041</v>
      </c>
      <c r="E35" s="188">
        <f>E32*D35</f>
        <v>0.5939752</v>
      </c>
      <c r="F35" s="18"/>
      <c r="G35" s="18"/>
      <c r="H35" s="18"/>
      <c r="I35" s="18"/>
      <c r="J35" s="18"/>
      <c r="K35" s="18"/>
      <c r="L35" s="292"/>
    </row>
    <row r="36" spans="1:12" ht="30">
      <c r="A36" s="227"/>
      <c r="B36" s="134" t="s">
        <v>394</v>
      </c>
      <c r="C36" s="135" t="s">
        <v>124</v>
      </c>
      <c r="D36" s="138">
        <f>7.6*0.001</f>
        <v>0.0076</v>
      </c>
      <c r="E36" s="188">
        <f>E32*D36</f>
        <v>11.010272</v>
      </c>
      <c r="F36" s="18"/>
      <c r="G36" s="18"/>
      <c r="H36" s="18"/>
      <c r="I36" s="18"/>
      <c r="J36" s="18"/>
      <c r="K36" s="18"/>
      <c r="L36" s="292"/>
    </row>
    <row r="37" spans="1:12" ht="30">
      <c r="A37" s="227"/>
      <c r="B37" s="134" t="s">
        <v>393</v>
      </c>
      <c r="C37" s="135" t="s">
        <v>124</v>
      </c>
      <c r="D37" s="138">
        <f>7.4*0.001</f>
        <v>0.0074</v>
      </c>
      <c r="E37" s="188">
        <f>E32*D37</f>
        <v>10.720528</v>
      </c>
      <c r="F37" s="18"/>
      <c r="G37" s="18"/>
      <c r="H37" s="18"/>
      <c r="I37" s="18"/>
      <c r="J37" s="18"/>
      <c r="K37" s="18"/>
      <c r="L37" s="292"/>
    </row>
    <row r="38" spans="1:12" ht="15">
      <c r="A38" s="227"/>
      <c r="B38" s="251" t="s">
        <v>387</v>
      </c>
      <c r="C38" s="250" t="s">
        <v>124</v>
      </c>
      <c r="D38" s="136">
        <f>1.48*0.001</f>
        <v>0.00148</v>
      </c>
      <c r="E38" s="188">
        <f>E32*D38</f>
        <v>2.1441056</v>
      </c>
      <c r="F38" s="18"/>
      <c r="G38" s="18"/>
      <c r="H38" s="18"/>
      <c r="I38" s="18"/>
      <c r="J38" s="18"/>
      <c r="K38" s="18"/>
      <c r="L38" s="292"/>
    </row>
    <row r="39" spans="1:12" ht="17.25">
      <c r="A39" s="227"/>
      <c r="B39" s="143" t="s">
        <v>403</v>
      </c>
      <c r="C39" s="250" t="s">
        <v>468</v>
      </c>
      <c r="D39" s="138">
        <f>(149+12.4*8)*0.001</f>
        <v>0.2482</v>
      </c>
      <c r="E39" s="188">
        <f>E32*D39</f>
        <v>359.57230400000003</v>
      </c>
      <c r="F39" s="18"/>
      <c r="G39" s="18"/>
      <c r="H39" s="18"/>
      <c r="I39" s="18"/>
      <c r="J39" s="18"/>
      <c r="K39" s="18"/>
      <c r="L39" s="292"/>
    </row>
    <row r="40" spans="1:12" ht="17.25">
      <c r="A40" s="227"/>
      <c r="B40" s="134" t="s">
        <v>385</v>
      </c>
      <c r="C40" s="250" t="s">
        <v>468</v>
      </c>
      <c r="D40" s="138">
        <v>0.011</v>
      </c>
      <c r="E40" s="188">
        <f>E32*D40</f>
        <v>15.93592</v>
      </c>
      <c r="F40" s="18"/>
      <c r="G40" s="18"/>
      <c r="H40" s="18"/>
      <c r="I40" s="18"/>
      <c r="J40" s="18"/>
      <c r="K40" s="18"/>
      <c r="L40" s="292"/>
    </row>
    <row r="41" spans="1:12" ht="108">
      <c r="A41" s="130">
        <f>A32+1</f>
        <v>6</v>
      </c>
      <c r="B41" s="129" t="s">
        <v>440</v>
      </c>
      <c r="C41" s="130" t="s">
        <v>469</v>
      </c>
      <c r="D41" s="299"/>
      <c r="E41" s="183">
        <v>197</v>
      </c>
      <c r="F41" s="280"/>
      <c r="G41" s="280"/>
      <c r="H41" s="280"/>
      <c r="I41" s="280"/>
      <c r="J41" s="280"/>
      <c r="K41" s="280"/>
      <c r="L41" s="291"/>
    </row>
    <row r="42" spans="1:12" ht="30">
      <c r="A42" s="227"/>
      <c r="B42" s="134" t="s">
        <v>122</v>
      </c>
      <c r="C42" s="135" t="s">
        <v>17</v>
      </c>
      <c r="D42" s="138">
        <f>42.9*0.001</f>
        <v>0.0429</v>
      </c>
      <c r="E42" s="188">
        <f>D42*E41</f>
        <v>8.4513</v>
      </c>
      <c r="F42" s="18"/>
      <c r="G42" s="18"/>
      <c r="H42" s="18"/>
      <c r="I42" s="18"/>
      <c r="J42" s="18"/>
      <c r="K42" s="18"/>
      <c r="L42" s="292"/>
    </row>
    <row r="43" spans="1:12" ht="30">
      <c r="A43" s="227"/>
      <c r="B43" s="134" t="s">
        <v>439</v>
      </c>
      <c r="C43" s="135" t="s">
        <v>124</v>
      </c>
      <c r="D43" s="136">
        <f>2.69*0.001</f>
        <v>0.00269</v>
      </c>
      <c r="E43" s="188">
        <f>E41*D43</f>
        <v>0.52993</v>
      </c>
      <c r="F43" s="18"/>
      <c r="G43" s="18"/>
      <c r="H43" s="18"/>
      <c r="I43" s="18"/>
      <c r="J43" s="18"/>
      <c r="K43" s="18"/>
      <c r="L43" s="292"/>
    </row>
    <row r="44" spans="1:12" ht="30">
      <c r="A44" s="227"/>
      <c r="B44" s="134" t="s">
        <v>388</v>
      </c>
      <c r="C44" s="135" t="s">
        <v>124</v>
      </c>
      <c r="D44" s="136">
        <f>0.41*0.001</f>
        <v>0.00041</v>
      </c>
      <c r="E44" s="188">
        <f>E41*D44</f>
        <v>0.08077</v>
      </c>
      <c r="F44" s="18"/>
      <c r="G44" s="18"/>
      <c r="H44" s="18"/>
      <c r="I44" s="18"/>
      <c r="J44" s="18"/>
      <c r="K44" s="18"/>
      <c r="L44" s="292"/>
    </row>
    <row r="45" spans="1:12" ht="30">
      <c r="A45" s="227"/>
      <c r="B45" s="134" t="s">
        <v>394</v>
      </c>
      <c r="C45" s="135" t="s">
        <v>124</v>
      </c>
      <c r="D45" s="138">
        <f>7.6*0.001</f>
        <v>0.0076</v>
      </c>
      <c r="E45" s="188">
        <f>E41*D45</f>
        <v>1.4972</v>
      </c>
      <c r="F45" s="18"/>
      <c r="G45" s="18"/>
      <c r="H45" s="18"/>
      <c r="I45" s="18"/>
      <c r="J45" s="18"/>
      <c r="K45" s="18"/>
      <c r="L45" s="292"/>
    </row>
    <row r="46" spans="1:12" ht="30">
      <c r="A46" s="227"/>
      <c r="B46" s="134" t="s">
        <v>393</v>
      </c>
      <c r="C46" s="135" t="s">
        <v>124</v>
      </c>
      <c r="D46" s="138">
        <f>7.4*0.001</f>
        <v>0.0074</v>
      </c>
      <c r="E46" s="188">
        <f>E41*D46</f>
        <v>1.4578</v>
      </c>
      <c r="F46" s="18"/>
      <c r="G46" s="18"/>
      <c r="H46" s="18"/>
      <c r="I46" s="18"/>
      <c r="J46" s="18"/>
      <c r="K46" s="18"/>
      <c r="L46" s="292"/>
    </row>
    <row r="47" spans="1:12" ht="15">
      <c r="A47" s="227"/>
      <c r="B47" s="251" t="s">
        <v>387</v>
      </c>
      <c r="C47" s="250" t="s">
        <v>124</v>
      </c>
      <c r="D47" s="136">
        <f>1.48*0.001</f>
        <v>0.00148</v>
      </c>
      <c r="E47" s="188">
        <f>E41*D47</f>
        <v>0.29156</v>
      </c>
      <c r="F47" s="18"/>
      <c r="G47" s="18"/>
      <c r="H47" s="18"/>
      <c r="I47" s="18"/>
      <c r="J47" s="18"/>
      <c r="K47" s="18"/>
      <c r="L47" s="292"/>
    </row>
    <row r="48" spans="1:12" ht="17.25">
      <c r="A48" s="227"/>
      <c r="B48" s="143" t="s">
        <v>403</v>
      </c>
      <c r="C48" s="250" t="s">
        <v>468</v>
      </c>
      <c r="D48" s="138">
        <f>(149+12.4*8)*0.001</f>
        <v>0.2482</v>
      </c>
      <c r="E48" s="188">
        <f>E41*D48</f>
        <v>48.8954</v>
      </c>
      <c r="F48" s="18"/>
      <c r="G48" s="18"/>
      <c r="H48" s="18"/>
      <c r="I48" s="18"/>
      <c r="J48" s="18"/>
      <c r="K48" s="18"/>
      <c r="L48" s="292"/>
    </row>
    <row r="49" spans="1:12" ht="17.25">
      <c r="A49" s="227"/>
      <c r="B49" s="134" t="s">
        <v>385</v>
      </c>
      <c r="C49" s="250" t="s">
        <v>468</v>
      </c>
      <c r="D49" s="138">
        <v>0.011</v>
      </c>
      <c r="E49" s="188">
        <f>E41*D49</f>
        <v>2.167</v>
      </c>
      <c r="F49" s="18"/>
      <c r="G49" s="18"/>
      <c r="H49" s="18"/>
      <c r="I49" s="18"/>
      <c r="J49" s="18"/>
      <c r="K49" s="18"/>
      <c r="L49" s="292"/>
    </row>
    <row r="50" spans="1:12" ht="18">
      <c r="A50" s="43"/>
      <c r="B50" s="113" t="s">
        <v>438</v>
      </c>
      <c r="C50" s="42"/>
      <c r="D50" s="128"/>
      <c r="E50" s="187"/>
      <c r="F50" s="187"/>
      <c r="G50" s="187"/>
      <c r="H50" s="187"/>
      <c r="I50" s="187"/>
      <c r="J50" s="187"/>
      <c r="K50" s="187"/>
      <c r="L50" s="295"/>
    </row>
    <row r="51" spans="1:12" ht="72">
      <c r="A51" s="130">
        <f>A41+1</f>
        <v>7</v>
      </c>
      <c r="B51" s="129" t="s">
        <v>437</v>
      </c>
      <c r="C51" s="130" t="s">
        <v>456</v>
      </c>
      <c r="D51" s="301"/>
      <c r="E51" s="183">
        <v>189</v>
      </c>
      <c r="F51" s="280"/>
      <c r="G51" s="280"/>
      <c r="H51" s="280"/>
      <c r="I51" s="280"/>
      <c r="J51" s="280"/>
      <c r="K51" s="280"/>
      <c r="L51" s="291"/>
    </row>
    <row r="52" spans="1:12" ht="30">
      <c r="A52" s="227"/>
      <c r="B52" s="134" t="s">
        <v>122</v>
      </c>
      <c r="C52" s="135" t="s">
        <v>17</v>
      </c>
      <c r="D52" s="138">
        <f>0.0132+0.00323</f>
        <v>0.01643</v>
      </c>
      <c r="E52" s="188">
        <f>D52*E51</f>
        <v>3.10527</v>
      </c>
      <c r="F52" s="18"/>
      <c r="G52" s="18"/>
      <c r="H52" s="18"/>
      <c r="I52" s="18"/>
      <c r="J52" s="18"/>
      <c r="K52" s="18"/>
      <c r="L52" s="292"/>
    </row>
    <row r="53" spans="1:12" ht="17.25">
      <c r="A53" s="227"/>
      <c r="B53" s="134" t="s">
        <v>491</v>
      </c>
      <c r="C53" s="135" t="s">
        <v>124</v>
      </c>
      <c r="D53" s="138">
        <v>0.0295</v>
      </c>
      <c r="E53" s="188">
        <f>E51*D53</f>
        <v>5.5755</v>
      </c>
      <c r="F53" s="18"/>
      <c r="G53" s="18"/>
      <c r="H53" s="18"/>
      <c r="I53" s="18"/>
      <c r="J53" s="18"/>
      <c r="K53" s="18"/>
      <c r="L53" s="292"/>
    </row>
    <row r="54" spans="1:12" ht="15">
      <c r="A54" s="227"/>
      <c r="B54" s="134" t="s">
        <v>125</v>
      </c>
      <c r="C54" s="135" t="s">
        <v>126</v>
      </c>
      <c r="D54" s="136">
        <f>0.0021+0.00018</f>
        <v>0.00228</v>
      </c>
      <c r="E54" s="188">
        <f>E51*D54</f>
        <v>0.43091999999999997</v>
      </c>
      <c r="F54" s="18"/>
      <c r="G54" s="18"/>
      <c r="H54" s="18"/>
      <c r="I54" s="18"/>
      <c r="J54" s="18"/>
      <c r="K54" s="18"/>
      <c r="L54" s="292"/>
    </row>
    <row r="55" spans="1:12" ht="15">
      <c r="A55" s="227"/>
      <c r="B55" s="134" t="s">
        <v>436</v>
      </c>
      <c r="C55" s="135" t="s">
        <v>124</v>
      </c>
      <c r="D55" s="136">
        <v>0.00263</v>
      </c>
      <c r="E55" s="188">
        <f>E51*D55</f>
        <v>0.49707</v>
      </c>
      <c r="F55" s="18"/>
      <c r="G55" s="18"/>
      <c r="H55" s="18"/>
      <c r="I55" s="18"/>
      <c r="J55" s="18"/>
      <c r="K55" s="18"/>
      <c r="L55" s="292"/>
    </row>
    <row r="56" spans="1:12" ht="17.25">
      <c r="A56" s="227"/>
      <c r="B56" s="134" t="s">
        <v>108</v>
      </c>
      <c r="C56" s="135" t="s">
        <v>468</v>
      </c>
      <c r="D56" s="136">
        <f>0.00005+0.00004</f>
        <v>9E-05</v>
      </c>
      <c r="E56" s="188">
        <f>E51*D56</f>
        <v>0.01701</v>
      </c>
      <c r="F56" s="18"/>
      <c r="G56" s="18"/>
      <c r="H56" s="18"/>
      <c r="I56" s="18"/>
      <c r="J56" s="18"/>
      <c r="K56" s="18"/>
      <c r="L56" s="292"/>
    </row>
    <row r="57" spans="1:12" ht="30">
      <c r="A57" s="130">
        <f>A51+1</f>
        <v>8</v>
      </c>
      <c r="B57" s="142" t="s">
        <v>435</v>
      </c>
      <c r="C57" s="130" t="s">
        <v>456</v>
      </c>
      <c r="D57" s="290"/>
      <c r="E57" s="183">
        <v>21</v>
      </c>
      <c r="F57" s="183"/>
      <c r="G57" s="183"/>
      <c r="H57" s="183"/>
      <c r="I57" s="183"/>
      <c r="J57" s="183"/>
      <c r="K57" s="183"/>
      <c r="L57" s="291"/>
    </row>
    <row r="58" spans="1:12" ht="36">
      <c r="A58" s="43"/>
      <c r="B58" s="132" t="s">
        <v>122</v>
      </c>
      <c r="C58" s="42" t="s">
        <v>17</v>
      </c>
      <c r="D58" s="133">
        <f>2.06+0.12</f>
        <v>2.18</v>
      </c>
      <c r="E58" s="187">
        <f>D58*E57</f>
        <v>45.78</v>
      </c>
      <c r="F58" s="18"/>
      <c r="G58" s="18"/>
      <c r="H58" s="18"/>
      <c r="I58" s="18"/>
      <c r="J58" s="18"/>
      <c r="K58" s="18"/>
      <c r="L58" s="292"/>
    </row>
    <row r="59" spans="1:12" ht="45">
      <c r="A59" s="228" t="s">
        <v>434</v>
      </c>
      <c r="B59" s="142" t="s">
        <v>433</v>
      </c>
      <c r="C59" s="228" t="s">
        <v>474</v>
      </c>
      <c r="D59" s="118"/>
      <c r="E59" s="179">
        <f>E57</f>
        <v>21</v>
      </c>
      <c r="F59" s="179"/>
      <c r="G59" s="179"/>
      <c r="H59" s="179"/>
      <c r="I59" s="179"/>
      <c r="J59" s="179"/>
      <c r="K59" s="179"/>
      <c r="L59" s="258"/>
    </row>
    <row r="60" spans="1:12" ht="30">
      <c r="A60" s="227"/>
      <c r="B60" s="134" t="s">
        <v>122</v>
      </c>
      <c r="C60" s="135" t="s">
        <v>17</v>
      </c>
      <c r="D60" s="136">
        <v>1.54</v>
      </c>
      <c r="E60" s="188">
        <f>D60*E59</f>
        <v>32.34</v>
      </c>
      <c r="F60" s="18"/>
      <c r="G60" s="18"/>
      <c r="H60" s="18"/>
      <c r="I60" s="18"/>
      <c r="J60" s="18"/>
      <c r="K60" s="18"/>
      <c r="L60" s="292"/>
    </row>
    <row r="61" spans="1:12" ht="17.25">
      <c r="A61" s="228" t="s">
        <v>432</v>
      </c>
      <c r="B61" s="142" t="s">
        <v>431</v>
      </c>
      <c r="C61" s="228" t="s">
        <v>474</v>
      </c>
      <c r="D61" s="118"/>
      <c r="E61" s="179">
        <f>E59</f>
        <v>21</v>
      </c>
      <c r="F61" s="179"/>
      <c r="G61" s="179"/>
      <c r="H61" s="179"/>
      <c r="I61" s="179"/>
      <c r="J61" s="179"/>
      <c r="K61" s="179"/>
      <c r="L61" s="258"/>
    </row>
    <row r="62" spans="1:12" ht="30">
      <c r="A62" s="227"/>
      <c r="B62" s="134" t="s">
        <v>122</v>
      </c>
      <c r="C62" s="135" t="s">
        <v>17</v>
      </c>
      <c r="D62" s="136">
        <f>3.23*0.001</f>
        <v>0.0032300000000000002</v>
      </c>
      <c r="E62" s="188">
        <f>D62*E61</f>
        <v>0.06783</v>
      </c>
      <c r="F62" s="18"/>
      <c r="G62" s="18"/>
      <c r="H62" s="18"/>
      <c r="I62" s="18"/>
      <c r="J62" s="18"/>
      <c r="K62" s="18"/>
      <c r="L62" s="292"/>
    </row>
    <row r="63" spans="1:12" ht="15">
      <c r="A63" s="227"/>
      <c r="B63" s="134" t="s">
        <v>430</v>
      </c>
      <c r="C63" s="135" t="s">
        <v>124</v>
      </c>
      <c r="D63" s="136">
        <f>3.62*0.001</f>
        <v>0.0036200000000000004</v>
      </c>
      <c r="E63" s="188">
        <f>D63*E61</f>
        <v>0.07602</v>
      </c>
      <c r="F63" s="18"/>
      <c r="G63" s="18"/>
      <c r="H63" s="18"/>
      <c r="I63" s="18"/>
      <c r="J63" s="18"/>
      <c r="K63" s="18"/>
      <c r="L63" s="292"/>
    </row>
    <row r="64" spans="1:12" ht="15">
      <c r="A64" s="227"/>
      <c r="B64" s="134" t="s">
        <v>125</v>
      </c>
      <c r="C64" s="135" t="s">
        <v>126</v>
      </c>
      <c r="D64" s="136">
        <f>0.18*0.001</f>
        <v>0.00017999999999999998</v>
      </c>
      <c r="E64" s="188">
        <f>D64*E61</f>
        <v>0.0037799999999999995</v>
      </c>
      <c r="F64" s="18"/>
      <c r="G64" s="18"/>
      <c r="H64" s="18"/>
      <c r="I64" s="18"/>
      <c r="J64" s="18"/>
      <c r="K64" s="18"/>
      <c r="L64" s="292"/>
    </row>
    <row r="65" spans="1:12" ht="17.25">
      <c r="A65" s="227"/>
      <c r="B65" s="134" t="s">
        <v>108</v>
      </c>
      <c r="C65" s="135" t="s">
        <v>468</v>
      </c>
      <c r="D65" s="136">
        <f>0.04*0.001</f>
        <v>4E-05</v>
      </c>
      <c r="E65" s="188">
        <f>D65*E61</f>
        <v>0.00084</v>
      </c>
      <c r="F65" s="18"/>
      <c r="G65" s="18"/>
      <c r="H65" s="18"/>
      <c r="I65" s="18"/>
      <c r="J65" s="18"/>
      <c r="K65" s="18"/>
      <c r="L65" s="292"/>
    </row>
    <row r="66" spans="1:12" ht="54">
      <c r="A66" s="282">
        <f>A57+1</f>
        <v>9</v>
      </c>
      <c r="B66" s="129" t="s">
        <v>413</v>
      </c>
      <c r="C66" s="130" t="s">
        <v>456</v>
      </c>
      <c r="D66" s="301"/>
      <c r="E66" s="183">
        <v>140</v>
      </c>
      <c r="F66" s="183"/>
      <c r="G66" s="183"/>
      <c r="H66" s="183"/>
      <c r="I66" s="183"/>
      <c r="J66" s="183"/>
      <c r="K66" s="183"/>
      <c r="L66" s="291"/>
    </row>
    <row r="67" spans="1:12" ht="36">
      <c r="A67" s="283"/>
      <c r="B67" s="132" t="s">
        <v>378</v>
      </c>
      <c r="C67" s="42" t="s">
        <v>116</v>
      </c>
      <c r="D67" s="128">
        <v>1.6</v>
      </c>
      <c r="E67" s="187">
        <f>E66*D67</f>
        <v>224</v>
      </c>
      <c r="F67" s="18"/>
      <c r="G67" s="18"/>
      <c r="H67" s="18"/>
      <c r="I67" s="18"/>
      <c r="J67" s="18"/>
      <c r="K67" s="18"/>
      <c r="L67" s="292"/>
    </row>
    <row r="68" spans="1:12" ht="54">
      <c r="A68" s="130">
        <f>A66+1</f>
        <v>10</v>
      </c>
      <c r="B68" s="129" t="s">
        <v>454</v>
      </c>
      <c r="C68" s="130" t="s">
        <v>479</v>
      </c>
      <c r="D68" s="144"/>
      <c r="E68" s="183">
        <v>15.7</v>
      </c>
      <c r="F68" s="183"/>
      <c r="G68" s="183"/>
      <c r="H68" s="183"/>
      <c r="I68" s="183"/>
      <c r="J68" s="183"/>
      <c r="K68" s="183"/>
      <c r="L68" s="291"/>
    </row>
    <row r="69" spans="1:12" ht="36">
      <c r="A69" s="43"/>
      <c r="B69" s="132" t="s">
        <v>122</v>
      </c>
      <c r="C69" s="42" t="s">
        <v>17</v>
      </c>
      <c r="D69" s="137">
        <f>8*0.8</f>
        <v>6.4</v>
      </c>
      <c r="E69" s="188">
        <f>D69*E68</f>
        <v>100.48</v>
      </c>
      <c r="F69" s="18"/>
      <c r="G69" s="18"/>
      <c r="H69" s="18"/>
      <c r="I69" s="18"/>
      <c r="J69" s="18"/>
      <c r="K69" s="18"/>
      <c r="L69" s="292"/>
    </row>
    <row r="70" spans="1:12" ht="18">
      <c r="A70" s="43"/>
      <c r="B70" s="132" t="s">
        <v>123</v>
      </c>
      <c r="C70" s="42" t="s">
        <v>124</v>
      </c>
      <c r="D70" s="151">
        <f>1.98*0.8</f>
        <v>1.584</v>
      </c>
      <c r="E70" s="188">
        <f>E68*D70</f>
        <v>24.8688</v>
      </c>
      <c r="F70" s="18"/>
      <c r="G70" s="18"/>
      <c r="H70" s="18"/>
      <c r="I70" s="18"/>
      <c r="J70" s="18"/>
      <c r="K70" s="18"/>
      <c r="L70" s="292"/>
    </row>
    <row r="71" spans="1:12" ht="18">
      <c r="A71" s="43"/>
      <c r="B71" s="132" t="s">
        <v>132</v>
      </c>
      <c r="C71" s="42" t="s">
        <v>126</v>
      </c>
      <c r="D71" s="137">
        <f>6.36*0.8</f>
        <v>5.088000000000001</v>
      </c>
      <c r="E71" s="188">
        <f>E68*D71</f>
        <v>79.8816</v>
      </c>
      <c r="F71" s="18"/>
      <c r="G71" s="18"/>
      <c r="H71" s="18"/>
      <c r="I71" s="18"/>
      <c r="J71" s="18"/>
      <c r="K71" s="18"/>
      <c r="L71" s="292"/>
    </row>
    <row r="72" spans="1:12" ht="36">
      <c r="A72" s="130">
        <f>A68+1</f>
        <v>11</v>
      </c>
      <c r="B72" s="129" t="s">
        <v>481</v>
      </c>
      <c r="C72" s="130" t="s">
        <v>479</v>
      </c>
      <c r="D72" s="290"/>
      <c r="E72" s="183">
        <v>27.160000000000004</v>
      </c>
      <c r="F72" s="183"/>
      <c r="G72" s="183"/>
      <c r="H72" s="183"/>
      <c r="I72" s="183"/>
      <c r="J72" s="183"/>
      <c r="K72" s="183"/>
      <c r="L72" s="291"/>
    </row>
    <row r="73" spans="1:12" ht="30">
      <c r="A73" s="227"/>
      <c r="B73" s="134" t="s">
        <v>122</v>
      </c>
      <c r="C73" s="135" t="s">
        <v>17</v>
      </c>
      <c r="D73" s="136">
        <v>0.8</v>
      </c>
      <c r="E73" s="188">
        <f>D73*E72</f>
        <v>21.728000000000005</v>
      </c>
      <c r="F73" s="18"/>
      <c r="G73" s="18"/>
      <c r="H73" s="18"/>
      <c r="I73" s="18"/>
      <c r="J73" s="18"/>
      <c r="K73" s="18"/>
      <c r="L73" s="292"/>
    </row>
    <row r="74" spans="1:12" ht="15">
      <c r="A74" s="227"/>
      <c r="B74" s="134" t="s">
        <v>125</v>
      </c>
      <c r="C74" s="135" t="s">
        <v>126</v>
      </c>
      <c r="D74" s="138">
        <v>0.32</v>
      </c>
      <c r="E74" s="188">
        <f>E72*D74</f>
        <v>8.691200000000002</v>
      </c>
      <c r="F74" s="18"/>
      <c r="G74" s="18"/>
      <c r="H74" s="18"/>
      <c r="I74" s="18"/>
      <c r="J74" s="18"/>
      <c r="K74" s="18"/>
      <c r="L74" s="292"/>
    </row>
    <row r="75" spans="1:12" ht="17.25">
      <c r="A75" s="227"/>
      <c r="B75" s="134" t="s">
        <v>429</v>
      </c>
      <c r="C75" s="250" t="s">
        <v>468</v>
      </c>
      <c r="D75" s="151">
        <v>1.15</v>
      </c>
      <c r="E75" s="188">
        <f>E72*D75</f>
        <v>31.234</v>
      </c>
      <c r="F75" s="18"/>
      <c r="G75" s="18"/>
      <c r="H75" s="18"/>
      <c r="I75" s="18"/>
      <c r="J75" s="18"/>
      <c r="K75" s="18"/>
      <c r="L75" s="292"/>
    </row>
    <row r="76" spans="1:12" ht="17.25">
      <c r="A76" s="227"/>
      <c r="B76" s="134" t="s">
        <v>132</v>
      </c>
      <c r="C76" s="135" t="s">
        <v>492</v>
      </c>
      <c r="D76" s="138">
        <v>0.02</v>
      </c>
      <c r="E76" s="188">
        <f>E72*D76</f>
        <v>0.5432000000000001</v>
      </c>
      <c r="F76" s="18"/>
      <c r="G76" s="18"/>
      <c r="H76" s="18"/>
      <c r="I76" s="18"/>
      <c r="J76" s="18"/>
      <c r="K76" s="18"/>
      <c r="L76" s="292"/>
    </row>
    <row r="77" spans="1:12" ht="108">
      <c r="A77" s="130">
        <f>A72+1</f>
        <v>12</v>
      </c>
      <c r="B77" s="129" t="s">
        <v>487</v>
      </c>
      <c r="C77" s="130" t="s">
        <v>479</v>
      </c>
      <c r="D77" s="284"/>
      <c r="E77" s="183">
        <v>65.96000000000001</v>
      </c>
      <c r="F77" s="183"/>
      <c r="G77" s="183"/>
      <c r="H77" s="183"/>
      <c r="I77" s="183"/>
      <c r="J77" s="183"/>
      <c r="K77" s="183"/>
      <c r="L77" s="291"/>
    </row>
    <row r="78" spans="1:12" ht="15.75">
      <c r="A78" s="285"/>
      <c r="B78" s="120" t="s">
        <v>31</v>
      </c>
      <c r="C78" s="121" t="s">
        <v>40</v>
      </c>
      <c r="D78" s="24">
        <v>2.96</v>
      </c>
      <c r="E78" s="6">
        <f>E77*D78</f>
        <v>195.24160000000003</v>
      </c>
      <c r="F78" s="192"/>
      <c r="G78" s="192"/>
      <c r="H78" s="181"/>
      <c r="I78" s="181"/>
      <c r="J78" s="181"/>
      <c r="K78" s="181"/>
      <c r="L78" s="259"/>
    </row>
    <row r="79" spans="1:12" ht="15.75">
      <c r="A79" s="285"/>
      <c r="B79" s="120" t="s">
        <v>72</v>
      </c>
      <c r="C79" s="121" t="s">
        <v>29</v>
      </c>
      <c r="D79" s="25">
        <v>0.624</v>
      </c>
      <c r="E79" s="6">
        <f>E77*D79</f>
        <v>41.159040000000005</v>
      </c>
      <c r="F79" s="192"/>
      <c r="G79" s="192"/>
      <c r="H79" s="181"/>
      <c r="I79" s="181"/>
      <c r="J79" s="181"/>
      <c r="K79" s="181"/>
      <c r="L79" s="259"/>
    </row>
    <row r="80" spans="1:12" ht="18">
      <c r="A80" s="285"/>
      <c r="B80" s="88" t="s">
        <v>374</v>
      </c>
      <c r="C80" s="62" t="s">
        <v>373</v>
      </c>
      <c r="D80" s="63">
        <v>1.02</v>
      </c>
      <c r="E80" s="191">
        <f>E77*D80</f>
        <v>67.2792</v>
      </c>
      <c r="F80" s="192"/>
      <c r="G80" s="192"/>
      <c r="H80" s="181"/>
      <c r="I80" s="181"/>
      <c r="J80" s="181"/>
      <c r="K80" s="181"/>
      <c r="L80" s="182"/>
    </row>
    <row r="81" spans="1:12" ht="15.75">
      <c r="A81" s="285"/>
      <c r="B81" s="88" t="s">
        <v>485</v>
      </c>
      <c r="C81" s="62" t="s">
        <v>61</v>
      </c>
      <c r="D81" s="62" t="s">
        <v>484</v>
      </c>
      <c r="E81" s="191">
        <v>6.28</v>
      </c>
      <c r="F81" s="192"/>
      <c r="G81" s="192"/>
      <c r="H81" s="181"/>
      <c r="I81" s="181"/>
      <c r="J81" s="181"/>
      <c r="K81" s="181"/>
      <c r="L81" s="182"/>
    </row>
    <row r="82" spans="1:12" ht="15.75">
      <c r="A82" s="285"/>
      <c r="B82" s="88" t="s">
        <v>482</v>
      </c>
      <c r="C82" s="62" t="s">
        <v>57</v>
      </c>
      <c r="D82" s="62"/>
      <c r="E82" s="191">
        <v>40</v>
      </c>
      <c r="F82" s="192"/>
      <c r="G82" s="192"/>
      <c r="H82" s="181"/>
      <c r="I82" s="181"/>
      <c r="J82" s="181"/>
      <c r="K82" s="181"/>
      <c r="L82" s="182"/>
    </row>
    <row r="83" spans="1:12" ht="15.75">
      <c r="A83" s="285"/>
      <c r="B83" s="88" t="s">
        <v>483</v>
      </c>
      <c r="C83" s="62" t="s">
        <v>417</v>
      </c>
      <c r="D83" s="62"/>
      <c r="E83" s="191">
        <v>15</v>
      </c>
      <c r="F83" s="192"/>
      <c r="G83" s="192"/>
      <c r="H83" s="181"/>
      <c r="I83" s="181"/>
      <c r="J83" s="181"/>
      <c r="K83" s="181"/>
      <c r="L83" s="182"/>
    </row>
    <row r="84" spans="1:12" ht="15.75">
      <c r="A84" s="285"/>
      <c r="B84" s="88" t="s">
        <v>73</v>
      </c>
      <c r="C84" s="62" t="s">
        <v>29</v>
      </c>
      <c r="D84" s="62">
        <v>0.88</v>
      </c>
      <c r="E84" s="191">
        <f>E77*D84</f>
        <v>58.04480000000001</v>
      </c>
      <c r="F84" s="192"/>
      <c r="G84" s="192"/>
      <c r="H84" s="181"/>
      <c r="I84" s="181"/>
      <c r="J84" s="181"/>
      <c r="K84" s="181"/>
      <c r="L84" s="182"/>
    </row>
    <row r="85" spans="1:12" ht="36">
      <c r="A85" s="130">
        <f>A77+1</f>
        <v>13</v>
      </c>
      <c r="B85" s="129" t="s">
        <v>428</v>
      </c>
      <c r="C85" s="130" t="s">
        <v>116</v>
      </c>
      <c r="D85" s="284"/>
      <c r="E85" s="183">
        <v>1.6985599999999998</v>
      </c>
      <c r="F85" s="183"/>
      <c r="G85" s="183"/>
      <c r="H85" s="183"/>
      <c r="I85" s="183"/>
      <c r="J85" s="183"/>
      <c r="K85" s="183"/>
      <c r="L85" s="291"/>
    </row>
    <row r="86" spans="1:12" ht="16.5">
      <c r="A86" s="235"/>
      <c r="B86" s="120" t="s">
        <v>31</v>
      </c>
      <c r="C86" s="121" t="s">
        <v>17</v>
      </c>
      <c r="D86" s="61">
        <v>37.4</v>
      </c>
      <c r="E86" s="18">
        <f>E85*D86</f>
        <v>63.526143999999995</v>
      </c>
      <c r="F86" s="18"/>
      <c r="G86" s="18"/>
      <c r="H86" s="18"/>
      <c r="I86" s="18"/>
      <c r="J86" s="18"/>
      <c r="K86" s="18"/>
      <c r="L86" s="292"/>
    </row>
    <row r="87" spans="1:12" ht="16.5">
      <c r="A87" s="235"/>
      <c r="B87" s="120" t="s">
        <v>72</v>
      </c>
      <c r="C87" s="121" t="s">
        <v>19</v>
      </c>
      <c r="D87" s="61">
        <v>6.32</v>
      </c>
      <c r="E87" s="18">
        <f>E85*D87</f>
        <v>10.7348992</v>
      </c>
      <c r="F87" s="18"/>
      <c r="G87" s="18"/>
      <c r="H87" s="18"/>
      <c r="I87" s="18"/>
      <c r="J87" s="18"/>
      <c r="K87" s="18"/>
      <c r="L87" s="292"/>
    </row>
    <row r="88" spans="1:12" ht="15">
      <c r="A88" s="227"/>
      <c r="B88" s="134" t="s">
        <v>427</v>
      </c>
      <c r="C88" s="135" t="s">
        <v>116</v>
      </c>
      <c r="D88" s="137">
        <v>1</v>
      </c>
      <c r="E88" s="188">
        <f>E85*D88</f>
        <v>1.6985599999999998</v>
      </c>
      <c r="F88" s="18"/>
      <c r="G88" s="18"/>
      <c r="H88" s="18"/>
      <c r="I88" s="18"/>
      <c r="J88" s="18"/>
      <c r="K88" s="18"/>
      <c r="L88" s="292"/>
    </row>
    <row r="89" spans="1:12" ht="16.5">
      <c r="A89" s="235"/>
      <c r="B89" s="120" t="s">
        <v>73</v>
      </c>
      <c r="C89" s="121" t="s">
        <v>19</v>
      </c>
      <c r="D89" s="61">
        <v>7.63</v>
      </c>
      <c r="E89" s="18">
        <f>E85*D89</f>
        <v>12.9600128</v>
      </c>
      <c r="F89" s="18"/>
      <c r="G89" s="18"/>
      <c r="H89" s="18"/>
      <c r="I89" s="18"/>
      <c r="J89" s="18"/>
      <c r="K89" s="18"/>
      <c r="L89" s="292"/>
    </row>
    <row r="90" spans="1:12" ht="36">
      <c r="A90" s="130">
        <f>A85+1</f>
        <v>14</v>
      </c>
      <c r="B90" s="129" t="s">
        <v>426</v>
      </c>
      <c r="C90" s="130" t="s">
        <v>479</v>
      </c>
      <c r="D90" s="144"/>
      <c r="E90" s="183">
        <v>47</v>
      </c>
      <c r="F90" s="183"/>
      <c r="G90" s="183"/>
      <c r="H90" s="183"/>
      <c r="I90" s="183"/>
      <c r="J90" s="183"/>
      <c r="K90" s="183"/>
      <c r="L90" s="291"/>
    </row>
    <row r="91" spans="1:12" ht="31.5" customHeight="1">
      <c r="A91" s="43"/>
      <c r="B91" s="132" t="s">
        <v>122</v>
      </c>
      <c r="C91" s="42" t="s">
        <v>17</v>
      </c>
      <c r="D91" s="64">
        <v>1.21</v>
      </c>
      <c r="E91" s="187">
        <f>D91*E90</f>
        <v>56.87</v>
      </c>
      <c r="F91" s="18"/>
      <c r="G91" s="18"/>
      <c r="H91" s="18"/>
      <c r="I91" s="18"/>
      <c r="J91" s="18"/>
      <c r="K91" s="18"/>
      <c r="L91" s="292"/>
    </row>
    <row r="92" spans="1:12" ht="18">
      <c r="A92" s="43"/>
      <c r="B92" s="113" t="s">
        <v>363</v>
      </c>
      <c r="C92" s="112"/>
      <c r="D92" s="112"/>
      <c r="E92" s="194"/>
      <c r="F92" s="193"/>
      <c r="G92" s="194"/>
      <c r="H92" s="194"/>
      <c r="I92" s="194"/>
      <c r="J92" s="194"/>
      <c r="K92" s="194"/>
      <c r="L92" s="280"/>
    </row>
    <row r="93" spans="1:12" ht="18">
      <c r="A93" s="286"/>
      <c r="B93" s="161" t="s">
        <v>100</v>
      </c>
      <c r="C93" s="208"/>
      <c r="D93" s="302"/>
      <c r="E93" s="297"/>
      <c r="F93" s="297"/>
      <c r="G93" s="297"/>
      <c r="H93" s="297"/>
      <c r="I93" s="297"/>
      <c r="J93" s="297"/>
      <c r="K93" s="297"/>
      <c r="L93" s="183"/>
    </row>
    <row r="94" spans="1:12" ht="18">
      <c r="A94" s="286"/>
      <c r="B94" s="161" t="s">
        <v>363</v>
      </c>
      <c r="C94" s="42"/>
      <c r="D94" s="302"/>
      <c r="E94" s="297"/>
      <c r="F94" s="297"/>
      <c r="G94" s="297"/>
      <c r="H94" s="297"/>
      <c r="I94" s="297"/>
      <c r="J94" s="297"/>
      <c r="K94" s="297"/>
      <c r="L94" s="183"/>
    </row>
    <row r="95" spans="1:12" ht="18">
      <c r="A95" s="286"/>
      <c r="B95" s="161" t="s">
        <v>364</v>
      </c>
      <c r="C95" s="208"/>
      <c r="D95" s="302"/>
      <c r="E95" s="297"/>
      <c r="F95" s="297"/>
      <c r="G95" s="297"/>
      <c r="H95" s="297"/>
      <c r="I95" s="297"/>
      <c r="J95" s="297"/>
      <c r="K95" s="297"/>
      <c r="L95" s="183"/>
    </row>
    <row r="96" spans="1:12" ht="18">
      <c r="A96" s="286"/>
      <c r="B96" s="161" t="s">
        <v>363</v>
      </c>
      <c r="C96" s="42"/>
      <c r="D96" s="302"/>
      <c r="E96" s="297"/>
      <c r="F96" s="297"/>
      <c r="G96" s="297"/>
      <c r="H96" s="297"/>
      <c r="I96" s="297"/>
      <c r="J96" s="297"/>
      <c r="K96" s="297"/>
      <c r="L96" s="183"/>
    </row>
    <row r="97" spans="1:12" ht="18">
      <c r="A97" s="286"/>
      <c r="B97" s="161" t="s">
        <v>103</v>
      </c>
      <c r="C97" s="208">
        <v>0.03</v>
      </c>
      <c r="D97" s="302"/>
      <c r="E97" s="297"/>
      <c r="F97" s="297"/>
      <c r="G97" s="297"/>
      <c r="H97" s="297"/>
      <c r="I97" s="297"/>
      <c r="J97" s="297"/>
      <c r="K97" s="297"/>
      <c r="L97" s="183"/>
    </row>
    <row r="98" spans="1:12" ht="18">
      <c r="A98" s="286"/>
      <c r="B98" s="161" t="s">
        <v>363</v>
      </c>
      <c r="C98" s="208"/>
      <c r="D98" s="302"/>
      <c r="E98" s="297"/>
      <c r="F98" s="297"/>
      <c r="G98" s="297"/>
      <c r="H98" s="297"/>
      <c r="I98" s="297"/>
      <c r="J98" s="297"/>
      <c r="K98" s="297"/>
      <c r="L98" s="183"/>
    </row>
    <row r="99" spans="1:12" ht="18">
      <c r="A99" s="286"/>
      <c r="B99" s="161" t="s">
        <v>362</v>
      </c>
      <c r="C99" s="208">
        <v>0.18</v>
      </c>
      <c r="D99" s="302"/>
      <c r="E99" s="297"/>
      <c r="F99" s="297"/>
      <c r="G99" s="297"/>
      <c r="H99" s="297"/>
      <c r="I99" s="297"/>
      <c r="J99" s="297"/>
      <c r="K99" s="297"/>
      <c r="L99" s="183"/>
    </row>
    <row r="100" spans="1:12" ht="18">
      <c r="A100" s="286"/>
      <c r="B100" s="161" t="s">
        <v>361</v>
      </c>
      <c r="C100" s="42"/>
      <c r="D100" s="302"/>
      <c r="E100" s="297"/>
      <c r="F100" s="297"/>
      <c r="G100" s="297"/>
      <c r="H100" s="297"/>
      <c r="I100" s="297"/>
      <c r="J100" s="297"/>
      <c r="K100" s="297"/>
      <c r="L100" s="183"/>
    </row>
    <row r="101" ht="15" customHeight="1">
      <c r="B101" s="303"/>
    </row>
    <row r="102" ht="15.75" customHeight="1">
      <c r="B102" s="344"/>
    </row>
    <row r="103" spans="2:12" ht="62.25" customHeight="1">
      <c r="B103" s="364" t="s">
        <v>568</v>
      </c>
      <c r="C103" s="364"/>
      <c r="D103" s="364"/>
      <c r="L103" s="287"/>
    </row>
    <row r="104" spans="2:4" ht="15">
      <c r="B104" s="385"/>
      <c r="C104" s="385"/>
      <c r="D104" s="385"/>
    </row>
    <row r="105" ht="27.75" customHeight="1">
      <c r="B105" s="101"/>
    </row>
    <row r="106" spans="1:12" ht="36" customHeight="1">
      <c r="A106" s="362"/>
      <c r="B106" s="362"/>
      <c r="C106" s="362"/>
      <c r="D106" s="362"/>
      <c r="E106" s="362"/>
      <c r="F106" s="362"/>
      <c r="G106" s="362"/>
      <c r="H106" s="362"/>
      <c r="I106" s="362"/>
      <c r="J106" s="362"/>
      <c r="K106" s="362"/>
      <c r="L106" s="362"/>
    </row>
  </sheetData>
  <sheetProtection/>
  <mergeCells count="12">
    <mergeCell ref="F2:G2"/>
    <mergeCell ref="H2:I2"/>
    <mergeCell ref="J2:K2"/>
    <mergeCell ref="B104:D104"/>
    <mergeCell ref="L2:L3"/>
    <mergeCell ref="B103:D103"/>
    <mergeCell ref="A106:L106"/>
    <mergeCell ref="A1:L1"/>
    <mergeCell ref="A2:A3"/>
    <mergeCell ref="B2:B3"/>
    <mergeCell ref="C2:C3"/>
    <mergeCell ref="D2:E2"/>
  </mergeCells>
  <conditionalFormatting sqref="B86:E87">
    <cfRule type="cellIs" priority="2" dxfId="21" operator="equal" stopIfTrue="1">
      <formula>0</formula>
    </cfRule>
  </conditionalFormatting>
  <conditionalFormatting sqref="B89:E89">
    <cfRule type="cellIs" priority="1" dxfId="21" operator="equal" stopIfTrue="1">
      <formula>0</formula>
    </cfRule>
  </conditionalFormatting>
  <printOptions horizontalCentered="1"/>
  <pageMargins left="0.31496062992125984" right="0.31496062992125984" top="0.9448818897637796" bottom="0.9448818897637796" header="0.5118110236220472" footer="0.5118110236220472"/>
  <pageSetup fitToHeight="0" horizontalDpi="600" verticalDpi="600" orientation="landscape" scale="70" r:id="rId1"/>
  <headerFooter>
    <oddHeader>&amp;Cინსპექტირების ანგარიში № IR_18-10-A023/F/I&amp;Rდანართი №6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99"/>
  <sheetViews>
    <sheetView view="pageBreakPreview" zoomScaleNormal="87" zoomScaleSheetLayoutView="100" zoomScalePageLayoutView="0" workbookViewId="0" topLeftCell="A70">
      <selection activeCell="L84" sqref="L84:L92"/>
    </sheetView>
  </sheetViews>
  <sheetFormatPr defaultColWidth="9.140625" defaultRowHeight="15"/>
  <cols>
    <col min="1" max="1" width="4.7109375" style="36" customWidth="1"/>
    <col min="2" max="2" width="57.57421875" style="36" customWidth="1"/>
    <col min="3" max="3" width="8.421875" style="36" customWidth="1"/>
    <col min="4" max="4" width="11.28125" style="36" bestFit="1" customWidth="1"/>
    <col min="5" max="5" width="10.421875" style="36" bestFit="1" customWidth="1"/>
    <col min="6" max="6" width="10.00390625" style="36" bestFit="1" customWidth="1"/>
    <col min="7" max="7" width="9.00390625" style="36" bestFit="1" customWidth="1"/>
    <col min="8" max="8" width="10.00390625" style="36" bestFit="1" customWidth="1"/>
    <col min="9" max="9" width="7.7109375" style="36" bestFit="1" customWidth="1"/>
    <col min="10" max="10" width="10.00390625" style="36" customWidth="1"/>
    <col min="11" max="11" width="9.00390625" style="36" bestFit="1" customWidth="1"/>
    <col min="12" max="12" width="13.57421875" style="36" bestFit="1" customWidth="1"/>
    <col min="13" max="16384" width="9.140625" style="36" customWidth="1"/>
  </cols>
  <sheetData>
    <row r="1" spans="1:12" ht="42.75" customHeight="1">
      <c r="A1" s="372" t="s">
        <v>493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2" ht="27.75" customHeight="1">
      <c r="A2" s="367" t="s">
        <v>425</v>
      </c>
      <c r="B2" s="367" t="s">
        <v>2</v>
      </c>
      <c r="C2" s="394" t="s">
        <v>424</v>
      </c>
      <c r="D2" s="367" t="s">
        <v>423</v>
      </c>
      <c r="E2" s="367"/>
      <c r="F2" s="393" t="s">
        <v>6</v>
      </c>
      <c r="G2" s="393"/>
      <c r="H2" s="393" t="s">
        <v>7</v>
      </c>
      <c r="I2" s="393"/>
      <c r="J2" s="393" t="s">
        <v>422</v>
      </c>
      <c r="K2" s="393"/>
      <c r="L2" s="395" t="s">
        <v>1</v>
      </c>
    </row>
    <row r="3" spans="1:12" ht="15">
      <c r="A3" s="367"/>
      <c r="B3" s="367"/>
      <c r="C3" s="394"/>
      <c r="D3" s="219" t="s">
        <v>421</v>
      </c>
      <c r="E3" s="220" t="s">
        <v>9</v>
      </c>
      <c r="F3" s="219" t="s">
        <v>420</v>
      </c>
      <c r="G3" s="220" t="s">
        <v>9</v>
      </c>
      <c r="H3" s="219" t="s">
        <v>420</v>
      </c>
      <c r="I3" s="220" t="s">
        <v>9</v>
      </c>
      <c r="J3" s="219" t="s">
        <v>420</v>
      </c>
      <c r="K3" s="220" t="s">
        <v>9</v>
      </c>
      <c r="L3" s="396"/>
    </row>
    <row r="4" spans="1:12" ht="15">
      <c r="A4" s="219">
        <v>1</v>
      </c>
      <c r="B4" s="219">
        <v>2</v>
      </c>
      <c r="C4" s="348">
        <v>3</v>
      </c>
      <c r="D4" s="348">
        <v>4</v>
      </c>
      <c r="E4" s="348">
        <v>5</v>
      </c>
      <c r="F4" s="348">
        <v>6</v>
      </c>
      <c r="G4" s="348">
        <v>7</v>
      </c>
      <c r="H4" s="348">
        <v>8</v>
      </c>
      <c r="I4" s="348">
        <v>9</v>
      </c>
      <c r="J4" s="348">
        <v>10</v>
      </c>
      <c r="K4" s="348">
        <v>11</v>
      </c>
      <c r="L4" s="348">
        <v>12</v>
      </c>
    </row>
    <row r="5" spans="1:12" s="39" customFormat="1" ht="15">
      <c r="A5" s="221"/>
      <c r="B5" s="111" t="s">
        <v>452</v>
      </c>
      <c r="C5" s="218"/>
      <c r="D5" s="222"/>
      <c r="E5" s="245"/>
      <c r="F5" s="246"/>
      <c r="G5" s="247"/>
      <c r="H5" s="246"/>
      <c r="I5" s="247"/>
      <c r="J5" s="246"/>
      <c r="K5" s="124"/>
      <c r="L5" s="223"/>
    </row>
    <row r="6" spans="1:12" s="39" customFormat="1" ht="30">
      <c r="A6" s="224">
        <v>1</v>
      </c>
      <c r="B6" s="212" t="s">
        <v>451</v>
      </c>
      <c r="C6" s="224" t="s">
        <v>472</v>
      </c>
      <c r="D6" s="225"/>
      <c r="E6" s="185">
        <v>207</v>
      </c>
      <c r="F6" s="254"/>
      <c r="G6" s="254"/>
      <c r="H6" s="254"/>
      <c r="I6" s="254"/>
      <c r="J6" s="254"/>
      <c r="K6" s="254"/>
      <c r="L6" s="255"/>
    </row>
    <row r="7" spans="1:12" s="39" customFormat="1" ht="15">
      <c r="A7" s="221"/>
      <c r="B7" s="248" t="s">
        <v>122</v>
      </c>
      <c r="C7" s="218" t="s">
        <v>17</v>
      </c>
      <c r="D7" s="245">
        <f>0.0132+0.00323</f>
        <v>0.01643</v>
      </c>
      <c r="E7" s="181">
        <f>D7*E6</f>
        <v>3.40101</v>
      </c>
      <c r="F7" s="180"/>
      <c r="G7" s="180"/>
      <c r="H7" s="181"/>
      <c r="I7" s="181"/>
      <c r="J7" s="181"/>
      <c r="K7" s="181"/>
      <c r="L7" s="256"/>
    </row>
    <row r="8" spans="1:12" s="39" customFormat="1" ht="16.5" customHeight="1">
      <c r="A8" s="221"/>
      <c r="B8" s="248" t="s">
        <v>489</v>
      </c>
      <c r="C8" s="218" t="s">
        <v>124</v>
      </c>
      <c r="D8" s="245">
        <v>0.0295</v>
      </c>
      <c r="E8" s="181">
        <f>E6*D8</f>
        <v>6.1065</v>
      </c>
      <c r="F8" s="180"/>
      <c r="G8" s="180"/>
      <c r="H8" s="181"/>
      <c r="I8" s="181"/>
      <c r="J8" s="181"/>
      <c r="K8" s="181"/>
      <c r="L8" s="256"/>
    </row>
    <row r="9" spans="1:12" s="39" customFormat="1" ht="15">
      <c r="A9" s="221"/>
      <c r="B9" s="248" t="s">
        <v>125</v>
      </c>
      <c r="C9" s="218" t="s">
        <v>126</v>
      </c>
      <c r="D9" s="249">
        <f>0.0021+0.00018</f>
        <v>0.00228</v>
      </c>
      <c r="E9" s="181">
        <f>E6*D9</f>
        <v>0.47196</v>
      </c>
      <c r="F9" s="180"/>
      <c r="G9" s="180"/>
      <c r="H9" s="181"/>
      <c r="I9" s="181"/>
      <c r="J9" s="181"/>
      <c r="K9" s="181"/>
      <c r="L9" s="256"/>
    </row>
    <row r="10" spans="1:12" s="39" customFormat="1" ht="15">
      <c r="A10" s="221"/>
      <c r="B10" s="248" t="s">
        <v>436</v>
      </c>
      <c r="C10" s="218" t="s">
        <v>124</v>
      </c>
      <c r="D10" s="249">
        <v>0.00263</v>
      </c>
      <c r="E10" s="181">
        <f>E6*D10</f>
        <v>0.54441</v>
      </c>
      <c r="F10" s="180"/>
      <c r="G10" s="180"/>
      <c r="H10" s="181"/>
      <c r="I10" s="181"/>
      <c r="J10" s="181"/>
      <c r="K10" s="181"/>
      <c r="L10" s="256"/>
    </row>
    <row r="11" spans="1:12" s="39" customFormat="1" ht="15.75">
      <c r="A11" s="221"/>
      <c r="B11" s="248" t="s">
        <v>108</v>
      </c>
      <c r="C11" s="218" t="s">
        <v>490</v>
      </c>
      <c r="D11" s="249">
        <f>0.00005+0.00004</f>
        <v>9E-05</v>
      </c>
      <c r="E11" s="181">
        <f>E6*D11</f>
        <v>0.01863</v>
      </c>
      <c r="F11" s="180"/>
      <c r="G11" s="180"/>
      <c r="H11" s="181"/>
      <c r="I11" s="181"/>
      <c r="J11" s="181"/>
      <c r="K11" s="181"/>
      <c r="L11" s="256"/>
    </row>
    <row r="12" spans="1:12" s="39" customFormat="1" ht="15">
      <c r="A12" s="224">
        <f>A6+1</f>
        <v>2</v>
      </c>
      <c r="B12" s="212" t="s">
        <v>450</v>
      </c>
      <c r="C12" s="224" t="s">
        <v>472</v>
      </c>
      <c r="D12" s="225"/>
      <c r="E12" s="185">
        <v>23</v>
      </c>
      <c r="F12" s="257"/>
      <c r="G12" s="257"/>
      <c r="H12" s="257"/>
      <c r="I12" s="257"/>
      <c r="J12" s="257"/>
      <c r="K12" s="257"/>
      <c r="L12" s="255"/>
    </row>
    <row r="13" spans="1:12" s="39" customFormat="1" ht="15">
      <c r="A13" s="221"/>
      <c r="B13" s="248" t="s">
        <v>122</v>
      </c>
      <c r="C13" s="218" t="s">
        <v>17</v>
      </c>
      <c r="D13" s="249">
        <f>2.06</f>
        <v>2.06</v>
      </c>
      <c r="E13" s="181">
        <f>D13*E12</f>
        <v>47.38</v>
      </c>
      <c r="F13" s="180"/>
      <c r="G13" s="180"/>
      <c r="H13" s="181"/>
      <c r="I13" s="181"/>
      <c r="J13" s="181"/>
      <c r="K13" s="181"/>
      <c r="L13" s="256"/>
    </row>
    <row r="14" spans="1:12" s="39" customFormat="1" ht="30">
      <c r="A14" s="224" t="s">
        <v>449</v>
      </c>
      <c r="B14" s="212" t="s">
        <v>448</v>
      </c>
      <c r="C14" s="224" t="s">
        <v>472</v>
      </c>
      <c r="D14" s="225"/>
      <c r="E14" s="185">
        <f>E12</f>
        <v>23</v>
      </c>
      <c r="F14" s="257"/>
      <c r="G14" s="257"/>
      <c r="H14" s="257"/>
      <c r="I14" s="257"/>
      <c r="J14" s="257"/>
      <c r="K14" s="257"/>
      <c r="L14" s="255"/>
    </row>
    <row r="15" spans="1:12" s="39" customFormat="1" ht="15">
      <c r="A15" s="221"/>
      <c r="B15" s="248" t="s">
        <v>122</v>
      </c>
      <c r="C15" s="218" t="s">
        <v>17</v>
      </c>
      <c r="D15" s="249">
        <v>1.54</v>
      </c>
      <c r="E15" s="181">
        <f>D15*E14</f>
        <v>35.42</v>
      </c>
      <c r="F15" s="180"/>
      <c r="G15" s="180"/>
      <c r="H15" s="181"/>
      <c r="I15" s="181"/>
      <c r="J15" s="181"/>
      <c r="K15" s="181"/>
      <c r="L15" s="256"/>
    </row>
    <row r="16" spans="1:12" s="39" customFormat="1" ht="15">
      <c r="A16" s="224" t="s">
        <v>447</v>
      </c>
      <c r="B16" s="212" t="s">
        <v>431</v>
      </c>
      <c r="C16" s="224" t="s">
        <v>472</v>
      </c>
      <c r="D16" s="225"/>
      <c r="E16" s="185">
        <v>11.5</v>
      </c>
      <c r="F16" s="257"/>
      <c r="G16" s="257"/>
      <c r="H16" s="257"/>
      <c r="I16" s="257"/>
      <c r="J16" s="257"/>
      <c r="K16" s="257"/>
      <c r="L16" s="255"/>
    </row>
    <row r="17" spans="1:12" s="39" customFormat="1" ht="15">
      <c r="A17" s="221"/>
      <c r="B17" s="248" t="s">
        <v>122</v>
      </c>
      <c r="C17" s="218" t="s">
        <v>17</v>
      </c>
      <c r="D17" s="249">
        <f>3.23*0.001</f>
        <v>0.0032300000000000002</v>
      </c>
      <c r="E17" s="181">
        <f>D17*E16</f>
        <v>0.037145000000000004</v>
      </c>
      <c r="F17" s="180"/>
      <c r="G17" s="180"/>
      <c r="H17" s="181"/>
      <c r="I17" s="181"/>
      <c r="J17" s="181"/>
      <c r="K17" s="181"/>
      <c r="L17" s="256"/>
    </row>
    <row r="18" spans="1:12" s="39" customFormat="1" ht="15">
      <c r="A18" s="221"/>
      <c r="B18" s="248" t="s">
        <v>430</v>
      </c>
      <c r="C18" s="218" t="s">
        <v>124</v>
      </c>
      <c r="D18" s="249">
        <f>3.62*0.001</f>
        <v>0.0036200000000000004</v>
      </c>
      <c r="E18" s="181">
        <f>D18*E16</f>
        <v>0.04163000000000001</v>
      </c>
      <c r="F18" s="180"/>
      <c r="G18" s="180"/>
      <c r="H18" s="181"/>
      <c r="I18" s="181"/>
      <c r="J18" s="181"/>
      <c r="K18" s="181"/>
      <c r="L18" s="256"/>
    </row>
    <row r="19" spans="1:12" s="39" customFormat="1" ht="30">
      <c r="A19" s="224">
        <f>A12+1</f>
        <v>3</v>
      </c>
      <c r="B19" s="212" t="s">
        <v>413</v>
      </c>
      <c r="C19" s="224" t="s">
        <v>472</v>
      </c>
      <c r="D19" s="226"/>
      <c r="E19" s="185">
        <v>230</v>
      </c>
      <c r="F19" s="185"/>
      <c r="G19" s="185"/>
      <c r="H19" s="185"/>
      <c r="I19" s="185"/>
      <c r="J19" s="185"/>
      <c r="K19" s="185"/>
      <c r="L19" s="255"/>
    </row>
    <row r="20" spans="1:12" s="39" customFormat="1" ht="15">
      <c r="A20" s="221"/>
      <c r="B20" s="248" t="s">
        <v>378</v>
      </c>
      <c r="C20" s="218" t="s">
        <v>116</v>
      </c>
      <c r="D20" s="245">
        <v>1.6</v>
      </c>
      <c r="E20" s="181">
        <f>E19*D20</f>
        <v>368</v>
      </c>
      <c r="F20" s="180"/>
      <c r="G20" s="180"/>
      <c r="H20" s="181"/>
      <c r="I20" s="181"/>
      <c r="J20" s="181"/>
      <c r="K20" s="181"/>
      <c r="L20" s="256"/>
    </row>
    <row r="21" spans="1:12" s="39" customFormat="1" ht="32.25" customHeight="1">
      <c r="A21" s="224">
        <f>A19+1</f>
        <v>4</v>
      </c>
      <c r="B21" s="212" t="s">
        <v>446</v>
      </c>
      <c r="C21" s="224" t="s">
        <v>472</v>
      </c>
      <c r="D21" s="226"/>
      <c r="E21" s="185">
        <v>1900.0800000000002</v>
      </c>
      <c r="F21" s="185"/>
      <c r="G21" s="185"/>
      <c r="H21" s="185"/>
      <c r="I21" s="185"/>
      <c r="J21" s="185"/>
      <c r="K21" s="185"/>
      <c r="L21" s="255"/>
    </row>
    <row r="22" spans="1:12" s="38" customFormat="1" ht="15">
      <c r="A22" s="227"/>
      <c r="B22" s="134" t="s">
        <v>122</v>
      </c>
      <c r="C22" s="135" t="s">
        <v>17</v>
      </c>
      <c r="D22" s="138">
        <f>13*0.001</f>
        <v>0.013000000000000001</v>
      </c>
      <c r="E22" s="188">
        <f>D22*E21</f>
        <v>24.701040000000003</v>
      </c>
      <c r="F22" s="180"/>
      <c r="G22" s="180"/>
      <c r="H22" s="181"/>
      <c r="I22" s="181"/>
      <c r="J22" s="181"/>
      <c r="K22" s="181"/>
      <c r="L22" s="256"/>
    </row>
    <row r="23" spans="1:12" s="38" customFormat="1" ht="18.75" customHeight="1">
      <c r="A23" s="227"/>
      <c r="B23" s="134" t="s">
        <v>439</v>
      </c>
      <c r="C23" s="135" t="s">
        <v>124</v>
      </c>
      <c r="D23" s="136">
        <v>0.0318</v>
      </c>
      <c r="E23" s="188">
        <f>E21*D23</f>
        <v>60.42254400000001</v>
      </c>
      <c r="F23" s="180"/>
      <c r="G23" s="180"/>
      <c r="H23" s="181"/>
      <c r="I23" s="181"/>
      <c r="J23" s="181"/>
      <c r="K23" s="181"/>
      <c r="L23" s="256"/>
    </row>
    <row r="24" spans="1:12" s="38" customFormat="1" ht="15">
      <c r="A24" s="227"/>
      <c r="B24" s="134" t="s">
        <v>445</v>
      </c>
      <c r="C24" s="135" t="s">
        <v>124</v>
      </c>
      <c r="D24" s="136">
        <f>0.94*0.001</f>
        <v>0.00094</v>
      </c>
      <c r="E24" s="188">
        <f>D24*E21</f>
        <v>1.7860752000000002</v>
      </c>
      <c r="F24" s="180"/>
      <c r="G24" s="180"/>
      <c r="H24" s="181"/>
      <c r="I24" s="181"/>
      <c r="J24" s="181"/>
      <c r="K24" s="181"/>
      <c r="L24" s="256"/>
    </row>
    <row r="25" spans="1:12" s="38" customFormat="1" ht="30">
      <c r="A25" s="227"/>
      <c r="B25" s="134" t="s">
        <v>444</v>
      </c>
      <c r="C25" s="135" t="s">
        <v>124</v>
      </c>
      <c r="D25" s="136">
        <f>2.31*0.001</f>
        <v>0.00231</v>
      </c>
      <c r="E25" s="188">
        <f>D25*E21</f>
        <v>4.389184800000001</v>
      </c>
      <c r="F25" s="180"/>
      <c r="G25" s="180"/>
      <c r="H25" s="181"/>
      <c r="I25" s="181"/>
      <c r="J25" s="181"/>
      <c r="K25" s="181"/>
      <c r="L25" s="256"/>
    </row>
    <row r="26" spans="1:12" s="38" customFormat="1" ht="15">
      <c r="A26" s="227"/>
      <c r="B26" s="134" t="s">
        <v>443</v>
      </c>
      <c r="C26" s="135" t="s">
        <v>124</v>
      </c>
      <c r="D26" s="136">
        <f>1.76*0.001</f>
        <v>0.00176</v>
      </c>
      <c r="E26" s="188">
        <f>D26*E21</f>
        <v>3.3441408000000004</v>
      </c>
      <c r="F26" s="180"/>
      <c r="G26" s="180"/>
      <c r="H26" s="181"/>
      <c r="I26" s="181"/>
      <c r="J26" s="181"/>
      <c r="K26" s="181"/>
      <c r="L26" s="256"/>
    </row>
    <row r="27" spans="1:12" s="38" customFormat="1" ht="15">
      <c r="A27" s="227"/>
      <c r="B27" s="134" t="s">
        <v>125</v>
      </c>
      <c r="C27" s="135" t="s">
        <v>126</v>
      </c>
      <c r="D27" s="136">
        <f>0.53*0.001</f>
        <v>0.0005300000000000001</v>
      </c>
      <c r="E27" s="188">
        <f>E21*D27</f>
        <v>1.0070424000000002</v>
      </c>
      <c r="F27" s="180"/>
      <c r="G27" s="180"/>
      <c r="H27" s="181"/>
      <c r="I27" s="181"/>
      <c r="J27" s="181"/>
      <c r="K27" s="181"/>
      <c r="L27" s="256"/>
    </row>
    <row r="28" spans="1:12" s="38" customFormat="1" ht="17.25">
      <c r="A28" s="227"/>
      <c r="B28" s="134" t="s">
        <v>385</v>
      </c>
      <c r="C28" s="250" t="s">
        <v>468</v>
      </c>
      <c r="D28" s="138">
        <v>0.011</v>
      </c>
      <c r="E28" s="188">
        <f>E21*D28</f>
        <v>20.90088</v>
      </c>
      <c r="F28" s="180"/>
      <c r="G28" s="180"/>
      <c r="H28" s="181"/>
      <c r="I28" s="181"/>
      <c r="J28" s="181"/>
      <c r="K28" s="181"/>
      <c r="L28" s="256"/>
    </row>
    <row r="29" spans="1:12" s="39" customFormat="1" ht="15">
      <c r="A29" s="221"/>
      <c r="B29" s="111" t="s">
        <v>442</v>
      </c>
      <c r="C29" s="218"/>
      <c r="D29" s="245"/>
      <c r="E29" s="181"/>
      <c r="F29" s="181"/>
      <c r="G29" s="181"/>
      <c r="H29" s="181"/>
      <c r="I29" s="181"/>
      <c r="J29" s="181"/>
      <c r="K29" s="181"/>
      <c r="L29" s="256"/>
    </row>
    <row r="30" spans="1:12" s="39" customFormat="1" ht="30">
      <c r="A30" s="224">
        <f>A21+1</f>
        <v>5</v>
      </c>
      <c r="B30" s="212" t="s">
        <v>441</v>
      </c>
      <c r="C30" s="224" t="s">
        <v>473</v>
      </c>
      <c r="D30" s="226"/>
      <c r="E30" s="185">
        <v>1900.0800000000002</v>
      </c>
      <c r="F30" s="254"/>
      <c r="G30" s="254"/>
      <c r="H30" s="254"/>
      <c r="I30" s="254"/>
      <c r="J30" s="254"/>
      <c r="K30" s="254"/>
      <c r="L30" s="255"/>
    </row>
    <row r="31" spans="1:12" s="38" customFormat="1" ht="15">
      <c r="A31" s="227"/>
      <c r="B31" s="134" t="s">
        <v>122</v>
      </c>
      <c r="C31" s="135" t="s">
        <v>17</v>
      </c>
      <c r="D31" s="138">
        <f>42.9*0.001</f>
        <v>0.0429</v>
      </c>
      <c r="E31" s="188">
        <f>D31*E30</f>
        <v>81.51343200000001</v>
      </c>
      <c r="F31" s="180"/>
      <c r="G31" s="180"/>
      <c r="H31" s="181"/>
      <c r="I31" s="181"/>
      <c r="J31" s="181"/>
      <c r="K31" s="181"/>
      <c r="L31" s="256"/>
    </row>
    <row r="32" spans="1:12" s="38" customFormat="1" ht="15">
      <c r="A32" s="227"/>
      <c r="B32" s="134" t="s">
        <v>439</v>
      </c>
      <c r="C32" s="135" t="s">
        <v>124</v>
      </c>
      <c r="D32" s="136">
        <f>2.69*0.001</f>
        <v>0.00269</v>
      </c>
      <c r="E32" s="188">
        <f>E30*D32</f>
        <v>5.111215200000001</v>
      </c>
      <c r="F32" s="180"/>
      <c r="G32" s="180"/>
      <c r="H32" s="181"/>
      <c r="I32" s="181"/>
      <c r="J32" s="181"/>
      <c r="K32" s="181"/>
      <c r="L32" s="256"/>
    </row>
    <row r="33" spans="1:12" s="38" customFormat="1" ht="15">
      <c r="A33" s="227"/>
      <c r="B33" s="134" t="s">
        <v>388</v>
      </c>
      <c r="C33" s="135" t="s">
        <v>124</v>
      </c>
      <c r="D33" s="136">
        <f>0.41*0.001</f>
        <v>0.00041</v>
      </c>
      <c r="E33" s="188">
        <f>E30*D33</f>
        <v>0.7790328000000001</v>
      </c>
      <c r="F33" s="180"/>
      <c r="G33" s="180"/>
      <c r="H33" s="181"/>
      <c r="I33" s="181"/>
      <c r="J33" s="181"/>
      <c r="K33" s="181"/>
      <c r="L33" s="256"/>
    </row>
    <row r="34" spans="1:12" s="38" customFormat="1" ht="15">
      <c r="A34" s="227"/>
      <c r="B34" s="134" t="s">
        <v>394</v>
      </c>
      <c r="C34" s="135" t="s">
        <v>124</v>
      </c>
      <c r="D34" s="138">
        <f>7.6*0.001</f>
        <v>0.0076</v>
      </c>
      <c r="E34" s="188">
        <f>E30*D34</f>
        <v>14.440608000000001</v>
      </c>
      <c r="F34" s="180"/>
      <c r="G34" s="180"/>
      <c r="H34" s="181"/>
      <c r="I34" s="181"/>
      <c r="J34" s="181"/>
      <c r="K34" s="181"/>
      <c r="L34" s="256"/>
    </row>
    <row r="35" spans="1:12" s="38" customFormat="1" ht="15">
      <c r="A35" s="227"/>
      <c r="B35" s="134" t="s">
        <v>393</v>
      </c>
      <c r="C35" s="135" t="s">
        <v>124</v>
      </c>
      <c r="D35" s="138">
        <f>7.4*0.001</f>
        <v>0.0074</v>
      </c>
      <c r="E35" s="188">
        <f>E30*D35</f>
        <v>14.060592000000002</v>
      </c>
      <c r="F35" s="180"/>
      <c r="G35" s="180"/>
      <c r="H35" s="181"/>
      <c r="I35" s="181"/>
      <c r="J35" s="181"/>
      <c r="K35" s="181"/>
      <c r="L35" s="256"/>
    </row>
    <row r="36" spans="1:12" s="38" customFormat="1" ht="15">
      <c r="A36" s="227"/>
      <c r="B36" s="251" t="s">
        <v>387</v>
      </c>
      <c r="C36" s="250" t="s">
        <v>124</v>
      </c>
      <c r="D36" s="136">
        <f>1.48*0.001</f>
        <v>0.00148</v>
      </c>
      <c r="E36" s="188">
        <f>E30*D36</f>
        <v>2.8121184</v>
      </c>
      <c r="F36" s="180"/>
      <c r="G36" s="180"/>
      <c r="H36" s="181"/>
      <c r="I36" s="181"/>
      <c r="J36" s="181"/>
      <c r="K36" s="181"/>
      <c r="L36" s="256"/>
    </row>
    <row r="37" spans="1:12" s="38" customFormat="1" ht="17.25">
      <c r="A37" s="227"/>
      <c r="B37" s="143" t="s">
        <v>403</v>
      </c>
      <c r="C37" s="250" t="s">
        <v>468</v>
      </c>
      <c r="D37" s="138">
        <f>(149+12.4*8)*0.001</f>
        <v>0.2482</v>
      </c>
      <c r="E37" s="188">
        <f>E30*D37</f>
        <v>471.59985600000005</v>
      </c>
      <c r="F37" s="180"/>
      <c r="G37" s="180"/>
      <c r="H37" s="181"/>
      <c r="I37" s="181"/>
      <c r="J37" s="181"/>
      <c r="K37" s="181"/>
      <c r="L37" s="256"/>
    </row>
    <row r="38" spans="1:12" s="38" customFormat="1" ht="17.25">
      <c r="A38" s="227"/>
      <c r="B38" s="134" t="s">
        <v>385</v>
      </c>
      <c r="C38" s="250" t="s">
        <v>468</v>
      </c>
      <c r="D38" s="138">
        <v>0.011</v>
      </c>
      <c r="E38" s="188">
        <f>E30*D38</f>
        <v>20.90088</v>
      </c>
      <c r="F38" s="180"/>
      <c r="G38" s="180"/>
      <c r="H38" s="181"/>
      <c r="I38" s="181"/>
      <c r="J38" s="181"/>
      <c r="K38" s="181"/>
      <c r="L38" s="256"/>
    </row>
    <row r="39" spans="1:12" s="39" customFormat="1" ht="45">
      <c r="A39" s="224">
        <f>A30+1</f>
        <v>6</v>
      </c>
      <c r="B39" s="212" t="s">
        <v>440</v>
      </c>
      <c r="C39" s="224" t="s">
        <v>473</v>
      </c>
      <c r="D39" s="225"/>
      <c r="E39" s="185">
        <v>236</v>
      </c>
      <c r="F39" s="254"/>
      <c r="G39" s="254"/>
      <c r="H39" s="254"/>
      <c r="I39" s="254"/>
      <c r="J39" s="254"/>
      <c r="K39" s="254"/>
      <c r="L39" s="255"/>
    </row>
    <row r="40" spans="1:12" s="38" customFormat="1" ht="15">
      <c r="A40" s="227"/>
      <c r="B40" s="134" t="s">
        <v>122</v>
      </c>
      <c r="C40" s="135" t="s">
        <v>17</v>
      </c>
      <c r="D40" s="138">
        <f>42.9*0.001</f>
        <v>0.0429</v>
      </c>
      <c r="E40" s="188">
        <f>D40*E39</f>
        <v>10.1244</v>
      </c>
      <c r="F40" s="180"/>
      <c r="G40" s="180"/>
      <c r="H40" s="181"/>
      <c r="I40" s="181"/>
      <c r="J40" s="181"/>
      <c r="K40" s="181"/>
      <c r="L40" s="256"/>
    </row>
    <row r="41" spans="1:12" s="38" customFormat="1" ht="15">
      <c r="A41" s="227"/>
      <c r="B41" s="134" t="s">
        <v>439</v>
      </c>
      <c r="C41" s="135" t="s">
        <v>124</v>
      </c>
      <c r="D41" s="136">
        <f>2.69*0.001</f>
        <v>0.00269</v>
      </c>
      <c r="E41" s="188">
        <f>E39*D41</f>
        <v>0.6348400000000001</v>
      </c>
      <c r="F41" s="180"/>
      <c r="G41" s="180"/>
      <c r="H41" s="181"/>
      <c r="I41" s="181"/>
      <c r="J41" s="181"/>
      <c r="K41" s="181"/>
      <c r="L41" s="256"/>
    </row>
    <row r="42" spans="1:12" s="38" customFormat="1" ht="15">
      <c r="A42" s="227"/>
      <c r="B42" s="134" t="s">
        <v>388</v>
      </c>
      <c r="C42" s="135" t="s">
        <v>124</v>
      </c>
      <c r="D42" s="136">
        <f>0.41*0.001</f>
        <v>0.00041</v>
      </c>
      <c r="E42" s="188">
        <f>E39*D42</f>
        <v>0.09676</v>
      </c>
      <c r="F42" s="180"/>
      <c r="G42" s="180"/>
      <c r="H42" s="181"/>
      <c r="I42" s="181"/>
      <c r="J42" s="181"/>
      <c r="K42" s="181"/>
      <c r="L42" s="256"/>
    </row>
    <row r="43" spans="1:12" s="38" customFormat="1" ht="15">
      <c r="A43" s="227"/>
      <c r="B43" s="134" t="s">
        <v>394</v>
      </c>
      <c r="C43" s="135" t="s">
        <v>124</v>
      </c>
      <c r="D43" s="138">
        <f>7.6*0.001</f>
        <v>0.0076</v>
      </c>
      <c r="E43" s="188">
        <f>E39*D43</f>
        <v>1.7936</v>
      </c>
      <c r="F43" s="180"/>
      <c r="G43" s="180"/>
      <c r="H43" s="181"/>
      <c r="I43" s="181"/>
      <c r="J43" s="181"/>
      <c r="K43" s="181"/>
      <c r="L43" s="256"/>
    </row>
    <row r="44" spans="1:12" s="38" customFormat="1" ht="15">
      <c r="A44" s="227"/>
      <c r="B44" s="134" t="s">
        <v>393</v>
      </c>
      <c r="C44" s="135" t="s">
        <v>124</v>
      </c>
      <c r="D44" s="138">
        <f>7.4*0.001</f>
        <v>0.0074</v>
      </c>
      <c r="E44" s="188">
        <f>E39*D44</f>
        <v>1.7464000000000002</v>
      </c>
      <c r="F44" s="180"/>
      <c r="G44" s="180"/>
      <c r="H44" s="181"/>
      <c r="I44" s="181"/>
      <c r="J44" s="181"/>
      <c r="K44" s="181"/>
      <c r="L44" s="256"/>
    </row>
    <row r="45" spans="1:12" s="38" customFormat="1" ht="15">
      <c r="A45" s="227"/>
      <c r="B45" s="251" t="s">
        <v>387</v>
      </c>
      <c r="C45" s="250" t="s">
        <v>124</v>
      </c>
      <c r="D45" s="136">
        <f>1.48*0.001</f>
        <v>0.00148</v>
      </c>
      <c r="E45" s="188">
        <f>E39*D45</f>
        <v>0.34928</v>
      </c>
      <c r="F45" s="180"/>
      <c r="G45" s="180"/>
      <c r="H45" s="181"/>
      <c r="I45" s="181"/>
      <c r="J45" s="181"/>
      <c r="K45" s="181"/>
      <c r="L45" s="256"/>
    </row>
    <row r="46" spans="1:12" s="38" customFormat="1" ht="17.25">
      <c r="A46" s="227"/>
      <c r="B46" s="143" t="s">
        <v>403</v>
      </c>
      <c r="C46" s="250" t="s">
        <v>468</v>
      </c>
      <c r="D46" s="138">
        <f>(149+12.4*8)*0.001</f>
        <v>0.2482</v>
      </c>
      <c r="E46" s="188">
        <f>E39*D46</f>
        <v>58.5752</v>
      </c>
      <c r="F46" s="180"/>
      <c r="G46" s="180"/>
      <c r="H46" s="181"/>
      <c r="I46" s="181"/>
      <c r="J46" s="181"/>
      <c r="K46" s="181"/>
      <c r="L46" s="256"/>
    </row>
    <row r="47" spans="1:12" s="38" customFormat="1" ht="17.25">
      <c r="A47" s="227"/>
      <c r="B47" s="134" t="s">
        <v>385</v>
      </c>
      <c r="C47" s="250" t="s">
        <v>468</v>
      </c>
      <c r="D47" s="138">
        <v>0.011</v>
      </c>
      <c r="E47" s="188">
        <f>E39*D47</f>
        <v>2.5959999999999996</v>
      </c>
      <c r="F47" s="180"/>
      <c r="G47" s="180"/>
      <c r="H47" s="181"/>
      <c r="I47" s="181"/>
      <c r="J47" s="181"/>
      <c r="K47" s="181"/>
      <c r="L47" s="256"/>
    </row>
    <row r="48" spans="1:12" ht="28.5" customHeight="1">
      <c r="A48" s="221"/>
      <c r="B48" s="111" t="s">
        <v>438</v>
      </c>
      <c r="C48" s="218"/>
      <c r="D48" s="245"/>
      <c r="E48" s="181"/>
      <c r="F48" s="181"/>
      <c r="G48" s="181"/>
      <c r="H48" s="181"/>
      <c r="I48" s="181"/>
      <c r="J48" s="181"/>
      <c r="K48" s="181"/>
      <c r="L48" s="256"/>
    </row>
    <row r="49" spans="1:12" ht="30">
      <c r="A49" s="224">
        <f>A39+1</f>
        <v>7</v>
      </c>
      <c r="B49" s="212" t="s">
        <v>437</v>
      </c>
      <c r="C49" s="224" t="s">
        <v>472</v>
      </c>
      <c r="D49" s="226"/>
      <c r="E49" s="185">
        <v>253.8</v>
      </c>
      <c r="F49" s="254"/>
      <c r="G49" s="254"/>
      <c r="H49" s="254"/>
      <c r="I49" s="254"/>
      <c r="J49" s="254"/>
      <c r="K49" s="254"/>
      <c r="L49" s="255"/>
    </row>
    <row r="50" spans="1:12" s="38" customFormat="1" ht="15">
      <c r="A50" s="227"/>
      <c r="B50" s="134" t="s">
        <v>122</v>
      </c>
      <c r="C50" s="135" t="s">
        <v>17</v>
      </c>
      <c r="D50" s="138">
        <f>0.0132+0.00323</f>
        <v>0.01643</v>
      </c>
      <c r="E50" s="188">
        <f>D50*E49</f>
        <v>4.1699340000000005</v>
      </c>
      <c r="F50" s="180"/>
      <c r="G50" s="180"/>
      <c r="H50" s="181"/>
      <c r="I50" s="181"/>
      <c r="J50" s="181"/>
      <c r="K50" s="181"/>
      <c r="L50" s="256"/>
    </row>
    <row r="51" spans="1:12" s="38" customFormat="1" ht="17.25">
      <c r="A51" s="227"/>
      <c r="B51" s="134" t="s">
        <v>491</v>
      </c>
      <c r="C51" s="135" t="s">
        <v>124</v>
      </c>
      <c r="D51" s="138">
        <v>0.0295</v>
      </c>
      <c r="E51" s="188">
        <f>E49*D51</f>
        <v>7.4871</v>
      </c>
      <c r="F51" s="180"/>
      <c r="G51" s="180"/>
      <c r="H51" s="181"/>
      <c r="I51" s="181"/>
      <c r="J51" s="181"/>
      <c r="K51" s="181"/>
      <c r="L51" s="256"/>
    </row>
    <row r="52" spans="1:12" s="38" customFormat="1" ht="15">
      <c r="A52" s="227"/>
      <c r="B52" s="134" t="s">
        <v>125</v>
      </c>
      <c r="C52" s="135" t="s">
        <v>126</v>
      </c>
      <c r="D52" s="136">
        <f>0.0021+0.00018</f>
        <v>0.00228</v>
      </c>
      <c r="E52" s="188">
        <f>E49*D52</f>
        <v>0.578664</v>
      </c>
      <c r="F52" s="180"/>
      <c r="G52" s="180"/>
      <c r="H52" s="181"/>
      <c r="I52" s="181"/>
      <c r="J52" s="181"/>
      <c r="K52" s="181"/>
      <c r="L52" s="256"/>
    </row>
    <row r="53" spans="1:12" s="38" customFormat="1" ht="15">
      <c r="A53" s="227"/>
      <c r="B53" s="134" t="s">
        <v>436</v>
      </c>
      <c r="C53" s="135" t="s">
        <v>124</v>
      </c>
      <c r="D53" s="136">
        <v>0.00263</v>
      </c>
      <c r="E53" s="188">
        <f>E49*D53</f>
        <v>0.667494</v>
      </c>
      <c r="F53" s="180"/>
      <c r="G53" s="180"/>
      <c r="H53" s="181"/>
      <c r="I53" s="181"/>
      <c r="J53" s="181"/>
      <c r="K53" s="181"/>
      <c r="L53" s="256"/>
    </row>
    <row r="54" spans="1:12" s="38" customFormat="1" ht="17.25">
      <c r="A54" s="227"/>
      <c r="B54" s="134" t="s">
        <v>108</v>
      </c>
      <c r="C54" s="135" t="s">
        <v>468</v>
      </c>
      <c r="D54" s="136">
        <f>0.00005+0.00004</f>
        <v>9E-05</v>
      </c>
      <c r="E54" s="188">
        <f>E49*D54</f>
        <v>0.022842</v>
      </c>
      <c r="F54" s="180"/>
      <c r="G54" s="180"/>
      <c r="H54" s="181"/>
      <c r="I54" s="181"/>
      <c r="J54" s="181"/>
      <c r="K54" s="181"/>
      <c r="L54" s="256"/>
    </row>
    <row r="55" spans="1:12" ht="30">
      <c r="A55" s="228">
        <f>A49+1</f>
        <v>8</v>
      </c>
      <c r="B55" s="142" t="s">
        <v>435</v>
      </c>
      <c r="C55" s="224" t="s">
        <v>472</v>
      </c>
      <c r="D55" s="252"/>
      <c r="E55" s="185">
        <v>28.200000000000003</v>
      </c>
      <c r="F55" s="185"/>
      <c r="G55" s="185"/>
      <c r="H55" s="185"/>
      <c r="I55" s="185"/>
      <c r="J55" s="185"/>
      <c r="K55" s="185"/>
      <c r="L55" s="255"/>
    </row>
    <row r="56" spans="1:12" s="37" customFormat="1" ht="15">
      <c r="A56" s="227"/>
      <c r="B56" s="134" t="s">
        <v>122</v>
      </c>
      <c r="C56" s="135" t="s">
        <v>17</v>
      </c>
      <c r="D56" s="136">
        <f>2.06+0.12</f>
        <v>2.18</v>
      </c>
      <c r="E56" s="188">
        <f>D56*E55</f>
        <v>61.47600000000001</v>
      </c>
      <c r="F56" s="180"/>
      <c r="G56" s="180"/>
      <c r="H56" s="181"/>
      <c r="I56" s="181"/>
      <c r="J56" s="181"/>
      <c r="K56" s="181"/>
      <c r="L56" s="256"/>
    </row>
    <row r="57" spans="1:12" s="37" customFormat="1" ht="30">
      <c r="A57" s="228" t="s">
        <v>434</v>
      </c>
      <c r="B57" s="142" t="s">
        <v>433</v>
      </c>
      <c r="C57" s="228" t="s">
        <v>474</v>
      </c>
      <c r="D57" s="118"/>
      <c r="E57" s="179">
        <f>E55</f>
        <v>28.200000000000003</v>
      </c>
      <c r="F57" s="179"/>
      <c r="G57" s="179"/>
      <c r="H57" s="179"/>
      <c r="I57" s="179"/>
      <c r="J57" s="179"/>
      <c r="K57" s="179"/>
      <c r="L57" s="258"/>
    </row>
    <row r="58" spans="1:12" s="38" customFormat="1" ht="15">
      <c r="A58" s="227"/>
      <c r="B58" s="134" t="s">
        <v>122</v>
      </c>
      <c r="C58" s="135" t="s">
        <v>17</v>
      </c>
      <c r="D58" s="136">
        <v>1.54</v>
      </c>
      <c r="E58" s="188">
        <f>D58*E57</f>
        <v>43.428000000000004</v>
      </c>
      <c r="F58" s="180"/>
      <c r="G58" s="180"/>
      <c r="H58" s="181"/>
      <c r="I58" s="181"/>
      <c r="J58" s="181"/>
      <c r="K58" s="181"/>
      <c r="L58" s="256"/>
    </row>
    <row r="59" spans="1:12" s="37" customFormat="1" ht="17.25">
      <c r="A59" s="228" t="s">
        <v>432</v>
      </c>
      <c r="B59" s="142" t="s">
        <v>431</v>
      </c>
      <c r="C59" s="228" t="s">
        <v>474</v>
      </c>
      <c r="D59" s="118"/>
      <c r="E59" s="179">
        <f>E57</f>
        <v>28.200000000000003</v>
      </c>
      <c r="F59" s="179"/>
      <c r="G59" s="179"/>
      <c r="H59" s="179"/>
      <c r="I59" s="179"/>
      <c r="J59" s="179"/>
      <c r="K59" s="179"/>
      <c r="L59" s="258"/>
    </row>
    <row r="60" spans="1:12" s="38" customFormat="1" ht="15">
      <c r="A60" s="227"/>
      <c r="B60" s="134" t="s">
        <v>122</v>
      </c>
      <c r="C60" s="135" t="s">
        <v>17</v>
      </c>
      <c r="D60" s="136">
        <f>3.23*0.001</f>
        <v>0.0032300000000000002</v>
      </c>
      <c r="E60" s="188">
        <f>D60*E59</f>
        <v>0.09108600000000001</v>
      </c>
      <c r="F60" s="180"/>
      <c r="G60" s="180"/>
      <c r="H60" s="181"/>
      <c r="I60" s="181"/>
      <c r="J60" s="181"/>
      <c r="K60" s="181"/>
      <c r="L60" s="256"/>
    </row>
    <row r="61" spans="1:12" s="38" customFormat="1" ht="15">
      <c r="A61" s="227"/>
      <c r="B61" s="134" t="s">
        <v>430</v>
      </c>
      <c r="C61" s="135" t="s">
        <v>124</v>
      </c>
      <c r="D61" s="136">
        <f>3.62*0.001</f>
        <v>0.0036200000000000004</v>
      </c>
      <c r="E61" s="188">
        <f>D61*E59</f>
        <v>0.10208400000000002</v>
      </c>
      <c r="F61" s="180"/>
      <c r="G61" s="180"/>
      <c r="H61" s="181"/>
      <c r="I61" s="181"/>
      <c r="J61" s="181"/>
      <c r="K61" s="181"/>
      <c r="L61" s="256"/>
    </row>
    <row r="62" spans="1:12" ht="30">
      <c r="A62" s="230">
        <f>A55+1</f>
        <v>9</v>
      </c>
      <c r="B62" s="212" t="s">
        <v>413</v>
      </c>
      <c r="C62" s="224" t="s">
        <v>472</v>
      </c>
      <c r="D62" s="226"/>
      <c r="E62" s="185">
        <v>188</v>
      </c>
      <c r="F62" s="185"/>
      <c r="G62" s="185"/>
      <c r="H62" s="185"/>
      <c r="I62" s="185"/>
      <c r="J62" s="185"/>
      <c r="K62" s="185"/>
      <c r="L62" s="255"/>
    </row>
    <row r="63" spans="1:12" ht="15">
      <c r="A63" s="231"/>
      <c r="B63" s="248" t="s">
        <v>378</v>
      </c>
      <c r="C63" s="218" t="s">
        <v>116</v>
      </c>
      <c r="D63" s="245">
        <v>1.6</v>
      </c>
      <c r="E63" s="181">
        <f>E62*D63</f>
        <v>300.8</v>
      </c>
      <c r="F63" s="180"/>
      <c r="G63" s="180"/>
      <c r="H63" s="181"/>
      <c r="I63" s="181"/>
      <c r="J63" s="181"/>
      <c r="K63" s="181"/>
      <c r="L63" s="256"/>
    </row>
    <row r="64" spans="1:12" ht="45" customHeight="1">
      <c r="A64" s="224">
        <f>A62+1</f>
        <v>10</v>
      </c>
      <c r="B64" s="212" t="s">
        <v>481</v>
      </c>
      <c r="C64" s="224" t="s">
        <v>475</v>
      </c>
      <c r="D64" s="232"/>
      <c r="E64" s="185">
        <v>36.540000000000006</v>
      </c>
      <c r="F64" s="185"/>
      <c r="G64" s="185"/>
      <c r="H64" s="185"/>
      <c r="I64" s="185"/>
      <c r="J64" s="185"/>
      <c r="K64" s="185"/>
      <c r="L64" s="255"/>
    </row>
    <row r="65" spans="1:12" s="37" customFormat="1" ht="19.5" customHeight="1">
      <c r="A65" s="227"/>
      <c r="B65" s="134" t="s">
        <v>122</v>
      </c>
      <c r="C65" s="135" t="s">
        <v>17</v>
      </c>
      <c r="D65" s="136">
        <v>0.8</v>
      </c>
      <c r="E65" s="188">
        <f>D65*E64</f>
        <v>29.232000000000006</v>
      </c>
      <c r="F65" s="180"/>
      <c r="G65" s="180"/>
      <c r="H65" s="181"/>
      <c r="I65" s="181"/>
      <c r="J65" s="181"/>
      <c r="K65" s="181"/>
      <c r="L65" s="256"/>
    </row>
    <row r="66" spans="1:12" s="37" customFormat="1" ht="19.5" customHeight="1">
      <c r="A66" s="227"/>
      <c r="B66" s="134" t="s">
        <v>125</v>
      </c>
      <c r="C66" s="135" t="s">
        <v>126</v>
      </c>
      <c r="D66" s="138">
        <v>0.32</v>
      </c>
      <c r="E66" s="188">
        <f>E64*D66</f>
        <v>11.692800000000002</v>
      </c>
      <c r="F66" s="180"/>
      <c r="G66" s="180"/>
      <c r="H66" s="181"/>
      <c r="I66" s="181"/>
      <c r="J66" s="181"/>
      <c r="K66" s="181"/>
      <c r="L66" s="256"/>
    </row>
    <row r="67" spans="1:12" s="37" customFormat="1" ht="19.5" customHeight="1">
      <c r="A67" s="227"/>
      <c r="B67" s="134" t="s">
        <v>429</v>
      </c>
      <c r="C67" s="250" t="s">
        <v>468</v>
      </c>
      <c r="D67" s="151">
        <v>1.15</v>
      </c>
      <c r="E67" s="188">
        <f>E64*D67</f>
        <v>42.021</v>
      </c>
      <c r="F67" s="180"/>
      <c r="G67" s="180"/>
      <c r="H67" s="181"/>
      <c r="I67" s="181"/>
      <c r="J67" s="181"/>
      <c r="K67" s="181"/>
      <c r="L67" s="256"/>
    </row>
    <row r="68" spans="1:12" s="37" customFormat="1" ht="19.5" customHeight="1">
      <c r="A68" s="227"/>
      <c r="B68" s="134" t="s">
        <v>132</v>
      </c>
      <c r="C68" s="135" t="s">
        <v>492</v>
      </c>
      <c r="D68" s="138">
        <v>0.02</v>
      </c>
      <c r="E68" s="188">
        <f>E64*D68</f>
        <v>0.7308000000000001</v>
      </c>
      <c r="F68" s="180"/>
      <c r="G68" s="180"/>
      <c r="H68" s="181"/>
      <c r="I68" s="181"/>
      <c r="J68" s="181"/>
      <c r="K68" s="181"/>
      <c r="L68" s="256"/>
    </row>
    <row r="69" spans="1:12" ht="59.25" customHeight="1">
      <c r="A69" s="224">
        <f>A64+1</f>
        <v>11</v>
      </c>
      <c r="B69" s="212" t="s">
        <v>486</v>
      </c>
      <c r="C69" s="224" t="s">
        <v>475</v>
      </c>
      <c r="D69" s="233"/>
      <c r="E69" s="185">
        <v>88.74000000000001</v>
      </c>
      <c r="F69" s="185"/>
      <c r="G69" s="185"/>
      <c r="H69" s="185"/>
      <c r="I69" s="185"/>
      <c r="J69" s="185"/>
      <c r="K69" s="185"/>
      <c r="L69" s="255"/>
    </row>
    <row r="70" spans="1:12" s="73" customFormat="1" ht="15.75">
      <c r="A70" s="234"/>
      <c r="B70" s="120" t="s">
        <v>31</v>
      </c>
      <c r="C70" s="121" t="s">
        <v>40</v>
      </c>
      <c r="D70" s="24">
        <v>2.96</v>
      </c>
      <c r="E70" s="6">
        <f>E69*D70</f>
        <v>262.67040000000003</v>
      </c>
      <c r="F70" s="180"/>
      <c r="G70" s="180"/>
      <c r="H70" s="181"/>
      <c r="I70" s="181"/>
      <c r="J70" s="181"/>
      <c r="K70" s="181"/>
      <c r="L70" s="259"/>
    </row>
    <row r="71" spans="1:12" s="73" customFormat="1" ht="15.75">
      <c r="A71" s="234"/>
      <c r="B71" s="120" t="s">
        <v>72</v>
      </c>
      <c r="C71" s="121" t="s">
        <v>29</v>
      </c>
      <c r="D71" s="25">
        <v>0.624</v>
      </c>
      <c r="E71" s="6">
        <f>E69*D71</f>
        <v>55.373760000000004</v>
      </c>
      <c r="F71" s="180"/>
      <c r="G71" s="180"/>
      <c r="H71" s="181"/>
      <c r="I71" s="181"/>
      <c r="J71" s="181"/>
      <c r="K71" s="181"/>
      <c r="L71" s="259"/>
    </row>
    <row r="72" spans="1:12" ht="18">
      <c r="A72" s="234"/>
      <c r="B72" s="88" t="s">
        <v>374</v>
      </c>
      <c r="C72" s="62" t="s">
        <v>373</v>
      </c>
      <c r="D72" s="63">
        <v>1.02</v>
      </c>
      <c r="E72" s="191">
        <f>E69*D72</f>
        <v>90.51480000000001</v>
      </c>
      <c r="F72" s="192"/>
      <c r="G72" s="192"/>
      <c r="H72" s="181"/>
      <c r="I72" s="181"/>
      <c r="J72" s="181"/>
      <c r="K72" s="181"/>
      <c r="L72" s="182"/>
    </row>
    <row r="73" spans="1:12" ht="15.75">
      <c r="A73" s="234"/>
      <c r="B73" s="88" t="s">
        <v>485</v>
      </c>
      <c r="C73" s="62" t="s">
        <v>61</v>
      </c>
      <c r="D73" s="62" t="s">
        <v>484</v>
      </c>
      <c r="E73" s="191">
        <v>6.96</v>
      </c>
      <c r="F73" s="192"/>
      <c r="G73" s="192"/>
      <c r="H73" s="181"/>
      <c r="I73" s="181"/>
      <c r="J73" s="181"/>
      <c r="K73" s="181"/>
      <c r="L73" s="182"/>
    </row>
    <row r="74" spans="1:12" ht="15.75">
      <c r="A74" s="234"/>
      <c r="B74" s="88" t="s">
        <v>482</v>
      </c>
      <c r="C74" s="62" t="s">
        <v>57</v>
      </c>
      <c r="D74" s="62"/>
      <c r="E74" s="191">
        <v>80</v>
      </c>
      <c r="F74" s="192"/>
      <c r="G74" s="192"/>
      <c r="H74" s="181"/>
      <c r="I74" s="181"/>
      <c r="J74" s="181"/>
      <c r="K74" s="181"/>
      <c r="L74" s="182"/>
    </row>
    <row r="75" spans="1:12" ht="15.75">
      <c r="A75" s="234"/>
      <c r="B75" s="88" t="s">
        <v>483</v>
      </c>
      <c r="C75" s="62" t="s">
        <v>417</v>
      </c>
      <c r="D75" s="62"/>
      <c r="E75" s="191">
        <v>30</v>
      </c>
      <c r="F75" s="192"/>
      <c r="G75" s="192"/>
      <c r="H75" s="181"/>
      <c r="I75" s="181"/>
      <c r="J75" s="181"/>
      <c r="K75" s="181"/>
      <c r="L75" s="182"/>
    </row>
    <row r="76" spans="1:12" ht="15.75">
      <c r="A76" s="234"/>
      <c r="B76" s="88" t="s">
        <v>73</v>
      </c>
      <c r="C76" s="62" t="s">
        <v>29</v>
      </c>
      <c r="D76" s="62">
        <v>0.88</v>
      </c>
      <c r="E76" s="191">
        <f>E69*D76</f>
        <v>78.09120000000001</v>
      </c>
      <c r="F76" s="192"/>
      <c r="G76" s="192"/>
      <c r="H76" s="181"/>
      <c r="I76" s="181"/>
      <c r="J76" s="181"/>
      <c r="K76" s="181"/>
      <c r="L76" s="182"/>
    </row>
    <row r="77" spans="1:12" ht="37.5" customHeight="1">
      <c r="A77" s="224">
        <f>A69+1</f>
        <v>12</v>
      </c>
      <c r="B77" s="212" t="s">
        <v>428</v>
      </c>
      <c r="C77" s="224" t="s">
        <v>116</v>
      </c>
      <c r="D77" s="232"/>
      <c r="E77" s="185">
        <v>1.5923999999999998</v>
      </c>
      <c r="F77" s="185"/>
      <c r="G77" s="185"/>
      <c r="H77" s="185"/>
      <c r="I77" s="185"/>
      <c r="J77" s="185"/>
      <c r="K77" s="185"/>
      <c r="L77" s="255"/>
    </row>
    <row r="78" spans="1:12" s="73" customFormat="1" ht="16.5">
      <c r="A78" s="235"/>
      <c r="B78" s="120" t="s">
        <v>31</v>
      </c>
      <c r="C78" s="121" t="s">
        <v>17</v>
      </c>
      <c r="D78" s="61">
        <v>37.4</v>
      </c>
      <c r="E78" s="18">
        <f>E77*D78</f>
        <v>59.55575999999999</v>
      </c>
      <c r="F78" s="180"/>
      <c r="G78" s="180"/>
      <c r="H78" s="181"/>
      <c r="I78" s="181"/>
      <c r="J78" s="181"/>
      <c r="K78" s="181"/>
      <c r="L78" s="256"/>
    </row>
    <row r="79" spans="1:12" s="73" customFormat="1" ht="16.5">
      <c r="A79" s="235"/>
      <c r="B79" s="120" t="s">
        <v>72</v>
      </c>
      <c r="C79" s="121" t="s">
        <v>19</v>
      </c>
      <c r="D79" s="61">
        <v>6.32</v>
      </c>
      <c r="E79" s="18">
        <f>E77*D79</f>
        <v>10.063968</v>
      </c>
      <c r="F79" s="180"/>
      <c r="G79" s="180"/>
      <c r="H79" s="181"/>
      <c r="I79" s="181"/>
      <c r="J79" s="181"/>
      <c r="K79" s="181"/>
      <c r="L79" s="256"/>
    </row>
    <row r="80" spans="1:12" s="34" customFormat="1" ht="18">
      <c r="A80" s="227"/>
      <c r="B80" s="134" t="s">
        <v>427</v>
      </c>
      <c r="C80" s="135" t="s">
        <v>116</v>
      </c>
      <c r="D80" s="137">
        <v>1</v>
      </c>
      <c r="E80" s="188">
        <f>E77*D80</f>
        <v>1.5923999999999998</v>
      </c>
      <c r="F80" s="180"/>
      <c r="G80" s="180"/>
      <c r="H80" s="181"/>
      <c r="I80" s="181"/>
      <c r="J80" s="181"/>
      <c r="K80" s="181"/>
      <c r="L80" s="256"/>
    </row>
    <row r="81" spans="1:12" s="73" customFormat="1" ht="16.5">
      <c r="A81" s="235"/>
      <c r="B81" s="120" t="s">
        <v>73</v>
      </c>
      <c r="C81" s="121" t="s">
        <v>19</v>
      </c>
      <c r="D81" s="61">
        <v>7.63</v>
      </c>
      <c r="E81" s="18">
        <f>E77*D81</f>
        <v>12.150011999999998</v>
      </c>
      <c r="F81" s="181"/>
      <c r="G81" s="180"/>
      <c r="H81" s="181"/>
      <c r="I81" s="181"/>
      <c r="J81" s="181"/>
      <c r="K81" s="181"/>
      <c r="L81" s="256"/>
    </row>
    <row r="82" spans="1:12" ht="40.5" customHeight="1">
      <c r="A82" s="224">
        <f>A77+1</f>
        <v>13</v>
      </c>
      <c r="B82" s="212" t="s">
        <v>426</v>
      </c>
      <c r="C82" s="224" t="s">
        <v>475</v>
      </c>
      <c r="D82" s="233"/>
      <c r="E82" s="185">
        <v>94</v>
      </c>
      <c r="F82" s="185"/>
      <c r="G82" s="185"/>
      <c r="H82" s="185"/>
      <c r="I82" s="185"/>
      <c r="J82" s="185"/>
      <c r="K82" s="185"/>
      <c r="L82" s="255"/>
    </row>
    <row r="83" spans="1:12" ht="19.5" customHeight="1">
      <c r="A83" s="221"/>
      <c r="B83" s="248" t="s">
        <v>122</v>
      </c>
      <c r="C83" s="218" t="s">
        <v>17</v>
      </c>
      <c r="D83" s="253">
        <v>1.21</v>
      </c>
      <c r="E83" s="260">
        <f>D83*E82</f>
        <v>113.74</v>
      </c>
      <c r="F83" s="261"/>
      <c r="G83" s="261"/>
      <c r="H83" s="260"/>
      <c r="I83" s="260"/>
      <c r="J83" s="260"/>
      <c r="K83" s="260"/>
      <c r="L83" s="182"/>
    </row>
    <row r="84" spans="1:12" ht="15">
      <c r="A84" s="221"/>
      <c r="B84" s="266" t="s">
        <v>363</v>
      </c>
      <c r="C84" s="219"/>
      <c r="D84" s="237"/>
      <c r="E84" s="262"/>
      <c r="F84" s="262"/>
      <c r="G84" s="262"/>
      <c r="H84" s="262"/>
      <c r="I84" s="262"/>
      <c r="J84" s="262"/>
      <c r="K84" s="262"/>
      <c r="L84" s="263"/>
    </row>
    <row r="85" spans="1:12" ht="15.75">
      <c r="A85" s="238"/>
      <c r="B85" s="267" t="s">
        <v>100</v>
      </c>
      <c r="C85" s="239"/>
      <c r="D85" s="236"/>
      <c r="E85" s="261"/>
      <c r="F85" s="261"/>
      <c r="G85" s="261"/>
      <c r="H85" s="261"/>
      <c r="I85" s="261"/>
      <c r="J85" s="261"/>
      <c r="K85" s="261"/>
      <c r="L85" s="264"/>
    </row>
    <row r="86" spans="1:12" ht="15.75">
      <c r="A86" s="238"/>
      <c r="B86" s="267" t="s">
        <v>363</v>
      </c>
      <c r="C86" s="218"/>
      <c r="D86" s="236"/>
      <c r="E86" s="261"/>
      <c r="F86" s="261"/>
      <c r="G86" s="261"/>
      <c r="H86" s="261"/>
      <c r="I86" s="261"/>
      <c r="J86" s="261"/>
      <c r="K86" s="261"/>
      <c r="L86" s="264"/>
    </row>
    <row r="87" spans="1:12" ht="15.75">
      <c r="A87" s="238"/>
      <c r="B87" s="267" t="s">
        <v>364</v>
      </c>
      <c r="C87" s="239"/>
      <c r="D87" s="236"/>
      <c r="E87" s="261"/>
      <c r="F87" s="261"/>
      <c r="G87" s="261"/>
      <c r="H87" s="261"/>
      <c r="I87" s="261"/>
      <c r="J87" s="261"/>
      <c r="K87" s="261"/>
      <c r="L87" s="264"/>
    </row>
    <row r="88" spans="1:12" ht="15.75">
      <c r="A88" s="238"/>
      <c r="B88" s="267" t="s">
        <v>363</v>
      </c>
      <c r="C88" s="218"/>
      <c r="D88" s="236"/>
      <c r="E88" s="261"/>
      <c r="F88" s="261"/>
      <c r="G88" s="261"/>
      <c r="H88" s="261"/>
      <c r="I88" s="261"/>
      <c r="J88" s="261"/>
      <c r="K88" s="261"/>
      <c r="L88" s="264"/>
    </row>
    <row r="89" spans="1:12" ht="15.75">
      <c r="A89" s="238"/>
      <c r="B89" s="267" t="s">
        <v>103</v>
      </c>
      <c r="C89" s="239">
        <v>0.03</v>
      </c>
      <c r="D89" s="236"/>
      <c r="E89" s="261"/>
      <c r="F89" s="261"/>
      <c r="G89" s="261"/>
      <c r="H89" s="261"/>
      <c r="I89" s="261"/>
      <c r="J89" s="261"/>
      <c r="K89" s="261"/>
      <c r="L89" s="264"/>
    </row>
    <row r="90" spans="1:12" ht="15.75">
      <c r="A90" s="238"/>
      <c r="B90" s="267" t="s">
        <v>363</v>
      </c>
      <c r="C90" s="239"/>
      <c r="D90" s="236"/>
      <c r="E90" s="261"/>
      <c r="F90" s="261"/>
      <c r="G90" s="261"/>
      <c r="H90" s="261"/>
      <c r="I90" s="261"/>
      <c r="J90" s="261"/>
      <c r="K90" s="261"/>
      <c r="L90" s="264"/>
    </row>
    <row r="91" spans="1:12" ht="15.75">
      <c r="A91" s="238"/>
      <c r="B91" s="267" t="s">
        <v>362</v>
      </c>
      <c r="C91" s="239">
        <v>0.18</v>
      </c>
      <c r="D91" s="236"/>
      <c r="E91" s="261"/>
      <c r="F91" s="261"/>
      <c r="G91" s="261"/>
      <c r="H91" s="261"/>
      <c r="I91" s="261"/>
      <c r="J91" s="261"/>
      <c r="K91" s="261"/>
      <c r="L91" s="264"/>
    </row>
    <row r="92" spans="1:12" ht="18">
      <c r="A92" s="238"/>
      <c r="B92" s="267" t="s">
        <v>361</v>
      </c>
      <c r="C92" s="218"/>
      <c r="D92" s="240"/>
      <c r="E92" s="265"/>
      <c r="F92" s="265"/>
      <c r="G92" s="265"/>
      <c r="H92" s="265"/>
      <c r="I92" s="265"/>
      <c r="J92" s="265"/>
      <c r="K92" s="265"/>
      <c r="L92" s="183"/>
    </row>
    <row r="94" ht="15.75">
      <c r="B94" s="344"/>
    </row>
    <row r="95" spans="2:12" ht="48.75" customHeight="1">
      <c r="B95" s="364" t="s">
        <v>570</v>
      </c>
      <c r="C95" s="364"/>
      <c r="D95" s="364"/>
      <c r="E95" s="174"/>
      <c r="F95" s="65"/>
      <c r="G95" s="373"/>
      <c r="H95" s="373"/>
      <c r="I95" s="373"/>
      <c r="J95" s="65"/>
      <c r="K95" s="65"/>
      <c r="L95" s="66"/>
    </row>
    <row r="96" spans="2:12" ht="15.75">
      <c r="B96" s="98"/>
      <c r="C96" s="241"/>
      <c r="D96" s="242"/>
      <c r="E96" s="242"/>
      <c r="F96" s="243"/>
      <c r="G96" s="243"/>
      <c r="H96" s="243"/>
      <c r="I96" s="243"/>
      <c r="J96" s="243"/>
      <c r="K96" s="243"/>
      <c r="L96" s="244"/>
    </row>
    <row r="97" spans="2:12" ht="15">
      <c r="B97" s="100"/>
      <c r="C97" s="241"/>
      <c r="D97" s="242"/>
      <c r="E97" s="242"/>
      <c r="F97" s="243"/>
      <c r="G97" s="243"/>
      <c r="H97" s="243"/>
      <c r="I97" s="243"/>
      <c r="J97" s="243"/>
      <c r="K97" s="243"/>
      <c r="L97" s="244"/>
    </row>
    <row r="98" spans="2:12" ht="15">
      <c r="B98" s="100"/>
      <c r="C98" s="241"/>
      <c r="D98" s="242"/>
      <c r="E98" s="242"/>
      <c r="F98" s="243"/>
      <c r="G98" s="243"/>
      <c r="H98" s="243"/>
      <c r="I98" s="243"/>
      <c r="J98" s="243"/>
      <c r="K98" s="243"/>
      <c r="L98" s="244"/>
    </row>
    <row r="99" spans="2:12" ht="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</sheetData>
  <sheetProtection/>
  <mergeCells count="11">
    <mergeCell ref="D2:E2"/>
    <mergeCell ref="H2:I2"/>
    <mergeCell ref="B95:D95"/>
    <mergeCell ref="J2:K2"/>
    <mergeCell ref="G95:I95"/>
    <mergeCell ref="A1:L1"/>
    <mergeCell ref="A2:A3"/>
    <mergeCell ref="B2:B3"/>
    <mergeCell ref="C2:C3"/>
    <mergeCell ref="L2:L3"/>
    <mergeCell ref="F2:G2"/>
  </mergeCells>
  <conditionalFormatting sqref="B78:E79">
    <cfRule type="cellIs" priority="2" dxfId="21" operator="equal" stopIfTrue="1">
      <formula>0</formula>
    </cfRule>
  </conditionalFormatting>
  <conditionalFormatting sqref="B81:E81">
    <cfRule type="cellIs" priority="1" dxfId="21" operator="equal" stopIfTrue="1">
      <formula>0</formula>
    </cfRule>
  </conditionalFormatting>
  <printOptions horizontalCentered="1"/>
  <pageMargins left="0.31496062992125984" right="0.31496062992125984" top="0.9448818897637796" bottom="0.9448818897637796" header="0.5118110236220472" footer="0.5118110236220472"/>
  <pageSetup horizontalDpi="300" verticalDpi="300" orientation="landscape" scale="70" r:id="rId1"/>
  <headerFooter>
    <oddHeader>&amp;Cინსპექტირების ანგარიში № IR_18-10-A023/F/I&amp;Rდანართი №6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Eka Tsikhelashvili</cp:lastModifiedBy>
  <cp:lastPrinted>2020-02-11T14:46:23Z</cp:lastPrinted>
  <dcterms:created xsi:type="dcterms:W3CDTF">2011-10-05T13:08:43Z</dcterms:created>
  <dcterms:modified xsi:type="dcterms:W3CDTF">2020-07-07T07:01:34Z</dcterms:modified>
  <cp:category/>
  <cp:version/>
  <cp:contentType/>
  <cp:contentStatus/>
</cp:coreProperties>
</file>