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983" activeTab="8"/>
  </bookViews>
  <sheets>
    <sheet name="oieqturi" sheetId="1" r:id="rId1"/>
    <sheet name="B" sheetId="2" r:id="rId2"/>
    <sheet name="B-1" sheetId="3" r:id="rId3"/>
    <sheet name="B-2" sheetId="4" r:id="rId4"/>
    <sheet name="B-3" sheetId="5" r:id="rId5"/>
    <sheet name="B-4" sheetId="6" r:id="rId6"/>
    <sheet name="B-5" sheetId="7" r:id="rId7"/>
    <sheet name="B-6" sheetId="8" r:id="rId8"/>
    <sheet name="B-7" sheetId="9" r:id="rId9"/>
  </sheets>
  <definedNames>
    <definedName name="_xlnm._FilterDatabase" localSheetId="2" hidden="1">'B-1'!$A$1:$A$292</definedName>
    <definedName name="_xlnm._FilterDatabase" localSheetId="3" hidden="1">'B-2'!$A$1:$A$34</definedName>
    <definedName name="_xlnm._FilterDatabase" localSheetId="4" hidden="1">'B-3'!$A$1:$A$95</definedName>
    <definedName name="_xlnm._FilterDatabase" localSheetId="5" hidden="1">'B-4'!$A$1:$A$62</definedName>
    <definedName name="_xlnm._FilterDatabase" localSheetId="6" hidden="1">'B-5'!$A$1:$A$85</definedName>
    <definedName name="_xlnm._FilterDatabase" localSheetId="7" hidden="1">'B-6'!$A$1:$A$154</definedName>
    <definedName name="_xlnm._FilterDatabase" localSheetId="8" hidden="1">'B-7'!$A$1:$A$106</definedName>
    <definedName name="_xlnm.Print_Area" localSheetId="1">'B'!$A$1:$D$16</definedName>
    <definedName name="_xlnm.Print_Area" localSheetId="2">'B-1'!$A$1:$F$287</definedName>
    <definedName name="_xlnm.Print_Area" localSheetId="3">'B-2'!$A$1:$F$29</definedName>
    <definedName name="_xlnm.Print_Area" localSheetId="4">'B-3'!$A$1:$F$90</definedName>
    <definedName name="_xlnm.Print_Area" localSheetId="5">'B-4'!$A$1:$F$57</definedName>
    <definedName name="_xlnm.Print_Area" localSheetId="6">'B-5'!$A$1:$F$80</definedName>
    <definedName name="_xlnm.Print_Area" localSheetId="7">'B-6'!$A$1:$F$149</definedName>
    <definedName name="_xlnm.Print_Area" localSheetId="8">'B-7'!$A$1:$F$101</definedName>
    <definedName name="_xlnm.Print_Area" localSheetId="0">'oieqturi'!$A$1:$D$19</definedName>
    <definedName name="_xlnm.Print_Titles" localSheetId="1">'B'!$4:$5</definedName>
    <definedName name="_xlnm.Print_Titles" localSheetId="2">'B-1'!$4:$6</definedName>
    <definedName name="_xlnm.Print_Titles" localSheetId="3">'B-2'!$3:$5</definedName>
    <definedName name="_xlnm.Print_Titles" localSheetId="4">'B-3'!$3:$5</definedName>
    <definedName name="_xlnm.Print_Titles" localSheetId="5">'B-4'!$3:$5</definedName>
    <definedName name="_xlnm.Print_Titles" localSheetId="6">'B-5'!$3:$5</definedName>
    <definedName name="_xlnm.Print_Titles" localSheetId="7">'B-6'!$3:$5</definedName>
    <definedName name="_xlnm.Print_Titles" localSheetId="8">'B-7'!$3:$5</definedName>
  </definedNames>
  <calcPr fullCalcOnLoad="1"/>
</workbook>
</file>

<file path=xl/sharedStrings.xml><?xml version="1.0" encoding="utf-8"?>
<sst xmlns="http://schemas.openxmlformats.org/spreadsheetml/2006/main" count="1496" uniqueCount="509">
  <si>
    <t>#</t>
  </si>
  <si>
    <t xml:space="preserve">samuSaos dasaxeleba </t>
  </si>
  <si>
    <t>ganz. erT.</t>
  </si>
  <si>
    <t>raode-noba</t>
  </si>
  <si>
    <t>erT.fasi</t>
  </si>
  <si>
    <t>jami</t>
  </si>
  <si>
    <t>resursebi</t>
  </si>
  <si>
    <t>m</t>
  </si>
  <si>
    <t xml:space="preserve">gegmiuri dagroveba </t>
  </si>
  <si>
    <t>m3</t>
  </si>
  <si>
    <t>c</t>
  </si>
  <si>
    <t>samSeneblo samuSaoebi</t>
  </si>
  <si>
    <t>mSeneblobis dasaxeleba:</t>
  </si>
  <si>
    <t>sul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</si>
  <si>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</si>
  <si>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</si>
  <si>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</si>
  <si>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saamSeneblo samuSaoebi </t>
  </si>
  <si>
    <t>jami:</t>
  </si>
  <si>
    <t>gauTvaliswinebeli xarjebi 3%</t>
  </si>
  <si>
    <t>d. R.Gg. - 18%</t>
  </si>
  <si>
    <t>jami sul</t>
  </si>
  <si>
    <t>obieqturi xarjTaRricxva</t>
  </si>
  <si>
    <r>
      <t>m</t>
    </r>
    <r>
      <rPr>
        <vertAlign val="superscript"/>
        <sz val="10"/>
        <rFont val="AcadNusx"/>
        <family val="0"/>
      </rPr>
      <t>3</t>
    </r>
  </si>
  <si>
    <t xml:space="preserve">jami </t>
  </si>
  <si>
    <t>t</t>
  </si>
  <si>
    <t>r e s u r s e b i</t>
  </si>
  <si>
    <t>m2</t>
  </si>
  <si>
    <t>Sesrulebuli naxazebis uzrunvelyofa, specifikaciebis Sesabamisad</t>
  </si>
  <si>
    <t>zednadebi xarjebi</t>
  </si>
  <si>
    <t>masalebi:</t>
  </si>
  <si>
    <t>qviSis baliSis mowyoba  milebis garSemo</t>
  </si>
  <si>
    <t>IV kategoriis gruntis damuSaveba xeliT</t>
  </si>
  <si>
    <t>asfaltobetonis safaris demontaJi</t>
  </si>
  <si>
    <t>100 m3</t>
  </si>
  <si>
    <t>tranSeis Sevseba balastiT  buldozeriT datkepniT</t>
  </si>
  <si>
    <t xml:space="preserve"> </t>
  </si>
  <si>
    <t>SeWra</t>
  </si>
  <si>
    <t>centraluri rezervuaris mimdebare teritoria</t>
  </si>
  <si>
    <t>RorRis fenilis mowyoba</t>
  </si>
  <si>
    <t>asfaltobetonis safaris mowyoba sisqiT 60 mm msxvilmarcvlovani</t>
  </si>
  <si>
    <t>1000 m2</t>
  </si>
  <si>
    <t>asfaltobetonis safaris mowyoba sisqiT 40 mm wvrilmarcvlovani</t>
  </si>
  <si>
    <t>tranSeis Sevseba adgilobrivi gruntiT meqanizmiT</t>
  </si>
  <si>
    <r>
      <t xml:space="preserve">polieTilenis milis montaJi d-315 mm hidravlikuri SemowmebiT </t>
    </r>
    <r>
      <rPr>
        <b/>
        <sz val="10"/>
        <rFont val="Calibri"/>
        <family val="2"/>
      </rPr>
      <t>PN-10</t>
    </r>
  </si>
  <si>
    <r>
      <t xml:space="preserve">polieTilenis milis montaJi d-160 mm hidravlikuri SemowmebiT </t>
    </r>
    <r>
      <rPr>
        <b/>
        <sz val="10"/>
        <rFont val="Calibri"/>
        <family val="2"/>
      </rPr>
      <t>PN-10</t>
    </r>
  </si>
  <si>
    <r>
      <t xml:space="preserve">polieTilenis milis montaJi d-110 mm hidravlikuri SemowmebiT </t>
    </r>
    <r>
      <rPr>
        <b/>
        <sz val="10"/>
        <rFont val="Calibri"/>
        <family val="2"/>
      </rPr>
      <t>PN-10</t>
    </r>
  </si>
  <si>
    <r>
      <t xml:space="preserve">polieTilenis milis montaJi d-40 mm hidravlikuri SemowmebiT </t>
    </r>
    <r>
      <rPr>
        <b/>
        <sz val="10"/>
        <rFont val="Calibri"/>
        <family val="2"/>
      </rPr>
      <t>PN-10</t>
    </r>
  </si>
  <si>
    <t>d-225 milis gamorecxva  qloriani wyliT</t>
  </si>
  <si>
    <t>d-160 milis gamorecxva  qloriani wyliT</t>
  </si>
  <si>
    <t>d-110 milis gamorecxva  qloriani wyliT</t>
  </si>
  <si>
    <t>100 m</t>
  </si>
  <si>
    <t>d-315 milis gamorecxva  qloriani wyliT</t>
  </si>
  <si>
    <t>d=40 milis gamorecxva  qloriani wyliT</t>
  </si>
  <si>
    <t>armirebuli sasignalo lentis mowyoba</t>
  </si>
  <si>
    <t>polieTilenis muxlebis, gadamyvanebis, quroebis SeZena da mowyoba</t>
  </si>
  <si>
    <t>gadamyvani d=160/110</t>
  </si>
  <si>
    <t>samkapi d=315/315/315 mm</t>
  </si>
  <si>
    <t>samkapi d=160/160/160 mm</t>
  </si>
  <si>
    <t>samkapi d=315/110/315 mm</t>
  </si>
  <si>
    <r>
      <t>muxli 90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d=315 mm</t>
    </r>
  </si>
  <si>
    <r>
      <t>wamgvari 45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d=315 mm</t>
    </r>
  </si>
  <si>
    <r>
      <t>muxli 90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d=160 mm</t>
    </r>
  </si>
  <si>
    <r>
      <t>muxli 90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d=110 mm</t>
    </r>
  </si>
  <si>
    <r>
      <t>wamgvari 45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d=110 mm</t>
    </r>
  </si>
  <si>
    <t>gadamyvani d=315/160</t>
  </si>
  <si>
    <t>el.fuziuri quro d=315</t>
  </si>
  <si>
    <t>el.fuziuri quro d=40</t>
  </si>
  <si>
    <t>komp</t>
  </si>
  <si>
    <t>kg</t>
  </si>
  <si>
    <t>polieTilenis miltuCa adaptoris SeZena da montaJi d-225</t>
  </si>
  <si>
    <t>polieTilenis miltuCa adaptoris SeZena da montaJi d-315</t>
  </si>
  <si>
    <r>
      <t>foladis 90</t>
    </r>
    <r>
      <rPr>
        <b/>
        <sz val="10"/>
        <rFont val="Arial"/>
        <family val="2"/>
      </rPr>
      <t>º</t>
    </r>
    <r>
      <rPr>
        <b/>
        <sz val="10"/>
        <rFont val="AcadNusx"/>
        <family val="0"/>
      </rPr>
      <t xml:space="preserve"> muxlis SeZena da montaJi d=300 4c</t>
    </r>
  </si>
  <si>
    <t>foladis samkapis SeZena da montaJi d=300 2c</t>
  </si>
  <si>
    <r>
      <t>foladis miltuCis SeZena da mowyoba</t>
    </r>
    <r>
      <rPr>
        <b/>
        <sz val="10"/>
        <rFont val="Arial"/>
        <family val="2"/>
      </rPr>
      <t xml:space="preserve"> DN=300</t>
    </r>
  </si>
  <si>
    <r>
      <t xml:space="preserve">gadamyvani </t>
    </r>
    <r>
      <rPr>
        <sz val="10"/>
        <rFont val="Times New Roman"/>
        <family val="1"/>
      </rPr>
      <t>PE-</t>
    </r>
    <r>
      <rPr>
        <sz val="10"/>
        <rFont val="AcadNusx"/>
        <family val="0"/>
      </rPr>
      <t>foladze d=40/1 1/4" mm</t>
    </r>
  </si>
  <si>
    <t>d=325/6 foladis milis SeZena da montaJi hidravlikuri SemowmebiT</t>
  </si>
  <si>
    <t>WebSi metalis elementebis SeRebva antikoroziuli saRebaviT 3 fenad</t>
  </si>
  <si>
    <t>arsebuli d=300 mm foladis milis demontaJi</t>
  </si>
  <si>
    <t>adg.</t>
  </si>
  <si>
    <r>
      <t xml:space="preserve">arsebuli foladis </t>
    </r>
    <r>
      <rPr>
        <b/>
        <sz val="10"/>
        <rFont val="Timn"/>
        <family val="0"/>
      </rPr>
      <t>D100</t>
    </r>
    <r>
      <rPr>
        <b/>
        <sz val="10"/>
        <rFont val="AcadNusx"/>
        <family val="0"/>
      </rPr>
      <t xml:space="preserve"> mm milis CaWra </t>
    </r>
  </si>
  <si>
    <r>
      <t xml:space="preserve">arsebuli foladis </t>
    </r>
    <r>
      <rPr>
        <b/>
        <sz val="10"/>
        <rFont val="Timn"/>
        <family val="0"/>
      </rPr>
      <t>D250</t>
    </r>
    <r>
      <rPr>
        <b/>
        <sz val="10"/>
        <rFont val="AcadNusx"/>
        <family val="0"/>
      </rPr>
      <t xml:space="preserve"> mm milis CaWra </t>
    </r>
  </si>
  <si>
    <r>
      <t>foladis yru miltuCis SeZena da mowyoba</t>
    </r>
    <r>
      <rPr>
        <b/>
        <sz val="10"/>
        <rFont val="Arial"/>
        <family val="2"/>
      </rPr>
      <t xml:space="preserve"> DN=250 </t>
    </r>
  </si>
  <si>
    <r>
      <t>foladis yru miltuCis SeZena da mowyoba</t>
    </r>
    <r>
      <rPr>
        <b/>
        <sz val="10"/>
        <rFont val="Arial"/>
        <family val="2"/>
      </rPr>
      <t xml:space="preserve"> DN=100</t>
    </r>
  </si>
  <si>
    <t>d=300 mm miliT arsebul WaSi CaWra</t>
  </si>
  <si>
    <t>demontirebuli d=300 mm milebis gatana saSualod 10-km-ze wyalmomaragebis kompaniis teritoriaze</t>
  </si>
  <si>
    <t>ferdoubnis rezervuaris mimdebared milebis gadarTvis mowyoba</t>
  </si>
  <si>
    <r>
      <t xml:space="preserve">polieTilenis milis montaJi d-250 mm hidravlikuri SemowmebiT </t>
    </r>
    <r>
      <rPr>
        <b/>
        <sz val="10"/>
        <rFont val="Calibri"/>
        <family val="2"/>
      </rPr>
      <t>PN-10</t>
    </r>
  </si>
  <si>
    <r>
      <t xml:space="preserve">polieTilenis milis montaJi d-225 mm hidravlikuri SemowmebiT </t>
    </r>
    <r>
      <rPr>
        <b/>
        <sz val="10"/>
        <rFont val="Calibri"/>
        <family val="2"/>
      </rPr>
      <t>PN-10</t>
    </r>
  </si>
  <si>
    <t>d-250 milis gamorecxva  qloriani wyliT</t>
  </si>
  <si>
    <t>samkapi d=315/225/315 mm</t>
  </si>
  <si>
    <t>samkapi d=250/250/250 mm</t>
  </si>
  <si>
    <t>samkapi d=225/225/225 mm</t>
  </si>
  <si>
    <r>
      <t>muxli 90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d=250 mm</t>
    </r>
  </si>
  <si>
    <r>
      <t>wamgvari 45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d=250 mm</t>
    </r>
  </si>
  <si>
    <r>
      <t>muxli 90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d=225 mm</t>
    </r>
  </si>
  <si>
    <r>
      <t>wamgvari 45</t>
    </r>
    <r>
      <rPr>
        <sz val="10"/>
        <rFont val="Calibri"/>
        <family val="2"/>
      </rPr>
      <t>˚</t>
    </r>
    <r>
      <rPr>
        <sz val="10"/>
        <rFont val="AcadNusx"/>
        <family val="0"/>
      </rPr>
      <t xml:space="preserve"> d=225 mm</t>
    </r>
  </si>
  <si>
    <t>gadamyvani d=315/250</t>
  </si>
  <si>
    <r>
      <t xml:space="preserve">armatura d=6mm </t>
    </r>
    <r>
      <rPr>
        <sz val="10"/>
        <rFont val="Times New Roman"/>
        <family val="1"/>
      </rPr>
      <t>A-I</t>
    </r>
  </si>
  <si>
    <t>qviSa-xreSis baliSis mowyoba sayrdenis qveS</t>
  </si>
  <si>
    <t>polieTilenis miltuCa adaptoris SeZena da montaJi d-250</t>
  </si>
  <si>
    <r>
      <rPr>
        <b/>
        <i/>
        <u val="single"/>
        <sz val="11"/>
        <color indexed="10"/>
        <rFont val="Times New Roman"/>
        <family val="1"/>
      </rPr>
      <t xml:space="preserve">DMA </t>
    </r>
    <r>
      <rPr>
        <b/>
        <i/>
        <u val="single"/>
        <sz val="11"/>
        <color indexed="10"/>
        <rFont val="AcadNusx"/>
        <family val="0"/>
      </rPr>
      <t>kameris mowyoba d=315 mm milze</t>
    </r>
  </si>
  <si>
    <t>polieTilenis miltuCa adaptoris SeZena da montaJi d-300</t>
  </si>
  <si>
    <t>Tujis miltuCa adaptoris SeZena da montaJi d-300</t>
  </si>
  <si>
    <r>
      <t>el. Fuziuri quro</t>
    </r>
    <r>
      <rPr>
        <sz val="10"/>
        <rFont val="AcadNusx"/>
        <family val="0"/>
      </rPr>
      <t xml:space="preserve"> d=315 mm</t>
    </r>
  </si>
  <si>
    <t>polieTilenis samkapis SeZena da mowyoba d=315/315/315 mm</t>
  </si>
  <si>
    <t>polieTilenis muxlebis da quroebis SeZena da mowyoba</t>
  </si>
  <si>
    <t>betonis mosamzadebeli filis mowyoba</t>
  </si>
  <si>
    <t>r/b monoliTuri kameris mowyoba</t>
  </si>
  <si>
    <t>kompl</t>
  </si>
  <si>
    <t>Tujis mrgvali luqebis mowyoba kamerebze d-600 savali nawilis qveS.</t>
  </si>
  <si>
    <t xml:space="preserve">armatura </t>
  </si>
  <si>
    <t xml:space="preserve">kuTxovana </t>
  </si>
  <si>
    <t>Wis kedlebis izolacia cxeli bitumiT 2 fena</t>
  </si>
  <si>
    <t>Tujis miltuCa adaptoris SeZena da montaJi d-150</t>
  </si>
  <si>
    <t>polieTilenis miltuCa adaptoris SeZena da montaJi d-160</t>
  </si>
  <si>
    <t>el. Fuziuri quro d=160 mm</t>
  </si>
  <si>
    <r>
      <rPr>
        <sz val="10"/>
        <rFont val="Times New Roman"/>
        <family val="1"/>
      </rPr>
      <t xml:space="preserve">PE </t>
    </r>
    <r>
      <rPr>
        <sz val="10"/>
        <rFont val="AcadNusx"/>
        <family val="0"/>
      </rPr>
      <t>gadamyvani d=225/160 mm</t>
    </r>
  </si>
  <si>
    <t xml:space="preserve">qviSa-xreSis baliSis mowyoba </t>
  </si>
  <si>
    <t>polieTilenis miltuCa adaptoris SeZena da montaJi d-110</t>
  </si>
  <si>
    <t>polieTilenis gadamyvanebis da quroebis SeZena da mowyoba</t>
  </si>
  <si>
    <r>
      <rPr>
        <sz val="10"/>
        <rFont val="Times New Roman"/>
        <family val="1"/>
      </rPr>
      <t xml:space="preserve">PE </t>
    </r>
    <r>
      <rPr>
        <sz val="10"/>
        <rFont val="AcadNusx"/>
        <family val="0"/>
      </rPr>
      <t>gadamyvani d=160/110 mm</t>
    </r>
  </si>
  <si>
    <t>polieTilenis gadamyvanebisa da quroebis SeZena da mowyoba</t>
  </si>
  <si>
    <t>polieTilenis miltuCa adaptoris SeZena da montaJi d-90</t>
  </si>
  <si>
    <r>
      <rPr>
        <sz val="10"/>
        <rFont val="Times New Roman"/>
        <family val="1"/>
      </rPr>
      <t xml:space="preserve">PE </t>
    </r>
    <r>
      <rPr>
        <sz val="10"/>
        <rFont val="AcadNusx"/>
        <family val="0"/>
      </rPr>
      <t>gadamyvani d=110/90 mm</t>
    </r>
  </si>
  <si>
    <r>
      <t xml:space="preserve">polieTilenis milis montaJi d-90 mm hidravlikuri SemowmebiT </t>
    </r>
    <r>
      <rPr>
        <b/>
        <sz val="10"/>
        <rFont val="Calibri"/>
        <family val="2"/>
      </rPr>
      <t>PN-10</t>
    </r>
  </si>
  <si>
    <t>d-90 milis gamorecxva  qloriani wyliT</t>
  </si>
  <si>
    <t>kvanZi</t>
  </si>
  <si>
    <r>
      <rPr>
        <b/>
        <sz val="10"/>
        <rFont val="Times New Roman"/>
        <family val="1"/>
      </rPr>
      <t>AMR</t>
    </r>
    <r>
      <rPr>
        <b/>
        <sz val="10"/>
        <rFont val="AcadNusx"/>
        <family val="0"/>
      </rPr>
      <t xml:space="preserve"> wyalmzomi kvanZis mowyoba </t>
    </r>
    <r>
      <rPr>
        <b/>
        <sz val="10"/>
        <rFont val="Times New Roman"/>
        <family val="1"/>
      </rPr>
      <t>DN15</t>
    </r>
    <r>
      <rPr>
        <b/>
        <sz val="10"/>
        <rFont val="AcadNusx"/>
        <family val="0"/>
      </rPr>
      <t xml:space="preserve">mm naxazis mixedviT </t>
    </r>
  </si>
  <si>
    <t>SeWra da daerTeba saxlis Semyvanze</t>
  </si>
  <si>
    <t>SeWra da daerTeba arsebul qselze</t>
  </si>
  <si>
    <t xml:space="preserve">Cobalebis SeZena da mowyoba d-300 milisTvis 6c. </t>
  </si>
  <si>
    <t xml:space="preserve">Cobalebis SeZena da mowyoba d-40 milisTvis 2c. </t>
  </si>
  <si>
    <t>metri</t>
  </si>
  <si>
    <t>urdulebisa da Spindelebis TalfaqebisTvis sayrdeni betonis blokebis mowyoba nax. mixedviT</t>
  </si>
  <si>
    <t>sp. ZarRviani kabeli kveT. (5X10)mm 0,4kv ormagi izolaciiT</t>
  </si>
  <si>
    <t>sp. ZarRviani kabeli kveT. (5X16)mm 0,4kv. ormagi izolaciiT</t>
  </si>
  <si>
    <t>sp. ZarRviani kabeli kveT. (5X6)mm 0,4kv ormagi izolaciiT</t>
  </si>
  <si>
    <t>sp. ZarRviani kabeli kveT. (3X4)mm 220v montaJi ormagi izolaciiT</t>
  </si>
  <si>
    <t>sp. ZarRviani gamtari izolerebuli kveT. (3X1,5)mm 220v montaJi</t>
  </si>
  <si>
    <t>sp. ZarRviani kabeli kveT. (3X2,5)mm 220v montaJi ormagi izolaciiT</t>
  </si>
  <si>
    <t>100 c</t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</si>
  <si>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sanaTi diodebiT daxuruli tipis, kedelze gare dayenebis simZ 110.v.t. 220v. </t>
    </r>
    <r>
      <rPr>
        <b/>
        <sz val="10"/>
        <rFont val="Arial"/>
        <family val="2"/>
      </rPr>
      <t>IP54</t>
    </r>
    <r>
      <rPr>
        <b/>
        <sz val="10"/>
        <rFont val="AcadNusx"/>
        <family val="0"/>
      </rPr>
      <t xml:space="preserve"> dacviT</t>
    </r>
  </si>
  <si>
    <t>d=150/4 foladis milis SeZena da montaJi</t>
  </si>
  <si>
    <t>polieTilenis garsacm milSi polieTilenis d=315 milis gatareba</t>
  </si>
  <si>
    <t>polieTilenis garsacm milSi polieTilenis d=160 milis gatareba</t>
  </si>
  <si>
    <t>polieTilenis garcmis milis montaJi d-315 mm</t>
  </si>
  <si>
    <t>polieTilenis garcmis milis montaJi d-500 mm</t>
  </si>
  <si>
    <r>
      <rPr>
        <b/>
        <i/>
        <u val="single"/>
        <sz val="11"/>
        <color indexed="10"/>
        <rFont val="Times New Roman"/>
        <family val="1"/>
      </rPr>
      <t xml:space="preserve">DMA </t>
    </r>
    <r>
      <rPr>
        <b/>
        <i/>
        <u val="single"/>
        <sz val="11"/>
        <color indexed="10"/>
        <rFont val="AcadNusx"/>
        <family val="0"/>
      </rPr>
      <t>kameris mowyoba d=225 mm milze</t>
    </r>
  </si>
  <si>
    <r>
      <rPr>
        <b/>
        <i/>
        <u val="single"/>
        <sz val="11"/>
        <color indexed="10"/>
        <rFont val="Times New Roman"/>
        <family val="1"/>
      </rPr>
      <t xml:space="preserve">DMA </t>
    </r>
    <r>
      <rPr>
        <b/>
        <i/>
        <u val="single"/>
        <sz val="11"/>
        <color indexed="10"/>
        <rFont val="AcadNusx"/>
        <family val="0"/>
      </rPr>
      <t>kamerebis mowyoba d=160 mm milze</t>
    </r>
  </si>
  <si>
    <r>
      <rPr>
        <b/>
        <i/>
        <u val="single"/>
        <sz val="11"/>
        <color indexed="10"/>
        <rFont val="Times New Roman"/>
        <family val="1"/>
      </rPr>
      <t xml:space="preserve">DMA </t>
    </r>
    <r>
      <rPr>
        <b/>
        <i/>
        <u val="single"/>
        <sz val="11"/>
        <color indexed="10"/>
        <rFont val="AcadNusx"/>
        <family val="0"/>
      </rPr>
      <t>kameris mowyoba d=110 mm milze</t>
    </r>
  </si>
  <si>
    <t>individualuri mricxvelebi</t>
  </si>
  <si>
    <t>el. fuziuri quro d=110 mm</t>
  </si>
  <si>
    <t>el. fuziuri quro d=90 mm</t>
  </si>
  <si>
    <t>foladis sayrdeni milis mowyoba dabetonebiT. d-150 mm  simaRle 7.5 metri</t>
  </si>
  <si>
    <t>kalciumis hipoqloritis dasamzadebeli avzi:
1. 1000l. konusuri Ziris plastikis avzi metalis sadgomiT
2. diametri 115 sm
3. simaRle 140 sm
4. sisqe 6 mm
5. metalis sadgomis simaRle 60 sm
6. gamomavali fitingi 1"
7. tenadoba 1000 litri</t>
  </si>
  <si>
    <t>kalciumis hipoqloritis damagrovebeli avzi:
1. 2000l. konusuri Ziris plastikis avzi metalis sadgomiT
2. diametri 120 sm
3. simaRle 130 sm
4. wona 58 kg
5. sigrZe 197 sm
6. sisqe 6 mm
7. gamomavali fitingi 1"
8. tenadoba 2000 litri</t>
  </si>
  <si>
    <r>
      <t xml:space="preserve">ukusarqvelis SeZena da montaJi </t>
    </r>
    <r>
      <rPr>
        <b/>
        <sz val="10"/>
        <rFont val="Times New Roman"/>
        <family val="1"/>
      </rPr>
      <t>DN32</t>
    </r>
  </si>
  <si>
    <r>
      <t xml:space="preserve">sadozatoro tumbo </t>
    </r>
    <r>
      <rPr>
        <b/>
        <sz val="10"/>
        <rFont val="Times New Roman"/>
        <family val="1"/>
      </rPr>
      <t>Q=3</t>
    </r>
    <r>
      <rPr>
        <b/>
        <sz val="10"/>
        <rFont val="AcadNusx"/>
        <family val="0"/>
      </rPr>
      <t xml:space="preserve"> m3/sT, </t>
    </r>
    <r>
      <rPr>
        <b/>
        <sz val="10"/>
        <rFont val="Times New Roman"/>
        <family val="1"/>
      </rPr>
      <t>H=10</t>
    </r>
    <r>
      <rPr>
        <b/>
        <sz val="10"/>
        <rFont val="AcadNusx"/>
        <family val="0"/>
      </rPr>
      <t>m mowyoba</t>
    </r>
  </si>
  <si>
    <t>kaciumis hipoqloritis saswori</t>
  </si>
  <si>
    <t>60l plastikuri konteineri</t>
  </si>
  <si>
    <t>xelsabani da Tvalis amosabani</t>
  </si>
  <si>
    <r>
      <t xml:space="preserve">xelis sarqveli </t>
    </r>
    <r>
      <rPr>
        <b/>
        <sz val="10"/>
        <rFont val="Times New Roman"/>
        <family val="1"/>
      </rPr>
      <t>D32</t>
    </r>
    <r>
      <rPr>
        <b/>
        <sz val="10"/>
        <rFont val="AcadNusx"/>
        <family val="0"/>
      </rPr>
      <t>mm</t>
    </r>
  </si>
  <si>
    <t>ukuwnevis sarqveli</t>
  </si>
  <si>
    <t>siTxis donis kontaqtorebi (sensorebi) tivtiva 2m kabeliT</t>
  </si>
  <si>
    <t>wylis miwodebis eleqtro urdulebi eleqteoaqtuatoriani sarqveli d32mm</t>
  </si>
  <si>
    <r>
      <t xml:space="preserve">dasamzadebeli avzebis Semrevebi (miqserebi) eleqtro Semrevi </t>
    </r>
    <r>
      <rPr>
        <b/>
        <sz val="10"/>
        <rFont val="Times New Roman"/>
        <family val="1"/>
      </rPr>
      <t xml:space="preserve">MX.4 MV; </t>
    </r>
    <r>
      <rPr>
        <b/>
        <sz val="10"/>
        <rFont val="AcadNusx"/>
        <family val="0"/>
      </rPr>
      <t>Zrava erTi faza</t>
    </r>
    <r>
      <rPr>
        <b/>
        <sz val="10"/>
        <rFont val="Times New Roman"/>
        <family val="1"/>
      </rPr>
      <t xml:space="preserve">, IP55, 012KW-4 POLES, PVC/SS316L SHAFT, </t>
    </r>
    <r>
      <rPr>
        <b/>
        <sz val="10"/>
        <rFont val="AcadNusx"/>
        <family val="0"/>
      </rPr>
      <t>zoma</t>
    </r>
    <r>
      <rPr>
        <b/>
        <sz val="10"/>
        <rFont val="Times New Roman"/>
        <family val="1"/>
      </rPr>
      <t xml:space="preserve"> 600-800-900-1100mm 16mm </t>
    </r>
    <r>
      <rPr>
        <b/>
        <sz val="10"/>
        <rFont val="AcadNusx"/>
        <family val="0"/>
      </rPr>
      <t>diametri</t>
    </r>
    <r>
      <rPr>
        <b/>
        <sz val="10"/>
        <rFont val="Times New Roman"/>
        <family val="1"/>
      </rPr>
      <t xml:space="preserve">, PVC/SS316L PROPELLER, @ BLADES </t>
    </r>
    <r>
      <rPr>
        <b/>
        <sz val="10"/>
        <rFont val="AcadNusx"/>
        <family val="0"/>
      </rPr>
      <t>diametri</t>
    </r>
    <r>
      <rPr>
        <b/>
        <sz val="10"/>
        <rFont val="Times New Roman"/>
        <family val="1"/>
      </rPr>
      <t xml:space="preserve"> 90mm 16mm</t>
    </r>
  </si>
  <si>
    <t>avtomaturi marTva da signalizacia marTvis eleqtruli karada awyobili eleqtro komponentebiT</t>
  </si>
  <si>
    <r>
      <t>d32mm</t>
    </r>
    <r>
      <rPr>
        <b/>
        <sz val="10"/>
        <rFont val="Times New Roman"/>
        <family val="1"/>
      </rPr>
      <t xml:space="preserve"> HDPE </t>
    </r>
    <r>
      <rPr>
        <b/>
        <sz val="10"/>
        <rFont val="AcadNusx"/>
        <family val="0"/>
      </rPr>
      <t>saqloratoroSi mimwodebeli da saqloratorodan gamomavali mili, SeWra gadamyvani fitingebi, gruntis damuSaveba, qviSis safenis da safaris mowyoba</t>
    </r>
  </si>
  <si>
    <r>
      <t xml:space="preserve">kalciumis hipoqloridis xsnaris dozireba: tumbo dozatori </t>
    </r>
    <r>
      <rPr>
        <b/>
        <sz val="10"/>
        <rFont val="Times New Roman"/>
        <family val="1"/>
      </rPr>
      <t>AT.AM</t>
    </r>
    <r>
      <rPr>
        <b/>
        <sz val="10"/>
        <rFont val="AcadNusx"/>
        <family val="0"/>
      </rPr>
      <t xml:space="preserve"> analoguri proporciuli nakadisTvis, analoguri signali 4-20 </t>
    </r>
    <r>
      <rPr>
        <b/>
        <sz val="10"/>
        <rFont val="Times New Roman"/>
        <family val="1"/>
      </rPr>
      <t>MA</t>
    </r>
    <r>
      <rPr>
        <b/>
        <sz val="10"/>
        <rFont val="AcadNusx"/>
        <family val="0"/>
      </rPr>
      <t xml:space="preserve"> 0-100% nakadis xeliT regulireba</t>
    </r>
  </si>
  <si>
    <t xml:space="preserve">k r e b s i T i  x a r j T a R r i c x v a </t>
  </si>
  <si>
    <t>saxarjT-aRricxvo gaangariSebis #</t>
  </si>
  <si>
    <t>samuSaoebis da danaxarjebis                                         dasaxeleba</t>
  </si>
  <si>
    <t>B-1</t>
  </si>
  <si>
    <t>B-2</t>
  </si>
  <si>
    <t>B-3</t>
  </si>
  <si>
    <t>B-4</t>
  </si>
  <si>
    <t>kalciumis hipoqloritis damagrovebeli saavario avzi:
1. tevadoba 2000 litri</t>
  </si>
  <si>
    <r>
      <t>gamanawilebeli kolofi momWerebis rigiT 2.5mm</t>
    </r>
    <r>
      <rPr>
        <b/>
        <sz val="10"/>
        <rFont val="Times New Roman"/>
        <family val="1"/>
      </rPr>
      <t>²</t>
    </r>
  </si>
  <si>
    <t>polieTilenis gofrirebuli milis mowyoba d-25mm</t>
  </si>
  <si>
    <r>
      <t xml:space="preserve">erTfaza avtomatebis montaJi 220v 10a, </t>
    </r>
    <r>
      <rPr>
        <b/>
        <sz val="10"/>
        <rFont val="Times New Roman"/>
        <family val="1"/>
      </rPr>
      <t>C</t>
    </r>
    <r>
      <rPr>
        <b/>
        <sz val="10"/>
        <rFont val="AcadNusx"/>
        <family val="0"/>
      </rPr>
      <t xml:space="preserve"> klasis </t>
    </r>
  </si>
  <si>
    <t>magnituri gamSvebis mowyoba 230v</t>
  </si>
  <si>
    <t>fotoelementi 2kvt. simZlavriT, 220v</t>
  </si>
  <si>
    <t>fotorele 2kvt. simZlavriT, 220v</t>
  </si>
  <si>
    <t>gare dayenebis liTonis yuTi saketiT, gare ganaTebis marTvisTvis (300X2050X400)</t>
  </si>
  <si>
    <t>vertikaluri damiwebis mowyoba glinuliT d-16 l=1.5</t>
  </si>
  <si>
    <t>damiwebis mowyoba SiSveli sadeni 16mm2</t>
  </si>
  <si>
    <t>damiwebis mowyoba foladis zolovanasagan 40X4</t>
  </si>
  <si>
    <t>samontaJo samuSaoebi</t>
  </si>
  <si>
    <r>
      <t xml:space="preserve">miwis gaburRva ganaTebis dgarebisTvis burRiT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 xml:space="preserve">300mm </t>
    </r>
    <r>
      <rPr>
        <b/>
        <sz val="10"/>
        <rFont val="Times New Roman"/>
        <family val="1"/>
      </rPr>
      <t>H=</t>
    </r>
    <r>
      <rPr>
        <b/>
        <sz val="10"/>
        <rFont val="AcadNusx"/>
        <family val="0"/>
      </rPr>
      <t>0.7m</t>
    </r>
  </si>
  <si>
    <t>adgili</t>
  </si>
  <si>
    <t>qviSis baliSis mowyoba</t>
  </si>
  <si>
    <t>tranSeis Sevseba adgilobrivi gafxvierebuli gruntiT meqanizmiT</t>
  </si>
  <si>
    <t>zedmeti gruntis adgilze mosworeba buldozeriT</t>
  </si>
  <si>
    <r>
      <t xml:space="preserve">miwis moWra tranSeisTvis </t>
    </r>
    <r>
      <rPr>
        <b/>
        <sz val="10"/>
        <rFont val="Times New Roman"/>
        <family val="1"/>
      </rPr>
      <t>L=360; H=0.7; B=0.3</t>
    </r>
  </si>
  <si>
    <t>sasignalo lentis mowyoba</t>
  </si>
  <si>
    <r>
      <t xml:space="preserve">centraluri rezervuaris mimdebare teritoria, ferdoubnis rezervuaris mimdebared milebis gadarTvis mowyoba, arsebuli (CanCqeris, gigos, policiis) rezervuarebis gadaerTeba axal qselze, </t>
    </r>
    <r>
      <rPr>
        <sz val="12"/>
        <rFont val="Times New Roman"/>
        <family val="1"/>
      </rPr>
      <t>DMA</t>
    </r>
    <r>
      <rPr>
        <sz val="12"/>
        <rFont val="AcadNusx"/>
        <family val="0"/>
      </rPr>
      <t xml:space="preserve"> wyalmzomis kamerebis mowyoba (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 xml:space="preserve">=315 mm,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 xml:space="preserve">=225 mm,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 xml:space="preserve">=160 mm,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>=110 mm) milebze, gamricxvelianeba</t>
    </r>
  </si>
  <si>
    <t>saqloratoro teqnologiis mowyoba kalciumis hipoqloridis dozirebis sistemiT</t>
  </si>
  <si>
    <t>gamanawilebeli karada 18 modulze avt. amomrTvelebisTvis 380v</t>
  </si>
  <si>
    <t>gamanawilebeli karada 12 modulze avt. amomrTvelebisTvis 220v</t>
  </si>
  <si>
    <t>gamanawilebeli karada 6 modulze avt. amomrTvelebisTvis 220v</t>
  </si>
  <si>
    <t>sadarajo jixurisa da saqloratoros el. momarageba</t>
  </si>
  <si>
    <r>
      <t xml:space="preserve">samfaza avtomatebis montaJi 380v 63a </t>
    </r>
    <r>
      <rPr>
        <b/>
        <sz val="10"/>
        <rFont val="Times New Roman"/>
        <family val="1"/>
      </rPr>
      <t>C</t>
    </r>
    <r>
      <rPr>
        <b/>
        <sz val="10"/>
        <rFont val="AcadNusx"/>
        <family val="0"/>
      </rPr>
      <t xml:space="preserve"> klasis</t>
    </r>
  </si>
  <si>
    <r>
      <t xml:space="preserve">samfaza avtomatebis montaJi 380v 32a </t>
    </r>
    <r>
      <rPr>
        <b/>
        <sz val="10"/>
        <rFont val="Times New Roman"/>
        <family val="1"/>
      </rPr>
      <t>C</t>
    </r>
    <r>
      <rPr>
        <b/>
        <sz val="10"/>
        <rFont val="AcadNusx"/>
        <family val="0"/>
      </rPr>
      <t xml:space="preserve"> klasis</t>
    </r>
  </si>
  <si>
    <r>
      <t xml:space="preserve">erTfaza avtomatebis montaJi 220v 25a </t>
    </r>
    <r>
      <rPr>
        <b/>
        <sz val="10"/>
        <rFont val="Times New Roman"/>
        <family val="1"/>
      </rPr>
      <t xml:space="preserve">C </t>
    </r>
    <r>
      <rPr>
        <b/>
        <sz val="10"/>
        <rFont val="AcadNusx"/>
        <family val="0"/>
      </rPr>
      <t>klasis</t>
    </r>
  </si>
  <si>
    <r>
      <t xml:space="preserve">samfaza avtomatebis montaJi 380v 25a </t>
    </r>
    <r>
      <rPr>
        <b/>
        <sz val="10"/>
        <rFont val="Times New Roman"/>
        <family val="1"/>
      </rPr>
      <t>C</t>
    </r>
    <r>
      <rPr>
        <b/>
        <sz val="10"/>
        <rFont val="AcadNusx"/>
        <family val="0"/>
      </rPr>
      <t xml:space="preserve"> klasis</t>
    </r>
  </si>
  <si>
    <r>
      <t xml:space="preserve">erTfaza avtomatebis montaJi 220v 32a </t>
    </r>
    <r>
      <rPr>
        <b/>
        <sz val="10"/>
        <rFont val="Times New Roman"/>
        <family val="1"/>
      </rPr>
      <t xml:space="preserve">C </t>
    </r>
    <r>
      <rPr>
        <b/>
        <sz val="10"/>
        <rFont val="AcadNusx"/>
        <family val="0"/>
      </rPr>
      <t>klasis</t>
    </r>
  </si>
  <si>
    <r>
      <t xml:space="preserve">erTfaza avtomatebis montaJi 220v 16a </t>
    </r>
    <r>
      <rPr>
        <b/>
        <sz val="10"/>
        <rFont val="Times New Roman"/>
        <family val="1"/>
      </rPr>
      <t xml:space="preserve">C </t>
    </r>
    <r>
      <rPr>
        <b/>
        <sz val="10"/>
        <rFont val="AcadNusx"/>
        <family val="0"/>
      </rPr>
      <t>klasis</t>
    </r>
  </si>
  <si>
    <t>sp. ZarRviani kabeli kveT. (3X1,5)mm 220v montaJi ormagi izolaciiT</t>
  </si>
  <si>
    <t>sp. ZarRviani kabeli kveT. (5X2.5)mm 0,4kv ormagi izolaciiT</t>
  </si>
  <si>
    <r>
      <rPr>
        <b/>
        <sz val="10"/>
        <rFont val="Times New Roman"/>
        <family val="1"/>
      </rPr>
      <t>LED</t>
    </r>
    <r>
      <rPr>
        <b/>
        <sz val="10"/>
        <rFont val="AcadNusx"/>
        <family val="0"/>
      </rPr>
      <t xml:space="preserve"> sanaTi diodebiT 15 vt, 220v, kedelze misadgmeli </t>
    </r>
    <r>
      <rPr>
        <b/>
        <sz val="10"/>
        <rFont val="Times New Roman"/>
        <family val="1"/>
      </rPr>
      <t>IP56</t>
    </r>
    <r>
      <rPr>
        <b/>
        <sz val="10"/>
        <rFont val="AcadNusx"/>
        <family val="0"/>
      </rPr>
      <t xml:space="preserve"> dacviT</t>
    </r>
  </si>
  <si>
    <r>
      <rPr>
        <b/>
        <sz val="10"/>
        <rFont val="Times New Roman"/>
        <family val="1"/>
      </rPr>
      <t>LED</t>
    </r>
    <r>
      <rPr>
        <b/>
        <sz val="10"/>
        <rFont val="AcadNusx"/>
        <family val="0"/>
      </rPr>
      <t xml:space="preserve"> sanaTi diodebiT 20 vt, 220v, Werze misadgmeli </t>
    </r>
    <r>
      <rPr>
        <b/>
        <sz val="10"/>
        <rFont val="Times New Roman"/>
        <family val="1"/>
      </rPr>
      <t>IP65</t>
    </r>
    <r>
      <rPr>
        <b/>
        <sz val="10"/>
        <rFont val="AcadNusx"/>
        <family val="0"/>
      </rPr>
      <t xml:space="preserve"> dacviT</t>
    </r>
  </si>
  <si>
    <r>
      <t xml:space="preserve">or klaviSiani amomrTvelis montaJi 10a. 220v. hermetuli </t>
    </r>
    <r>
      <rPr>
        <b/>
        <sz val="10"/>
        <rFont val="Times New Roman"/>
        <family val="1"/>
      </rPr>
      <t>IP</t>
    </r>
    <r>
      <rPr>
        <b/>
        <sz val="10"/>
        <rFont val="AcadNusx"/>
        <family val="0"/>
      </rPr>
      <t>54 dacviT</t>
    </r>
  </si>
  <si>
    <r>
      <t xml:space="preserve">or klaviSiani amomrTvelis montaJi 10a. 220v. </t>
    </r>
    <r>
      <rPr>
        <b/>
        <sz val="10"/>
        <rFont val="Times New Roman"/>
        <family val="1"/>
      </rPr>
      <t>IP31</t>
    </r>
    <r>
      <rPr>
        <b/>
        <sz val="10"/>
        <rFont val="AcadNusx"/>
        <family val="0"/>
      </rPr>
      <t xml:space="preserve"> dacviT</t>
    </r>
  </si>
  <si>
    <t>Stefseluri rozeti 230v, 10a montaJi damiwebiT</t>
  </si>
  <si>
    <r>
      <t xml:space="preserve">erT klaviSiani amomrTvelis montaJi 10a. 220v. </t>
    </r>
    <r>
      <rPr>
        <b/>
        <sz val="10"/>
        <rFont val="Times New Roman"/>
        <family val="1"/>
      </rPr>
      <t>IP31</t>
    </r>
    <r>
      <rPr>
        <b/>
        <sz val="10"/>
        <rFont val="AcadNusx"/>
        <family val="0"/>
      </rPr>
      <t xml:space="preserve"> dacviT</t>
    </r>
  </si>
  <si>
    <r>
      <t>erT klaviSiani amomrTvelis montaJi 6a. 220v. hermetuli</t>
    </r>
    <r>
      <rPr>
        <b/>
        <sz val="10"/>
        <rFont val="Times New Roman"/>
        <family val="1"/>
      </rPr>
      <t xml:space="preserve"> IP54</t>
    </r>
    <r>
      <rPr>
        <b/>
        <sz val="10"/>
        <rFont val="AcadNusx"/>
        <family val="0"/>
      </rPr>
      <t xml:space="preserve"> dacviT</t>
    </r>
  </si>
  <si>
    <t>Stefseluri rozeti hermetuli Sesrulebis 230v, 10a montaJi  daxuruli dayenebis, damiwebiT</t>
  </si>
  <si>
    <t>gamanawilebeli karada 12 modulze avt. amomrTvelebisTvis 380v gare dayenebis</t>
  </si>
  <si>
    <r>
      <t xml:space="preserve">erTfaza avtomatebis montaJi 220v 10a </t>
    </r>
    <r>
      <rPr>
        <b/>
        <sz val="10"/>
        <rFont val="Times New Roman"/>
        <family val="1"/>
      </rPr>
      <t xml:space="preserve">C </t>
    </r>
    <r>
      <rPr>
        <b/>
        <sz val="10"/>
        <rFont val="AcadNusx"/>
        <family val="0"/>
      </rPr>
      <t>klasis</t>
    </r>
  </si>
  <si>
    <t>satumbi sadguris el. momarageba</t>
  </si>
  <si>
    <t>sp. ZarRviani kabeli kveT. (5X4)mm 0,4kv ormagi izolaciiT</t>
  </si>
  <si>
    <r>
      <rPr>
        <b/>
        <sz val="10"/>
        <rFont val="Times New Roman"/>
        <family val="1"/>
      </rPr>
      <t>LED</t>
    </r>
    <r>
      <rPr>
        <b/>
        <sz val="10"/>
        <rFont val="AcadNusx"/>
        <family val="0"/>
      </rPr>
      <t xml:space="preserve"> sanaTi diodebiT 20 vt, 220v, Werze misadgmeli </t>
    </r>
    <r>
      <rPr>
        <b/>
        <sz val="10"/>
        <rFont val="Times New Roman"/>
        <family val="1"/>
      </rPr>
      <t>IP44</t>
    </r>
    <r>
      <rPr>
        <b/>
        <sz val="10"/>
        <rFont val="AcadNusx"/>
        <family val="0"/>
      </rPr>
      <t xml:space="preserve"> dacviT</t>
    </r>
  </si>
  <si>
    <t>damiwebis mowyoba foladis zolovanasagan 25X4</t>
  </si>
  <si>
    <t>centraluri rezervuaris el. momarageba</t>
  </si>
  <si>
    <r>
      <t xml:space="preserve">miwis moWra tranSeisTvis </t>
    </r>
    <r>
      <rPr>
        <b/>
        <sz val="10"/>
        <rFont val="Times New Roman"/>
        <family val="1"/>
      </rPr>
      <t>L=100; H=0.7; B=0.3</t>
    </r>
  </si>
  <si>
    <t>gigos rezervuaris sanitaruli teritoriis gare ganaTeba</t>
  </si>
  <si>
    <t>centraluri rezervuaris teritoriaze saproeqto nagebobebis el. momarageba da gare ganaTeba, sadarajo jixuris saqloratorosa da satumbi sadguris el. momarageba</t>
  </si>
  <si>
    <t>gigos rezervuaris sanitaruli teritoriis gare ganaTeba, satumbi sadguris el. momarageba</t>
  </si>
  <si>
    <t>arsebuli (CanCqeris, gigos, policiis) rezervuarebis gadaerTeba axal qselze</t>
  </si>
  <si>
    <t>10 m3</t>
  </si>
  <si>
    <t>Camketi</t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</si>
  <si>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=1.0m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=8m 1.komp</t>
    </r>
  </si>
  <si>
    <t>el-fuziuri quro unagiras SeZena da mowyoba d=225/63 mm</t>
  </si>
  <si>
    <r>
      <t xml:space="preserve">gadamyvani </t>
    </r>
    <r>
      <rPr>
        <sz val="10"/>
        <rFont val="Arial"/>
        <family val="2"/>
      </rPr>
      <t>PE</t>
    </r>
    <r>
      <rPr>
        <sz val="10"/>
        <rFont val="AcadNusx"/>
        <family val="0"/>
      </rPr>
      <t>/fol xraxni (dedali) / sada bolo d=63-2"</t>
    </r>
  </si>
  <si>
    <r>
      <t>ormxrivi moqmedebis vantuzis SeZena da montaJi</t>
    </r>
    <r>
      <rPr>
        <b/>
        <sz val="10"/>
        <rFont val="Arial"/>
        <family val="2"/>
      </rPr>
      <t xml:space="preserve"> DN50</t>
    </r>
  </si>
  <si>
    <r>
      <t xml:space="preserve">Tujis solisebri urdulis SeZena da montaJi </t>
    </r>
    <r>
      <rPr>
        <b/>
        <sz val="10"/>
        <rFont val="Arial"/>
        <family val="2"/>
      </rPr>
      <t>PN16, DN50</t>
    </r>
  </si>
  <si>
    <t>qviSa-xreSis baliSis mowyoba Wis qveS</t>
  </si>
  <si>
    <t>gruntis amoReba, adgilze mosworeba, Robis mowyoba, liTonis boZkintebis dabetonebiT, uJangavi mavTulbadiT</t>
  </si>
  <si>
    <r>
      <t xml:space="preserve">betoni </t>
    </r>
    <r>
      <rPr>
        <sz val="10"/>
        <rFont val="Times New Roman"/>
        <family val="1"/>
      </rPr>
      <t>B20</t>
    </r>
  </si>
  <si>
    <r>
      <t>sayrdeni boZi - foladis mili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DN50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>mm</t>
    </r>
    <r>
      <rPr>
        <sz val="10"/>
        <rFont val="Arial"/>
        <family val="2"/>
      </rPr>
      <t xml:space="preserve">. </t>
    </r>
    <r>
      <rPr>
        <sz val="10"/>
        <rFont val="Times New Roman"/>
        <family val="1"/>
      </rPr>
      <t>L=2.5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>m</t>
    </r>
    <r>
      <rPr>
        <sz val="10"/>
        <rFont val="Arial"/>
        <family val="2"/>
      </rPr>
      <t>.</t>
    </r>
  </si>
  <si>
    <r>
      <t xml:space="preserve">gambrjeni, foladis mili </t>
    </r>
    <r>
      <rPr>
        <sz val="10"/>
        <rFont val="Times New Roman"/>
        <family val="1"/>
      </rPr>
      <t>DN40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>mm</t>
    </r>
    <r>
      <rPr>
        <sz val="10"/>
        <rFont val="Arial"/>
        <family val="2"/>
      </rPr>
      <t xml:space="preserve">. </t>
    </r>
    <r>
      <rPr>
        <sz val="10"/>
        <rFont val="Times New Roman"/>
        <family val="1"/>
      </rPr>
      <t>L=2.2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>m</t>
    </r>
    <r>
      <rPr>
        <sz val="10"/>
        <rFont val="Arial"/>
        <family val="2"/>
      </rPr>
      <t>.</t>
    </r>
  </si>
  <si>
    <r>
      <t xml:space="preserve">moTuTiebuli mavTulbade, ujredis zomiT 10X10 sm;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-2.5 mm.</t>
    </r>
  </si>
  <si>
    <t>moTuTiebuli ormagi ekliani mavTuli</t>
  </si>
  <si>
    <r>
      <t xml:space="preserve">moTuTiebuli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-3mm</t>
    </r>
  </si>
  <si>
    <t>kutikaris damzadeba</t>
  </si>
  <si>
    <r>
      <t xml:space="preserve">mavTulbade, ujredis zomiT 10X10 sm;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-2.5 mm.</t>
    </r>
  </si>
  <si>
    <r>
      <rPr>
        <sz val="10"/>
        <rFont val="AcadNusx"/>
        <family val="0"/>
      </rPr>
      <t>milkvadrati</t>
    </r>
    <r>
      <rPr>
        <sz val="10"/>
        <rFont val="Arial"/>
        <family val="2"/>
      </rPr>
      <t xml:space="preserve"> 100x100x4 </t>
    </r>
    <r>
      <rPr>
        <sz val="10"/>
        <rFont val="AcadNusx"/>
        <family val="0"/>
      </rPr>
      <t>mm</t>
    </r>
  </si>
  <si>
    <r>
      <rPr>
        <sz val="10"/>
        <rFont val="AcadNusx"/>
        <family val="0"/>
      </rPr>
      <t>milkvadrati</t>
    </r>
    <r>
      <rPr>
        <sz val="10"/>
        <rFont val="Arial"/>
        <family val="2"/>
      </rPr>
      <t xml:space="preserve"> 40x40x3 </t>
    </r>
    <r>
      <rPr>
        <sz val="10"/>
        <rFont val="AcadNusx"/>
        <family val="0"/>
      </rPr>
      <t>mm</t>
    </r>
  </si>
  <si>
    <r>
      <rPr>
        <sz val="10"/>
        <rFont val="AcadNusx"/>
        <family val="0"/>
      </rPr>
      <t xml:space="preserve">zolovani foladi </t>
    </r>
    <r>
      <rPr>
        <sz val="10"/>
        <rFont val="Arial"/>
        <family val="2"/>
      </rPr>
      <t xml:space="preserve">20x5 </t>
    </r>
    <r>
      <rPr>
        <sz val="10"/>
        <rFont val="AcadNusx"/>
        <family val="0"/>
      </rPr>
      <t>mm</t>
    </r>
  </si>
  <si>
    <r>
      <rPr>
        <sz val="10"/>
        <rFont val="AcadNusx"/>
        <family val="0"/>
      </rPr>
      <t>WiSkris Camketi Rero</t>
    </r>
    <r>
      <rPr>
        <sz val="10"/>
        <rFont val="Arial"/>
        <family val="2"/>
      </rPr>
      <t xml:space="preserve"> Φ20 </t>
    </r>
    <r>
      <rPr>
        <sz val="10"/>
        <rFont val="AcadNusx"/>
        <family val="0"/>
      </rPr>
      <t>mm</t>
    </r>
    <r>
      <rPr>
        <sz val="10"/>
        <rFont val="Arial"/>
        <family val="2"/>
      </rPr>
      <t>.</t>
    </r>
  </si>
  <si>
    <t>anjama</t>
  </si>
  <si>
    <t>damzadebuli kutikaris mowyoba</t>
  </si>
  <si>
    <t>foladis milebisa da detalebis antikoroziuli laqiT 2 fenad</t>
  </si>
  <si>
    <t>gamanawilebeli karada 12 modulze avt. amomrTvelebisTvis 380v</t>
  </si>
  <si>
    <r>
      <t xml:space="preserve">samfaza avtomatebis montaJi 380v 40a </t>
    </r>
    <r>
      <rPr>
        <b/>
        <sz val="10"/>
        <rFont val="Times New Roman"/>
        <family val="1"/>
      </rPr>
      <t>C</t>
    </r>
    <r>
      <rPr>
        <b/>
        <sz val="10"/>
        <rFont val="AcadNusx"/>
        <family val="0"/>
      </rPr>
      <t xml:space="preserve"> klasis</t>
    </r>
  </si>
  <si>
    <t>gigos satumbi sadguri</t>
  </si>
  <si>
    <r>
      <t xml:space="preserve">Tujis solisebri urdulis SeZena da montaJi </t>
    </r>
    <r>
      <rPr>
        <b/>
        <sz val="10"/>
        <rFont val="Arial"/>
        <family val="2"/>
      </rPr>
      <t>PN10, DN200</t>
    </r>
  </si>
  <si>
    <r>
      <t xml:space="preserve">Tujis solisebri urdulis SeZena da montaJi </t>
    </r>
    <r>
      <rPr>
        <b/>
        <sz val="10"/>
        <rFont val="Arial"/>
        <family val="2"/>
      </rPr>
      <t>PN10, DN150</t>
    </r>
  </si>
  <si>
    <r>
      <t xml:space="preserve">Tujis solisebri urdulis SeZena da montaJi </t>
    </r>
    <r>
      <rPr>
        <b/>
        <sz val="10"/>
        <rFont val="Arial"/>
        <family val="2"/>
      </rPr>
      <t>PN16, DN80</t>
    </r>
  </si>
  <si>
    <r>
      <t xml:space="preserve">manometris SeZena da montaJi </t>
    </r>
    <r>
      <rPr>
        <b/>
        <sz val="10"/>
        <rFont val="Arial"/>
        <family val="2"/>
      </rPr>
      <t>DN15</t>
    </r>
  </si>
  <si>
    <r>
      <t xml:space="preserve">Tujis burTula ventilis SeZena da montaJi </t>
    </r>
    <r>
      <rPr>
        <b/>
        <sz val="10"/>
        <rFont val="Arial"/>
        <family val="2"/>
      </rPr>
      <t>PN10, D=1/2"</t>
    </r>
  </si>
  <si>
    <r>
      <t xml:space="preserve">manometris SeZena da montaJi </t>
    </r>
    <r>
      <rPr>
        <b/>
        <sz val="10"/>
        <rFont val="Arial"/>
        <family val="2"/>
      </rPr>
      <t>DN15 PN10</t>
    </r>
  </si>
  <si>
    <r>
      <t xml:space="preserve">Tujis sademontaJo quros </t>
    </r>
    <r>
      <rPr>
        <b/>
        <sz val="10"/>
        <color indexed="8"/>
        <rFont val="Arial"/>
        <family val="2"/>
      </rPr>
      <t xml:space="preserve">DN150 PN10 </t>
    </r>
    <r>
      <rPr>
        <b/>
        <sz val="10"/>
        <color indexed="8"/>
        <rFont val="AcadNusx"/>
        <family val="0"/>
      </rPr>
      <t>SeZena da montaJi</t>
    </r>
  </si>
  <si>
    <r>
      <t xml:space="preserve">Tujis sademontaJo quros </t>
    </r>
    <r>
      <rPr>
        <b/>
        <sz val="10"/>
        <color indexed="8"/>
        <rFont val="Arial"/>
        <family val="2"/>
      </rPr>
      <t xml:space="preserve">DN80 PN16 </t>
    </r>
    <r>
      <rPr>
        <b/>
        <sz val="10"/>
        <color indexed="8"/>
        <rFont val="AcadNusx"/>
        <family val="0"/>
      </rPr>
      <t>SeZena da montaJi</t>
    </r>
  </si>
  <si>
    <r>
      <t xml:space="preserve">Tujis wyalmzomis SeZena da mowyoba </t>
    </r>
    <r>
      <rPr>
        <b/>
        <sz val="10"/>
        <rFont val="Arial"/>
        <family val="2"/>
      </rPr>
      <t>DN150 PN10</t>
    </r>
  </si>
  <si>
    <r>
      <t xml:space="preserve">Tujis wyalmzomis SeZena da mowyoba </t>
    </r>
    <r>
      <rPr>
        <b/>
        <sz val="10"/>
        <rFont val="Arial"/>
        <family val="2"/>
      </rPr>
      <t>DN80 PN16</t>
    </r>
  </si>
  <si>
    <t>foladis gadamyvanis SeZena da montaJi d=200/150 2c</t>
  </si>
  <si>
    <t>foladis muxlis SeZena da montaJi d=200 mm 1c</t>
  </si>
  <si>
    <t>foladis samkapis SeZena da montaJi d=200/80 mm 1c</t>
  </si>
  <si>
    <t>foladis muxlis SeZena da montaJi d=80 mm 2c</t>
  </si>
  <si>
    <t xml:space="preserve">Cobalebis SeZena da mowyoba d-200 milisTvis 2c. </t>
  </si>
  <si>
    <t xml:space="preserve">Cobalebis SeZena da mowyoba d-80 milisTvis 1c. </t>
  </si>
  <si>
    <t>d=80/4 foladis milis SeZena da montaJi</t>
  </si>
  <si>
    <t xml:space="preserve">gruntis damuSaveba eqskavatoriT </t>
  </si>
  <si>
    <t>qvabulis Sevseba da mozvinva eqskavatoriT</t>
  </si>
  <si>
    <t>centraluri satumbi sadguri</t>
  </si>
  <si>
    <t>foladis gadamyvanis SeZena da montaJi d=100/65 2c</t>
  </si>
  <si>
    <r>
      <t xml:space="preserve">Tujis wyalmzomis SeZena da mowyoba </t>
    </r>
    <r>
      <rPr>
        <b/>
        <sz val="10"/>
        <rFont val="Arial"/>
        <family val="2"/>
      </rPr>
      <t>DN65 PN10</t>
    </r>
  </si>
  <si>
    <r>
      <t xml:space="preserve">Tujis sademontaJo quros </t>
    </r>
    <r>
      <rPr>
        <b/>
        <sz val="10"/>
        <color indexed="8"/>
        <rFont val="Arial"/>
        <family val="2"/>
      </rPr>
      <t xml:space="preserve">DN100 PN10 </t>
    </r>
    <r>
      <rPr>
        <b/>
        <sz val="10"/>
        <color indexed="8"/>
        <rFont val="AcadNusx"/>
        <family val="0"/>
      </rPr>
      <t>SeZena da montaJi</t>
    </r>
  </si>
  <si>
    <r>
      <t xml:space="preserve">Tujis solisebri urdulis SeZena da montaJi </t>
    </r>
    <r>
      <rPr>
        <b/>
        <sz val="10"/>
        <rFont val="Arial"/>
        <family val="2"/>
      </rPr>
      <t>PN10, DN100</t>
    </r>
  </si>
  <si>
    <t>foladis muxlis SeZena da montaJi d=65 mm 1c</t>
  </si>
  <si>
    <t xml:space="preserve">Cobalebis SeZena da mowyoba d-100 milisTvis 2c. </t>
  </si>
  <si>
    <t>d=65/4 foladis milis SeZena da montaJi</t>
  </si>
  <si>
    <t>polieTilenis foladze gadamyvanis d=110/80 SeZena da mowyoba</t>
  </si>
  <si>
    <t>polieTilenis foladze gadamyvanis d=110/65 SeZena da mowyoba</t>
  </si>
  <si>
    <r>
      <t>foladis miltuCis SeZena da mowyoba</t>
    </r>
    <r>
      <rPr>
        <b/>
        <sz val="10"/>
        <rFont val="Arial"/>
        <family val="2"/>
      </rPr>
      <t xml:space="preserve"> DN=200 PN10</t>
    </r>
  </si>
  <si>
    <r>
      <t>foladis miltuCis SeZena da mowyoba</t>
    </r>
    <r>
      <rPr>
        <b/>
        <sz val="10"/>
        <rFont val="Arial"/>
        <family val="2"/>
      </rPr>
      <t xml:space="preserve"> DN=80 PN16</t>
    </r>
  </si>
  <si>
    <r>
      <t>foladis yru miltuCis SeZena da mowyoba</t>
    </r>
    <r>
      <rPr>
        <b/>
        <sz val="10"/>
        <rFont val="Arial"/>
        <family val="2"/>
      </rPr>
      <t xml:space="preserve"> DN=80 PN16</t>
    </r>
  </si>
  <si>
    <r>
      <t>foladis miltuCis SeZena da mowyoba</t>
    </r>
    <r>
      <rPr>
        <b/>
        <sz val="10"/>
        <rFont val="Arial"/>
        <family val="2"/>
      </rPr>
      <t xml:space="preserve"> DN=65 PN10</t>
    </r>
  </si>
  <si>
    <r>
      <t>foladis yru miltuCis SeZena da mowyoba</t>
    </r>
    <r>
      <rPr>
        <b/>
        <sz val="10"/>
        <rFont val="Arial"/>
        <family val="2"/>
      </rPr>
      <t xml:space="preserve"> DN=65 PN10</t>
    </r>
  </si>
  <si>
    <t>ferdoubnis rezervuaris sanitaruli dacvis Robe</t>
  </si>
  <si>
    <t>r/b monoliTuri kamerebis mowyoba</t>
  </si>
  <si>
    <t xml:space="preserve">betonis mosamzadebeli filis mowyoba </t>
  </si>
  <si>
    <r>
      <t xml:space="preserve">polieTilenis samkapebis SeZena da mowyoba </t>
    </r>
    <r>
      <rPr>
        <b/>
        <sz val="10"/>
        <rFont val="Times New Roman"/>
        <family val="1"/>
      </rPr>
      <t>PN10</t>
    </r>
  </si>
  <si>
    <r>
      <t xml:space="preserve">Tujis solisebri urdulis SeZena da montaJi </t>
    </r>
    <r>
      <rPr>
        <b/>
        <sz val="10"/>
        <rFont val="Arial"/>
        <family val="2"/>
      </rPr>
      <t>PN10, DN300</t>
    </r>
  </si>
  <si>
    <r>
      <t xml:space="preserve">sademontaJo quros </t>
    </r>
    <r>
      <rPr>
        <b/>
        <sz val="10"/>
        <color indexed="8"/>
        <rFont val="Arial"/>
        <family val="2"/>
      </rPr>
      <t xml:space="preserve">DN300 PN10 </t>
    </r>
    <r>
      <rPr>
        <b/>
        <sz val="10"/>
        <color indexed="8"/>
        <rFont val="AcadNusx"/>
        <family val="0"/>
      </rPr>
      <t>SeZena da montaJi</t>
    </r>
  </si>
  <si>
    <r>
      <t xml:space="preserve">polieTilenis miltuCa adaptoris SeZena da montaJi d-315 </t>
    </r>
    <r>
      <rPr>
        <b/>
        <sz val="10"/>
        <rFont val="Times New Roman"/>
        <family val="1"/>
      </rPr>
      <t>PN10</t>
    </r>
  </si>
  <si>
    <r>
      <t xml:space="preserve">ventilis SeZena da montaJi </t>
    </r>
    <r>
      <rPr>
        <b/>
        <sz val="10"/>
        <rFont val="Arial"/>
        <family val="2"/>
      </rPr>
      <t>PN10, DN32 - 1 1/4"</t>
    </r>
  </si>
  <si>
    <r>
      <t>miltuCi</t>
    </r>
    <r>
      <rPr>
        <b/>
        <sz val="10"/>
        <rFont val="Arial"/>
        <family val="2"/>
      </rPr>
      <t xml:space="preserve"> DN=50</t>
    </r>
    <r>
      <rPr>
        <b/>
        <sz val="10"/>
        <rFont val="AcadNusx"/>
        <family val="0"/>
      </rPr>
      <t xml:space="preserve"> milyeliT gare xraxniT </t>
    </r>
    <r>
      <rPr>
        <b/>
        <sz val="10"/>
        <rFont val="Arial"/>
        <family val="2"/>
      </rPr>
      <t>L=0.2 m</t>
    </r>
  </si>
  <si>
    <r>
      <t xml:space="preserve">polieTilenis muxlebis, gadamyvanebis, quroebis SeZena da mowyoba </t>
    </r>
    <r>
      <rPr>
        <b/>
        <sz val="10"/>
        <rFont val="Times New Roman"/>
        <family val="1"/>
      </rPr>
      <t>PN10</t>
    </r>
  </si>
  <si>
    <r>
      <t xml:space="preserve">Tujis Spindeliani urdulis SeZena da montaJi TalfaqiT </t>
    </r>
    <r>
      <rPr>
        <b/>
        <sz val="10"/>
        <rFont val="Arial"/>
        <family val="2"/>
      </rPr>
      <t xml:space="preserve">PN10, DN250 </t>
    </r>
  </si>
  <si>
    <r>
      <t xml:space="preserve">Tujis Spindeliani urdulis SeZena da montaJi TalfaqiT </t>
    </r>
    <r>
      <rPr>
        <b/>
        <sz val="10"/>
        <rFont val="Arial"/>
        <family val="2"/>
      </rPr>
      <t>PN10, DN200</t>
    </r>
  </si>
  <si>
    <r>
      <t xml:space="preserve">Tujis Spindeliani urdulis SeZena da montaJi TalfaqiT </t>
    </r>
    <r>
      <rPr>
        <b/>
        <sz val="10"/>
        <rFont val="Arial"/>
        <family val="2"/>
      </rPr>
      <t xml:space="preserve">PN10, DN300 </t>
    </r>
  </si>
  <si>
    <r>
      <t xml:space="preserve">Tujis Spindeliani urdulis SeZena da montaJi TalfaqiT </t>
    </r>
    <r>
      <rPr>
        <b/>
        <sz val="10"/>
        <rFont val="Arial"/>
        <family val="2"/>
      </rPr>
      <t xml:space="preserve">PN10, DN150 </t>
    </r>
  </si>
  <si>
    <r>
      <t xml:space="preserve">Tujis Spindeliani urdulis SeZena da montaJi TalfaqiT </t>
    </r>
    <r>
      <rPr>
        <b/>
        <sz val="10"/>
        <rFont val="Arial"/>
        <family val="2"/>
      </rPr>
      <t xml:space="preserve">PN10, DN100 </t>
    </r>
  </si>
  <si>
    <r>
      <t xml:space="preserve">Tujis Spindeliani urdulis SeZena da montaJi TalfaqiT </t>
    </r>
    <r>
      <rPr>
        <b/>
        <sz val="10"/>
        <rFont val="Arial"/>
        <family val="2"/>
      </rPr>
      <t xml:space="preserve">PN10, DN80 </t>
    </r>
  </si>
  <si>
    <r>
      <t xml:space="preserve">el. magnituri wyalmzomis SeZena da montaJi el momaragebiT mzis elementebis kabelebis, galvanizirebuli boZis mzis damteni kontroleris 12v </t>
    </r>
    <r>
      <rPr>
        <b/>
        <sz val="10"/>
        <rFont val="Times New Roman"/>
        <family val="1"/>
      </rPr>
      <t>SLA</t>
    </r>
    <r>
      <rPr>
        <b/>
        <sz val="10"/>
        <rFont val="AcadNusx"/>
        <family val="0"/>
      </rPr>
      <t xml:space="preserve"> batareis, dnobadi mcvelis, samagrebis da sxva saWiro samuSaoebis CaTvliT </t>
    </r>
    <r>
      <rPr>
        <b/>
        <sz val="10"/>
        <rFont val="Arial"/>
        <family val="2"/>
      </rPr>
      <t xml:space="preserve"> DN80 PN10</t>
    </r>
  </si>
  <si>
    <r>
      <t xml:space="preserve">el. magnituri wyalmzomis SeZena da montaJi el momaragebiT mzis elementebis kabelebis, galvanizirebuli boZis mzis damteni kontroleris 12v </t>
    </r>
    <r>
      <rPr>
        <b/>
        <sz val="10"/>
        <rFont val="Times New Roman"/>
        <family val="1"/>
      </rPr>
      <t>SLA</t>
    </r>
    <r>
      <rPr>
        <b/>
        <sz val="10"/>
        <rFont val="AcadNusx"/>
        <family val="0"/>
      </rPr>
      <t xml:space="preserve"> batareis, dnobadi mcvelis, samagrebis da sxva saWiro samuSaoebis CaTvliT </t>
    </r>
    <r>
      <rPr>
        <b/>
        <sz val="10"/>
        <rFont val="Arial"/>
        <family val="2"/>
      </rPr>
      <t xml:space="preserve"> DN300 PN10</t>
    </r>
  </si>
  <si>
    <r>
      <t xml:space="preserve">el. magnituri wyalmzomis SeZena da montaJi el momaragebiT mzis elementebis kabelebis, galvanizirebuli boZis mzis damteni kontroleris 12v </t>
    </r>
    <r>
      <rPr>
        <b/>
        <sz val="10"/>
        <rFont val="Times New Roman"/>
        <family val="1"/>
      </rPr>
      <t>SLA</t>
    </r>
    <r>
      <rPr>
        <b/>
        <sz val="10"/>
        <rFont val="AcadNusx"/>
        <family val="0"/>
      </rPr>
      <t xml:space="preserve"> batareis, dnobadi mcvelis, samagrebis da sxva saWiro samuSaoebis CaTvliT </t>
    </r>
    <r>
      <rPr>
        <b/>
        <sz val="10"/>
        <rFont val="Arial"/>
        <family val="2"/>
      </rPr>
      <t xml:space="preserve"> DN150 PN10</t>
    </r>
  </si>
  <si>
    <r>
      <t xml:space="preserve">el. magnituri wyalmzomis SeZena da montaJi el momaragebiT mzis elementebis kabelebis, galvanizirebuli boZis mzis damteni kontroleris 12v </t>
    </r>
    <r>
      <rPr>
        <b/>
        <sz val="10"/>
        <rFont val="Times New Roman"/>
        <family val="1"/>
      </rPr>
      <t>SLA</t>
    </r>
    <r>
      <rPr>
        <b/>
        <sz val="10"/>
        <rFont val="AcadNusx"/>
        <family val="0"/>
      </rPr>
      <t xml:space="preserve"> batareis, dnobadi mcvelis, samagrebis da sxva saWiro samuSaoebis CaTvliT </t>
    </r>
    <r>
      <rPr>
        <b/>
        <sz val="10"/>
        <rFont val="Arial"/>
        <family val="2"/>
      </rPr>
      <t xml:space="preserve"> DN100 PN10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</si>
  <si>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</si>
  <si>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 xml:space="preserve">Tboizolacia </t>
    </r>
    <r>
      <rPr>
        <b/>
        <sz val="10"/>
        <color indexed="8"/>
        <rFont val="Times New Roman"/>
        <family val="1"/>
      </rPr>
      <t>EPS</t>
    </r>
    <r>
      <rPr>
        <b/>
        <sz val="10"/>
        <color indexed="8"/>
        <rFont val="AcadNusx"/>
        <family val="0"/>
      </rPr>
      <t xml:space="preserve"> fila sisqiT 100mm</t>
    </r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</si>
  <si>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</si>
  <si>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gadaxurvaze qviSa-cementis moWimva damcavi 30mm</t>
  </si>
  <si>
    <t>gadaxurvaze qviSa-cementis moWimva 1.5% iani qaobis misacemad 20-100mm</t>
  </si>
  <si>
    <t>gadaxurvaze rulonuri hidroizolaciis mowyoba 2 fenad</t>
  </si>
  <si>
    <r>
      <t xml:space="preserve">armatura </t>
    </r>
    <r>
      <rPr>
        <sz val="10"/>
        <color indexed="8"/>
        <rFont val="Times New Roman"/>
        <family val="1"/>
      </rPr>
      <t>A500C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</si>
  <si>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</si>
  <si>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r>
      <t xml:space="preserve">r/b monoloTuri gadaxurvis filis mowyoba </t>
    </r>
    <r>
      <rPr>
        <b/>
        <sz val="10"/>
        <color indexed="8"/>
        <rFont val="Times New Roman"/>
        <family val="1"/>
      </rPr>
      <t>B30 F200 W6</t>
    </r>
  </si>
  <si>
    <r>
      <t xml:space="preserve">r/b monoloTuri rigelis mowyoba </t>
    </r>
    <r>
      <rPr>
        <b/>
        <sz val="10"/>
        <color indexed="8"/>
        <rFont val="Times New Roman"/>
        <family val="1"/>
      </rPr>
      <t>B30 F200 W6</t>
    </r>
  </si>
  <si>
    <r>
      <t xml:space="preserve">armatura </t>
    </r>
    <r>
      <rPr>
        <sz val="10"/>
        <rFont val="Times New Roman"/>
        <family val="1"/>
      </rPr>
      <t>A500C</t>
    </r>
  </si>
  <si>
    <r>
      <t xml:space="preserve">kedlebsa da iatakze r/b perangis mowyoba </t>
    </r>
    <r>
      <rPr>
        <b/>
        <sz val="10"/>
        <rFont val="Times New Roman"/>
        <family val="1"/>
      </rPr>
      <t>B30 F200 W6</t>
    </r>
  </si>
  <si>
    <r>
      <t xml:space="preserve">iatakze betonis qanobis fenis mowyoba wylis gadayvanisTvis </t>
    </r>
    <r>
      <rPr>
        <b/>
        <sz val="10"/>
        <color indexed="8"/>
        <rFont val="Times New Roman"/>
        <family val="1"/>
      </rPr>
      <t>(B30 F200 W6)</t>
    </r>
    <r>
      <rPr>
        <b/>
        <sz val="10"/>
        <color indexed="8"/>
        <rFont val="AcadNusx"/>
        <family val="0"/>
      </rPr>
      <t xml:space="preserve"> 20-200mm</t>
    </r>
  </si>
  <si>
    <r>
      <t>naxvretebis gakeTeba (</t>
    </r>
    <r>
      <rPr>
        <b/>
        <sz val="10"/>
        <rFont val="Times New Roman"/>
        <family val="1"/>
      </rPr>
      <t>D=20</t>
    </r>
    <r>
      <rPr>
        <b/>
        <sz val="10"/>
        <rFont val="AcadNusx"/>
        <family val="0"/>
      </rPr>
      <t>mm;</t>
    </r>
    <r>
      <rPr>
        <b/>
        <sz val="10"/>
        <rFont val="Times New Roman"/>
        <family val="1"/>
      </rPr>
      <t xml:space="preserve"> L=150</t>
    </r>
    <r>
      <rPr>
        <b/>
        <sz val="10"/>
        <rFont val="AcadNusx"/>
        <family val="0"/>
      </rPr>
      <t>mm)</t>
    </r>
  </si>
  <si>
    <t>rezervuaris Semkravi sartyelisa da svetebis zeda nawilis mongreva</t>
  </si>
  <si>
    <t>arsebuli anakrebi rigelebis demontaJi (gab. zomebiT 5.4*0.8*0.4m. Wona 4.25t)</t>
  </si>
  <si>
    <t>arsebuli anakrebi wibovani gadaxurvis filebis demontaJi</t>
  </si>
  <si>
    <t>ferdubanis rezervuari</t>
  </si>
  <si>
    <r>
      <t>naxvretebis gakeTeba (</t>
    </r>
    <r>
      <rPr>
        <b/>
        <sz val="10"/>
        <rFont val="Times New Roman"/>
        <family val="1"/>
      </rPr>
      <t>D=16</t>
    </r>
    <r>
      <rPr>
        <b/>
        <sz val="10"/>
        <rFont val="AcadNusx"/>
        <family val="0"/>
      </rPr>
      <t>mm;</t>
    </r>
    <r>
      <rPr>
        <b/>
        <sz val="10"/>
        <rFont val="Times New Roman"/>
        <family val="1"/>
      </rPr>
      <t xml:space="preserve"> L=150</t>
    </r>
    <r>
      <rPr>
        <b/>
        <sz val="10"/>
        <rFont val="AcadNusx"/>
        <family val="0"/>
      </rPr>
      <t>mm)</t>
    </r>
  </si>
  <si>
    <t>Wis luqis mowyoba 700X700</t>
  </si>
  <si>
    <r>
      <t xml:space="preserve">r/b monoliTuri saSibero kameris mowyoba </t>
    </r>
    <r>
      <rPr>
        <b/>
        <sz val="10"/>
        <rFont val="Times New Roman"/>
        <family val="1"/>
      </rPr>
      <t>B20 F200 W6</t>
    </r>
  </si>
  <si>
    <t>qvabulis damuSaveba saSibero kameris mosawyobad</t>
  </si>
  <si>
    <t>500 m3-iani (didi) rezervuaris kedlebis da iatakis zedapirebis damuSaveba qsaipeqsiT</t>
  </si>
  <si>
    <t>CanCqeris rezervuari</t>
  </si>
  <si>
    <t>saxuravze moTuTiebuli proffenilis mowyoba sisqiT 0.5mm</t>
  </si>
  <si>
    <t>gare kedlebis fiTxiT damuSaveba da SeRebva</t>
  </si>
  <si>
    <t>Sida kedlebis fiTxiT damuSaveba da SeRebva</t>
  </si>
  <si>
    <t>iatakis mopirkeTeba keramikuli filebiT</t>
  </si>
  <si>
    <r>
      <t xml:space="preserve">betonis iatakis mowyoba </t>
    </r>
    <r>
      <rPr>
        <b/>
        <sz val="10"/>
        <color indexed="8"/>
        <rFont val="Times New Roman"/>
        <family val="1"/>
      </rPr>
      <t>(B20 F200 W6)</t>
    </r>
    <r>
      <rPr>
        <b/>
        <sz val="10"/>
        <color indexed="8"/>
        <rFont val="AcadNusx"/>
        <family val="0"/>
      </rPr>
      <t xml:space="preserve"> 40-250mm</t>
    </r>
  </si>
  <si>
    <r>
      <t>sartyelis mowyoba rkinabetoniT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Times New Roman"/>
        <family val="1"/>
      </rPr>
      <t>B20 F200 W6</t>
    </r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</si>
  <si>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</si>
  <si>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xis saxuravis mowyoba</t>
  </si>
  <si>
    <t>metalo-plastmasis karisa da fanjrebis mowyoba</t>
  </si>
  <si>
    <t>liTonis mTavari karis mowyoba</t>
  </si>
  <si>
    <t>gigos rezervuarTan sadarajo jixuris reabilitacia</t>
  </si>
  <si>
    <t>arsebuli miwis safaris moxsna rezervuaris gadaxurvaze</t>
  </si>
  <si>
    <t>gigos rezervuari</t>
  </si>
  <si>
    <r>
      <t xml:space="preserve">sadrenaJe milebis montaJi </t>
    </r>
    <r>
      <rPr>
        <b/>
        <sz val="10"/>
        <rFont val="Times New Roman"/>
        <family val="1"/>
      </rPr>
      <t>D=100</t>
    </r>
    <r>
      <rPr>
        <b/>
        <sz val="10"/>
        <rFont val="AcadNusx"/>
        <family val="0"/>
      </rPr>
      <t xml:space="preserve">mm; </t>
    </r>
    <r>
      <rPr>
        <b/>
        <sz val="10"/>
        <rFont val="Times New Roman"/>
        <family val="1"/>
      </rPr>
      <t>L=500</t>
    </r>
    <r>
      <rPr>
        <b/>
        <sz val="10"/>
        <rFont val="AcadNusx"/>
        <family val="0"/>
      </rPr>
      <t>mm; 6 cali</t>
    </r>
  </si>
  <si>
    <t>policiis rezervuari</t>
  </si>
  <si>
    <r>
      <t>m</t>
    </r>
    <r>
      <rPr>
        <b/>
        <vertAlign val="superscript"/>
        <sz val="10"/>
        <rFont val="AcadNusx"/>
        <family val="0"/>
      </rPr>
      <t>3</t>
    </r>
  </si>
  <si>
    <t>saxlis garSemo 0.8m siganis betonis wyalsarinebelis mowyoba sisqiT 100mm</t>
  </si>
  <si>
    <t>gadaxurvaze hidroizolaciis mowyoba</t>
  </si>
  <si>
    <t>sadarajo jixuris reabilitacia</t>
  </si>
  <si>
    <r>
      <t xml:space="preserve">betonis iatakis mowyoba mcire oTaxSi </t>
    </r>
    <r>
      <rPr>
        <b/>
        <sz val="10"/>
        <color indexed="8"/>
        <rFont val="Times New Roman"/>
        <family val="1"/>
      </rPr>
      <t>(B20 F200 W6)</t>
    </r>
    <r>
      <rPr>
        <b/>
        <sz val="10"/>
        <color indexed="8"/>
        <rFont val="AcadNusx"/>
        <family val="0"/>
      </rPr>
      <t xml:space="preserve"> 40-250mm</t>
    </r>
  </si>
  <si>
    <t>saxuravze safasade Sipebiani ficaris montaJi sisqiT 13mm</t>
  </si>
  <si>
    <t>saxuravis dazianebuli mzidi xis konstruqciebis Secvla</t>
  </si>
  <si>
    <t>saqloratoros reabilitacia</t>
  </si>
  <si>
    <r>
      <t xml:space="preserve">gadaxurvis filis mowyoba rkinabetoniT </t>
    </r>
    <r>
      <rPr>
        <b/>
        <sz val="10"/>
        <color indexed="8"/>
        <rFont val="Times New Roman"/>
        <family val="1"/>
      </rPr>
      <t>B-20 F200 W6</t>
    </r>
  </si>
  <si>
    <r>
      <t>naxvretebis gakeTeba (</t>
    </r>
    <r>
      <rPr>
        <b/>
        <sz val="10"/>
        <rFont val="Times New Roman"/>
        <family val="1"/>
      </rPr>
      <t>D=14</t>
    </r>
    <r>
      <rPr>
        <b/>
        <sz val="10"/>
        <rFont val="AcadNusx"/>
        <family val="0"/>
      </rPr>
      <t>mm;</t>
    </r>
    <r>
      <rPr>
        <b/>
        <sz val="10"/>
        <rFont val="Times New Roman"/>
        <family val="1"/>
      </rPr>
      <t xml:space="preserve"> L=150</t>
    </r>
    <r>
      <rPr>
        <b/>
        <sz val="10"/>
        <rFont val="AcadNusx"/>
        <family val="0"/>
      </rPr>
      <t>mm)</t>
    </r>
  </si>
  <si>
    <t>saSibero kamera (rezervuarTan)</t>
  </si>
  <si>
    <r>
      <t xml:space="preserve">iatakis moWimva wvrilmarcvlovani betoniT 1%-ian qanobis misacemad </t>
    </r>
    <r>
      <rPr>
        <b/>
        <sz val="10"/>
        <color indexed="8"/>
        <rFont val="Times New Roman"/>
        <family val="1"/>
      </rPr>
      <t>(B20 F200 W6)</t>
    </r>
    <r>
      <rPr>
        <b/>
        <sz val="10"/>
        <color indexed="8"/>
        <rFont val="AcadNusx"/>
        <family val="0"/>
      </rPr>
      <t xml:space="preserve"> 40-250mm</t>
    </r>
  </si>
  <si>
    <t>Weris damuSaveba da Selesva saremonto xsnariT</t>
  </si>
  <si>
    <t>Werze dazianebuli baTqaSis Camoyra</t>
  </si>
  <si>
    <r>
      <t>rezervuari 1000m</t>
    </r>
    <r>
      <rPr>
        <b/>
        <i/>
        <u val="single"/>
        <sz val="11"/>
        <color indexed="10"/>
        <rFont val="Times New Roman"/>
        <family val="1"/>
      </rPr>
      <t>³</t>
    </r>
  </si>
  <si>
    <t>saSibero kamera (calke mdgomi)</t>
  </si>
  <si>
    <r>
      <t xml:space="preserve">r/b perangisa da gadaxurvis mowyoba </t>
    </r>
    <r>
      <rPr>
        <b/>
        <sz val="10"/>
        <rFont val="Times New Roman"/>
        <family val="1"/>
      </rPr>
      <t>B20 F200 W6</t>
    </r>
  </si>
  <si>
    <t>Semkrebi kamera #1</t>
  </si>
  <si>
    <t>gare kedlebis maRalxarisxovani lesva qviSacementis xsnariT 2.5sm</t>
  </si>
  <si>
    <t>Wis kedlebze dazianebuli baTqaSis Camoyra</t>
  </si>
  <si>
    <t>gvirabis saTvalTvalo Wa #5</t>
  </si>
  <si>
    <r>
      <t xml:space="preserve">r/b monoliTuri Ziris mowyoba </t>
    </r>
    <r>
      <rPr>
        <b/>
        <sz val="10"/>
        <color indexed="8"/>
        <rFont val="Times New Roman"/>
        <family val="1"/>
      </rPr>
      <t>B20 F200 W6</t>
    </r>
  </si>
  <si>
    <t>Wis arsebuli miwiszeda betonis nawilis mongreva</t>
  </si>
  <si>
    <r>
      <t xml:space="preserve">anakrebi Wis rgolisa </t>
    </r>
    <r>
      <rPr>
        <b/>
        <sz val="10"/>
        <rFont val="Times New Roman"/>
        <family val="1"/>
      </rPr>
      <t xml:space="preserve">D=1500 </t>
    </r>
    <r>
      <rPr>
        <b/>
        <sz val="10"/>
        <rFont val="AcadNusx"/>
        <family val="0"/>
      </rPr>
      <t xml:space="preserve">da xufis </t>
    </r>
    <r>
      <rPr>
        <b/>
        <sz val="10"/>
        <rFont val="Times New Roman"/>
        <family val="1"/>
      </rPr>
      <t>D=600</t>
    </r>
    <r>
      <rPr>
        <b/>
        <sz val="10"/>
        <rFont val="AcadNusx"/>
        <family val="0"/>
      </rPr>
      <t xml:space="preserve"> mowyoba</t>
    </r>
  </si>
  <si>
    <t>gvirabis saTvalTvalo Wa #4</t>
  </si>
  <si>
    <t>gvirabis saTvalTvalo Wa #3</t>
  </si>
  <si>
    <t>gvirabis saTvalTvalo Wa #2</t>
  </si>
  <si>
    <t>gvirabis saTvalTvalo Wa #1</t>
  </si>
  <si>
    <t>qvabulis damuSaveba r/b perangis mosawyobad</t>
  </si>
  <si>
    <t>saTvalTvalo kamera #4</t>
  </si>
  <si>
    <t>saTvalTvalo kamera #2</t>
  </si>
  <si>
    <r>
      <t xml:space="preserve">Tujis oTxkuTxedi xufis mowyoba rezervuarze </t>
    </r>
    <r>
      <rPr>
        <b/>
        <sz val="10"/>
        <rFont val="Times New Roman"/>
        <family val="1"/>
      </rPr>
      <t>1000X1000</t>
    </r>
  </si>
  <si>
    <r>
      <t xml:space="preserve">Tujis mrgvali xufis mowyoba saSibero kameraze </t>
    </r>
    <r>
      <rPr>
        <b/>
        <sz val="10"/>
        <rFont val="Times New Roman"/>
        <family val="1"/>
      </rPr>
      <t>800X800</t>
    </r>
  </si>
  <si>
    <r>
      <t xml:space="preserve">liTonis kibis montaJi epoqsiduri dafarviT 2c </t>
    </r>
    <r>
      <rPr>
        <b/>
        <sz val="10"/>
        <rFont val="Times New Roman"/>
        <family val="1"/>
      </rPr>
      <t>L=2.5</t>
    </r>
    <r>
      <rPr>
        <b/>
        <sz val="10"/>
        <rFont val="AcadNusx"/>
        <family val="0"/>
      </rPr>
      <t xml:space="preserve">m &amp; </t>
    </r>
    <r>
      <rPr>
        <b/>
        <sz val="10"/>
        <rFont val="Times New Roman"/>
        <family val="1"/>
      </rPr>
      <t>L=3.4</t>
    </r>
    <r>
      <rPr>
        <b/>
        <sz val="10"/>
        <rFont val="AcadNusx"/>
        <family val="0"/>
      </rPr>
      <t>m (rezevuarisa da saSibero kamerisTvis)</t>
    </r>
  </si>
  <si>
    <t>armatura a-III klasis Ǿ14</t>
  </si>
  <si>
    <t>armatura a-III klasis Ǿ10</t>
  </si>
  <si>
    <r>
      <t xml:space="preserve">armatura a-I klasis </t>
    </r>
    <r>
      <rPr>
        <sz val="10"/>
        <rFont val="Calibri"/>
        <family val="2"/>
      </rPr>
      <t>Ǿ8</t>
    </r>
  </si>
  <si>
    <r>
      <t xml:space="preserve">rkina-betonis saZirkvlis, kedlebisa da gadaxurvis mowyoba </t>
    </r>
    <r>
      <rPr>
        <b/>
        <sz val="10"/>
        <rFont val="Times New Roman"/>
        <family val="1"/>
      </rPr>
      <t>B25 W8 F150</t>
    </r>
    <r>
      <rPr>
        <b/>
        <sz val="10"/>
        <rFont val="AcadNusx"/>
        <family val="0"/>
      </rPr>
      <t xml:space="preserve"> betoniT</t>
    </r>
  </si>
  <si>
    <r>
      <rPr>
        <b/>
        <sz val="10"/>
        <rFont val="Times New Roman"/>
        <family val="1"/>
      </rPr>
      <t>B10</t>
    </r>
    <r>
      <rPr>
        <b/>
        <sz val="10"/>
        <rFont val="AcadNusx"/>
        <family val="0"/>
      </rPr>
      <t xml:space="preserve"> klasis betonis momzadebis mowyoba</t>
    </r>
  </si>
  <si>
    <t>konstruqciuli nawili</t>
  </si>
  <si>
    <t>arsebuli rezervuaris dezinfeqcia</t>
  </si>
  <si>
    <t>arsebuli rezervuaris gamocda</t>
  </si>
  <si>
    <t>foladis fasonuri nawilebis, elementebisa da gadabmebis antikoroziuli laqiT dafarva 2 fenad</t>
  </si>
  <si>
    <t>Wisa da saSibero kameris kedlebis hidroizolacia 2 fenad</t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</si>
  <si>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=2.0m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=2.0m 1.komp (gadaxurvisa da Ziris filiT, Tujis xufiT, Casasvleli kibiT)</t>
    </r>
  </si>
  <si>
    <r>
      <t>qanCi</t>
    </r>
    <r>
      <rPr>
        <sz val="10"/>
        <rFont val="Times New Roman"/>
        <family val="1"/>
      </rPr>
      <t xml:space="preserve"> M10</t>
    </r>
  </si>
  <si>
    <r>
      <t>WanWiki</t>
    </r>
    <r>
      <rPr>
        <sz val="10"/>
        <rFont val="Times New Roman"/>
        <family val="1"/>
      </rPr>
      <t xml:space="preserve"> M10</t>
    </r>
  </si>
  <si>
    <r>
      <t>ankeri</t>
    </r>
    <r>
      <rPr>
        <sz val="10"/>
        <rFont val="Times New Roman"/>
        <family val="1"/>
      </rPr>
      <t xml:space="preserve"> M10</t>
    </r>
  </si>
  <si>
    <t>foladis firfita 8mm sisqiT 4c</t>
  </si>
  <si>
    <t>foladis firfita 2mm sisqiT 4c</t>
  </si>
  <si>
    <r>
      <t xml:space="preserve">kuTxovana 30X3 </t>
    </r>
    <r>
      <rPr>
        <sz val="10"/>
        <rFont val="Times New Roman"/>
        <family val="1"/>
      </rPr>
      <t>L=1.5</t>
    </r>
    <r>
      <rPr>
        <sz val="10"/>
        <rFont val="AcadNusx"/>
        <family val="0"/>
      </rPr>
      <t xml:space="preserve"> 4 cali</t>
    </r>
  </si>
  <si>
    <t>liTonis sayrdenebis mowyoba milisTvis (naxazis mixedviT)</t>
  </si>
  <si>
    <t>CarCo 25X4mm</t>
  </si>
  <si>
    <t>WanWiki, qanCi, sayeluri</t>
  </si>
  <si>
    <r>
      <t>mavTulis bade 0.17m</t>
    </r>
    <r>
      <rPr>
        <sz val="10"/>
        <rFont val="Times New Roman"/>
        <family val="1"/>
      </rPr>
      <t>²</t>
    </r>
  </si>
  <si>
    <t>galvanizebuli foladis saxuravi</t>
  </si>
  <si>
    <t>foladis mili 219X5 - 13m</t>
  </si>
  <si>
    <t>saventilacio milebis mowyoba (naxazis mixedviT)</t>
  </si>
  <si>
    <r>
      <t xml:space="preserve">samkapi </t>
    </r>
    <r>
      <rPr>
        <sz val="10"/>
        <rFont val="Times New Roman"/>
        <family val="1"/>
      </rPr>
      <t>OD315 PN10</t>
    </r>
  </si>
  <si>
    <r>
      <t xml:space="preserve">polieTilenis samkapis </t>
    </r>
    <r>
      <rPr>
        <b/>
        <sz val="10"/>
        <rFont val="Times New Roman"/>
        <family val="1"/>
      </rPr>
      <t>OD315</t>
    </r>
    <r>
      <rPr>
        <b/>
        <sz val="10"/>
        <rFont val="AcadNusx"/>
        <family val="0"/>
      </rPr>
      <t xml:space="preserve"> SeZena da mowyoba</t>
    </r>
  </si>
  <si>
    <r>
      <t xml:space="preserve">wamgvari </t>
    </r>
    <r>
      <rPr>
        <sz val="10"/>
        <rFont val="Times New Roman"/>
        <family val="1"/>
      </rPr>
      <t>OD315 PN10 30°</t>
    </r>
  </si>
  <si>
    <r>
      <t xml:space="preserve">muxli </t>
    </r>
    <r>
      <rPr>
        <sz val="10"/>
        <rFont val="Times New Roman"/>
        <family val="1"/>
      </rPr>
      <t>OD315 PN10 90°</t>
    </r>
  </si>
  <si>
    <t>polieTilenis muxlebis, wamgvarebis, SeZena da mowyoba</t>
  </si>
  <si>
    <r>
      <t>Cobalebis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DN150</t>
    </r>
    <r>
      <rPr>
        <b/>
        <sz val="10"/>
        <rFont val="AcadNusx"/>
        <family val="0"/>
      </rPr>
      <t xml:space="preserve"> Sevseba hermetikiTa da poliureTanis qafiT</t>
    </r>
  </si>
  <si>
    <r>
      <t>Cobalebis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DN315;300;250</t>
    </r>
    <r>
      <rPr>
        <b/>
        <sz val="10"/>
        <rFont val="AcadNusx"/>
        <family val="0"/>
      </rPr>
      <t xml:space="preserve"> Sevseba hermetikiTa da poliureTanis qafiT</t>
    </r>
  </si>
  <si>
    <t>foladis regulirebadi moTuTiebuli sayrdeni 7c</t>
  </si>
  <si>
    <r>
      <t xml:space="preserve">Cobali </t>
    </r>
    <r>
      <rPr>
        <sz val="10"/>
        <color indexed="8"/>
        <rFont val="Times New Roman"/>
        <family val="1"/>
      </rPr>
      <t>DN150 3</t>
    </r>
    <r>
      <rPr>
        <sz val="10"/>
        <color indexed="8"/>
        <rFont val="AcadNusx"/>
        <family val="0"/>
      </rPr>
      <t>c</t>
    </r>
  </si>
  <si>
    <r>
      <t xml:space="preserve">Cobali </t>
    </r>
    <r>
      <rPr>
        <sz val="10"/>
        <color indexed="8"/>
        <rFont val="Times New Roman"/>
        <family val="1"/>
      </rPr>
      <t>DN250 2</t>
    </r>
    <r>
      <rPr>
        <sz val="10"/>
        <color indexed="8"/>
        <rFont val="AcadNusx"/>
        <family val="0"/>
      </rPr>
      <t>c</t>
    </r>
  </si>
  <si>
    <r>
      <t xml:space="preserve">Cobali </t>
    </r>
    <r>
      <rPr>
        <sz val="10"/>
        <color indexed="8"/>
        <rFont val="Times New Roman"/>
        <family val="1"/>
      </rPr>
      <t>DN300 2</t>
    </r>
    <r>
      <rPr>
        <sz val="10"/>
        <color indexed="8"/>
        <rFont val="AcadNusx"/>
        <family val="0"/>
      </rPr>
      <t>c</t>
    </r>
  </si>
  <si>
    <r>
      <t xml:space="preserve">Cobali </t>
    </r>
    <r>
      <rPr>
        <sz val="10"/>
        <color indexed="8"/>
        <rFont val="Times New Roman"/>
        <family val="1"/>
      </rPr>
      <t>DN315 1</t>
    </r>
    <r>
      <rPr>
        <sz val="10"/>
        <color indexed="8"/>
        <rFont val="AcadNusx"/>
        <family val="0"/>
      </rPr>
      <t>c</t>
    </r>
  </si>
  <si>
    <r>
      <t xml:space="preserve">gadamyvani </t>
    </r>
    <r>
      <rPr>
        <sz val="10"/>
        <color indexed="8"/>
        <rFont val="Times New Roman"/>
        <family val="1"/>
      </rPr>
      <t>DN500/300 PN10 2</t>
    </r>
    <r>
      <rPr>
        <sz val="10"/>
        <color indexed="8"/>
        <rFont val="AcadNusx"/>
        <family val="0"/>
      </rPr>
      <t>c</t>
    </r>
  </si>
  <si>
    <r>
      <t xml:space="preserve">wamgvari </t>
    </r>
    <r>
      <rPr>
        <sz val="10"/>
        <color indexed="8"/>
        <rFont val="Times New Roman"/>
        <family val="1"/>
      </rPr>
      <t>DN150 PN10 45° 2</t>
    </r>
    <r>
      <rPr>
        <sz val="10"/>
        <color indexed="8"/>
        <rFont val="AcadNusx"/>
        <family val="0"/>
      </rPr>
      <t>c</t>
    </r>
  </si>
  <si>
    <r>
      <t xml:space="preserve">wamgvari </t>
    </r>
    <r>
      <rPr>
        <sz val="10"/>
        <color indexed="8"/>
        <rFont val="Times New Roman"/>
        <family val="1"/>
      </rPr>
      <t>DN300 PN10 45° 7</t>
    </r>
    <r>
      <rPr>
        <sz val="10"/>
        <color indexed="8"/>
        <rFont val="AcadNusx"/>
        <family val="0"/>
      </rPr>
      <t>c</t>
    </r>
  </si>
  <si>
    <r>
      <t xml:space="preserve">muxli </t>
    </r>
    <r>
      <rPr>
        <sz val="10"/>
        <color indexed="8"/>
        <rFont val="Times New Roman"/>
        <family val="1"/>
      </rPr>
      <t>DN150 PN10 90° 1</t>
    </r>
    <r>
      <rPr>
        <sz val="10"/>
        <color indexed="8"/>
        <rFont val="AcadNusx"/>
        <family val="0"/>
      </rPr>
      <t>c</t>
    </r>
  </si>
  <si>
    <r>
      <t xml:space="preserve">muxli </t>
    </r>
    <r>
      <rPr>
        <sz val="10"/>
        <color indexed="8"/>
        <rFont val="Times New Roman"/>
        <family val="1"/>
      </rPr>
      <t>DN300 PN10 90° 2</t>
    </r>
    <r>
      <rPr>
        <sz val="10"/>
        <color indexed="8"/>
        <rFont val="AcadNusx"/>
        <family val="0"/>
      </rPr>
      <t>c</t>
    </r>
  </si>
  <si>
    <r>
      <t xml:space="preserve">samkapi </t>
    </r>
    <r>
      <rPr>
        <sz val="10"/>
        <color indexed="8"/>
        <rFont val="Times New Roman"/>
        <family val="1"/>
      </rPr>
      <t>DN300/150 PN10 1</t>
    </r>
    <r>
      <rPr>
        <sz val="10"/>
        <color indexed="8"/>
        <rFont val="AcadNusx"/>
        <family val="0"/>
      </rPr>
      <t>c</t>
    </r>
  </si>
  <si>
    <r>
      <t xml:space="preserve">samkapi </t>
    </r>
    <r>
      <rPr>
        <sz val="10"/>
        <color indexed="8"/>
        <rFont val="Times New Roman"/>
        <family val="1"/>
      </rPr>
      <t>DN250/250 PN10 2</t>
    </r>
    <r>
      <rPr>
        <sz val="10"/>
        <color indexed="8"/>
        <rFont val="AcadNusx"/>
        <family val="0"/>
      </rPr>
      <t>c</t>
    </r>
  </si>
  <si>
    <t>foladis samkapebis, muxlebis, wamgvarebis, gadamyvanebis, Cobalebis, sayrdenebis SeZena da montaJi</t>
  </si>
  <si>
    <r>
      <t xml:space="preserve">polieTilenis miltuCa adaptoris foladis miltuCiT SeZena da montaJi </t>
    </r>
    <r>
      <rPr>
        <b/>
        <sz val="10"/>
        <rFont val="Times New Roman"/>
        <family val="1"/>
      </rPr>
      <t>OD250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</si>
  <si>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polieTilenis miltuCa adaptoris foladis miltuCiT SeZena da montaJi </t>
    </r>
    <r>
      <rPr>
        <b/>
        <sz val="10"/>
        <rFont val="Times New Roman"/>
        <family val="1"/>
      </rPr>
      <t>OD315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</si>
  <si>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foladis miltuCis SeZena da montaJi </t>
    </r>
    <r>
      <rPr>
        <b/>
        <sz val="10"/>
        <rFont val="Times New Roman"/>
        <family val="1"/>
      </rPr>
      <t>DN150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</si>
  <si>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kedlis ormagi miltuCis SeZena da montaJi </t>
    </r>
    <r>
      <rPr>
        <b/>
        <sz val="10"/>
        <rFont val="Times New Roman"/>
        <family val="1"/>
      </rPr>
      <t>DN200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</si>
  <si>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foladis yru miltuCis SeZena da montaJi </t>
    </r>
    <r>
      <rPr>
        <b/>
        <sz val="10"/>
        <rFont val="Times New Roman"/>
        <family val="1"/>
      </rPr>
      <t>DN250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</si>
  <si>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kedlis ormagi miltuCis SeZena da montaJi </t>
    </r>
    <r>
      <rPr>
        <b/>
        <sz val="10"/>
        <rFont val="Times New Roman"/>
        <family val="1"/>
      </rPr>
      <t>DN250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</si>
  <si>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foladis miltuCis SeZena da montaJi </t>
    </r>
    <r>
      <rPr>
        <b/>
        <sz val="10"/>
        <rFont val="Times New Roman"/>
        <family val="1"/>
      </rPr>
      <t>DN250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</si>
  <si>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kedlis ormagi miltuCis SeZena da montaJi </t>
    </r>
    <r>
      <rPr>
        <b/>
        <sz val="10"/>
        <rFont val="Times New Roman"/>
        <family val="1"/>
      </rPr>
      <t>DN300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</si>
  <si>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 xml:space="preserve">foladis miltuCis SeZena da montaJi </t>
    </r>
    <r>
      <rPr>
        <b/>
        <sz val="10"/>
        <rFont val="Times New Roman"/>
        <family val="1"/>
      </rPr>
      <t>DN300</t>
    </r>
    <r>
      <rPr>
        <b/>
        <sz val="10"/>
        <rFont val="AcadNusx"/>
        <family val="0"/>
      </rPr>
      <t xml:space="preserve">, </t>
    </r>
    <r>
      <rPr>
        <b/>
        <sz val="10"/>
        <rFont val="Times New Roman"/>
        <family val="1"/>
      </rPr>
      <t>PN10</t>
    </r>
  </si>
  <si>
    <r>
      <t>sademontaJo quros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cadNusx"/>
        <family val="0"/>
      </rPr>
      <t xml:space="preserve">SeZena da montaJi </t>
    </r>
    <r>
      <rPr>
        <b/>
        <sz val="10"/>
        <color indexed="8"/>
        <rFont val="Times New Roman"/>
        <family val="1"/>
      </rPr>
      <t>DN150, PN10</t>
    </r>
  </si>
  <si>
    <r>
      <t>sademontaJo quros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cadNusx"/>
        <family val="0"/>
      </rPr>
      <t xml:space="preserve">SeZena da montaJi </t>
    </r>
    <r>
      <rPr>
        <b/>
        <sz val="10"/>
        <color indexed="8"/>
        <rFont val="Times New Roman"/>
        <family val="1"/>
      </rPr>
      <t>DN250, PN10</t>
    </r>
  </si>
  <si>
    <r>
      <t>sademontaJo quros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cadNusx"/>
        <family val="0"/>
      </rPr>
      <t xml:space="preserve">SeZena da montaJi </t>
    </r>
    <r>
      <rPr>
        <b/>
        <sz val="10"/>
        <color indexed="8"/>
        <rFont val="Times New Roman"/>
        <family val="1"/>
      </rPr>
      <t>DN300, PN10</t>
    </r>
  </si>
  <si>
    <r>
      <t xml:space="preserve">foladis Wequna Camketis ("prixlopka") SeZena da montaJi </t>
    </r>
    <r>
      <rPr>
        <b/>
        <sz val="10"/>
        <rFont val="Times New Roman"/>
        <family val="1"/>
      </rPr>
      <t>PN10, DN150</t>
    </r>
  </si>
  <si>
    <r>
      <t xml:space="preserve">foladis Wequna Camketis ("prixlopka") SeZena da montaJi </t>
    </r>
    <r>
      <rPr>
        <b/>
        <sz val="10"/>
        <rFont val="Times New Roman"/>
        <family val="1"/>
      </rPr>
      <t>PN10, DN300</t>
    </r>
  </si>
  <si>
    <r>
      <t xml:space="preserve">Tujis solisebri urdulis SeZena da montaJi </t>
    </r>
    <r>
      <rPr>
        <b/>
        <sz val="10"/>
        <rFont val="Times New Roman"/>
        <family val="1"/>
      </rPr>
      <t>PN10, DN150</t>
    </r>
  </si>
  <si>
    <r>
      <t xml:space="preserve">Tujis solisebri urdulis SeZena da montaJi </t>
    </r>
    <r>
      <rPr>
        <b/>
        <sz val="10"/>
        <rFont val="Times New Roman"/>
        <family val="1"/>
      </rPr>
      <t>PN10, DN250</t>
    </r>
  </si>
  <si>
    <r>
      <t xml:space="preserve">Tujis solisebri urdulis SeZena da montaJi </t>
    </r>
    <r>
      <rPr>
        <b/>
        <sz val="10"/>
        <rFont val="Times New Roman"/>
        <family val="1"/>
      </rPr>
      <t>PN10, DN300</t>
    </r>
  </si>
  <si>
    <t>armirebuli folgiani saniSni lentis SeZena da mowyoba</t>
  </si>
  <si>
    <r>
      <rPr>
        <b/>
        <sz val="10"/>
        <rFont val="Times New Roman"/>
        <family val="1"/>
      </rPr>
      <t>DN250</t>
    </r>
    <r>
      <rPr>
        <b/>
        <sz val="10"/>
        <rFont val="AcadNusx"/>
        <family val="0"/>
      </rPr>
      <t xml:space="preserve"> milis gamorecxva  qloriani wyliT</t>
    </r>
  </si>
  <si>
    <r>
      <rPr>
        <b/>
        <sz val="10"/>
        <rFont val="Times New Roman"/>
        <family val="1"/>
      </rPr>
      <t>DN300</t>
    </r>
    <r>
      <rPr>
        <b/>
        <sz val="10"/>
        <rFont val="AcadNusx"/>
        <family val="0"/>
      </rPr>
      <t xml:space="preserve"> milis gamorecxva  qloriani wyliT</t>
    </r>
  </si>
  <si>
    <r>
      <t xml:space="preserve">polieTilenis milis </t>
    </r>
    <r>
      <rPr>
        <b/>
        <sz val="10"/>
        <rFont val="Times New Roman"/>
        <family val="1"/>
      </rPr>
      <t>PE100 SDR17 PN10 OD315</t>
    </r>
    <r>
      <rPr>
        <b/>
        <sz val="10"/>
        <rFont val="AcadNusx"/>
        <family val="0"/>
      </rPr>
      <t>mm SeZena, hidravikuri gamocda da mowyoba</t>
    </r>
  </si>
  <si>
    <r>
      <t xml:space="preserve">foladis milis Sida da gare qarxnuli antikoroziuli izolaciiT </t>
    </r>
    <r>
      <rPr>
        <b/>
        <sz val="10"/>
        <rFont val="Times New Roman"/>
        <family val="1"/>
      </rPr>
      <t>DN150</t>
    </r>
    <r>
      <rPr>
        <b/>
        <sz val="10"/>
        <rFont val="AcadNusx"/>
        <family val="0"/>
      </rPr>
      <t>mm</t>
    </r>
    <r>
      <rPr>
        <b/>
        <sz val="10"/>
        <rFont val="Times New Roman"/>
        <family val="1"/>
      </rPr>
      <t xml:space="preserve"> (159/5)</t>
    </r>
    <r>
      <rPr>
        <b/>
        <sz val="10"/>
        <rFont val="AcadNusx"/>
        <family val="0"/>
      </rPr>
      <t xml:space="preserve"> SeZena, hidravikuri gamocda da mowyoba</t>
    </r>
  </si>
  <si>
    <r>
      <t xml:space="preserve">foladis milis Sida da gare qarxnuli antikoroziuli izolaciiT </t>
    </r>
    <r>
      <rPr>
        <b/>
        <sz val="10"/>
        <rFont val="Times New Roman"/>
        <family val="1"/>
      </rPr>
      <t>DN250</t>
    </r>
    <r>
      <rPr>
        <b/>
        <sz val="10"/>
        <rFont val="AcadNusx"/>
        <family val="0"/>
      </rPr>
      <t>mm</t>
    </r>
    <r>
      <rPr>
        <b/>
        <sz val="10"/>
        <rFont val="Times New Roman"/>
        <family val="1"/>
      </rPr>
      <t xml:space="preserve"> (273/5)</t>
    </r>
    <r>
      <rPr>
        <b/>
        <sz val="10"/>
        <rFont val="AcadNusx"/>
        <family val="0"/>
      </rPr>
      <t xml:space="preserve"> SeZena, hidravikuri gamocda da mowyoba (maT Soris 1.52m daxvretili naxazi mixedviT)</t>
    </r>
  </si>
  <si>
    <r>
      <t xml:space="preserve">foladis milis Sida da gare qarxnuli antikoroziuli izolaciiT </t>
    </r>
    <r>
      <rPr>
        <b/>
        <sz val="10"/>
        <rFont val="Times New Roman"/>
        <family val="1"/>
      </rPr>
      <t>DN300</t>
    </r>
    <r>
      <rPr>
        <b/>
        <sz val="10"/>
        <rFont val="AcadNusx"/>
        <family val="0"/>
      </rPr>
      <t>mm</t>
    </r>
    <r>
      <rPr>
        <b/>
        <sz val="10"/>
        <rFont val="Times New Roman"/>
        <family val="1"/>
      </rPr>
      <t xml:space="preserve"> (324/6)</t>
    </r>
    <r>
      <rPr>
        <b/>
        <sz val="10"/>
        <rFont val="AcadNusx"/>
        <family val="0"/>
      </rPr>
      <t xml:space="preserve"> SeZena, hidravikuri gamocda da mowyoba</t>
    </r>
  </si>
  <si>
    <r>
      <t xml:space="preserve">arsebuli foladis milebis </t>
    </r>
    <r>
      <rPr>
        <b/>
        <sz val="10"/>
        <rFont val="Times New Roman"/>
        <family val="1"/>
      </rPr>
      <t>DN300</t>
    </r>
    <r>
      <rPr>
        <b/>
        <sz val="10"/>
        <rFont val="AcadNusx"/>
        <family val="0"/>
      </rPr>
      <t>mm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 xml:space="preserve"> demontaJi rezervuaris kedlebidan da kedlebis gareT rezevuaris teritoriidan</t>
    </r>
  </si>
  <si>
    <t>gamongreuli betonis amovseba</t>
  </si>
  <si>
    <t>rkina-betonis arsebuli kedlis gamongreva arsebuli milebis demontaJisa da saproeqto milebis mowyobisTvis</t>
  </si>
  <si>
    <t>CaWra</t>
  </si>
  <si>
    <r>
      <t xml:space="preserve">arsebul foladis milis CaWra da gadaerTeba </t>
    </r>
    <r>
      <rPr>
        <b/>
        <sz val="10"/>
        <rFont val="Times New Roman"/>
        <family val="1"/>
      </rPr>
      <t>DN150</t>
    </r>
    <r>
      <rPr>
        <b/>
        <sz val="10"/>
        <rFont val="AcadNusx"/>
        <family val="0"/>
      </rPr>
      <t>mm</t>
    </r>
  </si>
  <si>
    <t>qviSa-xreSis baliSis momzadeba Wis qveS</t>
  </si>
  <si>
    <t>balastis datkepnili baliSis momzadeba saSibero kameris qveS</t>
  </si>
  <si>
    <t>tranSeis Sevseba adgilobrivi gafxvierebuli gruntiT buldozeriT datkepniT (gadamRvreli milisTvis)</t>
  </si>
  <si>
    <t>qviSis baliSis mowyoba  milebis garSemo qveS 10sm, zevidan 20sm (gadamRvreli milisTvis)</t>
  </si>
  <si>
    <t>saSibero kameris qvabulis Sevseba adgilobrivi gafxvierebuli gruntiT</t>
  </si>
  <si>
    <t>teqnologiuri nawili</t>
  </si>
  <si>
    <t>B-5</t>
  </si>
  <si>
    <t>arsebuli nagebobebis reabilitacia</t>
  </si>
  <si>
    <t>satumbi sadgurebis mowyoba</t>
  </si>
  <si>
    <t>B-6</t>
  </si>
  <si>
    <t>B-7</t>
  </si>
  <si>
    <r>
      <t xml:space="preserve">gare kedlebze Tboizolaciis mowyoba </t>
    </r>
    <r>
      <rPr>
        <b/>
        <sz val="10"/>
        <color indexed="8"/>
        <rFont val="Times New Roman"/>
        <family val="1"/>
      </rPr>
      <t>XPS</t>
    </r>
    <r>
      <rPr>
        <b/>
        <sz val="10"/>
        <color indexed="8"/>
        <rFont val="AcadNusx"/>
        <family val="0"/>
      </rPr>
      <t xml:space="preserve"> fila sisqiT 50mm</t>
    </r>
  </si>
  <si>
    <t>gadaxurvaze qviSa-cementis moWimva 1.5% iani qaobis misacemad</t>
  </si>
  <si>
    <r>
      <t xml:space="preserve">saxuravze Tboizolaciis mowyoba </t>
    </r>
    <r>
      <rPr>
        <b/>
        <sz val="10"/>
        <color indexed="8"/>
        <rFont val="Times New Roman"/>
        <family val="1"/>
      </rPr>
      <t>XPS</t>
    </r>
    <r>
      <rPr>
        <b/>
        <sz val="10"/>
        <color indexed="8"/>
        <rFont val="AcadNusx"/>
        <family val="0"/>
      </rPr>
      <t xml:space="preserve"> fila sisqiT 100mm</t>
    </r>
  </si>
  <si>
    <t>Sida kedlebis lesva qviSa-cementis xsnariT</t>
  </si>
  <si>
    <t>gare kedlebis Selesva qviSa-cementis xsnariT</t>
  </si>
  <si>
    <t>orive satumbi sadgurisTvis mosapirkeTebeli samuSaoebi</t>
  </si>
  <si>
    <t>orive satumbi sadgurisTvis samSeneblo samuSaoebi</t>
  </si>
  <si>
    <r>
      <t xml:space="preserve">fuladis furceli </t>
    </r>
    <r>
      <rPr>
        <sz val="10"/>
        <rFont val="Times New Roman"/>
        <family val="1"/>
      </rPr>
      <t>240X4 L=800</t>
    </r>
  </si>
  <si>
    <r>
      <t xml:space="preserve">fuladis furceli </t>
    </r>
    <r>
      <rPr>
        <sz val="10"/>
        <rFont val="Times New Roman"/>
        <family val="1"/>
      </rPr>
      <t>212.5X4 L=800</t>
    </r>
  </si>
  <si>
    <r>
      <t xml:space="preserve">fuladis furceli </t>
    </r>
    <r>
      <rPr>
        <sz val="10"/>
        <rFont val="Times New Roman"/>
        <family val="1"/>
      </rPr>
      <t>240X4 L=212.5</t>
    </r>
  </si>
  <si>
    <t>liTonis kibis mowyoba (naxazis mixedviT)</t>
  </si>
  <si>
    <r>
      <t xml:space="preserve">Sveleri </t>
    </r>
    <r>
      <rPr>
        <sz val="10"/>
        <rFont val="Times New Roman"/>
        <family val="1"/>
      </rPr>
      <t>UPN14 L=2560</t>
    </r>
  </si>
  <si>
    <r>
      <t>armatura</t>
    </r>
    <r>
      <rPr>
        <sz val="10"/>
        <rFont val="Times New Roman"/>
        <family val="1"/>
      </rPr>
      <t xml:space="preserve"> A500C D18</t>
    </r>
  </si>
  <si>
    <t>foladis furceli 200X14</t>
  </si>
  <si>
    <t>foladis furceli 200X10</t>
  </si>
  <si>
    <t>Casayolebeli detalebis mowyoba (naxazis mixedviT)</t>
  </si>
  <si>
    <r>
      <rPr>
        <b/>
        <sz val="10"/>
        <rFont val="Times New Roman"/>
        <family val="1"/>
      </rPr>
      <t>C8/10</t>
    </r>
    <r>
      <rPr>
        <b/>
        <sz val="10"/>
        <rFont val="AcadNusx"/>
        <family val="0"/>
      </rPr>
      <t xml:space="preserve"> klasis betonis momzadebis mowyoba</t>
    </r>
  </si>
  <si>
    <r>
      <t xml:space="preserve">satumbi sadguris rkina-betonis konstruqciebis mowyoba </t>
    </r>
    <r>
      <rPr>
        <b/>
        <sz val="10"/>
        <rFont val="Times New Roman"/>
        <family val="1"/>
      </rPr>
      <t xml:space="preserve">C30/37 </t>
    </r>
    <r>
      <rPr>
        <b/>
        <sz val="10"/>
        <rFont val="AcadNusx"/>
        <family val="0"/>
      </rPr>
      <t>betoniT</t>
    </r>
  </si>
  <si>
    <r>
      <t xml:space="preserve">armatura </t>
    </r>
    <r>
      <rPr>
        <sz val="10"/>
        <rFont val="Times New Roman"/>
        <family val="1"/>
      </rPr>
      <t>A240C</t>
    </r>
  </si>
  <si>
    <t>daerTeba arsebul qselze</t>
  </si>
  <si>
    <t>mowyobilobebi</t>
  </si>
  <si>
    <t>ferdoubnis rezervuaramde mimavali gzis moxreSva 20sm</t>
  </si>
  <si>
    <t>rezervuaris mozvinva adgilobrivi safariT</t>
  </si>
  <si>
    <t>ferdoubnis rezervuaris saproeqto saSibero kameris mowyoba</t>
  </si>
  <si>
    <r>
      <t xml:space="preserve">centraluri satumbSi busteruli tumbos mowyoba </t>
    </r>
    <r>
      <rPr>
        <b/>
        <sz val="10"/>
        <rFont val="Times New Roman"/>
        <family val="1"/>
      </rPr>
      <t>Q=14</t>
    </r>
    <r>
      <rPr>
        <b/>
        <sz val="10"/>
        <rFont val="AcadNusx"/>
        <family val="0"/>
      </rPr>
      <t xml:space="preserve">m3/sT; </t>
    </r>
    <r>
      <rPr>
        <b/>
        <sz val="10"/>
        <rFont val="Times New Roman"/>
        <family val="1"/>
      </rPr>
      <t>H=47</t>
    </r>
    <r>
      <rPr>
        <b/>
        <sz val="10"/>
        <rFont val="AcadNusx"/>
        <family val="0"/>
      </rPr>
      <t>m; marTvis karadiT 380 v. 16a: 
1.sixSiris regulatori;
2.mSrali svlisagan dacva; 
3.miwasTan mokled SerTvis dacvis rele; 
4.fazis dakargvisagan dacva;
5Zabvisa da denis disbalansisagan dacvis releebi;</t>
    </r>
  </si>
  <si>
    <r>
      <t xml:space="preserve">gigos satumbSi busteruli tumbos mowyoba </t>
    </r>
    <r>
      <rPr>
        <b/>
        <sz val="10"/>
        <rFont val="Times New Roman"/>
        <family val="1"/>
      </rPr>
      <t>Q=18</t>
    </r>
    <r>
      <rPr>
        <b/>
        <sz val="10"/>
        <rFont val="AcadNusx"/>
        <family val="0"/>
      </rPr>
      <t xml:space="preserve">m3/sT; </t>
    </r>
    <r>
      <rPr>
        <b/>
        <sz val="10"/>
        <rFont val="Times New Roman"/>
        <family val="1"/>
      </rPr>
      <t>H=104</t>
    </r>
    <r>
      <rPr>
        <b/>
        <sz val="10"/>
        <rFont val="AcadNusx"/>
        <family val="0"/>
      </rPr>
      <t>m
marTvis karadiT 380 v. 16a: 
1.sixSiris regulatori;
2.mSrali svlisagan dacva; 
3.miwasTan mokled SerTvis dacvis rele; 
4.fazis dakargvisagan dacva;
5Zabvisa da denis disbalansisagan dacvis releebi;</t>
    </r>
  </si>
  <si>
    <t>fasi</t>
  </si>
  <si>
    <t>%</t>
  </si>
  <si>
    <t>nebismieri tipis gruntSi, nebismier siRrmeze, Txrilebis da qvabulebis gaTxra da gamkvriveba, aseve gruntis xeliT damuSaveba da profilSi niSnulebis moyvana, saWiroebis SemTxvevaSi gamagreba da gruntis wyalis moSoreba</t>
  </si>
  <si>
    <t>zedmeti gruntis datvirTva Semkvrivebuli moculobiT da gatana teritoriidan</t>
  </si>
  <si>
    <t>asfaltobetonis safaris demontaJi  datvirTva avtoTviTmclelze</t>
  </si>
  <si>
    <t>arsebuli rkina-betonis kamerebis 1.2X2X5 demontaJi datvirTva gatana</t>
  </si>
  <si>
    <t>asfaltobetonis safaris demontaJi a/T-ze datvirTva gatana</t>
  </si>
  <si>
    <t>xarjTaRricxva #1</t>
  </si>
  <si>
    <t>xarjTaRricxva #2</t>
  </si>
  <si>
    <t>xarjTaRricxva #3</t>
  </si>
  <si>
    <t>xarjTaRricxva #4</t>
  </si>
  <si>
    <t>xarjTaRricxva #5</t>
  </si>
  <si>
    <t>xarjTaRricxva #6</t>
  </si>
  <si>
    <t>xarjTaRricxva #7</t>
  </si>
  <si>
    <t>q. sagarejos wyalmomaragebis sistemis reabilitacia (me-2 etapis samuSaoebi)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</si>
</sst>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&quot;-&quot;??_р_._-;_-@_-"/>
    <numFmt numFmtId="181" formatCode="0.000"/>
    <numFmt numFmtId="182" formatCode="0.0000"/>
    <numFmt numFmtId="183" formatCode="0.0"/>
    <numFmt numFmtId="184" formatCode="_-* #,##0_р_._-;\-* #,##0_р_._-;_-* &quot;-&quot;??_р_._-;_-@_-"/>
    <numFmt numFmtId="185" formatCode="_-* #,##0.00_р_._-;\-* #,##0.00_р_._-;_-* &quot;-&quot;???_р_._-;_-@_-"/>
    <numFmt numFmtId="186" formatCode="_-* #,##0.000_р_._-;\-* #,##0.000_р_._-;_-* &quot;-&quot;???_р_._-;_-@_-"/>
    <numFmt numFmtId="187" formatCode="_(* #,##0.000_);_(* \(#,##0.000\);_(* &quot;-&quot;??_);_(@_)"/>
    <numFmt numFmtId="188" formatCode="_-* #,##0\ _L_a_r_i_-;\-* #,##0\ _L_a_r_i_-;_-* &quot;-&quot;??\ _L_a_r_i_-;_-@_-"/>
    <numFmt numFmtId="189" formatCode="_(* #,##0.00_);_(* \(#,##0.00\);_(* &quot;-&quot;???_);_(@_)"/>
  </numFmts>
  <fonts count="90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12"/>
      <name val="AcadNusx"/>
      <family val="0"/>
    </font>
    <font>
      <b/>
      <sz val="14"/>
      <name val="AcadNusx"/>
      <family val="0"/>
    </font>
    <font>
      <sz val="12"/>
      <name val="Arachveulebrivi Thin"/>
      <family val="2"/>
    </font>
    <font>
      <sz val="11"/>
      <name val="Academiuri Normaluri"/>
      <family val="0"/>
    </font>
    <font>
      <u val="single"/>
      <sz val="8"/>
      <name val="AcadNusx"/>
      <family val="0"/>
    </font>
    <font>
      <b/>
      <sz val="10"/>
      <name val="Arial"/>
      <family val="2"/>
    </font>
    <font>
      <sz val="9"/>
      <name val="AcadNusx"/>
      <family val="0"/>
    </font>
    <font>
      <vertAlign val="superscript"/>
      <sz val="10"/>
      <name val="AcadNusx"/>
      <family val="0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0"/>
      <color indexed="8"/>
      <name val="AcadNusx"/>
      <family val="0"/>
    </font>
    <font>
      <b/>
      <i/>
      <u val="single"/>
      <sz val="11"/>
      <color indexed="10"/>
      <name val="AcadNusx"/>
      <family val="0"/>
    </font>
    <font>
      <b/>
      <sz val="10"/>
      <color indexed="8"/>
      <name val="Arial"/>
      <family val="2"/>
    </font>
    <font>
      <b/>
      <sz val="10"/>
      <name val="Timn"/>
      <family val="0"/>
    </font>
    <font>
      <b/>
      <i/>
      <u val="single"/>
      <sz val="11"/>
      <color indexed="10"/>
      <name val="Times New Roman"/>
      <family val="1"/>
    </font>
    <font>
      <sz val="12"/>
      <name val="Times New Roman"/>
      <family val="1"/>
    </font>
    <font>
      <sz val="11"/>
      <name val="Arachveulebrivi Thin"/>
      <family val="2"/>
    </font>
    <font>
      <sz val="10"/>
      <color indexed="8"/>
      <name val="AcadNusx"/>
      <family val="0"/>
    </font>
    <font>
      <b/>
      <sz val="10"/>
      <color indexed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AcadNusx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sz val="10"/>
      <color indexed="10"/>
      <name val="Arial"/>
      <family val="2"/>
    </font>
    <font>
      <sz val="10"/>
      <color indexed="10"/>
      <name val="AcadNusx"/>
      <family val="0"/>
    </font>
    <font>
      <b/>
      <sz val="14"/>
      <color indexed="8"/>
      <name val="AcadNusx"/>
      <family val="0"/>
    </font>
    <font>
      <sz val="10"/>
      <name val="Cambria"/>
      <family val="1"/>
    </font>
    <font>
      <b/>
      <i/>
      <u val="single"/>
      <sz val="10"/>
      <color indexed="10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1"/>
      <color rgb="FFFF0000"/>
      <name val="AcadNusx"/>
      <family val="0"/>
    </font>
    <font>
      <b/>
      <sz val="11"/>
      <color rgb="FFFF0000"/>
      <name val="AcadNusx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cadNusx"/>
      <family val="0"/>
    </font>
    <font>
      <b/>
      <i/>
      <u val="single"/>
      <sz val="11"/>
      <color rgb="FFFF0000"/>
      <name val="AcadNusx"/>
      <family val="0"/>
    </font>
    <font>
      <sz val="10"/>
      <color rgb="FFFF0000"/>
      <name val="AcadNusx"/>
      <family val="0"/>
    </font>
    <font>
      <b/>
      <sz val="14"/>
      <color theme="1"/>
      <name val="AcadNusx"/>
      <family val="0"/>
    </font>
    <font>
      <b/>
      <i/>
      <u val="single"/>
      <sz val="10"/>
      <color rgb="FFFF0000"/>
      <name val="AcadNusx"/>
      <family val="0"/>
    </font>
    <font>
      <b/>
      <sz val="10"/>
      <color rgb="FFFF0000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0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0" xfId="72" applyFont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72" applyFont="1" applyBorder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72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84" fontId="4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81" applyFont="1" applyFill="1" applyBorder="1" applyAlignment="1">
      <alignment horizontal="center" vertical="center"/>
      <protection/>
    </xf>
    <xf numFmtId="0" fontId="2" fillId="0" borderId="10" xfId="8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6" borderId="10" xfId="68" applyFont="1" applyFill="1" applyBorder="1" applyAlignment="1">
      <alignment horizontal="center" vertical="center" wrapText="1"/>
      <protection/>
    </xf>
    <xf numFmtId="0" fontId="2" fillId="36" borderId="10" xfId="68" applyFont="1" applyFill="1" applyBorder="1" applyAlignment="1">
      <alignment horizontal="center" vertical="center"/>
      <protection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10" xfId="64" applyFont="1" applyFill="1" applyBorder="1" applyAlignment="1">
      <alignment horizontal="center" vertical="center"/>
      <protection/>
    </xf>
    <xf numFmtId="43" fontId="4" fillId="0" borderId="10" xfId="42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43" fontId="5" fillId="33" borderId="10" xfId="42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81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2" fontId="1" fillId="0" borderId="10" xfId="64" applyNumberFormat="1" applyFont="1" applyFill="1" applyBorder="1" applyAlignment="1">
      <alignment horizontal="center" vertical="center"/>
      <protection/>
    </xf>
    <xf numFmtId="0" fontId="1" fillId="37" borderId="10" xfId="74" applyFont="1" applyFill="1" applyBorder="1" applyAlignment="1">
      <alignment horizontal="center" vertical="center"/>
      <protection/>
    </xf>
    <xf numFmtId="0" fontId="79" fillId="36" borderId="10" xfId="68" applyFont="1" applyFill="1" applyBorder="1" applyAlignment="1">
      <alignment horizontal="center" vertical="center" wrapText="1"/>
      <protection/>
    </xf>
    <xf numFmtId="0" fontId="2" fillId="36" borderId="0" xfId="64" applyFont="1" applyFill="1" applyBorder="1">
      <alignment/>
      <protection/>
    </xf>
    <xf numFmtId="0" fontId="1" fillId="0" borderId="10" xfId="64" applyFont="1" applyFill="1" applyBorder="1" applyAlignment="1">
      <alignment vertical="center" wrapText="1"/>
      <protection/>
    </xf>
    <xf numFmtId="2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2" fillId="36" borderId="10" xfId="68" applyFont="1" applyFill="1" applyBorder="1" applyAlignment="1">
      <alignment horizontal="left" vertical="center" wrapText="1"/>
      <protection/>
    </xf>
    <xf numFmtId="0" fontId="2" fillId="36" borderId="10" xfId="68" applyFont="1" applyFill="1" applyBorder="1" applyAlignment="1">
      <alignment vertical="center" wrapText="1"/>
      <protection/>
    </xf>
    <xf numFmtId="0" fontId="1" fillId="0" borderId="10" xfId="74" applyFont="1" applyFill="1" applyBorder="1" applyAlignment="1">
      <alignment horizontal="center" vertical="center"/>
      <protection/>
    </xf>
    <xf numFmtId="181" fontId="1" fillId="37" borderId="10" xfId="74" applyNumberFormat="1" applyFont="1" applyFill="1" applyBorder="1" applyAlignment="1">
      <alignment horizontal="center" vertical="center"/>
      <protection/>
    </xf>
    <xf numFmtId="181" fontId="79" fillId="36" borderId="10" xfId="68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183" fontId="2" fillId="36" borderId="10" xfId="68" applyNumberFormat="1" applyFont="1" applyFill="1" applyBorder="1" applyAlignment="1">
      <alignment horizontal="center" vertical="center" wrapText="1"/>
      <protection/>
    </xf>
    <xf numFmtId="2" fontId="1" fillId="0" borderId="0" xfId="64" applyNumberFormat="1" applyFont="1" applyFill="1" applyBorder="1" applyAlignment="1">
      <alignment horizontal="center" vertical="center" wrapText="1"/>
      <protection/>
    </xf>
    <xf numFmtId="43" fontId="5" fillId="33" borderId="10" xfId="45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64" applyNumberFormat="1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0" fontId="4" fillId="37" borderId="0" xfId="64" applyFont="1" applyFill="1" applyBorder="1" applyAlignment="1">
      <alignment vertical="center"/>
      <protection/>
    </xf>
    <xf numFmtId="0" fontId="3" fillId="0" borderId="10" xfId="81" applyFont="1" applyFill="1" applyBorder="1" applyAlignment="1">
      <alignment horizontal="center" vertical="center" shrinkToFit="1"/>
      <protection/>
    </xf>
    <xf numFmtId="0" fontId="1" fillId="36" borderId="0" xfId="64" applyFont="1" applyFill="1" applyBorder="1">
      <alignment/>
      <protection/>
    </xf>
    <xf numFmtId="0" fontId="80" fillId="35" borderId="1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/>
    </xf>
    <xf numFmtId="1" fontId="80" fillId="35" borderId="10" xfId="0" applyNumberFormat="1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/>
    </xf>
    <xf numFmtId="0" fontId="4" fillId="37" borderId="0" xfId="0" applyFont="1" applyFill="1" applyBorder="1" applyAlignment="1">
      <alignment vertical="center"/>
    </xf>
    <xf numFmtId="0" fontId="2" fillId="36" borderId="10" xfId="64" applyFont="1" applyFill="1" applyBorder="1" applyAlignment="1">
      <alignment horizontal="center" vertical="center" wrapText="1"/>
      <protection/>
    </xf>
    <xf numFmtId="0" fontId="2" fillId="36" borderId="10" xfId="64" applyFont="1" applyFill="1" applyBorder="1" applyAlignment="1">
      <alignment vertical="center" wrapText="1"/>
      <protection/>
    </xf>
    <xf numFmtId="0" fontId="2" fillId="36" borderId="10" xfId="64" applyFont="1" applyFill="1" applyBorder="1" applyAlignment="1">
      <alignment horizontal="center" vertical="center"/>
      <protection/>
    </xf>
    <xf numFmtId="186" fontId="2" fillId="36" borderId="10" xfId="64" applyNumberFormat="1" applyFont="1" applyFill="1" applyBorder="1" applyAlignment="1">
      <alignment horizontal="center" vertical="center"/>
      <protection/>
    </xf>
    <xf numFmtId="2" fontId="2" fillId="36" borderId="10" xfId="64" applyNumberFormat="1" applyFont="1" applyFill="1" applyBorder="1" applyAlignment="1">
      <alignment horizontal="center" vertical="center"/>
      <protection/>
    </xf>
    <xf numFmtId="2" fontId="2" fillId="36" borderId="0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10" xfId="64" applyFont="1" applyFill="1" applyBorder="1" applyAlignment="1">
      <alignment horizontal="left" vertical="center"/>
      <protection/>
    </xf>
    <xf numFmtId="2" fontId="2" fillId="36" borderId="10" xfId="68" applyNumberFormat="1" applyFont="1" applyFill="1" applyBorder="1" applyAlignment="1">
      <alignment horizontal="center" vertical="center" wrapText="1"/>
      <protection/>
    </xf>
    <xf numFmtId="0" fontId="82" fillId="35" borderId="0" xfId="64" applyFont="1" applyFill="1" applyAlignment="1">
      <alignment vertical="center"/>
      <protection/>
    </xf>
    <xf numFmtId="0" fontId="83" fillId="35" borderId="0" xfId="64" applyFont="1" applyFill="1" applyBorder="1" applyAlignment="1">
      <alignment vertical="center"/>
      <protection/>
    </xf>
    <xf numFmtId="0" fontId="2" fillId="0" borderId="10" xfId="64" applyFont="1" applyFill="1" applyBorder="1" applyAlignment="1">
      <alignment horizontal="center" vertical="top" wrapText="1"/>
      <protection/>
    </xf>
    <xf numFmtId="0" fontId="1" fillId="0" borderId="10" xfId="64" applyFont="1" applyFill="1" applyBorder="1" applyAlignment="1">
      <alignment horizontal="center" vertical="top" wrapText="1"/>
      <protection/>
    </xf>
    <xf numFmtId="2" fontId="1" fillId="0" borderId="10" xfId="64" applyNumberFormat="1" applyFont="1" applyFill="1" applyBorder="1" applyAlignment="1">
      <alignment horizontal="center" vertical="top" wrapText="1"/>
      <protection/>
    </xf>
    <xf numFmtId="0" fontId="2" fillId="0" borderId="0" xfId="64" applyFont="1" applyFill="1" applyBorder="1" applyAlignment="1">
      <alignment vertical="center"/>
      <protection/>
    </xf>
    <xf numFmtId="0" fontId="2" fillId="36" borderId="10" xfId="0" applyFont="1" applyFill="1" applyBorder="1" applyAlignment="1">
      <alignment horizontal="center" vertical="center"/>
    </xf>
    <xf numFmtId="186" fontId="2" fillId="36" borderId="10" xfId="0" applyNumberFormat="1" applyFont="1" applyFill="1" applyBorder="1" applyAlignment="1">
      <alignment horizontal="center" vertical="center"/>
    </xf>
    <xf numFmtId="181" fontId="2" fillId="36" borderId="10" xfId="6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center" vertical="center"/>
    </xf>
    <xf numFmtId="1" fontId="2" fillId="36" borderId="10" xfId="64" applyNumberFormat="1" applyFont="1" applyFill="1" applyBorder="1" applyAlignment="1">
      <alignment horizontal="center" vertical="center" wrapText="1"/>
      <protection/>
    </xf>
    <xf numFmtId="185" fontId="2" fillId="36" borderId="10" xfId="64" applyNumberFormat="1" applyFont="1" applyFill="1" applyBorder="1" applyAlignment="1">
      <alignment horizontal="center" vertical="center"/>
      <protection/>
    </xf>
    <xf numFmtId="2" fontId="2" fillId="36" borderId="10" xfId="64" applyNumberFormat="1" applyFont="1" applyFill="1" applyBorder="1" applyAlignment="1">
      <alignment horizontal="center" vertical="top" wrapText="1"/>
      <protection/>
    </xf>
    <xf numFmtId="2" fontId="12" fillId="36" borderId="0" xfId="64" applyNumberFormat="1" applyFont="1" applyFill="1" applyBorder="1" applyAlignment="1">
      <alignment horizontal="center" vertical="center"/>
      <protection/>
    </xf>
    <xf numFmtId="0" fontId="17" fillId="36" borderId="0" xfId="64" applyFont="1" applyFill="1" applyBorder="1">
      <alignment/>
      <protection/>
    </xf>
    <xf numFmtId="0" fontId="79" fillId="36" borderId="10" xfId="64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vertical="center" wrapText="1"/>
    </xf>
    <xf numFmtId="182" fontId="2" fillId="36" borderId="10" xfId="0" applyNumberFormat="1" applyFont="1" applyFill="1" applyBorder="1" applyAlignment="1">
      <alignment horizontal="center" vertical="center" wrapText="1"/>
    </xf>
    <xf numFmtId="0" fontId="2" fillId="0" borderId="0" xfId="64" applyFont="1" applyFill="1" applyBorder="1">
      <alignment/>
      <protection/>
    </xf>
    <xf numFmtId="0" fontId="4" fillId="0" borderId="0" xfId="64" applyFont="1" applyFill="1" applyBorder="1" applyAlignment="1">
      <alignment vertical="center"/>
      <protection/>
    </xf>
    <xf numFmtId="2" fontId="84" fillId="0" borderId="10" xfId="64" applyNumberFormat="1" applyFont="1" applyFill="1" applyBorder="1" applyAlignment="1">
      <alignment horizontal="center" vertical="center" wrapText="1"/>
      <protection/>
    </xf>
    <xf numFmtId="0" fontId="85" fillId="0" borderId="10" xfId="0" applyFont="1" applyFill="1" applyBorder="1" applyAlignment="1">
      <alignment horizontal="left" vertical="center"/>
    </xf>
    <xf numFmtId="181" fontId="2" fillId="36" borderId="10" xfId="0" applyNumberFormat="1" applyFont="1" applyFill="1" applyBorder="1" applyAlignment="1">
      <alignment horizontal="center" vertical="center" wrapText="1"/>
    </xf>
    <xf numFmtId="0" fontId="79" fillId="36" borderId="10" xfId="68" applyFont="1" applyFill="1" applyBorder="1" applyAlignment="1">
      <alignment horizontal="left" vertical="center" wrapText="1"/>
      <protection/>
    </xf>
    <xf numFmtId="2" fontId="1" fillId="37" borderId="10" xfId="64" applyNumberFormat="1" applyFont="1" applyFill="1" applyBorder="1" applyAlignment="1">
      <alignment horizontal="center" vertical="center" wrapText="1"/>
      <protection/>
    </xf>
    <xf numFmtId="0" fontId="79" fillId="0" borderId="10" xfId="81" applyFont="1" applyFill="1" applyBorder="1" applyAlignment="1">
      <alignment horizontal="center" vertical="center"/>
      <protection/>
    </xf>
    <xf numFmtId="0" fontId="84" fillId="0" borderId="10" xfId="64" applyFont="1" applyFill="1" applyBorder="1" applyAlignment="1">
      <alignment horizontal="left" vertical="center" wrapText="1"/>
      <protection/>
    </xf>
    <xf numFmtId="0" fontId="84" fillId="0" borderId="10" xfId="64" applyFont="1" applyFill="1" applyBorder="1" applyAlignment="1">
      <alignment horizontal="center" vertical="center" wrapText="1"/>
      <protection/>
    </xf>
    <xf numFmtId="182" fontId="84" fillId="0" borderId="10" xfId="64" applyNumberFormat="1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2" fillId="36" borderId="10" xfId="81" applyFont="1" applyFill="1" applyBorder="1" applyAlignment="1">
      <alignment horizontal="center" vertical="center"/>
      <protection/>
    </xf>
    <xf numFmtId="0" fontId="2" fillId="36" borderId="10" xfId="0" applyFont="1" applyFill="1" applyBorder="1" applyAlignment="1">
      <alignment horizontal="left" vertical="center" wrapText="1"/>
    </xf>
    <xf numFmtId="2" fontId="1" fillId="0" borderId="10" xfId="74" applyNumberFormat="1" applyFont="1" applyFill="1" applyBorder="1" applyAlignment="1">
      <alignment horizontal="center" vertical="center"/>
      <protection/>
    </xf>
    <xf numFmtId="0" fontId="84" fillId="37" borderId="10" xfId="81" applyFont="1" applyFill="1" applyBorder="1" applyAlignment="1">
      <alignment horizontal="center" vertical="center"/>
      <protection/>
    </xf>
    <xf numFmtId="2" fontId="84" fillId="37" borderId="10" xfId="74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/>
    </xf>
    <xf numFmtId="2" fontId="2" fillId="36" borderId="10" xfId="64" applyNumberFormat="1" applyFont="1" applyFill="1" applyBorder="1" applyAlignment="1">
      <alignment horizontal="center" vertical="center" wrapText="1"/>
      <protection/>
    </xf>
    <xf numFmtId="2" fontId="2" fillId="36" borderId="0" xfId="0" applyNumberFormat="1" applyFont="1" applyFill="1" applyBorder="1" applyAlignment="1">
      <alignment/>
    </xf>
    <xf numFmtId="0" fontId="1" fillId="0" borderId="10" xfId="68" applyFont="1" applyFill="1" applyBorder="1" applyAlignment="1">
      <alignment horizontal="left" vertical="center" wrapText="1"/>
      <protection/>
    </xf>
    <xf numFmtId="0" fontId="2" fillId="36" borderId="10" xfId="64" applyFont="1" applyFill="1" applyBorder="1" applyAlignment="1">
      <alignment horizontal="left" vertical="center" wrapText="1"/>
      <protection/>
    </xf>
    <xf numFmtId="1" fontId="2" fillId="36" borderId="10" xfId="64" applyNumberFormat="1" applyFont="1" applyFill="1" applyBorder="1" applyAlignment="1">
      <alignment horizontal="center" vertical="center"/>
      <protection/>
    </xf>
    <xf numFmtId="0" fontId="2" fillId="36" borderId="0" xfId="64" applyFont="1" applyFill="1" applyBorder="1" applyAlignment="1">
      <alignment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2" fontId="2" fillId="36" borderId="10" xfId="68" applyNumberFormat="1" applyFont="1" applyFill="1" applyBorder="1" applyAlignment="1">
      <alignment horizontal="center" vertical="center"/>
      <protection/>
    </xf>
    <xf numFmtId="0" fontId="1" fillId="36" borderId="0" xfId="68" applyFont="1" applyFill="1" applyBorder="1">
      <alignment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1" fillId="0" borderId="0" xfId="68" applyFont="1" applyFill="1" applyBorder="1">
      <alignment/>
      <protection/>
    </xf>
    <xf numFmtId="2" fontId="13" fillId="36" borderId="10" xfId="0" applyNumberFormat="1" applyFont="1" applyFill="1" applyBorder="1" applyAlignment="1">
      <alignment horizontal="center" vertical="center" wrapText="1"/>
    </xf>
    <xf numFmtId="0" fontId="4" fillId="0" borderId="0" xfId="64" applyFont="1" applyFill="1" applyAlignment="1">
      <alignment vertical="center"/>
      <protection/>
    </xf>
    <xf numFmtId="0" fontId="87" fillId="37" borderId="0" xfId="81" applyFont="1" applyFill="1" applyBorder="1" applyAlignment="1">
      <alignment vertical="center" wrapText="1" shrinkToFit="1"/>
      <protection/>
    </xf>
    <xf numFmtId="0" fontId="5" fillId="0" borderId="0" xfId="64" applyFont="1" applyFill="1" applyAlignment="1">
      <alignment vertical="center"/>
      <protection/>
    </xf>
    <xf numFmtId="0" fontId="7" fillId="0" borderId="0" xfId="72" applyFont="1" applyAlignment="1">
      <alignment horizontal="left"/>
      <protection/>
    </xf>
    <xf numFmtId="0" fontId="7" fillId="0" borderId="10" xfId="72" applyFont="1" applyBorder="1">
      <alignment/>
      <protection/>
    </xf>
    <xf numFmtId="0" fontId="1" fillId="0" borderId="0" xfId="72" applyFont="1" applyBorder="1">
      <alignment/>
      <protection/>
    </xf>
    <xf numFmtId="0" fontId="7" fillId="0" borderId="10" xfId="72" applyFont="1" applyBorder="1" applyAlignment="1">
      <alignment horizontal="center" vertical="center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7" fillId="38" borderId="10" xfId="72" applyNumberFormat="1" applyFont="1" applyFill="1" applyBorder="1" applyAlignment="1">
      <alignment horizontal="center"/>
      <protection/>
    </xf>
    <xf numFmtId="0" fontId="7" fillId="0" borderId="0" xfId="72" applyFont="1" applyBorder="1">
      <alignment/>
      <protection/>
    </xf>
    <xf numFmtId="0" fontId="4" fillId="0" borderId="10" xfId="72" applyNumberFormat="1" applyFont="1" applyBorder="1" applyAlignment="1">
      <alignment horizontal="center" vertical="center"/>
      <protection/>
    </xf>
    <xf numFmtId="0" fontId="57" fillId="0" borderId="10" xfId="46" applyNumberFormat="1" applyFont="1" applyBorder="1" applyAlignment="1">
      <alignment horizontal="center" vertical="center"/>
    </xf>
    <xf numFmtId="0" fontId="7" fillId="0" borderId="10" xfId="46" applyNumberFormat="1" applyFont="1" applyBorder="1" applyAlignment="1">
      <alignment horizontal="center" vertical="center" wrapText="1"/>
    </xf>
    <xf numFmtId="43" fontId="4" fillId="0" borderId="10" xfId="46" applyFont="1" applyBorder="1" applyAlignment="1">
      <alignment horizontal="center" vertical="center"/>
    </xf>
    <xf numFmtId="43" fontId="4" fillId="0" borderId="0" xfId="46" applyFont="1" applyBorder="1" applyAlignment="1">
      <alignment/>
    </xf>
    <xf numFmtId="43" fontId="4" fillId="0" borderId="0" xfId="46" applyFont="1" applyFill="1" applyBorder="1" applyAlignment="1">
      <alignment vertical="center"/>
    </xf>
    <xf numFmtId="0" fontId="4" fillId="33" borderId="10" xfId="72" applyFont="1" applyFill="1" applyBorder="1" applyAlignment="1">
      <alignment horizontal="center"/>
      <protection/>
    </xf>
    <xf numFmtId="0" fontId="1" fillId="33" borderId="10" xfId="72" applyFont="1" applyFill="1" applyBorder="1" applyAlignment="1">
      <alignment horizontal="center"/>
      <protection/>
    </xf>
    <xf numFmtId="43" fontId="4" fillId="33" borderId="10" xfId="46" applyFont="1" applyFill="1" applyBorder="1" applyAlignment="1">
      <alignment horizontal="center" vertical="center"/>
    </xf>
    <xf numFmtId="0" fontId="4" fillId="33" borderId="0" xfId="72" applyFont="1" applyFill="1" applyBorder="1">
      <alignment/>
      <protection/>
    </xf>
    <xf numFmtId="43" fontId="4" fillId="33" borderId="0" xfId="72" applyNumberFormat="1" applyFont="1" applyFill="1" applyBorder="1">
      <alignment/>
      <protection/>
    </xf>
    <xf numFmtId="0" fontId="4" fillId="33" borderId="0" xfId="64" applyFont="1" applyFill="1" applyBorder="1" applyAlignment="1">
      <alignment vertical="center"/>
      <protection/>
    </xf>
    <xf numFmtId="0" fontId="9" fillId="0" borderId="0" xfId="72" applyFont="1">
      <alignment/>
      <protection/>
    </xf>
    <xf numFmtId="0" fontId="25" fillId="0" borderId="0" xfId="72" applyFont="1">
      <alignment/>
      <protection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0" xfId="64" applyFont="1" applyFill="1" applyAlignment="1">
      <alignment vertical="center"/>
      <protection/>
    </xf>
    <xf numFmtId="0" fontId="8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86" fontId="2" fillId="36" borderId="10" xfId="68" applyNumberFormat="1" applyFont="1" applyFill="1" applyBorder="1" applyAlignment="1">
      <alignment horizontal="center" vertical="center"/>
      <protection/>
    </xf>
    <xf numFmtId="0" fontId="2" fillId="36" borderId="0" xfId="68" applyFont="1" applyFill="1" applyBorder="1">
      <alignment/>
      <protection/>
    </xf>
    <xf numFmtId="2" fontId="1" fillId="0" borderId="10" xfId="68" applyNumberFormat="1" applyFont="1" applyFill="1" applyBorder="1" applyAlignment="1">
      <alignment horizontal="center" vertical="center" wrapText="1"/>
      <protection/>
    </xf>
    <xf numFmtId="0" fontId="1" fillId="0" borderId="0" xfId="68" applyFont="1" applyFill="1" applyAlignment="1">
      <alignment vertical="center"/>
      <protection/>
    </xf>
    <xf numFmtId="0" fontId="1" fillId="0" borderId="10" xfId="82" applyFont="1" applyFill="1" applyBorder="1" applyAlignment="1">
      <alignment horizontal="center" vertical="center"/>
      <protection/>
    </xf>
    <xf numFmtId="2" fontId="2" fillId="36" borderId="11" xfId="68" applyNumberFormat="1" applyFont="1" applyFill="1" applyBorder="1" applyAlignment="1">
      <alignment horizontal="center" vertical="center" wrapText="1"/>
      <protection/>
    </xf>
    <xf numFmtId="0" fontId="2" fillId="36" borderId="10" xfId="68" applyFont="1" applyFill="1" applyBorder="1">
      <alignment/>
      <protection/>
    </xf>
    <xf numFmtId="0" fontId="0" fillId="0" borderId="12" xfId="68" applyFont="1" applyFill="1" applyBorder="1" applyAlignment="1">
      <alignment horizontal="left" vertical="top" wrapText="1"/>
      <protection/>
    </xf>
    <xf numFmtId="0" fontId="0" fillId="0" borderId="10" xfId="68" applyFont="1" applyFill="1" applyBorder="1" applyAlignment="1">
      <alignment horizontal="left" vertical="top" wrapText="1"/>
      <protection/>
    </xf>
    <xf numFmtId="0" fontId="1" fillId="0" borderId="10" xfId="68" applyFont="1" applyFill="1" applyBorder="1" applyAlignment="1">
      <alignment horizontal="left" vertical="top" wrapText="1"/>
      <protection/>
    </xf>
    <xf numFmtId="0" fontId="1" fillId="36" borderId="0" xfId="0" applyFont="1" applyFill="1" applyBorder="1" applyAlignment="1">
      <alignment vertical="center"/>
    </xf>
    <xf numFmtId="2" fontId="84" fillId="35" borderId="10" xfId="0" applyNumberFormat="1" applyFont="1" applyFill="1" applyBorder="1" applyAlignment="1">
      <alignment horizontal="center" vertical="center" wrapText="1"/>
    </xf>
    <xf numFmtId="1" fontId="79" fillId="36" borderId="10" xfId="68" applyNumberFormat="1" applyFont="1" applyFill="1" applyBorder="1" applyAlignment="1">
      <alignment horizontal="center" vertical="center" wrapText="1"/>
      <protection/>
    </xf>
    <xf numFmtId="2" fontId="84" fillId="36" borderId="10" xfId="0" applyNumberFormat="1" applyFont="1" applyFill="1" applyBorder="1" applyAlignment="1">
      <alignment horizontal="center" vertical="center" wrapText="1"/>
    </xf>
    <xf numFmtId="2" fontId="79" fillId="36" borderId="10" xfId="68" applyNumberFormat="1" applyFont="1" applyFill="1" applyBorder="1" applyAlignment="1">
      <alignment horizontal="center" vertical="center"/>
      <protection/>
    </xf>
    <xf numFmtId="183" fontId="79" fillId="36" borderId="10" xfId="68" applyNumberFormat="1" applyFont="1" applyFill="1" applyBorder="1" applyAlignment="1">
      <alignment horizontal="center" vertical="center" wrapText="1"/>
      <protection/>
    </xf>
    <xf numFmtId="0" fontId="79" fillId="36" borderId="10" xfId="68" applyFont="1" applyFill="1" applyBorder="1" applyAlignment="1">
      <alignment horizontal="center" vertical="center"/>
      <protection/>
    </xf>
    <xf numFmtId="0" fontId="79" fillId="36" borderId="10" xfId="68" applyFont="1" applyFill="1" applyBorder="1" applyAlignment="1">
      <alignment vertical="center" wrapText="1"/>
      <protection/>
    </xf>
    <xf numFmtId="2" fontId="84" fillId="37" borderId="10" xfId="68" applyNumberFormat="1" applyFont="1" applyFill="1" applyBorder="1" applyAlignment="1">
      <alignment horizontal="center" vertical="center" wrapText="1"/>
      <protection/>
    </xf>
    <xf numFmtId="0" fontId="84" fillId="37" borderId="10" xfId="68" applyFont="1" applyFill="1" applyBorder="1" applyAlignment="1">
      <alignment horizontal="left" vertical="center" wrapText="1"/>
      <protection/>
    </xf>
    <xf numFmtId="0" fontId="84" fillId="37" borderId="10" xfId="68" applyFont="1" applyFill="1" applyBorder="1" applyAlignment="1">
      <alignment horizontal="center" vertical="center"/>
      <protection/>
    </xf>
    <xf numFmtId="2" fontId="84" fillId="0" borderId="10" xfId="74" applyNumberFormat="1" applyFont="1" applyFill="1" applyBorder="1" applyAlignment="1">
      <alignment horizontal="center" vertical="center"/>
      <protection/>
    </xf>
    <xf numFmtId="0" fontId="84" fillId="37" borderId="10" xfId="68" applyFont="1" applyFill="1" applyBorder="1" applyAlignment="1">
      <alignment horizontal="center" vertical="center" wrapText="1"/>
      <protection/>
    </xf>
    <xf numFmtId="2" fontId="84" fillId="36" borderId="10" xfId="68" applyNumberFormat="1" applyFont="1" applyFill="1" applyBorder="1" applyAlignment="1">
      <alignment horizontal="center" vertical="center" wrapText="1"/>
      <protection/>
    </xf>
    <xf numFmtId="0" fontId="2" fillId="36" borderId="0" xfId="0" applyFont="1" applyFill="1" applyAlignment="1">
      <alignment vertical="center"/>
    </xf>
    <xf numFmtId="0" fontId="2" fillId="36" borderId="10" xfId="0" applyNumberFormat="1" applyFont="1" applyFill="1" applyBorder="1" applyAlignment="1">
      <alignment horizontal="left" vertical="top" wrapText="1"/>
    </xf>
    <xf numFmtId="182" fontId="2" fillId="36" borderId="10" xfId="68" applyNumberFormat="1" applyFont="1" applyFill="1" applyBorder="1" applyAlignment="1">
      <alignment horizontal="center" vertical="center" wrapText="1"/>
      <protection/>
    </xf>
    <xf numFmtId="181" fontId="1" fillId="0" borderId="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0" xfId="0" applyNumberFormat="1" applyFont="1" applyFill="1" applyBorder="1" applyAlignment="1">
      <alignment horizontal="center" vertical="center" wrapText="1"/>
    </xf>
    <xf numFmtId="1" fontId="3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79" fillId="36" borderId="10" xfId="64" applyNumberFormat="1" applyFont="1" applyFill="1" applyBorder="1" applyAlignment="1">
      <alignment horizontal="center" vertical="center" wrapText="1"/>
      <protection/>
    </xf>
    <xf numFmtId="180" fontId="2" fillId="36" borderId="10" xfId="44" applyNumberFormat="1" applyFont="1" applyFill="1" applyBorder="1" applyAlignment="1">
      <alignment horizontal="center" vertical="center"/>
    </xf>
    <xf numFmtId="0" fontId="1" fillId="36" borderId="10" xfId="64" applyFont="1" applyFill="1" applyBorder="1" applyAlignment="1">
      <alignment horizontal="center" vertical="center"/>
      <protection/>
    </xf>
    <xf numFmtId="0" fontId="26" fillId="35" borderId="10" xfId="0" applyFont="1" applyFill="1" applyBorder="1" applyAlignment="1">
      <alignment horizontal="left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7" fillId="0" borderId="0" xfId="64" applyFont="1" applyAlignment="1">
      <alignment horizontal="center"/>
      <protection/>
    </xf>
    <xf numFmtId="0" fontId="1" fillId="0" borderId="10" xfId="72" applyFont="1" applyBorder="1" applyAlignment="1">
      <alignment horizontal="center"/>
      <protection/>
    </xf>
    <xf numFmtId="0" fontId="82" fillId="35" borderId="0" xfId="64" applyFont="1" applyFill="1" applyBorder="1" applyAlignment="1">
      <alignment vertical="center"/>
      <protection/>
    </xf>
    <xf numFmtId="0" fontId="89" fillId="36" borderId="10" xfId="68" applyFont="1" applyFill="1" applyBorder="1" applyAlignment="1">
      <alignment horizontal="center" vertical="center" wrapText="1"/>
      <protection/>
    </xf>
    <xf numFmtId="0" fontId="89" fillId="36" borderId="10" xfId="68" applyFont="1" applyFill="1" applyBorder="1" applyAlignment="1">
      <alignment horizontal="left" vertical="center" wrapText="1"/>
      <protection/>
    </xf>
    <xf numFmtId="0" fontId="80" fillId="37" borderId="0" xfId="0" applyFont="1" applyFill="1" applyBorder="1" applyAlignment="1">
      <alignment vertical="center"/>
    </xf>
    <xf numFmtId="0" fontId="3" fillId="0" borderId="0" xfId="81" applyFont="1" applyFill="1" applyBorder="1" applyAlignment="1">
      <alignment horizontal="center" vertical="center" shrinkToFit="1"/>
      <protection/>
    </xf>
    <xf numFmtId="0" fontId="3" fillId="0" borderId="0" xfId="81" applyFont="1" applyFill="1" applyBorder="1" applyAlignment="1">
      <alignment horizontal="left" vertical="center" shrinkToFit="1"/>
      <protection/>
    </xf>
    <xf numFmtId="0" fontId="5" fillId="0" borderId="0" xfId="8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/>
    </xf>
    <xf numFmtId="0" fontId="8" fillId="0" borderId="0" xfId="72" applyFont="1" applyBorder="1" applyAlignment="1">
      <alignment horizontal="center"/>
      <protection/>
    </xf>
    <xf numFmtId="0" fontId="1" fillId="0" borderId="0" xfId="72" applyFont="1" applyBorder="1" applyAlignment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72" applyFont="1" applyBorder="1" applyAlignment="1">
      <alignment horizontal="center"/>
      <protection/>
    </xf>
    <xf numFmtId="0" fontId="8" fillId="0" borderId="0" xfId="72" applyFont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8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5" fillId="36" borderId="10" xfId="68" applyFont="1" applyFill="1" applyBorder="1" applyAlignment="1">
      <alignment horizontal="center" vertical="center" wrapText="1"/>
      <protection/>
    </xf>
    <xf numFmtId="0" fontId="5" fillId="0" borderId="10" xfId="81" applyFont="1" applyFill="1" applyBorder="1" applyAlignment="1">
      <alignment horizontal="center" vertical="center" wrapText="1" shrinkToFit="1"/>
      <protection/>
    </xf>
    <xf numFmtId="0" fontId="5" fillId="0" borderId="10" xfId="81" applyFont="1" applyFill="1" applyBorder="1" applyAlignment="1">
      <alignment horizontal="center" vertical="center" shrinkToFit="1"/>
      <protection/>
    </xf>
    <xf numFmtId="0" fontId="87" fillId="37" borderId="0" xfId="81" applyFont="1" applyFill="1" applyBorder="1" applyAlignment="1">
      <alignment horizontal="center" vertical="center" shrinkToFi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omma 4 3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10" xfId="64"/>
    <cellStyle name="Normal 12" xfId="65"/>
    <cellStyle name="Normal 14" xfId="66"/>
    <cellStyle name="Normal 16_axalqalaqis skola " xfId="67"/>
    <cellStyle name="Normal 2" xfId="68"/>
    <cellStyle name="Normal 2 2 2" xfId="69"/>
    <cellStyle name="Normal 2 2_MCXETA yazarma- Copy" xfId="70"/>
    <cellStyle name="Normal 2_---SUL--- GORI-HOSPITALI-BOLO" xfId="71"/>
    <cellStyle name="Normal 3" xfId="72"/>
    <cellStyle name="Normal 8" xfId="73"/>
    <cellStyle name="Normal_gare wyalsadfenigagarini 2 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Обычный_Лист1" xfId="81"/>
    <cellStyle name="Обычный_Лист1 2" xfId="82"/>
  </cellStyles>
  <dxfs count="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331</xdr:row>
      <xdr:rowOff>114300</xdr:rowOff>
    </xdr:from>
    <xdr:to>
      <xdr:col>6</xdr:col>
      <xdr:colOff>228600</xdr:colOff>
      <xdr:row>336</xdr:row>
      <xdr:rowOff>66675</xdr:rowOff>
    </xdr:to>
    <xdr:pic>
      <xdr:nvPicPr>
        <xdr:cNvPr id="1" name="Picture 1" descr="faqsim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86334600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193</xdr:row>
      <xdr:rowOff>114300</xdr:rowOff>
    </xdr:from>
    <xdr:to>
      <xdr:col>6</xdr:col>
      <xdr:colOff>304800</xdr:colOff>
      <xdr:row>198</xdr:row>
      <xdr:rowOff>66675</xdr:rowOff>
    </xdr:to>
    <xdr:pic>
      <xdr:nvPicPr>
        <xdr:cNvPr id="1" name="Picture 1" descr="faqsim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7785675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3.421875" style="5" customWidth="1"/>
    <col min="2" max="2" width="7.7109375" style="5" customWidth="1"/>
    <col min="3" max="3" width="77.00390625" style="5" customWidth="1"/>
    <col min="4" max="4" width="13.8515625" style="5" bestFit="1" customWidth="1"/>
    <col min="5" max="16384" width="9.140625" style="5" customWidth="1"/>
  </cols>
  <sheetData>
    <row r="1" spans="1:4" s="6" customFormat="1" ht="41.25" customHeight="1">
      <c r="A1" s="246" t="s">
        <v>508</v>
      </c>
      <c r="B1" s="246"/>
      <c r="C1" s="246"/>
      <c r="D1" s="246"/>
    </row>
    <row r="2" spans="1:4" ht="30.75" customHeight="1">
      <c r="A2" s="248" t="s">
        <v>22</v>
      </c>
      <c r="B2" s="248"/>
      <c r="C2" s="248"/>
      <c r="D2" s="248"/>
    </row>
    <row r="3" spans="1:4" ht="15.75">
      <c r="A3" s="7"/>
      <c r="B3" s="249" t="s">
        <v>12</v>
      </c>
      <c r="C3" s="249"/>
      <c r="D3" s="7"/>
    </row>
    <row r="4" spans="1:4" ht="16.5" customHeight="1">
      <c r="A4" s="13"/>
      <c r="B4" s="13"/>
      <c r="C4" s="13"/>
      <c r="D4" s="12"/>
    </row>
    <row r="5" spans="1:4" ht="15.75" customHeight="1">
      <c r="A5" s="247" t="s">
        <v>14</v>
      </c>
      <c r="B5" s="250" t="s">
        <v>15</v>
      </c>
      <c r="C5" s="250" t="s">
        <v>16</v>
      </c>
      <c r="D5" s="10"/>
    </row>
    <row r="6" spans="1:4" ht="23.25" customHeight="1">
      <c r="A6" s="247"/>
      <c r="B6" s="250"/>
      <c r="C6" s="250"/>
      <c r="D6" s="247" t="s">
        <v>13</v>
      </c>
    </row>
    <row r="7" spans="1:4" ht="26.25" customHeight="1">
      <c r="A7" s="247"/>
      <c r="B7" s="250"/>
      <c r="C7" s="250"/>
      <c r="D7" s="247"/>
    </row>
    <row r="8" spans="1:4" ht="14.25" customHeight="1">
      <c r="A8" s="22">
        <v>1</v>
      </c>
      <c r="B8" s="23">
        <v>2</v>
      </c>
      <c r="C8" s="22">
        <v>3</v>
      </c>
      <c r="D8" s="24">
        <v>4</v>
      </c>
    </row>
    <row r="9" spans="1:4" ht="15.75">
      <c r="A9" s="10"/>
      <c r="B9" s="11"/>
      <c r="C9" s="14" t="s">
        <v>17</v>
      </c>
      <c r="D9" s="54"/>
    </row>
    <row r="10" spans="1:4" s="1" customFormat="1" ht="14.25" customHeight="1">
      <c r="A10" s="3"/>
      <c r="B10" s="3"/>
      <c r="C10" s="3" t="s">
        <v>18</v>
      </c>
      <c r="D10" s="55"/>
    </row>
    <row r="11" spans="1:4" ht="21" customHeight="1">
      <c r="A11" s="9"/>
      <c r="B11" s="9"/>
      <c r="C11" s="15" t="s">
        <v>19</v>
      </c>
      <c r="D11" s="77"/>
    </row>
    <row r="12" spans="1:4" s="1" customFormat="1" ht="16.5">
      <c r="A12" s="3"/>
      <c r="B12" s="3"/>
      <c r="C12" s="16" t="s">
        <v>5</v>
      </c>
      <c r="D12" s="56"/>
    </row>
    <row r="13" spans="1:4" ht="31.5">
      <c r="A13" s="9"/>
      <c r="B13" s="9"/>
      <c r="C13" s="15" t="s">
        <v>28</v>
      </c>
      <c r="D13" s="77"/>
    </row>
    <row r="14" spans="1:4" s="1" customFormat="1" ht="16.5">
      <c r="A14" s="3"/>
      <c r="B14" s="3"/>
      <c r="C14" s="16" t="s">
        <v>5</v>
      </c>
      <c r="D14" s="76"/>
    </row>
    <row r="15" spans="1:4" ht="18.75" customHeight="1">
      <c r="A15" s="9"/>
      <c r="B15" s="9"/>
      <c r="C15" s="15" t="s">
        <v>20</v>
      </c>
      <c r="D15" s="77"/>
    </row>
    <row r="16" spans="1:4" s="2" customFormat="1" ht="17.25" customHeight="1">
      <c r="A16" s="3"/>
      <c r="B16" s="3"/>
      <c r="C16" s="16" t="s">
        <v>21</v>
      </c>
      <c r="D16" s="56">
        <f>D14+D15</f>
        <v>0</v>
      </c>
    </row>
    <row r="17" spans="3:4" s="7" customFormat="1" ht="15.75">
      <c r="C17" s="28"/>
      <c r="D17" s="17"/>
    </row>
    <row r="18" spans="3:4" s="7" customFormat="1" ht="20.25" customHeight="1">
      <c r="C18" s="28"/>
      <c r="D18" s="27"/>
    </row>
    <row r="19" s="7" customFormat="1" ht="24" customHeight="1">
      <c r="C19" s="237"/>
    </row>
    <row r="20" s="7" customFormat="1" ht="15.75"/>
    <row r="21" s="7" customFormat="1" ht="15.75"/>
    <row r="22" s="7" customFormat="1" ht="15.75"/>
    <row r="23" s="7" customFormat="1" ht="15.75"/>
    <row r="24" s="7" customFormat="1" ht="15.75"/>
    <row r="25" s="7" customFormat="1" ht="15.75"/>
    <row r="26" s="7" customFormat="1" ht="15.75"/>
    <row r="27" s="7" customFormat="1" ht="15.75"/>
    <row r="28" s="7" customFormat="1" ht="15.75"/>
    <row r="29" s="7" customFormat="1" ht="15.75"/>
    <row r="30" s="7" customFormat="1" ht="15.75"/>
    <row r="31" s="7" customFormat="1" ht="15.75"/>
    <row r="32" s="7" customFormat="1" ht="15.75"/>
    <row r="33" s="7" customFormat="1" ht="15.75"/>
    <row r="34" s="7" customFormat="1" ht="15.75"/>
    <row r="35" s="7" customFormat="1" ht="15.75"/>
    <row r="36" s="7" customFormat="1" ht="15.75"/>
    <row r="37" s="7" customFormat="1" ht="15.75">
      <c r="D37" s="18"/>
    </row>
    <row r="38" s="7" customFormat="1" ht="15.75">
      <c r="D38" s="19"/>
    </row>
    <row r="39" spans="2:4" s="7" customFormat="1" ht="15.75">
      <c r="B39" s="20"/>
      <c r="D39" s="19"/>
    </row>
    <row r="40" s="7" customFormat="1" ht="15.75">
      <c r="D40" s="19"/>
    </row>
    <row r="41" spans="2:4" s="7" customFormat="1" ht="15.75">
      <c r="B41" s="20"/>
      <c r="D41" s="19"/>
    </row>
    <row r="42" s="7" customFormat="1" ht="15.75">
      <c r="D42" s="19"/>
    </row>
    <row r="43" s="7" customFormat="1" ht="15.75">
      <c r="D43" s="19"/>
    </row>
    <row r="44" s="7" customFormat="1" ht="15.75">
      <c r="D44" s="19"/>
    </row>
    <row r="45" s="7" customFormat="1" ht="15.75">
      <c r="D45" s="19"/>
    </row>
    <row r="46" spans="2:4" s="7" customFormat="1" ht="15.75">
      <c r="B46" s="20"/>
      <c r="D46" s="19"/>
    </row>
    <row r="47" spans="2:4" s="7" customFormat="1" ht="15.75">
      <c r="B47" s="20"/>
      <c r="D47" s="19"/>
    </row>
    <row r="48" spans="2:4" s="7" customFormat="1" ht="15.75">
      <c r="B48" s="20"/>
      <c r="D48" s="19"/>
    </row>
    <row r="49" s="7" customFormat="1" ht="15.75">
      <c r="D49" s="19"/>
    </row>
    <row r="50" s="7" customFormat="1" ht="15.75">
      <c r="D50" s="19"/>
    </row>
    <row r="51" s="7" customFormat="1" ht="15.75">
      <c r="D51" s="19"/>
    </row>
    <row r="52" spans="2:4" s="7" customFormat="1" ht="15.75">
      <c r="B52" s="20"/>
      <c r="D52" s="19"/>
    </row>
    <row r="53" s="7" customFormat="1" ht="15.75">
      <c r="D53" s="19"/>
    </row>
    <row r="54" s="7" customFormat="1" ht="15.75">
      <c r="D54" s="19"/>
    </row>
    <row r="55" s="7" customFormat="1" ht="15.75">
      <c r="D55" s="19"/>
    </row>
    <row r="56" s="7" customFormat="1" ht="15.75">
      <c r="D56" s="19"/>
    </row>
    <row r="57" s="7" customFormat="1" ht="15.75">
      <c r="D57" s="19"/>
    </row>
    <row r="58" s="7" customFormat="1" ht="15.75">
      <c r="D58" s="19"/>
    </row>
    <row r="59" spans="2:4" s="7" customFormat="1" ht="15.75">
      <c r="B59" s="21"/>
      <c r="D59" s="19"/>
    </row>
    <row r="60" s="7" customFormat="1" ht="15.75">
      <c r="D60" s="19"/>
    </row>
    <row r="61" s="7" customFormat="1" ht="15.75">
      <c r="D61" s="19"/>
    </row>
    <row r="62" s="7" customFormat="1" ht="15.75">
      <c r="D62" s="19"/>
    </row>
    <row r="63" s="7" customFormat="1" ht="15.75">
      <c r="D63" s="19"/>
    </row>
    <row r="64" s="7" customFormat="1" ht="15.75">
      <c r="D64" s="19"/>
    </row>
    <row r="65" s="7" customFormat="1" ht="15.75">
      <c r="D65" s="19"/>
    </row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  <row r="83" s="7" customFormat="1" ht="15.75"/>
    <row r="84" s="7" customFormat="1" ht="15.75"/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  <row r="106" s="7" customFormat="1" ht="15.75"/>
    <row r="107" s="7" customFormat="1" ht="15.75"/>
    <row r="108" s="7" customFormat="1" ht="15.75"/>
    <row r="109" s="7" customFormat="1" ht="15.75"/>
    <row r="110" s="7" customFormat="1" ht="15.75"/>
    <row r="111" s="7" customFormat="1" ht="15.75"/>
    <row r="112" s="7" customFormat="1" ht="15.75"/>
    <row r="113" s="7" customFormat="1" ht="15.75"/>
    <row r="114" s="7" customFormat="1" ht="15.75"/>
    <row r="115" s="7" customFormat="1" ht="15.75"/>
    <row r="116" s="7" customFormat="1" ht="15.75"/>
    <row r="117" s="7" customFormat="1" ht="15.75"/>
    <row r="118" s="7" customFormat="1" ht="15.75"/>
    <row r="119" s="7" customFormat="1" ht="15.75"/>
    <row r="120" s="7" customFormat="1" ht="15.75"/>
    <row r="121" s="7" customFormat="1" ht="15.75"/>
    <row r="122" s="7" customFormat="1" ht="15.75"/>
    <row r="123" s="7" customFormat="1" ht="15.75"/>
    <row r="124" s="7" customFormat="1" ht="15.75"/>
    <row r="125" s="7" customFormat="1" ht="15.75"/>
    <row r="126" s="7" customFormat="1" ht="15.75"/>
    <row r="127" s="7" customFormat="1" ht="15.75"/>
    <row r="128" s="7" customFormat="1" ht="15.75"/>
    <row r="129" s="7" customFormat="1" ht="15.75"/>
    <row r="130" s="7" customFormat="1" ht="15.75"/>
    <row r="131" s="7" customFormat="1" ht="15.75"/>
    <row r="132" s="7" customFormat="1" ht="15.75"/>
    <row r="133" s="7" customFormat="1" ht="15.75"/>
    <row r="134" s="7" customFormat="1" ht="15.75"/>
    <row r="135" s="7" customFormat="1" ht="15.75"/>
    <row r="136" s="7" customFormat="1" ht="15.75"/>
    <row r="137" s="7" customFormat="1" ht="15.75"/>
    <row r="138" s="7" customFormat="1" ht="15.75"/>
    <row r="139" s="7" customFormat="1" ht="15.75"/>
  </sheetData>
  <sheetProtection/>
  <mergeCells count="7">
    <mergeCell ref="A1:D1"/>
    <mergeCell ref="D6:D7"/>
    <mergeCell ref="A2:D2"/>
    <mergeCell ref="B3:C3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00"/>
  </sheetPr>
  <dimension ref="A1:IP134"/>
  <sheetViews>
    <sheetView view="pageBreakPreview" zoomScale="115" zoomScaleSheetLayoutView="115" zoomScalePageLayoutView="0" workbookViewId="0" topLeftCell="A1">
      <selection activeCell="F7" sqref="F7"/>
    </sheetView>
  </sheetViews>
  <sheetFormatPr defaultColWidth="9.140625" defaultRowHeight="12.75"/>
  <cols>
    <col min="1" max="1" width="3.140625" style="191" bestFit="1" customWidth="1"/>
    <col min="2" max="2" width="15.8515625" style="191" bestFit="1" customWidth="1"/>
    <col min="3" max="3" width="58.140625" style="191" customWidth="1"/>
    <col min="4" max="4" width="14.00390625" style="191" bestFit="1" customWidth="1"/>
    <col min="5" max="5" width="9.140625" style="191" customWidth="1"/>
    <col min="6" max="6" width="10.8515625" style="191" customWidth="1"/>
    <col min="7" max="250" width="9.140625" style="191" customWidth="1"/>
    <col min="251" max="16384" width="9.140625" style="168" customWidth="1"/>
  </cols>
  <sheetData>
    <row r="1" spans="1:250" ht="16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6.5">
      <c r="A2" s="251"/>
      <c r="B2" s="25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9" s="170" customFormat="1" ht="20.25">
      <c r="A3" s="259" t="s">
        <v>508</v>
      </c>
      <c r="B3" s="259"/>
      <c r="C3" s="259"/>
      <c r="D3" s="259"/>
      <c r="E3" s="169"/>
      <c r="F3" s="169"/>
      <c r="G3" s="169"/>
      <c r="H3" s="169"/>
      <c r="I3" s="169"/>
    </row>
    <row r="4" spans="1:250" s="170" customFormat="1" ht="20.25">
      <c r="A4" s="252" t="s">
        <v>170</v>
      </c>
      <c r="B4" s="252"/>
      <c r="C4" s="252"/>
      <c r="D4" s="25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170" customFormat="1" ht="16.5">
      <c r="A5" s="4"/>
      <c r="B5" s="171"/>
      <c r="C5" s="23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s="170" customFormat="1" ht="16.5">
      <c r="A6" s="172"/>
      <c r="B6" s="172"/>
      <c r="C6" s="172"/>
      <c r="D6" s="239"/>
      <c r="E6" s="173"/>
      <c r="F6" s="17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38.25">
      <c r="A7" s="174" t="s">
        <v>0</v>
      </c>
      <c r="B7" s="175" t="s">
        <v>171</v>
      </c>
      <c r="C7" s="176" t="s">
        <v>172</v>
      </c>
      <c r="D7" s="176" t="s">
        <v>5</v>
      </c>
      <c r="E7" s="173"/>
      <c r="F7" s="17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170" customFormat="1" ht="16.5">
      <c r="A8" s="177">
        <v>1</v>
      </c>
      <c r="B8" s="177">
        <v>1</v>
      </c>
      <c r="C8" s="177">
        <v>2</v>
      </c>
      <c r="D8" s="177">
        <v>3</v>
      </c>
      <c r="E8" s="178"/>
      <c r="F8" s="17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184" customFormat="1" ht="132">
      <c r="A9" s="179">
        <v>1</v>
      </c>
      <c r="B9" s="180" t="s">
        <v>173</v>
      </c>
      <c r="C9" s="181" t="s">
        <v>196</v>
      </c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</row>
    <row r="10" spans="1:250" s="134" customFormat="1" ht="49.5">
      <c r="A10" s="179">
        <v>2</v>
      </c>
      <c r="B10" s="180" t="s">
        <v>174</v>
      </c>
      <c r="C10" s="181" t="s">
        <v>197</v>
      </c>
      <c r="D10" s="18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s="184" customFormat="1" ht="82.5">
      <c r="A11" s="179">
        <v>3</v>
      </c>
      <c r="B11" s="180" t="s">
        <v>175</v>
      </c>
      <c r="C11" s="181" t="s">
        <v>227</v>
      </c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</row>
    <row r="12" spans="1:250" s="134" customFormat="1" ht="49.5">
      <c r="A12" s="179">
        <v>4</v>
      </c>
      <c r="B12" s="180" t="s">
        <v>176</v>
      </c>
      <c r="C12" s="181" t="s">
        <v>228</v>
      </c>
      <c r="D12" s="18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s="134" customFormat="1" ht="16.5">
      <c r="A13" s="179">
        <v>5</v>
      </c>
      <c r="B13" s="180" t="s">
        <v>463</v>
      </c>
      <c r="C13" s="181" t="s">
        <v>465</v>
      </c>
      <c r="D13" s="18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s="134" customFormat="1" ht="16.5">
      <c r="A14" s="179">
        <v>6</v>
      </c>
      <c r="B14" s="180" t="s">
        <v>466</v>
      </c>
      <c r="C14" s="181" t="s">
        <v>464</v>
      </c>
      <c r="D14" s="18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s="134" customFormat="1" ht="33">
      <c r="A15" s="179">
        <v>7</v>
      </c>
      <c r="B15" s="180" t="s">
        <v>467</v>
      </c>
      <c r="C15" s="181" t="s">
        <v>491</v>
      </c>
      <c r="D15" s="18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s="190" customFormat="1" ht="15.75">
      <c r="A16" s="185"/>
      <c r="B16" s="186"/>
      <c r="C16" s="185" t="s">
        <v>13</v>
      </c>
      <c r="D16" s="187">
        <f>SUM(D9:D15)</f>
        <v>0</v>
      </c>
      <c r="E16" s="188"/>
      <c r="F16" s="189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</row>
    <row r="17" spans="1:250" s="134" customFormat="1" ht="16.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</row>
    <row r="18" spans="1:250" s="134" customFormat="1" ht="15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</row>
    <row r="19" spans="1:250" s="134" customFormat="1" ht="16.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</row>
    <row r="20" spans="1:250" s="134" customFormat="1" ht="16.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</row>
    <row r="21" spans="1:250" s="134" customFormat="1" ht="16.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</row>
    <row r="22" spans="1:250" s="134" customFormat="1" ht="16.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</row>
    <row r="23" spans="1:250" s="134" customFormat="1" ht="16.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  <c r="GU23" s="191"/>
      <c r="GV23" s="191"/>
      <c r="GW23" s="191"/>
      <c r="GX23" s="191"/>
      <c r="GY23" s="191"/>
      <c r="GZ23" s="191"/>
      <c r="HA23" s="191"/>
      <c r="HB23" s="191"/>
      <c r="HC23" s="191"/>
      <c r="HD23" s="191"/>
      <c r="HE23" s="191"/>
      <c r="HF23" s="191"/>
      <c r="HG23" s="191"/>
      <c r="HH23" s="191"/>
      <c r="HI23" s="191"/>
      <c r="HJ23" s="191"/>
      <c r="HK23" s="191"/>
      <c r="HL23" s="191"/>
      <c r="HM23" s="191"/>
      <c r="HN23" s="191"/>
      <c r="HO23" s="191"/>
      <c r="HP23" s="191"/>
      <c r="HQ23" s="191"/>
      <c r="HR23" s="191"/>
      <c r="HS23" s="191"/>
      <c r="HT23" s="191"/>
      <c r="HU23" s="191"/>
      <c r="HV23" s="191"/>
      <c r="HW23" s="191"/>
      <c r="HX23" s="191"/>
      <c r="HY23" s="191"/>
      <c r="HZ23" s="191"/>
      <c r="IA23" s="191"/>
      <c r="IB23" s="191"/>
      <c r="IC23" s="191"/>
      <c r="ID23" s="191"/>
      <c r="IE23" s="191"/>
      <c r="IF23" s="191"/>
      <c r="IG23" s="191"/>
      <c r="IH23" s="191"/>
      <c r="II23" s="191"/>
      <c r="IJ23" s="191"/>
      <c r="IK23" s="191"/>
      <c r="IL23" s="191"/>
      <c r="IM23" s="191"/>
      <c r="IN23" s="191"/>
      <c r="IO23" s="191"/>
      <c r="IP23" s="191"/>
    </row>
    <row r="24" spans="1:250" s="134" customFormat="1" ht="16.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  <c r="IK24" s="191"/>
      <c r="IL24" s="191"/>
      <c r="IM24" s="191"/>
      <c r="IN24" s="191"/>
      <c r="IO24" s="191"/>
      <c r="IP24" s="191"/>
    </row>
    <row r="25" spans="1:250" s="134" customFormat="1" ht="16.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  <c r="IA25" s="191"/>
      <c r="IB25" s="191"/>
      <c r="IC25" s="191"/>
      <c r="ID25" s="191"/>
      <c r="IE25" s="191"/>
      <c r="IF25" s="191"/>
      <c r="IG25" s="191"/>
      <c r="IH25" s="191"/>
      <c r="II25" s="191"/>
      <c r="IJ25" s="191"/>
      <c r="IK25" s="191"/>
      <c r="IL25" s="191"/>
      <c r="IM25" s="191"/>
      <c r="IN25" s="191"/>
      <c r="IO25" s="191"/>
      <c r="IP25" s="191"/>
    </row>
    <row r="26" spans="1:250" s="134" customFormat="1" ht="16.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  <c r="IK26" s="191"/>
      <c r="IL26" s="191"/>
      <c r="IM26" s="191"/>
      <c r="IN26" s="191"/>
      <c r="IO26" s="191"/>
      <c r="IP26" s="191"/>
    </row>
    <row r="27" spans="1:250" s="134" customFormat="1" ht="16.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</row>
    <row r="28" spans="1:250" s="134" customFormat="1" ht="16.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</row>
    <row r="29" spans="1:250" s="134" customFormat="1" ht="16.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</row>
    <row r="30" spans="1:250" s="134" customFormat="1" ht="16.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</row>
    <row r="31" spans="1:250" s="134" customFormat="1" ht="16.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</row>
    <row r="32" spans="1:250" s="134" customFormat="1" ht="16.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</row>
    <row r="33" spans="1:250" s="134" customFormat="1" ht="16.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</row>
    <row r="34" spans="1:250" s="134" customFormat="1" ht="16.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</row>
    <row r="35" spans="1:250" s="134" customFormat="1" ht="16.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</row>
    <row r="36" spans="1:250" s="134" customFormat="1" ht="16.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</row>
    <row r="37" spans="1:250" s="134" customFormat="1" ht="16.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</row>
    <row r="38" spans="1:250" s="134" customFormat="1" ht="16.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</row>
    <row r="39" spans="1:250" s="134" customFormat="1" ht="16.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</row>
    <row r="40" spans="1:250" s="134" customFormat="1" ht="16.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</row>
    <row r="41" spans="1:250" s="134" customFormat="1" ht="16.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</row>
    <row r="42" spans="1:250" s="134" customFormat="1" ht="16.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</row>
    <row r="43" spans="1:250" s="134" customFormat="1" ht="16.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</row>
    <row r="44" spans="1:250" s="134" customFormat="1" ht="16.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</row>
    <row r="45" spans="1:250" s="134" customFormat="1" ht="16.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</row>
    <row r="46" spans="1:250" s="134" customFormat="1" ht="16.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</row>
    <row r="47" spans="1:250" s="134" customFormat="1" ht="16.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</row>
    <row r="48" spans="1:250" s="134" customFormat="1" ht="16.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</row>
    <row r="49" spans="1:250" s="134" customFormat="1" ht="16.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</row>
    <row r="50" spans="1:250" s="134" customFormat="1" ht="16.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</row>
    <row r="51" spans="1:250" s="134" customFormat="1" ht="16.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</row>
    <row r="52" spans="1:250" s="134" customFormat="1" ht="16.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</row>
    <row r="53" spans="1:250" s="134" customFormat="1" ht="16.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</row>
    <row r="54" spans="1:250" s="134" customFormat="1" ht="16.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</row>
    <row r="55" spans="1:250" s="134" customFormat="1" ht="16.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</row>
    <row r="56" spans="1:250" s="134" customFormat="1" ht="16.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</row>
    <row r="57" spans="1:250" s="134" customFormat="1" ht="16.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</row>
    <row r="58" spans="1:250" s="134" customFormat="1" ht="16.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  <c r="HF58" s="191"/>
      <c r="HG58" s="191"/>
      <c r="HH58" s="191"/>
      <c r="HI58" s="191"/>
      <c r="HJ58" s="191"/>
      <c r="HK58" s="191"/>
      <c r="HL58" s="191"/>
      <c r="HM58" s="191"/>
      <c r="HN58" s="191"/>
      <c r="HO58" s="191"/>
      <c r="HP58" s="191"/>
      <c r="HQ58" s="191"/>
      <c r="HR58" s="191"/>
      <c r="HS58" s="191"/>
      <c r="HT58" s="191"/>
      <c r="HU58" s="191"/>
      <c r="HV58" s="191"/>
      <c r="HW58" s="191"/>
      <c r="HX58" s="191"/>
      <c r="HY58" s="191"/>
      <c r="HZ58" s="191"/>
      <c r="IA58" s="191"/>
      <c r="IB58" s="191"/>
      <c r="IC58" s="191"/>
      <c r="ID58" s="191"/>
      <c r="IE58" s="191"/>
      <c r="IF58" s="191"/>
      <c r="IG58" s="191"/>
      <c r="IH58" s="191"/>
      <c r="II58" s="191"/>
      <c r="IJ58" s="191"/>
      <c r="IK58" s="191"/>
      <c r="IL58" s="191"/>
      <c r="IM58" s="191"/>
      <c r="IN58" s="191"/>
      <c r="IO58" s="191"/>
      <c r="IP58" s="191"/>
    </row>
    <row r="59" spans="1:250" s="134" customFormat="1" ht="16.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  <c r="IA59" s="191"/>
      <c r="IB59" s="191"/>
      <c r="IC59" s="191"/>
      <c r="ID59" s="191"/>
      <c r="IE59" s="191"/>
      <c r="IF59" s="191"/>
      <c r="IG59" s="191"/>
      <c r="IH59" s="191"/>
      <c r="II59" s="191"/>
      <c r="IJ59" s="191"/>
      <c r="IK59" s="191"/>
      <c r="IL59" s="191"/>
      <c r="IM59" s="191"/>
      <c r="IN59" s="191"/>
      <c r="IO59" s="191"/>
      <c r="IP59" s="191"/>
    </row>
    <row r="60" spans="1:250" s="134" customFormat="1" ht="16.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  <c r="FU60" s="191"/>
      <c r="FV60" s="191"/>
      <c r="FW60" s="191"/>
      <c r="FX60" s="191"/>
      <c r="FY60" s="191"/>
      <c r="FZ60" s="191"/>
      <c r="GA60" s="191"/>
      <c r="GB60" s="191"/>
      <c r="GC60" s="191"/>
      <c r="GD60" s="191"/>
      <c r="GE60" s="191"/>
      <c r="GF60" s="191"/>
      <c r="GG60" s="191"/>
      <c r="GH60" s="191"/>
      <c r="GI60" s="191"/>
      <c r="GJ60" s="191"/>
      <c r="GK60" s="191"/>
      <c r="GL60" s="191"/>
      <c r="GM60" s="191"/>
      <c r="GN60" s="191"/>
      <c r="GO60" s="191"/>
      <c r="GP60" s="191"/>
      <c r="GQ60" s="191"/>
      <c r="GR60" s="191"/>
      <c r="GS60" s="191"/>
      <c r="GT60" s="191"/>
      <c r="GU60" s="191"/>
      <c r="GV60" s="191"/>
      <c r="GW60" s="191"/>
      <c r="GX60" s="191"/>
      <c r="GY60" s="191"/>
      <c r="GZ60" s="191"/>
      <c r="HA60" s="191"/>
      <c r="HB60" s="191"/>
      <c r="HC60" s="191"/>
      <c r="HD60" s="191"/>
      <c r="HE60" s="191"/>
      <c r="HF60" s="191"/>
      <c r="HG60" s="191"/>
      <c r="HH60" s="191"/>
      <c r="HI60" s="191"/>
      <c r="HJ60" s="191"/>
      <c r="HK60" s="191"/>
      <c r="HL60" s="191"/>
      <c r="HM60" s="191"/>
      <c r="HN60" s="191"/>
      <c r="HO60" s="191"/>
      <c r="HP60" s="191"/>
      <c r="HQ60" s="191"/>
      <c r="HR60" s="191"/>
      <c r="HS60" s="191"/>
      <c r="HT60" s="191"/>
      <c r="HU60" s="191"/>
      <c r="HV60" s="191"/>
      <c r="HW60" s="191"/>
      <c r="HX60" s="191"/>
      <c r="HY60" s="191"/>
      <c r="HZ60" s="191"/>
      <c r="IA60" s="191"/>
      <c r="IB60" s="191"/>
      <c r="IC60" s="191"/>
      <c r="ID60" s="191"/>
      <c r="IE60" s="191"/>
      <c r="IF60" s="191"/>
      <c r="IG60" s="191"/>
      <c r="IH60" s="191"/>
      <c r="II60" s="191"/>
      <c r="IJ60" s="191"/>
      <c r="IK60" s="191"/>
      <c r="IL60" s="191"/>
      <c r="IM60" s="191"/>
      <c r="IN60" s="191"/>
      <c r="IO60" s="191"/>
      <c r="IP60" s="191"/>
    </row>
    <row r="61" spans="1:250" s="134" customFormat="1" ht="16.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1"/>
      <c r="FK61" s="191"/>
      <c r="FL61" s="191"/>
      <c r="FM61" s="191"/>
      <c r="FN61" s="191"/>
      <c r="FO61" s="191"/>
      <c r="FP61" s="191"/>
      <c r="FQ61" s="191"/>
      <c r="FR61" s="191"/>
      <c r="FS61" s="191"/>
      <c r="FT61" s="191"/>
      <c r="FU61" s="191"/>
      <c r="FV61" s="191"/>
      <c r="FW61" s="191"/>
      <c r="FX61" s="191"/>
      <c r="FY61" s="191"/>
      <c r="FZ61" s="191"/>
      <c r="GA61" s="191"/>
      <c r="GB61" s="191"/>
      <c r="GC61" s="191"/>
      <c r="GD61" s="191"/>
      <c r="GE61" s="191"/>
      <c r="GF61" s="191"/>
      <c r="GG61" s="191"/>
      <c r="GH61" s="191"/>
      <c r="GI61" s="191"/>
      <c r="GJ61" s="191"/>
      <c r="GK61" s="191"/>
      <c r="GL61" s="191"/>
      <c r="GM61" s="191"/>
      <c r="GN61" s="191"/>
      <c r="GO61" s="191"/>
      <c r="GP61" s="191"/>
      <c r="GQ61" s="191"/>
      <c r="GR61" s="191"/>
      <c r="GS61" s="191"/>
      <c r="GT61" s="191"/>
      <c r="GU61" s="191"/>
      <c r="GV61" s="191"/>
      <c r="GW61" s="191"/>
      <c r="GX61" s="191"/>
      <c r="GY61" s="191"/>
      <c r="GZ61" s="191"/>
      <c r="HA61" s="191"/>
      <c r="HB61" s="191"/>
      <c r="HC61" s="191"/>
      <c r="HD61" s="191"/>
      <c r="HE61" s="191"/>
      <c r="HF61" s="191"/>
      <c r="HG61" s="191"/>
      <c r="HH61" s="191"/>
      <c r="HI61" s="191"/>
      <c r="HJ61" s="191"/>
      <c r="HK61" s="191"/>
      <c r="HL61" s="191"/>
      <c r="HM61" s="191"/>
      <c r="HN61" s="191"/>
      <c r="HO61" s="191"/>
      <c r="HP61" s="191"/>
      <c r="HQ61" s="191"/>
      <c r="HR61" s="191"/>
      <c r="HS61" s="191"/>
      <c r="HT61" s="191"/>
      <c r="HU61" s="191"/>
      <c r="HV61" s="191"/>
      <c r="HW61" s="191"/>
      <c r="HX61" s="191"/>
      <c r="HY61" s="191"/>
      <c r="HZ61" s="191"/>
      <c r="IA61" s="191"/>
      <c r="IB61" s="191"/>
      <c r="IC61" s="191"/>
      <c r="ID61" s="191"/>
      <c r="IE61" s="191"/>
      <c r="IF61" s="191"/>
      <c r="IG61" s="191"/>
      <c r="IH61" s="191"/>
      <c r="II61" s="191"/>
      <c r="IJ61" s="191"/>
      <c r="IK61" s="191"/>
      <c r="IL61" s="191"/>
      <c r="IM61" s="191"/>
      <c r="IN61" s="191"/>
      <c r="IO61" s="191"/>
      <c r="IP61" s="191"/>
    </row>
    <row r="62" spans="1:250" s="134" customFormat="1" ht="16.5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191"/>
      <c r="FK62" s="191"/>
      <c r="FL62" s="191"/>
      <c r="FM62" s="191"/>
      <c r="FN62" s="191"/>
      <c r="FO62" s="191"/>
      <c r="FP62" s="191"/>
      <c r="FQ62" s="191"/>
      <c r="FR62" s="191"/>
      <c r="FS62" s="191"/>
      <c r="FT62" s="191"/>
      <c r="FU62" s="191"/>
      <c r="FV62" s="191"/>
      <c r="FW62" s="191"/>
      <c r="FX62" s="191"/>
      <c r="FY62" s="191"/>
      <c r="FZ62" s="191"/>
      <c r="GA62" s="191"/>
      <c r="GB62" s="191"/>
      <c r="GC62" s="191"/>
      <c r="GD62" s="191"/>
      <c r="GE62" s="191"/>
      <c r="GF62" s="191"/>
      <c r="GG62" s="191"/>
      <c r="GH62" s="191"/>
      <c r="GI62" s="191"/>
      <c r="GJ62" s="191"/>
      <c r="GK62" s="191"/>
      <c r="GL62" s="191"/>
      <c r="GM62" s="191"/>
      <c r="GN62" s="191"/>
      <c r="GO62" s="191"/>
      <c r="GP62" s="191"/>
      <c r="GQ62" s="191"/>
      <c r="GR62" s="191"/>
      <c r="GS62" s="191"/>
      <c r="GT62" s="191"/>
      <c r="GU62" s="191"/>
      <c r="GV62" s="191"/>
      <c r="GW62" s="191"/>
      <c r="GX62" s="191"/>
      <c r="GY62" s="191"/>
      <c r="GZ62" s="191"/>
      <c r="HA62" s="191"/>
      <c r="HB62" s="191"/>
      <c r="HC62" s="191"/>
      <c r="HD62" s="191"/>
      <c r="HE62" s="191"/>
      <c r="HF62" s="191"/>
      <c r="HG62" s="191"/>
      <c r="HH62" s="191"/>
      <c r="HI62" s="191"/>
      <c r="HJ62" s="191"/>
      <c r="HK62" s="191"/>
      <c r="HL62" s="191"/>
      <c r="HM62" s="191"/>
      <c r="HN62" s="191"/>
      <c r="HO62" s="191"/>
      <c r="HP62" s="191"/>
      <c r="HQ62" s="191"/>
      <c r="HR62" s="191"/>
      <c r="HS62" s="191"/>
      <c r="HT62" s="191"/>
      <c r="HU62" s="191"/>
      <c r="HV62" s="191"/>
      <c r="HW62" s="191"/>
      <c r="HX62" s="191"/>
      <c r="HY62" s="191"/>
      <c r="HZ62" s="191"/>
      <c r="IA62" s="191"/>
      <c r="IB62" s="191"/>
      <c r="IC62" s="191"/>
      <c r="ID62" s="191"/>
      <c r="IE62" s="191"/>
      <c r="IF62" s="191"/>
      <c r="IG62" s="191"/>
      <c r="IH62" s="191"/>
      <c r="II62" s="191"/>
      <c r="IJ62" s="191"/>
      <c r="IK62" s="191"/>
      <c r="IL62" s="191"/>
      <c r="IM62" s="191"/>
      <c r="IN62" s="191"/>
      <c r="IO62" s="191"/>
      <c r="IP62" s="191"/>
    </row>
    <row r="63" spans="1:250" s="134" customFormat="1" ht="16.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1"/>
      <c r="EX63" s="191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  <c r="FI63" s="191"/>
      <c r="FJ63" s="191"/>
      <c r="FK63" s="191"/>
      <c r="FL63" s="191"/>
      <c r="FM63" s="191"/>
      <c r="FN63" s="191"/>
      <c r="FO63" s="191"/>
      <c r="FP63" s="191"/>
      <c r="FQ63" s="191"/>
      <c r="FR63" s="191"/>
      <c r="FS63" s="191"/>
      <c r="FT63" s="191"/>
      <c r="FU63" s="191"/>
      <c r="FV63" s="191"/>
      <c r="FW63" s="191"/>
      <c r="FX63" s="191"/>
      <c r="FY63" s="191"/>
      <c r="FZ63" s="191"/>
      <c r="GA63" s="191"/>
      <c r="GB63" s="191"/>
      <c r="GC63" s="191"/>
      <c r="GD63" s="191"/>
      <c r="GE63" s="191"/>
      <c r="GF63" s="191"/>
      <c r="GG63" s="191"/>
      <c r="GH63" s="191"/>
      <c r="GI63" s="191"/>
      <c r="GJ63" s="191"/>
      <c r="GK63" s="191"/>
      <c r="GL63" s="191"/>
      <c r="GM63" s="191"/>
      <c r="GN63" s="191"/>
      <c r="GO63" s="191"/>
      <c r="GP63" s="191"/>
      <c r="GQ63" s="191"/>
      <c r="GR63" s="191"/>
      <c r="GS63" s="191"/>
      <c r="GT63" s="191"/>
      <c r="GU63" s="191"/>
      <c r="GV63" s="191"/>
      <c r="GW63" s="191"/>
      <c r="GX63" s="191"/>
      <c r="GY63" s="191"/>
      <c r="GZ63" s="191"/>
      <c r="HA63" s="191"/>
      <c r="HB63" s="191"/>
      <c r="HC63" s="191"/>
      <c r="HD63" s="191"/>
      <c r="HE63" s="191"/>
      <c r="HF63" s="191"/>
      <c r="HG63" s="191"/>
      <c r="HH63" s="191"/>
      <c r="HI63" s="191"/>
      <c r="HJ63" s="191"/>
      <c r="HK63" s="191"/>
      <c r="HL63" s="191"/>
      <c r="HM63" s="191"/>
      <c r="HN63" s="191"/>
      <c r="HO63" s="191"/>
      <c r="HP63" s="191"/>
      <c r="HQ63" s="191"/>
      <c r="HR63" s="191"/>
      <c r="HS63" s="191"/>
      <c r="HT63" s="191"/>
      <c r="HU63" s="191"/>
      <c r="HV63" s="191"/>
      <c r="HW63" s="191"/>
      <c r="HX63" s="191"/>
      <c r="HY63" s="191"/>
      <c r="HZ63" s="191"/>
      <c r="IA63" s="191"/>
      <c r="IB63" s="191"/>
      <c r="IC63" s="191"/>
      <c r="ID63" s="191"/>
      <c r="IE63" s="191"/>
      <c r="IF63" s="191"/>
      <c r="IG63" s="191"/>
      <c r="IH63" s="191"/>
      <c r="II63" s="191"/>
      <c r="IJ63" s="191"/>
      <c r="IK63" s="191"/>
      <c r="IL63" s="191"/>
      <c r="IM63" s="191"/>
      <c r="IN63" s="191"/>
      <c r="IO63" s="191"/>
      <c r="IP63" s="191"/>
    </row>
    <row r="64" spans="1:250" s="134" customFormat="1" ht="16.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  <c r="IA64" s="191"/>
      <c r="IB64" s="191"/>
      <c r="IC64" s="191"/>
      <c r="ID64" s="191"/>
      <c r="IE64" s="191"/>
      <c r="IF64" s="191"/>
      <c r="IG64" s="191"/>
      <c r="IH64" s="191"/>
      <c r="II64" s="191"/>
      <c r="IJ64" s="191"/>
      <c r="IK64" s="191"/>
      <c r="IL64" s="191"/>
      <c r="IM64" s="191"/>
      <c r="IN64" s="191"/>
      <c r="IO64" s="191"/>
      <c r="IP64" s="191"/>
    </row>
    <row r="65" spans="1:250" s="134" customFormat="1" ht="16.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1"/>
      <c r="FK65" s="191"/>
      <c r="FL65" s="191"/>
      <c r="FM65" s="191"/>
      <c r="FN65" s="191"/>
      <c r="FO65" s="191"/>
      <c r="FP65" s="191"/>
      <c r="FQ65" s="191"/>
      <c r="FR65" s="191"/>
      <c r="FS65" s="191"/>
      <c r="FT65" s="191"/>
      <c r="FU65" s="191"/>
      <c r="FV65" s="191"/>
      <c r="FW65" s="191"/>
      <c r="FX65" s="191"/>
      <c r="FY65" s="191"/>
      <c r="FZ65" s="191"/>
      <c r="GA65" s="191"/>
      <c r="GB65" s="191"/>
      <c r="GC65" s="191"/>
      <c r="GD65" s="191"/>
      <c r="GE65" s="191"/>
      <c r="GF65" s="191"/>
      <c r="GG65" s="191"/>
      <c r="GH65" s="191"/>
      <c r="GI65" s="191"/>
      <c r="GJ65" s="191"/>
      <c r="GK65" s="191"/>
      <c r="GL65" s="191"/>
      <c r="GM65" s="191"/>
      <c r="GN65" s="191"/>
      <c r="GO65" s="191"/>
      <c r="GP65" s="191"/>
      <c r="GQ65" s="191"/>
      <c r="GR65" s="191"/>
      <c r="GS65" s="191"/>
      <c r="GT65" s="191"/>
      <c r="GU65" s="191"/>
      <c r="GV65" s="191"/>
      <c r="GW65" s="191"/>
      <c r="GX65" s="191"/>
      <c r="GY65" s="191"/>
      <c r="GZ65" s="191"/>
      <c r="HA65" s="191"/>
      <c r="HB65" s="191"/>
      <c r="HC65" s="191"/>
      <c r="HD65" s="191"/>
      <c r="HE65" s="191"/>
      <c r="HF65" s="191"/>
      <c r="HG65" s="191"/>
      <c r="HH65" s="191"/>
      <c r="HI65" s="191"/>
      <c r="HJ65" s="191"/>
      <c r="HK65" s="191"/>
      <c r="HL65" s="191"/>
      <c r="HM65" s="191"/>
      <c r="HN65" s="191"/>
      <c r="HO65" s="191"/>
      <c r="HP65" s="191"/>
      <c r="HQ65" s="191"/>
      <c r="HR65" s="191"/>
      <c r="HS65" s="191"/>
      <c r="HT65" s="191"/>
      <c r="HU65" s="191"/>
      <c r="HV65" s="191"/>
      <c r="HW65" s="191"/>
      <c r="HX65" s="191"/>
      <c r="HY65" s="191"/>
      <c r="HZ65" s="191"/>
      <c r="IA65" s="191"/>
      <c r="IB65" s="191"/>
      <c r="IC65" s="191"/>
      <c r="ID65" s="191"/>
      <c r="IE65" s="191"/>
      <c r="IF65" s="191"/>
      <c r="IG65" s="191"/>
      <c r="IH65" s="191"/>
      <c r="II65" s="191"/>
      <c r="IJ65" s="191"/>
      <c r="IK65" s="191"/>
      <c r="IL65" s="191"/>
      <c r="IM65" s="191"/>
      <c r="IN65" s="191"/>
      <c r="IO65" s="191"/>
      <c r="IP65" s="191"/>
    </row>
    <row r="66" spans="1:250" s="134" customFormat="1" ht="16.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  <c r="FI66" s="191"/>
      <c r="FJ66" s="191"/>
      <c r="FK66" s="191"/>
      <c r="FL66" s="191"/>
      <c r="FM66" s="191"/>
      <c r="FN66" s="191"/>
      <c r="FO66" s="191"/>
      <c r="FP66" s="191"/>
      <c r="FQ66" s="191"/>
      <c r="FR66" s="191"/>
      <c r="FS66" s="191"/>
      <c r="FT66" s="191"/>
      <c r="FU66" s="191"/>
      <c r="FV66" s="191"/>
      <c r="FW66" s="191"/>
      <c r="FX66" s="191"/>
      <c r="FY66" s="191"/>
      <c r="FZ66" s="191"/>
      <c r="GA66" s="191"/>
      <c r="GB66" s="191"/>
      <c r="GC66" s="191"/>
      <c r="GD66" s="191"/>
      <c r="GE66" s="191"/>
      <c r="GF66" s="191"/>
      <c r="GG66" s="191"/>
      <c r="GH66" s="191"/>
      <c r="GI66" s="191"/>
      <c r="GJ66" s="191"/>
      <c r="GK66" s="191"/>
      <c r="GL66" s="191"/>
      <c r="GM66" s="191"/>
      <c r="GN66" s="191"/>
      <c r="GO66" s="191"/>
      <c r="GP66" s="191"/>
      <c r="GQ66" s="191"/>
      <c r="GR66" s="191"/>
      <c r="GS66" s="191"/>
      <c r="GT66" s="191"/>
      <c r="GU66" s="191"/>
      <c r="GV66" s="191"/>
      <c r="GW66" s="191"/>
      <c r="GX66" s="191"/>
      <c r="GY66" s="191"/>
      <c r="GZ66" s="191"/>
      <c r="HA66" s="191"/>
      <c r="HB66" s="191"/>
      <c r="HC66" s="191"/>
      <c r="HD66" s="191"/>
      <c r="HE66" s="191"/>
      <c r="HF66" s="191"/>
      <c r="HG66" s="191"/>
      <c r="HH66" s="191"/>
      <c r="HI66" s="191"/>
      <c r="HJ66" s="191"/>
      <c r="HK66" s="191"/>
      <c r="HL66" s="191"/>
      <c r="HM66" s="191"/>
      <c r="HN66" s="191"/>
      <c r="HO66" s="191"/>
      <c r="HP66" s="191"/>
      <c r="HQ66" s="191"/>
      <c r="HR66" s="191"/>
      <c r="HS66" s="191"/>
      <c r="HT66" s="191"/>
      <c r="HU66" s="191"/>
      <c r="HV66" s="191"/>
      <c r="HW66" s="191"/>
      <c r="HX66" s="191"/>
      <c r="HY66" s="191"/>
      <c r="HZ66" s="191"/>
      <c r="IA66" s="191"/>
      <c r="IB66" s="191"/>
      <c r="IC66" s="191"/>
      <c r="ID66" s="191"/>
      <c r="IE66" s="191"/>
      <c r="IF66" s="191"/>
      <c r="IG66" s="191"/>
      <c r="IH66" s="191"/>
      <c r="II66" s="191"/>
      <c r="IJ66" s="191"/>
      <c r="IK66" s="191"/>
      <c r="IL66" s="191"/>
      <c r="IM66" s="191"/>
      <c r="IN66" s="191"/>
      <c r="IO66" s="191"/>
      <c r="IP66" s="191"/>
    </row>
    <row r="67" spans="1:250" s="134" customFormat="1" ht="16.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  <c r="FI67" s="191"/>
      <c r="FJ67" s="191"/>
      <c r="FK67" s="191"/>
      <c r="FL67" s="191"/>
      <c r="FM67" s="191"/>
      <c r="FN67" s="191"/>
      <c r="FO67" s="191"/>
      <c r="FP67" s="191"/>
      <c r="FQ67" s="191"/>
      <c r="FR67" s="191"/>
      <c r="FS67" s="191"/>
      <c r="FT67" s="191"/>
      <c r="FU67" s="191"/>
      <c r="FV67" s="191"/>
      <c r="FW67" s="191"/>
      <c r="FX67" s="191"/>
      <c r="FY67" s="191"/>
      <c r="FZ67" s="191"/>
      <c r="GA67" s="191"/>
      <c r="GB67" s="191"/>
      <c r="GC67" s="191"/>
      <c r="GD67" s="191"/>
      <c r="GE67" s="191"/>
      <c r="GF67" s="191"/>
      <c r="GG67" s="191"/>
      <c r="GH67" s="191"/>
      <c r="GI67" s="191"/>
      <c r="GJ67" s="191"/>
      <c r="GK67" s="191"/>
      <c r="GL67" s="191"/>
      <c r="GM67" s="191"/>
      <c r="GN67" s="191"/>
      <c r="GO67" s="191"/>
      <c r="GP67" s="191"/>
      <c r="GQ67" s="191"/>
      <c r="GR67" s="191"/>
      <c r="GS67" s="191"/>
      <c r="GT67" s="191"/>
      <c r="GU67" s="191"/>
      <c r="GV67" s="191"/>
      <c r="GW67" s="191"/>
      <c r="GX67" s="191"/>
      <c r="GY67" s="191"/>
      <c r="GZ67" s="191"/>
      <c r="HA67" s="191"/>
      <c r="HB67" s="191"/>
      <c r="HC67" s="191"/>
      <c r="HD67" s="191"/>
      <c r="HE67" s="191"/>
      <c r="HF67" s="191"/>
      <c r="HG67" s="191"/>
      <c r="HH67" s="191"/>
      <c r="HI67" s="191"/>
      <c r="HJ67" s="191"/>
      <c r="HK67" s="191"/>
      <c r="HL67" s="191"/>
      <c r="HM67" s="191"/>
      <c r="HN67" s="191"/>
      <c r="HO67" s="191"/>
      <c r="HP67" s="191"/>
      <c r="HQ67" s="191"/>
      <c r="HR67" s="191"/>
      <c r="HS67" s="191"/>
      <c r="HT67" s="191"/>
      <c r="HU67" s="191"/>
      <c r="HV67" s="191"/>
      <c r="HW67" s="191"/>
      <c r="HX67" s="191"/>
      <c r="HY67" s="191"/>
      <c r="HZ67" s="191"/>
      <c r="IA67" s="191"/>
      <c r="IB67" s="191"/>
      <c r="IC67" s="191"/>
      <c r="ID67" s="191"/>
      <c r="IE67" s="191"/>
      <c r="IF67" s="191"/>
      <c r="IG67" s="191"/>
      <c r="IH67" s="191"/>
      <c r="II67" s="191"/>
      <c r="IJ67" s="191"/>
      <c r="IK67" s="191"/>
      <c r="IL67" s="191"/>
      <c r="IM67" s="191"/>
      <c r="IN67" s="191"/>
      <c r="IO67" s="191"/>
      <c r="IP67" s="191"/>
    </row>
    <row r="68" spans="1:250" s="134" customFormat="1" ht="16.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  <c r="IA68" s="191"/>
      <c r="IB68" s="191"/>
      <c r="IC68" s="191"/>
      <c r="ID68" s="191"/>
      <c r="IE68" s="191"/>
      <c r="IF68" s="191"/>
      <c r="IG68" s="191"/>
      <c r="IH68" s="191"/>
      <c r="II68" s="191"/>
      <c r="IJ68" s="191"/>
      <c r="IK68" s="191"/>
      <c r="IL68" s="191"/>
      <c r="IM68" s="191"/>
      <c r="IN68" s="191"/>
      <c r="IO68" s="191"/>
      <c r="IP68" s="191"/>
    </row>
    <row r="69" spans="1:250" s="134" customFormat="1" ht="16.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1"/>
      <c r="FK69" s="191"/>
      <c r="FL69" s="191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91"/>
      <c r="GQ69" s="191"/>
      <c r="GR69" s="191"/>
      <c r="GS69" s="191"/>
      <c r="GT69" s="191"/>
      <c r="GU69" s="191"/>
      <c r="GV69" s="191"/>
      <c r="GW69" s="191"/>
      <c r="GX69" s="191"/>
      <c r="GY69" s="191"/>
      <c r="GZ69" s="191"/>
      <c r="HA69" s="191"/>
      <c r="HB69" s="191"/>
      <c r="HC69" s="191"/>
      <c r="HD69" s="191"/>
      <c r="HE69" s="191"/>
      <c r="HF69" s="191"/>
      <c r="HG69" s="191"/>
      <c r="HH69" s="191"/>
      <c r="HI69" s="191"/>
      <c r="HJ69" s="191"/>
      <c r="HK69" s="191"/>
      <c r="HL69" s="191"/>
      <c r="HM69" s="191"/>
      <c r="HN69" s="191"/>
      <c r="HO69" s="191"/>
      <c r="HP69" s="191"/>
      <c r="HQ69" s="191"/>
      <c r="HR69" s="191"/>
      <c r="HS69" s="191"/>
      <c r="HT69" s="191"/>
      <c r="HU69" s="191"/>
      <c r="HV69" s="191"/>
      <c r="HW69" s="191"/>
      <c r="HX69" s="191"/>
      <c r="HY69" s="191"/>
      <c r="HZ69" s="191"/>
      <c r="IA69" s="191"/>
      <c r="IB69" s="191"/>
      <c r="IC69" s="191"/>
      <c r="ID69" s="191"/>
      <c r="IE69" s="191"/>
      <c r="IF69" s="191"/>
      <c r="IG69" s="191"/>
      <c r="IH69" s="191"/>
      <c r="II69" s="191"/>
      <c r="IJ69" s="191"/>
      <c r="IK69" s="191"/>
      <c r="IL69" s="191"/>
      <c r="IM69" s="191"/>
      <c r="IN69" s="191"/>
      <c r="IO69" s="191"/>
      <c r="IP69" s="191"/>
    </row>
    <row r="70" spans="1:250" s="134" customFormat="1" ht="16.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1"/>
      <c r="FK70" s="191"/>
      <c r="FL70" s="191"/>
      <c r="FM70" s="191"/>
      <c r="FN70" s="191"/>
      <c r="FO70" s="191"/>
      <c r="FP70" s="191"/>
      <c r="FQ70" s="191"/>
      <c r="FR70" s="191"/>
      <c r="FS70" s="191"/>
      <c r="FT70" s="191"/>
      <c r="FU70" s="191"/>
      <c r="FV70" s="191"/>
      <c r="FW70" s="191"/>
      <c r="FX70" s="191"/>
      <c r="FY70" s="191"/>
      <c r="FZ70" s="191"/>
      <c r="GA70" s="191"/>
      <c r="GB70" s="191"/>
      <c r="GC70" s="191"/>
      <c r="GD70" s="191"/>
      <c r="GE70" s="191"/>
      <c r="GF70" s="191"/>
      <c r="GG70" s="191"/>
      <c r="GH70" s="191"/>
      <c r="GI70" s="191"/>
      <c r="GJ70" s="191"/>
      <c r="GK70" s="191"/>
      <c r="GL70" s="191"/>
      <c r="GM70" s="191"/>
      <c r="GN70" s="191"/>
      <c r="GO70" s="191"/>
      <c r="GP70" s="191"/>
      <c r="GQ70" s="191"/>
      <c r="GR70" s="191"/>
      <c r="GS70" s="191"/>
      <c r="GT70" s="191"/>
      <c r="GU70" s="191"/>
      <c r="GV70" s="191"/>
      <c r="GW70" s="191"/>
      <c r="GX70" s="191"/>
      <c r="GY70" s="191"/>
      <c r="GZ70" s="191"/>
      <c r="HA70" s="191"/>
      <c r="HB70" s="191"/>
      <c r="HC70" s="191"/>
      <c r="HD70" s="191"/>
      <c r="HE70" s="191"/>
      <c r="HF70" s="191"/>
      <c r="HG70" s="191"/>
      <c r="HH70" s="191"/>
      <c r="HI70" s="191"/>
      <c r="HJ70" s="191"/>
      <c r="HK70" s="191"/>
      <c r="HL70" s="191"/>
      <c r="HM70" s="191"/>
      <c r="HN70" s="191"/>
      <c r="HO70" s="191"/>
      <c r="HP70" s="191"/>
      <c r="HQ70" s="191"/>
      <c r="HR70" s="191"/>
      <c r="HS70" s="191"/>
      <c r="HT70" s="191"/>
      <c r="HU70" s="191"/>
      <c r="HV70" s="191"/>
      <c r="HW70" s="191"/>
      <c r="HX70" s="191"/>
      <c r="HY70" s="191"/>
      <c r="HZ70" s="191"/>
      <c r="IA70" s="191"/>
      <c r="IB70" s="191"/>
      <c r="IC70" s="191"/>
      <c r="ID70" s="191"/>
      <c r="IE70" s="191"/>
      <c r="IF70" s="191"/>
      <c r="IG70" s="191"/>
      <c r="IH70" s="191"/>
      <c r="II70" s="191"/>
      <c r="IJ70" s="191"/>
      <c r="IK70" s="191"/>
      <c r="IL70" s="191"/>
      <c r="IM70" s="191"/>
      <c r="IN70" s="191"/>
      <c r="IO70" s="191"/>
      <c r="IP70" s="191"/>
    </row>
    <row r="71" spans="1:250" s="134" customFormat="1" ht="16.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  <c r="FI71" s="191"/>
      <c r="FJ71" s="191"/>
      <c r="FK71" s="191"/>
      <c r="FL71" s="191"/>
      <c r="FM71" s="191"/>
      <c r="FN71" s="191"/>
      <c r="FO71" s="191"/>
      <c r="FP71" s="191"/>
      <c r="FQ71" s="191"/>
      <c r="FR71" s="191"/>
      <c r="FS71" s="191"/>
      <c r="FT71" s="191"/>
      <c r="FU71" s="191"/>
      <c r="FV71" s="191"/>
      <c r="FW71" s="191"/>
      <c r="FX71" s="191"/>
      <c r="FY71" s="191"/>
      <c r="FZ71" s="191"/>
      <c r="GA71" s="191"/>
      <c r="GB71" s="191"/>
      <c r="GC71" s="191"/>
      <c r="GD71" s="191"/>
      <c r="GE71" s="191"/>
      <c r="GF71" s="191"/>
      <c r="GG71" s="191"/>
      <c r="GH71" s="191"/>
      <c r="GI71" s="191"/>
      <c r="GJ71" s="191"/>
      <c r="GK71" s="191"/>
      <c r="GL71" s="191"/>
      <c r="GM71" s="191"/>
      <c r="GN71" s="191"/>
      <c r="GO71" s="191"/>
      <c r="GP71" s="191"/>
      <c r="GQ71" s="191"/>
      <c r="GR71" s="191"/>
      <c r="GS71" s="191"/>
      <c r="GT71" s="191"/>
      <c r="GU71" s="191"/>
      <c r="GV71" s="191"/>
      <c r="GW71" s="191"/>
      <c r="GX71" s="191"/>
      <c r="GY71" s="191"/>
      <c r="GZ71" s="191"/>
      <c r="HA71" s="191"/>
      <c r="HB71" s="191"/>
      <c r="HC71" s="191"/>
      <c r="HD71" s="191"/>
      <c r="HE71" s="191"/>
      <c r="HF71" s="191"/>
      <c r="HG71" s="191"/>
      <c r="HH71" s="191"/>
      <c r="HI71" s="191"/>
      <c r="HJ71" s="191"/>
      <c r="HK71" s="191"/>
      <c r="HL71" s="191"/>
      <c r="HM71" s="191"/>
      <c r="HN71" s="191"/>
      <c r="HO71" s="191"/>
      <c r="HP71" s="191"/>
      <c r="HQ71" s="191"/>
      <c r="HR71" s="191"/>
      <c r="HS71" s="191"/>
      <c r="HT71" s="191"/>
      <c r="HU71" s="191"/>
      <c r="HV71" s="191"/>
      <c r="HW71" s="191"/>
      <c r="HX71" s="191"/>
      <c r="HY71" s="191"/>
      <c r="HZ71" s="191"/>
      <c r="IA71" s="191"/>
      <c r="IB71" s="191"/>
      <c r="IC71" s="191"/>
      <c r="ID71" s="191"/>
      <c r="IE71" s="191"/>
      <c r="IF71" s="191"/>
      <c r="IG71" s="191"/>
      <c r="IH71" s="191"/>
      <c r="II71" s="191"/>
      <c r="IJ71" s="191"/>
      <c r="IK71" s="191"/>
      <c r="IL71" s="191"/>
      <c r="IM71" s="191"/>
      <c r="IN71" s="191"/>
      <c r="IO71" s="191"/>
      <c r="IP71" s="191"/>
    </row>
    <row r="72" spans="1:250" s="134" customFormat="1" ht="16.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1"/>
      <c r="FL72" s="191"/>
      <c r="FM72" s="191"/>
      <c r="FN72" s="191"/>
      <c r="FO72" s="191"/>
      <c r="FP72" s="191"/>
      <c r="FQ72" s="191"/>
      <c r="FR72" s="191"/>
      <c r="FS72" s="191"/>
      <c r="FT72" s="191"/>
      <c r="FU72" s="191"/>
      <c r="FV72" s="191"/>
      <c r="FW72" s="191"/>
      <c r="FX72" s="191"/>
      <c r="FY72" s="191"/>
      <c r="FZ72" s="191"/>
      <c r="GA72" s="191"/>
      <c r="GB72" s="191"/>
      <c r="GC72" s="191"/>
      <c r="GD72" s="191"/>
      <c r="GE72" s="191"/>
      <c r="GF72" s="191"/>
      <c r="GG72" s="191"/>
      <c r="GH72" s="191"/>
      <c r="GI72" s="191"/>
      <c r="GJ72" s="191"/>
      <c r="GK72" s="191"/>
      <c r="GL72" s="191"/>
      <c r="GM72" s="191"/>
      <c r="GN72" s="191"/>
      <c r="GO72" s="191"/>
      <c r="GP72" s="191"/>
      <c r="GQ72" s="191"/>
      <c r="GR72" s="191"/>
      <c r="GS72" s="191"/>
      <c r="GT72" s="191"/>
      <c r="GU72" s="191"/>
      <c r="GV72" s="191"/>
      <c r="GW72" s="191"/>
      <c r="GX72" s="191"/>
      <c r="GY72" s="191"/>
      <c r="GZ72" s="191"/>
      <c r="HA72" s="191"/>
      <c r="HB72" s="191"/>
      <c r="HC72" s="191"/>
      <c r="HD72" s="191"/>
      <c r="HE72" s="191"/>
      <c r="HF72" s="191"/>
      <c r="HG72" s="191"/>
      <c r="HH72" s="191"/>
      <c r="HI72" s="191"/>
      <c r="HJ72" s="191"/>
      <c r="HK72" s="191"/>
      <c r="HL72" s="191"/>
      <c r="HM72" s="191"/>
      <c r="HN72" s="191"/>
      <c r="HO72" s="191"/>
      <c r="HP72" s="191"/>
      <c r="HQ72" s="191"/>
      <c r="HR72" s="191"/>
      <c r="HS72" s="191"/>
      <c r="HT72" s="191"/>
      <c r="HU72" s="191"/>
      <c r="HV72" s="191"/>
      <c r="HW72" s="191"/>
      <c r="HX72" s="191"/>
      <c r="HY72" s="191"/>
      <c r="HZ72" s="191"/>
      <c r="IA72" s="191"/>
      <c r="IB72" s="191"/>
      <c r="IC72" s="191"/>
      <c r="ID72" s="191"/>
      <c r="IE72" s="191"/>
      <c r="IF72" s="191"/>
      <c r="IG72" s="191"/>
      <c r="IH72" s="191"/>
      <c r="II72" s="191"/>
      <c r="IJ72" s="191"/>
      <c r="IK72" s="191"/>
      <c r="IL72" s="191"/>
      <c r="IM72" s="191"/>
      <c r="IN72" s="191"/>
      <c r="IO72" s="191"/>
      <c r="IP72" s="191"/>
    </row>
    <row r="73" spans="1:250" s="134" customFormat="1" ht="16.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1"/>
      <c r="FK73" s="191"/>
      <c r="FL73" s="191"/>
      <c r="FM73" s="191"/>
      <c r="FN73" s="191"/>
      <c r="FO73" s="191"/>
      <c r="FP73" s="191"/>
      <c r="FQ73" s="191"/>
      <c r="FR73" s="191"/>
      <c r="FS73" s="191"/>
      <c r="FT73" s="191"/>
      <c r="FU73" s="191"/>
      <c r="FV73" s="191"/>
      <c r="FW73" s="191"/>
      <c r="FX73" s="191"/>
      <c r="FY73" s="191"/>
      <c r="FZ73" s="191"/>
      <c r="GA73" s="191"/>
      <c r="GB73" s="191"/>
      <c r="GC73" s="191"/>
      <c r="GD73" s="191"/>
      <c r="GE73" s="191"/>
      <c r="GF73" s="191"/>
      <c r="GG73" s="191"/>
      <c r="GH73" s="191"/>
      <c r="GI73" s="191"/>
      <c r="GJ73" s="191"/>
      <c r="GK73" s="191"/>
      <c r="GL73" s="191"/>
      <c r="GM73" s="191"/>
      <c r="GN73" s="191"/>
      <c r="GO73" s="191"/>
      <c r="GP73" s="191"/>
      <c r="GQ73" s="191"/>
      <c r="GR73" s="191"/>
      <c r="GS73" s="191"/>
      <c r="GT73" s="191"/>
      <c r="GU73" s="191"/>
      <c r="GV73" s="191"/>
      <c r="GW73" s="191"/>
      <c r="GX73" s="191"/>
      <c r="GY73" s="191"/>
      <c r="GZ73" s="191"/>
      <c r="HA73" s="191"/>
      <c r="HB73" s="191"/>
      <c r="HC73" s="191"/>
      <c r="HD73" s="191"/>
      <c r="HE73" s="191"/>
      <c r="HF73" s="191"/>
      <c r="HG73" s="191"/>
      <c r="HH73" s="191"/>
      <c r="HI73" s="191"/>
      <c r="HJ73" s="191"/>
      <c r="HK73" s="191"/>
      <c r="HL73" s="191"/>
      <c r="HM73" s="191"/>
      <c r="HN73" s="191"/>
      <c r="HO73" s="191"/>
      <c r="HP73" s="191"/>
      <c r="HQ73" s="191"/>
      <c r="HR73" s="191"/>
      <c r="HS73" s="191"/>
      <c r="HT73" s="191"/>
      <c r="HU73" s="191"/>
      <c r="HV73" s="191"/>
      <c r="HW73" s="191"/>
      <c r="HX73" s="191"/>
      <c r="HY73" s="191"/>
      <c r="HZ73" s="191"/>
      <c r="IA73" s="191"/>
      <c r="IB73" s="191"/>
      <c r="IC73" s="191"/>
      <c r="ID73" s="191"/>
      <c r="IE73" s="191"/>
      <c r="IF73" s="191"/>
      <c r="IG73" s="191"/>
      <c r="IH73" s="191"/>
      <c r="II73" s="191"/>
      <c r="IJ73" s="191"/>
      <c r="IK73" s="191"/>
      <c r="IL73" s="191"/>
      <c r="IM73" s="191"/>
      <c r="IN73" s="191"/>
      <c r="IO73" s="191"/>
      <c r="IP73" s="191"/>
    </row>
    <row r="74" spans="1:250" s="134" customFormat="1" ht="16.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  <c r="IA74" s="191"/>
      <c r="IB74" s="191"/>
      <c r="IC74" s="191"/>
      <c r="ID74" s="191"/>
      <c r="IE74" s="191"/>
      <c r="IF74" s="191"/>
      <c r="IG74" s="191"/>
      <c r="IH74" s="191"/>
      <c r="II74" s="191"/>
      <c r="IJ74" s="191"/>
      <c r="IK74" s="191"/>
      <c r="IL74" s="191"/>
      <c r="IM74" s="191"/>
      <c r="IN74" s="191"/>
      <c r="IO74" s="191"/>
      <c r="IP74" s="191"/>
    </row>
    <row r="75" spans="1:250" s="134" customFormat="1" ht="16.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  <c r="IA75" s="191"/>
      <c r="IB75" s="191"/>
      <c r="IC75" s="191"/>
      <c r="ID75" s="191"/>
      <c r="IE75" s="191"/>
      <c r="IF75" s="191"/>
      <c r="IG75" s="191"/>
      <c r="IH75" s="191"/>
      <c r="II75" s="191"/>
      <c r="IJ75" s="191"/>
      <c r="IK75" s="191"/>
      <c r="IL75" s="191"/>
      <c r="IM75" s="191"/>
      <c r="IN75" s="191"/>
      <c r="IO75" s="191"/>
      <c r="IP75" s="191"/>
    </row>
    <row r="76" spans="1:250" s="134" customFormat="1" ht="16.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  <c r="IA76" s="191"/>
      <c r="IB76" s="191"/>
      <c r="IC76" s="191"/>
      <c r="ID76" s="191"/>
      <c r="IE76" s="191"/>
      <c r="IF76" s="191"/>
      <c r="IG76" s="191"/>
      <c r="IH76" s="191"/>
      <c r="II76" s="191"/>
      <c r="IJ76" s="191"/>
      <c r="IK76" s="191"/>
      <c r="IL76" s="191"/>
      <c r="IM76" s="191"/>
      <c r="IN76" s="191"/>
      <c r="IO76" s="191"/>
      <c r="IP76" s="191"/>
    </row>
    <row r="77" spans="1:250" s="134" customFormat="1" ht="16.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  <c r="IA77" s="191"/>
      <c r="IB77" s="191"/>
      <c r="IC77" s="191"/>
      <c r="ID77" s="191"/>
      <c r="IE77" s="191"/>
      <c r="IF77" s="191"/>
      <c r="IG77" s="191"/>
      <c r="IH77" s="191"/>
      <c r="II77" s="191"/>
      <c r="IJ77" s="191"/>
      <c r="IK77" s="191"/>
      <c r="IL77" s="191"/>
      <c r="IM77" s="191"/>
      <c r="IN77" s="191"/>
      <c r="IO77" s="191"/>
      <c r="IP77" s="191"/>
    </row>
    <row r="78" spans="1:250" s="134" customFormat="1" ht="16.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  <c r="IA78" s="191"/>
      <c r="IB78" s="191"/>
      <c r="IC78" s="191"/>
      <c r="ID78" s="191"/>
      <c r="IE78" s="191"/>
      <c r="IF78" s="191"/>
      <c r="IG78" s="191"/>
      <c r="IH78" s="191"/>
      <c r="II78" s="191"/>
      <c r="IJ78" s="191"/>
      <c r="IK78" s="191"/>
      <c r="IL78" s="191"/>
      <c r="IM78" s="191"/>
      <c r="IN78" s="191"/>
      <c r="IO78" s="191"/>
      <c r="IP78" s="191"/>
    </row>
    <row r="79" spans="1:250" s="134" customFormat="1" ht="16.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  <c r="IA79" s="191"/>
      <c r="IB79" s="191"/>
      <c r="IC79" s="191"/>
      <c r="ID79" s="191"/>
      <c r="IE79" s="191"/>
      <c r="IF79" s="191"/>
      <c r="IG79" s="191"/>
      <c r="IH79" s="191"/>
      <c r="II79" s="191"/>
      <c r="IJ79" s="191"/>
      <c r="IK79" s="191"/>
      <c r="IL79" s="191"/>
      <c r="IM79" s="191"/>
      <c r="IN79" s="191"/>
      <c r="IO79" s="191"/>
      <c r="IP79" s="191"/>
    </row>
    <row r="80" spans="1:250" s="134" customFormat="1" ht="16.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  <c r="IA80" s="191"/>
      <c r="IB80" s="191"/>
      <c r="IC80" s="191"/>
      <c r="ID80" s="191"/>
      <c r="IE80" s="191"/>
      <c r="IF80" s="191"/>
      <c r="IG80" s="191"/>
      <c r="IH80" s="191"/>
      <c r="II80" s="191"/>
      <c r="IJ80" s="191"/>
      <c r="IK80" s="191"/>
      <c r="IL80" s="191"/>
      <c r="IM80" s="191"/>
      <c r="IN80" s="191"/>
      <c r="IO80" s="191"/>
      <c r="IP80" s="191"/>
    </row>
    <row r="81" spans="1:250" s="134" customFormat="1" ht="16.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1"/>
      <c r="FK81" s="191"/>
      <c r="FL81" s="191"/>
      <c r="FM81" s="191"/>
      <c r="FN81" s="191"/>
      <c r="FO81" s="191"/>
      <c r="FP81" s="191"/>
      <c r="FQ81" s="191"/>
      <c r="FR81" s="191"/>
      <c r="FS81" s="191"/>
      <c r="FT81" s="191"/>
      <c r="FU81" s="191"/>
      <c r="FV81" s="191"/>
      <c r="FW81" s="191"/>
      <c r="FX81" s="191"/>
      <c r="FY81" s="191"/>
      <c r="FZ81" s="191"/>
      <c r="GA81" s="191"/>
      <c r="GB81" s="191"/>
      <c r="GC81" s="191"/>
      <c r="GD81" s="191"/>
      <c r="GE81" s="191"/>
      <c r="GF81" s="191"/>
      <c r="GG81" s="191"/>
      <c r="GH81" s="191"/>
      <c r="GI81" s="191"/>
      <c r="GJ81" s="191"/>
      <c r="GK81" s="191"/>
      <c r="GL81" s="191"/>
      <c r="GM81" s="191"/>
      <c r="GN81" s="191"/>
      <c r="GO81" s="191"/>
      <c r="GP81" s="191"/>
      <c r="GQ81" s="191"/>
      <c r="GR81" s="191"/>
      <c r="GS81" s="191"/>
      <c r="GT81" s="191"/>
      <c r="GU81" s="191"/>
      <c r="GV81" s="191"/>
      <c r="GW81" s="191"/>
      <c r="GX81" s="191"/>
      <c r="GY81" s="191"/>
      <c r="GZ81" s="191"/>
      <c r="HA81" s="191"/>
      <c r="HB81" s="191"/>
      <c r="HC81" s="191"/>
      <c r="HD81" s="191"/>
      <c r="HE81" s="191"/>
      <c r="HF81" s="191"/>
      <c r="HG81" s="191"/>
      <c r="HH81" s="191"/>
      <c r="HI81" s="191"/>
      <c r="HJ81" s="191"/>
      <c r="HK81" s="191"/>
      <c r="HL81" s="191"/>
      <c r="HM81" s="191"/>
      <c r="HN81" s="191"/>
      <c r="HO81" s="191"/>
      <c r="HP81" s="191"/>
      <c r="HQ81" s="191"/>
      <c r="HR81" s="191"/>
      <c r="HS81" s="191"/>
      <c r="HT81" s="191"/>
      <c r="HU81" s="191"/>
      <c r="HV81" s="191"/>
      <c r="HW81" s="191"/>
      <c r="HX81" s="191"/>
      <c r="HY81" s="191"/>
      <c r="HZ81" s="191"/>
      <c r="IA81" s="191"/>
      <c r="IB81" s="191"/>
      <c r="IC81" s="191"/>
      <c r="ID81" s="191"/>
      <c r="IE81" s="191"/>
      <c r="IF81" s="191"/>
      <c r="IG81" s="191"/>
      <c r="IH81" s="191"/>
      <c r="II81" s="191"/>
      <c r="IJ81" s="191"/>
      <c r="IK81" s="191"/>
      <c r="IL81" s="191"/>
      <c r="IM81" s="191"/>
      <c r="IN81" s="191"/>
      <c r="IO81" s="191"/>
      <c r="IP81" s="191"/>
    </row>
    <row r="82" spans="1:250" s="134" customFormat="1" ht="16.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1"/>
      <c r="FL82" s="191"/>
      <c r="FM82" s="191"/>
      <c r="FN82" s="191"/>
      <c r="FO82" s="191"/>
      <c r="FP82" s="191"/>
      <c r="FQ82" s="191"/>
      <c r="FR82" s="191"/>
      <c r="FS82" s="191"/>
      <c r="FT82" s="191"/>
      <c r="FU82" s="191"/>
      <c r="FV82" s="191"/>
      <c r="FW82" s="191"/>
      <c r="FX82" s="191"/>
      <c r="FY82" s="191"/>
      <c r="FZ82" s="191"/>
      <c r="GA82" s="191"/>
      <c r="GB82" s="191"/>
      <c r="GC82" s="191"/>
      <c r="GD82" s="191"/>
      <c r="GE82" s="191"/>
      <c r="GF82" s="191"/>
      <c r="GG82" s="191"/>
      <c r="GH82" s="191"/>
      <c r="GI82" s="191"/>
      <c r="GJ82" s="191"/>
      <c r="GK82" s="191"/>
      <c r="GL82" s="191"/>
      <c r="GM82" s="191"/>
      <c r="GN82" s="191"/>
      <c r="GO82" s="191"/>
      <c r="GP82" s="191"/>
      <c r="GQ82" s="191"/>
      <c r="GR82" s="191"/>
      <c r="GS82" s="191"/>
      <c r="GT82" s="191"/>
      <c r="GU82" s="191"/>
      <c r="GV82" s="191"/>
      <c r="GW82" s="191"/>
      <c r="GX82" s="191"/>
      <c r="GY82" s="191"/>
      <c r="GZ82" s="191"/>
      <c r="HA82" s="191"/>
      <c r="HB82" s="191"/>
      <c r="HC82" s="191"/>
      <c r="HD82" s="191"/>
      <c r="HE82" s="191"/>
      <c r="HF82" s="191"/>
      <c r="HG82" s="191"/>
      <c r="HH82" s="191"/>
      <c r="HI82" s="191"/>
      <c r="HJ82" s="191"/>
      <c r="HK82" s="191"/>
      <c r="HL82" s="191"/>
      <c r="HM82" s="191"/>
      <c r="HN82" s="191"/>
      <c r="HO82" s="191"/>
      <c r="HP82" s="191"/>
      <c r="HQ82" s="191"/>
      <c r="HR82" s="191"/>
      <c r="HS82" s="191"/>
      <c r="HT82" s="191"/>
      <c r="HU82" s="191"/>
      <c r="HV82" s="191"/>
      <c r="HW82" s="191"/>
      <c r="HX82" s="191"/>
      <c r="HY82" s="191"/>
      <c r="HZ82" s="191"/>
      <c r="IA82" s="191"/>
      <c r="IB82" s="191"/>
      <c r="IC82" s="191"/>
      <c r="ID82" s="191"/>
      <c r="IE82" s="191"/>
      <c r="IF82" s="191"/>
      <c r="IG82" s="191"/>
      <c r="IH82" s="191"/>
      <c r="II82" s="191"/>
      <c r="IJ82" s="191"/>
      <c r="IK82" s="191"/>
      <c r="IL82" s="191"/>
      <c r="IM82" s="191"/>
      <c r="IN82" s="191"/>
      <c r="IO82" s="191"/>
      <c r="IP82" s="191"/>
    </row>
    <row r="83" spans="1:250" s="134" customFormat="1" ht="16.5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1"/>
      <c r="FO83" s="191"/>
      <c r="FP83" s="191"/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1"/>
      <c r="GB83" s="191"/>
      <c r="GC83" s="191"/>
      <c r="GD83" s="191"/>
      <c r="GE83" s="191"/>
      <c r="GF83" s="191"/>
      <c r="GG83" s="191"/>
      <c r="GH83" s="191"/>
      <c r="GI83" s="191"/>
      <c r="GJ83" s="191"/>
      <c r="GK83" s="191"/>
      <c r="GL83" s="191"/>
      <c r="GM83" s="191"/>
      <c r="GN83" s="191"/>
      <c r="GO83" s="191"/>
      <c r="GP83" s="191"/>
      <c r="GQ83" s="191"/>
      <c r="GR83" s="191"/>
      <c r="GS83" s="191"/>
      <c r="GT83" s="191"/>
      <c r="GU83" s="191"/>
      <c r="GV83" s="191"/>
      <c r="GW83" s="191"/>
      <c r="GX83" s="191"/>
      <c r="GY83" s="191"/>
      <c r="GZ83" s="191"/>
      <c r="HA83" s="191"/>
      <c r="HB83" s="191"/>
      <c r="HC83" s="191"/>
      <c r="HD83" s="191"/>
      <c r="HE83" s="191"/>
      <c r="HF83" s="191"/>
      <c r="HG83" s="191"/>
      <c r="HH83" s="191"/>
      <c r="HI83" s="191"/>
      <c r="HJ83" s="191"/>
      <c r="HK83" s="191"/>
      <c r="HL83" s="191"/>
      <c r="HM83" s="191"/>
      <c r="HN83" s="191"/>
      <c r="HO83" s="191"/>
      <c r="HP83" s="191"/>
      <c r="HQ83" s="191"/>
      <c r="HR83" s="191"/>
      <c r="HS83" s="191"/>
      <c r="HT83" s="191"/>
      <c r="HU83" s="191"/>
      <c r="HV83" s="191"/>
      <c r="HW83" s="191"/>
      <c r="HX83" s="191"/>
      <c r="HY83" s="191"/>
      <c r="HZ83" s="191"/>
      <c r="IA83" s="191"/>
      <c r="IB83" s="191"/>
      <c r="IC83" s="191"/>
      <c r="ID83" s="191"/>
      <c r="IE83" s="191"/>
      <c r="IF83" s="191"/>
      <c r="IG83" s="191"/>
      <c r="IH83" s="191"/>
      <c r="II83" s="191"/>
      <c r="IJ83" s="191"/>
      <c r="IK83" s="191"/>
      <c r="IL83" s="191"/>
      <c r="IM83" s="191"/>
      <c r="IN83" s="191"/>
      <c r="IO83" s="191"/>
      <c r="IP83" s="191"/>
    </row>
    <row r="84" spans="1:250" s="134" customFormat="1" ht="16.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191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91"/>
      <c r="HC84" s="191"/>
      <c r="HD84" s="191"/>
      <c r="HE84" s="191"/>
      <c r="HF84" s="191"/>
      <c r="HG84" s="191"/>
      <c r="HH84" s="191"/>
      <c r="HI84" s="191"/>
      <c r="HJ84" s="191"/>
      <c r="HK84" s="191"/>
      <c r="HL84" s="191"/>
      <c r="HM84" s="191"/>
      <c r="HN84" s="191"/>
      <c r="HO84" s="191"/>
      <c r="HP84" s="191"/>
      <c r="HQ84" s="191"/>
      <c r="HR84" s="191"/>
      <c r="HS84" s="191"/>
      <c r="HT84" s="191"/>
      <c r="HU84" s="191"/>
      <c r="HV84" s="191"/>
      <c r="HW84" s="191"/>
      <c r="HX84" s="191"/>
      <c r="HY84" s="191"/>
      <c r="HZ84" s="191"/>
      <c r="IA84" s="191"/>
      <c r="IB84" s="191"/>
      <c r="IC84" s="191"/>
      <c r="ID84" s="191"/>
      <c r="IE84" s="191"/>
      <c r="IF84" s="191"/>
      <c r="IG84" s="191"/>
      <c r="IH84" s="191"/>
      <c r="II84" s="191"/>
      <c r="IJ84" s="191"/>
      <c r="IK84" s="191"/>
      <c r="IL84" s="191"/>
      <c r="IM84" s="191"/>
      <c r="IN84" s="191"/>
      <c r="IO84" s="191"/>
      <c r="IP84" s="191"/>
    </row>
    <row r="85" spans="1:250" s="134" customFormat="1" ht="16.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  <c r="IA85" s="191"/>
      <c r="IB85" s="191"/>
      <c r="IC85" s="191"/>
      <c r="ID85" s="191"/>
      <c r="IE85" s="191"/>
      <c r="IF85" s="191"/>
      <c r="IG85" s="191"/>
      <c r="IH85" s="191"/>
      <c r="II85" s="191"/>
      <c r="IJ85" s="191"/>
      <c r="IK85" s="191"/>
      <c r="IL85" s="191"/>
      <c r="IM85" s="191"/>
      <c r="IN85" s="191"/>
      <c r="IO85" s="191"/>
      <c r="IP85" s="191"/>
    </row>
    <row r="86" spans="1:250" s="134" customFormat="1" ht="16.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  <c r="IA86" s="191"/>
      <c r="IB86" s="191"/>
      <c r="IC86" s="191"/>
      <c r="ID86" s="191"/>
      <c r="IE86" s="191"/>
      <c r="IF86" s="191"/>
      <c r="IG86" s="191"/>
      <c r="IH86" s="191"/>
      <c r="II86" s="191"/>
      <c r="IJ86" s="191"/>
      <c r="IK86" s="191"/>
      <c r="IL86" s="191"/>
      <c r="IM86" s="191"/>
      <c r="IN86" s="191"/>
      <c r="IO86" s="191"/>
      <c r="IP86" s="191"/>
    </row>
    <row r="87" spans="1:250" s="134" customFormat="1" ht="16.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  <c r="IK87" s="191"/>
      <c r="IL87" s="191"/>
      <c r="IM87" s="191"/>
      <c r="IN87" s="191"/>
      <c r="IO87" s="191"/>
      <c r="IP87" s="191"/>
    </row>
    <row r="88" spans="1:250" s="134" customFormat="1" ht="16.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  <c r="IK88" s="191"/>
      <c r="IL88" s="191"/>
      <c r="IM88" s="191"/>
      <c r="IN88" s="191"/>
      <c r="IO88" s="191"/>
      <c r="IP88" s="191"/>
    </row>
    <row r="89" spans="1:250" s="134" customFormat="1" ht="16.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  <c r="IK89" s="191"/>
      <c r="IL89" s="191"/>
      <c r="IM89" s="191"/>
      <c r="IN89" s="191"/>
      <c r="IO89" s="191"/>
      <c r="IP89" s="191"/>
    </row>
    <row r="90" spans="1:250" s="134" customFormat="1" ht="16.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</row>
    <row r="91" spans="1:250" s="134" customFormat="1" ht="16.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  <c r="FK91" s="191"/>
      <c r="FL91" s="191"/>
      <c r="FM91" s="191"/>
      <c r="FN91" s="191"/>
      <c r="FO91" s="191"/>
      <c r="FP91" s="191"/>
      <c r="FQ91" s="191"/>
      <c r="FR91" s="191"/>
      <c r="FS91" s="191"/>
      <c r="FT91" s="191"/>
      <c r="FU91" s="191"/>
      <c r="FV91" s="191"/>
      <c r="FW91" s="191"/>
      <c r="FX91" s="191"/>
      <c r="FY91" s="191"/>
      <c r="FZ91" s="191"/>
      <c r="GA91" s="191"/>
      <c r="GB91" s="191"/>
      <c r="GC91" s="191"/>
      <c r="GD91" s="191"/>
      <c r="GE91" s="191"/>
      <c r="GF91" s="191"/>
      <c r="GG91" s="191"/>
      <c r="GH91" s="191"/>
      <c r="GI91" s="191"/>
      <c r="GJ91" s="191"/>
      <c r="GK91" s="191"/>
      <c r="GL91" s="191"/>
      <c r="GM91" s="191"/>
      <c r="GN91" s="191"/>
      <c r="GO91" s="191"/>
      <c r="GP91" s="191"/>
      <c r="GQ91" s="191"/>
      <c r="GR91" s="191"/>
      <c r="GS91" s="191"/>
      <c r="GT91" s="191"/>
      <c r="GU91" s="191"/>
      <c r="GV91" s="191"/>
      <c r="GW91" s="191"/>
      <c r="GX91" s="191"/>
      <c r="GY91" s="191"/>
      <c r="GZ91" s="191"/>
      <c r="HA91" s="191"/>
      <c r="HB91" s="191"/>
      <c r="HC91" s="191"/>
      <c r="HD91" s="191"/>
      <c r="HE91" s="191"/>
      <c r="HF91" s="191"/>
      <c r="HG91" s="191"/>
      <c r="HH91" s="191"/>
      <c r="HI91" s="191"/>
      <c r="HJ91" s="191"/>
      <c r="HK91" s="191"/>
      <c r="HL91" s="191"/>
      <c r="HM91" s="191"/>
      <c r="HN91" s="191"/>
      <c r="HO91" s="191"/>
      <c r="HP91" s="191"/>
      <c r="HQ91" s="191"/>
      <c r="HR91" s="191"/>
      <c r="HS91" s="191"/>
      <c r="HT91" s="191"/>
      <c r="HU91" s="191"/>
      <c r="HV91" s="191"/>
      <c r="HW91" s="191"/>
      <c r="HX91" s="191"/>
      <c r="HY91" s="191"/>
      <c r="HZ91" s="191"/>
      <c r="IA91" s="191"/>
      <c r="IB91" s="191"/>
      <c r="IC91" s="191"/>
      <c r="ID91" s="191"/>
      <c r="IE91" s="191"/>
      <c r="IF91" s="191"/>
      <c r="IG91" s="191"/>
      <c r="IH91" s="191"/>
      <c r="II91" s="191"/>
      <c r="IJ91" s="191"/>
      <c r="IK91" s="191"/>
      <c r="IL91" s="191"/>
      <c r="IM91" s="191"/>
      <c r="IN91" s="191"/>
      <c r="IO91" s="191"/>
      <c r="IP91" s="191"/>
    </row>
    <row r="92" spans="1:250" s="134" customFormat="1" ht="16.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191"/>
      <c r="DG92" s="191"/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1"/>
      <c r="EK92" s="191"/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  <c r="FH92" s="191"/>
      <c r="FI92" s="191"/>
      <c r="FJ92" s="191"/>
      <c r="FK92" s="191"/>
      <c r="FL92" s="191"/>
      <c r="FM92" s="191"/>
      <c r="FN92" s="191"/>
      <c r="FO92" s="191"/>
      <c r="FP92" s="191"/>
      <c r="FQ92" s="191"/>
      <c r="FR92" s="191"/>
      <c r="FS92" s="191"/>
      <c r="FT92" s="191"/>
      <c r="FU92" s="191"/>
      <c r="FV92" s="191"/>
      <c r="FW92" s="191"/>
      <c r="FX92" s="191"/>
      <c r="FY92" s="191"/>
      <c r="FZ92" s="191"/>
      <c r="GA92" s="191"/>
      <c r="GB92" s="191"/>
      <c r="GC92" s="191"/>
      <c r="GD92" s="191"/>
      <c r="GE92" s="191"/>
      <c r="GF92" s="191"/>
      <c r="GG92" s="191"/>
      <c r="GH92" s="191"/>
      <c r="GI92" s="191"/>
      <c r="GJ92" s="191"/>
      <c r="GK92" s="191"/>
      <c r="GL92" s="191"/>
      <c r="GM92" s="191"/>
      <c r="GN92" s="191"/>
      <c r="GO92" s="191"/>
      <c r="GP92" s="191"/>
      <c r="GQ92" s="191"/>
      <c r="GR92" s="191"/>
      <c r="GS92" s="191"/>
      <c r="GT92" s="191"/>
      <c r="GU92" s="191"/>
      <c r="GV92" s="191"/>
      <c r="GW92" s="191"/>
      <c r="GX92" s="191"/>
      <c r="GY92" s="191"/>
      <c r="GZ92" s="191"/>
      <c r="HA92" s="191"/>
      <c r="HB92" s="191"/>
      <c r="HC92" s="191"/>
      <c r="HD92" s="191"/>
      <c r="HE92" s="191"/>
      <c r="HF92" s="191"/>
      <c r="HG92" s="191"/>
      <c r="HH92" s="191"/>
      <c r="HI92" s="191"/>
      <c r="HJ92" s="191"/>
      <c r="HK92" s="191"/>
      <c r="HL92" s="191"/>
      <c r="HM92" s="191"/>
      <c r="HN92" s="191"/>
      <c r="HO92" s="191"/>
      <c r="HP92" s="191"/>
      <c r="HQ92" s="191"/>
      <c r="HR92" s="191"/>
      <c r="HS92" s="191"/>
      <c r="HT92" s="191"/>
      <c r="HU92" s="191"/>
      <c r="HV92" s="191"/>
      <c r="HW92" s="191"/>
      <c r="HX92" s="191"/>
      <c r="HY92" s="191"/>
      <c r="HZ92" s="191"/>
      <c r="IA92" s="191"/>
      <c r="IB92" s="191"/>
      <c r="IC92" s="191"/>
      <c r="ID92" s="191"/>
      <c r="IE92" s="191"/>
      <c r="IF92" s="191"/>
      <c r="IG92" s="191"/>
      <c r="IH92" s="191"/>
      <c r="II92" s="191"/>
      <c r="IJ92" s="191"/>
      <c r="IK92" s="191"/>
      <c r="IL92" s="191"/>
      <c r="IM92" s="191"/>
      <c r="IN92" s="191"/>
      <c r="IO92" s="191"/>
      <c r="IP92" s="191"/>
    </row>
    <row r="93" spans="1:250" s="134" customFormat="1" ht="16.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1"/>
      <c r="FK93" s="191"/>
      <c r="FL93" s="191"/>
      <c r="FM93" s="191"/>
      <c r="FN93" s="191"/>
      <c r="FO93" s="191"/>
      <c r="FP93" s="191"/>
      <c r="FQ93" s="191"/>
      <c r="FR93" s="191"/>
      <c r="FS93" s="191"/>
      <c r="FT93" s="191"/>
      <c r="FU93" s="191"/>
      <c r="FV93" s="191"/>
      <c r="FW93" s="191"/>
      <c r="FX93" s="191"/>
      <c r="FY93" s="191"/>
      <c r="FZ93" s="191"/>
      <c r="GA93" s="191"/>
      <c r="GB93" s="191"/>
      <c r="GC93" s="191"/>
      <c r="GD93" s="191"/>
      <c r="GE93" s="191"/>
      <c r="GF93" s="191"/>
      <c r="GG93" s="191"/>
      <c r="GH93" s="191"/>
      <c r="GI93" s="191"/>
      <c r="GJ93" s="191"/>
      <c r="GK93" s="191"/>
      <c r="GL93" s="191"/>
      <c r="GM93" s="191"/>
      <c r="GN93" s="191"/>
      <c r="GO93" s="191"/>
      <c r="GP93" s="191"/>
      <c r="GQ93" s="191"/>
      <c r="GR93" s="191"/>
      <c r="GS93" s="191"/>
      <c r="GT93" s="191"/>
      <c r="GU93" s="191"/>
      <c r="GV93" s="191"/>
      <c r="GW93" s="191"/>
      <c r="GX93" s="191"/>
      <c r="GY93" s="191"/>
      <c r="GZ93" s="191"/>
      <c r="HA93" s="191"/>
      <c r="HB93" s="191"/>
      <c r="HC93" s="191"/>
      <c r="HD93" s="191"/>
      <c r="HE93" s="191"/>
      <c r="HF93" s="191"/>
      <c r="HG93" s="191"/>
      <c r="HH93" s="191"/>
      <c r="HI93" s="191"/>
      <c r="HJ93" s="191"/>
      <c r="HK93" s="191"/>
      <c r="HL93" s="191"/>
      <c r="HM93" s="191"/>
      <c r="HN93" s="191"/>
      <c r="HO93" s="191"/>
      <c r="HP93" s="191"/>
      <c r="HQ93" s="191"/>
      <c r="HR93" s="191"/>
      <c r="HS93" s="191"/>
      <c r="HT93" s="191"/>
      <c r="HU93" s="191"/>
      <c r="HV93" s="191"/>
      <c r="HW93" s="191"/>
      <c r="HX93" s="191"/>
      <c r="HY93" s="191"/>
      <c r="HZ93" s="191"/>
      <c r="IA93" s="191"/>
      <c r="IB93" s="191"/>
      <c r="IC93" s="191"/>
      <c r="ID93" s="191"/>
      <c r="IE93" s="191"/>
      <c r="IF93" s="191"/>
      <c r="IG93" s="191"/>
      <c r="IH93" s="191"/>
      <c r="II93" s="191"/>
      <c r="IJ93" s="191"/>
      <c r="IK93" s="191"/>
      <c r="IL93" s="191"/>
      <c r="IM93" s="191"/>
      <c r="IN93" s="191"/>
      <c r="IO93" s="191"/>
      <c r="IP93" s="191"/>
    </row>
    <row r="94" spans="1:250" s="134" customFormat="1" ht="16.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  <c r="DE94" s="191"/>
      <c r="DF94" s="191"/>
      <c r="DG94" s="191"/>
      <c r="DH94" s="191"/>
      <c r="DI94" s="191"/>
      <c r="DJ94" s="191"/>
      <c r="DK94" s="191"/>
      <c r="DL94" s="191"/>
      <c r="DM94" s="191"/>
      <c r="DN94" s="191"/>
      <c r="DO94" s="191"/>
      <c r="DP94" s="191"/>
      <c r="DQ94" s="191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1"/>
      <c r="ED94" s="191"/>
      <c r="EE94" s="191"/>
      <c r="EF94" s="191"/>
      <c r="EG94" s="191"/>
      <c r="EH94" s="191"/>
      <c r="EI94" s="191"/>
      <c r="EJ94" s="191"/>
      <c r="EK94" s="191"/>
      <c r="EL94" s="191"/>
      <c r="EM94" s="191"/>
      <c r="EN94" s="191"/>
      <c r="EO94" s="191"/>
      <c r="EP94" s="191"/>
      <c r="EQ94" s="191"/>
      <c r="ER94" s="191"/>
      <c r="ES94" s="191"/>
      <c r="ET94" s="191"/>
      <c r="EU94" s="191"/>
      <c r="EV94" s="191"/>
      <c r="EW94" s="191"/>
      <c r="EX94" s="191"/>
      <c r="EY94" s="191"/>
      <c r="EZ94" s="191"/>
      <c r="FA94" s="191"/>
      <c r="FB94" s="191"/>
      <c r="FC94" s="191"/>
      <c r="FD94" s="191"/>
      <c r="FE94" s="191"/>
      <c r="FF94" s="191"/>
      <c r="FG94" s="191"/>
      <c r="FH94" s="191"/>
      <c r="FI94" s="191"/>
      <c r="FJ94" s="191"/>
      <c r="FK94" s="191"/>
      <c r="FL94" s="191"/>
      <c r="FM94" s="191"/>
      <c r="FN94" s="191"/>
      <c r="FO94" s="191"/>
      <c r="FP94" s="191"/>
      <c r="FQ94" s="191"/>
      <c r="FR94" s="191"/>
      <c r="FS94" s="191"/>
      <c r="FT94" s="191"/>
      <c r="FU94" s="191"/>
      <c r="FV94" s="191"/>
      <c r="FW94" s="191"/>
      <c r="FX94" s="191"/>
      <c r="FY94" s="191"/>
      <c r="FZ94" s="191"/>
      <c r="GA94" s="191"/>
      <c r="GB94" s="191"/>
      <c r="GC94" s="191"/>
      <c r="GD94" s="191"/>
      <c r="GE94" s="191"/>
      <c r="GF94" s="191"/>
      <c r="GG94" s="191"/>
      <c r="GH94" s="191"/>
      <c r="GI94" s="191"/>
      <c r="GJ94" s="191"/>
      <c r="GK94" s="191"/>
      <c r="GL94" s="191"/>
      <c r="GM94" s="191"/>
      <c r="GN94" s="191"/>
      <c r="GO94" s="191"/>
      <c r="GP94" s="191"/>
      <c r="GQ94" s="191"/>
      <c r="GR94" s="191"/>
      <c r="GS94" s="191"/>
      <c r="GT94" s="191"/>
      <c r="GU94" s="191"/>
      <c r="GV94" s="191"/>
      <c r="GW94" s="191"/>
      <c r="GX94" s="191"/>
      <c r="GY94" s="191"/>
      <c r="GZ94" s="191"/>
      <c r="HA94" s="191"/>
      <c r="HB94" s="191"/>
      <c r="HC94" s="191"/>
      <c r="HD94" s="191"/>
      <c r="HE94" s="191"/>
      <c r="HF94" s="191"/>
      <c r="HG94" s="191"/>
      <c r="HH94" s="191"/>
      <c r="HI94" s="191"/>
      <c r="HJ94" s="191"/>
      <c r="HK94" s="191"/>
      <c r="HL94" s="191"/>
      <c r="HM94" s="191"/>
      <c r="HN94" s="191"/>
      <c r="HO94" s="191"/>
      <c r="HP94" s="191"/>
      <c r="HQ94" s="191"/>
      <c r="HR94" s="191"/>
      <c r="HS94" s="191"/>
      <c r="HT94" s="191"/>
      <c r="HU94" s="191"/>
      <c r="HV94" s="191"/>
      <c r="HW94" s="191"/>
      <c r="HX94" s="191"/>
      <c r="HY94" s="191"/>
      <c r="HZ94" s="191"/>
      <c r="IA94" s="191"/>
      <c r="IB94" s="191"/>
      <c r="IC94" s="191"/>
      <c r="ID94" s="191"/>
      <c r="IE94" s="191"/>
      <c r="IF94" s="191"/>
      <c r="IG94" s="191"/>
      <c r="IH94" s="191"/>
      <c r="II94" s="191"/>
      <c r="IJ94" s="191"/>
      <c r="IK94" s="191"/>
      <c r="IL94" s="191"/>
      <c r="IM94" s="191"/>
      <c r="IN94" s="191"/>
      <c r="IO94" s="191"/>
      <c r="IP94" s="191"/>
    </row>
    <row r="95" spans="1:250" s="134" customFormat="1" ht="16.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1"/>
      <c r="EM95" s="191"/>
      <c r="EN95" s="191"/>
      <c r="EO95" s="191"/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191"/>
      <c r="FO95" s="191"/>
      <c r="FP95" s="191"/>
      <c r="FQ95" s="191"/>
      <c r="FR95" s="191"/>
      <c r="FS95" s="191"/>
      <c r="FT95" s="191"/>
      <c r="FU95" s="191"/>
      <c r="FV95" s="191"/>
      <c r="FW95" s="191"/>
      <c r="FX95" s="191"/>
      <c r="FY95" s="191"/>
      <c r="FZ95" s="191"/>
      <c r="GA95" s="191"/>
      <c r="GB95" s="191"/>
      <c r="GC95" s="191"/>
      <c r="GD95" s="191"/>
      <c r="GE95" s="191"/>
      <c r="GF95" s="191"/>
      <c r="GG95" s="191"/>
      <c r="GH95" s="191"/>
      <c r="GI95" s="191"/>
      <c r="GJ95" s="191"/>
      <c r="GK95" s="191"/>
      <c r="GL95" s="191"/>
      <c r="GM95" s="191"/>
      <c r="GN95" s="191"/>
      <c r="GO95" s="191"/>
      <c r="GP95" s="191"/>
      <c r="GQ95" s="191"/>
      <c r="GR95" s="191"/>
      <c r="GS95" s="191"/>
      <c r="GT95" s="191"/>
      <c r="GU95" s="191"/>
      <c r="GV95" s="191"/>
      <c r="GW95" s="191"/>
      <c r="GX95" s="191"/>
      <c r="GY95" s="191"/>
      <c r="GZ95" s="191"/>
      <c r="HA95" s="191"/>
      <c r="HB95" s="191"/>
      <c r="HC95" s="191"/>
      <c r="HD95" s="191"/>
      <c r="HE95" s="191"/>
      <c r="HF95" s="191"/>
      <c r="HG95" s="191"/>
      <c r="HH95" s="191"/>
      <c r="HI95" s="191"/>
      <c r="HJ95" s="191"/>
      <c r="HK95" s="191"/>
      <c r="HL95" s="191"/>
      <c r="HM95" s="191"/>
      <c r="HN95" s="191"/>
      <c r="HO95" s="191"/>
      <c r="HP95" s="191"/>
      <c r="HQ95" s="191"/>
      <c r="HR95" s="191"/>
      <c r="HS95" s="191"/>
      <c r="HT95" s="191"/>
      <c r="HU95" s="191"/>
      <c r="HV95" s="191"/>
      <c r="HW95" s="191"/>
      <c r="HX95" s="191"/>
      <c r="HY95" s="191"/>
      <c r="HZ95" s="191"/>
      <c r="IA95" s="191"/>
      <c r="IB95" s="191"/>
      <c r="IC95" s="191"/>
      <c r="ID95" s="191"/>
      <c r="IE95" s="191"/>
      <c r="IF95" s="191"/>
      <c r="IG95" s="191"/>
      <c r="IH95" s="191"/>
      <c r="II95" s="191"/>
      <c r="IJ95" s="191"/>
      <c r="IK95" s="191"/>
      <c r="IL95" s="191"/>
      <c r="IM95" s="191"/>
      <c r="IN95" s="191"/>
      <c r="IO95" s="191"/>
      <c r="IP95" s="191"/>
    </row>
    <row r="96" spans="1:250" s="134" customFormat="1" ht="16.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191"/>
      <c r="BZ96" s="191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1"/>
      <c r="CL96" s="191"/>
      <c r="CM96" s="191"/>
      <c r="CN96" s="191"/>
      <c r="CO96" s="191"/>
      <c r="CP96" s="191"/>
      <c r="CQ96" s="191"/>
      <c r="CR96" s="191"/>
      <c r="CS96" s="191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1"/>
      <c r="DF96" s="191"/>
      <c r="DG96" s="191"/>
      <c r="DH96" s="191"/>
      <c r="DI96" s="191"/>
      <c r="DJ96" s="191"/>
      <c r="DK96" s="191"/>
      <c r="DL96" s="191"/>
      <c r="DM96" s="191"/>
      <c r="DN96" s="191"/>
      <c r="DO96" s="191"/>
      <c r="DP96" s="191"/>
      <c r="DQ96" s="191"/>
      <c r="DR96" s="191"/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1"/>
      <c r="ED96" s="191"/>
      <c r="EE96" s="191"/>
      <c r="EF96" s="191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1"/>
      <c r="EW96" s="191"/>
      <c r="EX96" s="191"/>
      <c r="EY96" s="191"/>
      <c r="EZ96" s="191"/>
      <c r="FA96" s="191"/>
      <c r="FB96" s="191"/>
      <c r="FC96" s="191"/>
      <c r="FD96" s="191"/>
      <c r="FE96" s="191"/>
      <c r="FF96" s="191"/>
      <c r="FG96" s="191"/>
      <c r="FH96" s="191"/>
      <c r="FI96" s="191"/>
      <c r="FJ96" s="191"/>
      <c r="FK96" s="191"/>
      <c r="FL96" s="191"/>
      <c r="FM96" s="191"/>
      <c r="FN96" s="191"/>
      <c r="FO96" s="191"/>
      <c r="FP96" s="191"/>
      <c r="FQ96" s="191"/>
      <c r="FR96" s="191"/>
      <c r="FS96" s="191"/>
      <c r="FT96" s="191"/>
      <c r="FU96" s="191"/>
      <c r="FV96" s="191"/>
      <c r="FW96" s="191"/>
      <c r="FX96" s="191"/>
      <c r="FY96" s="191"/>
      <c r="FZ96" s="191"/>
      <c r="GA96" s="191"/>
      <c r="GB96" s="191"/>
      <c r="GC96" s="191"/>
      <c r="GD96" s="191"/>
      <c r="GE96" s="191"/>
      <c r="GF96" s="191"/>
      <c r="GG96" s="191"/>
      <c r="GH96" s="191"/>
      <c r="GI96" s="191"/>
      <c r="GJ96" s="191"/>
      <c r="GK96" s="191"/>
      <c r="GL96" s="191"/>
      <c r="GM96" s="191"/>
      <c r="GN96" s="191"/>
      <c r="GO96" s="191"/>
      <c r="GP96" s="191"/>
      <c r="GQ96" s="191"/>
      <c r="GR96" s="191"/>
      <c r="GS96" s="191"/>
      <c r="GT96" s="191"/>
      <c r="GU96" s="191"/>
      <c r="GV96" s="191"/>
      <c r="GW96" s="191"/>
      <c r="GX96" s="191"/>
      <c r="GY96" s="191"/>
      <c r="GZ96" s="191"/>
      <c r="HA96" s="191"/>
      <c r="HB96" s="191"/>
      <c r="HC96" s="191"/>
      <c r="HD96" s="191"/>
      <c r="HE96" s="191"/>
      <c r="HF96" s="191"/>
      <c r="HG96" s="191"/>
      <c r="HH96" s="191"/>
      <c r="HI96" s="191"/>
      <c r="HJ96" s="191"/>
      <c r="HK96" s="191"/>
      <c r="HL96" s="191"/>
      <c r="HM96" s="191"/>
      <c r="HN96" s="191"/>
      <c r="HO96" s="191"/>
      <c r="HP96" s="191"/>
      <c r="HQ96" s="191"/>
      <c r="HR96" s="191"/>
      <c r="HS96" s="191"/>
      <c r="HT96" s="191"/>
      <c r="HU96" s="191"/>
      <c r="HV96" s="191"/>
      <c r="HW96" s="191"/>
      <c r="HX96" s="191"/>
      <c r="HY96" s="191"/>
      <c r="HZ96" s="191"/>
      <c r="IA96" s="191"/>
      <c r="IB96" s="191"/>
      <c r="IC96" s="191"/>
      <c r="ID96" s="191"/>
      <c r="IE96" s="191"/>
      <c r="IF96" s="191"/>
      <c r="IG96" s="191"/>
      <c r="IH96" s="191"/>
      <c r="II96" s="191"/>
      <c r="IJ96" s="191"/>
      <c r="IK96" s="191"/>
      <c r="IL96" s="191"/>
      <c r="IM96" s="191"/>
      <c r="IN96" s="191"/>
      <c r="IO96" s="191"/>
      <c r="IP96" s="191"/>
    </row>
    <row r="97" spans="1:250" s="134" customFormat="1" ht="16.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  <c r="FH97" s="191"/>
      <c r="FI97" s="191"/>
      <c r="FJ97" s="191"/>
      <c r="FK97" s="191"/>
      <c r="FL97" s="191"/>
      <c r="FM97" s="191"/>
      <c r="FN97" s="191"/>
      <c r="FO97" s="191"/>
      <c r="FP97" s="191"/>
      <c r="FQ97" s="191"/>
      <c r="FR97" s="191"/>
      <c r="FS97" s="191"/>
      <c r="FT97" s="191"/>
      <c r="FU97" s="191"/>
      <c r="FV97" s="191"/>
      <c r="FW97" s="191"/>
      <c r="FX97" s="191"/>
      <c r="FY97" s="191"/>
      <c r="FZ97" s="191"/>
      <c r="GA97" s="191"/>
      <c r="GB97" s="191"/>
      <c r="GC97" s="191"/>
      <c r="GD97" s="191"/>
      <c r="GE97" s="191"/>
      <c r="GF97" s="191"/>
      <c r="GG97" s="191"/>
      <c r="GH97" s="191"/>
      <c r="GI97" s="191"/>
      <c r="GJ97" s="191"/>
      <c r="GK97" s="191"/>
      <c r="GL97" s="191"/>
      <c r="GM97" s="191"/>
      <c r="GN97" s="191"/>
      <c r="GO97" s="191"/>
      <c r="GP97" s="191"/>
      <c r="GQ97" s="191"/>
      <c r="GR97" s="191"/>
      <c r="GS97" s="191"/>
      <c r="GT97" s="191"/>
      <c r="GU97" s="191"/>
      <c r="GV97" s="191"/>
      <c r="GW97" s="191"/>
      <c r="GX97" s="191"/>
      <c r="GY97" s="191"/>
      <c r="GZ97" s="191"/>
      <c r="HA97" s="191"/>
      <c r="HB97" s="191"/>
      <c r="HC97" s="191"/>
      <c r="HD97" s="191"/>
      <c r="HE97" s="191"/>
      <c r="HF97" s="191"/>
      <c r="HG97" s="191"/>
      <c r="HH97" s="191"/>
      <c r="HI97" s="191"/>
      <c r="HJ97" s="191"/>
      <c r="HK97" s="191"/>
      <c r="HL97" s="191"/>
      <c r="HM97" s="191"/>
      <c r="HN97" s="191"/>
      <c r="HO97" s="191"/>
      <c r="HP97" s="191"/>
      <c r="HQ97" s="191"/>
      <c r="HR97" s="191"/>
      <c r="HS97" s="191"/>
      <c r="HT97" s="191"/>
      <c r="HU97" s="191"/>
      <c r="HV97" s="191"/>
      <c r="HW97" s="191"/>
      <c r="HX97" s="191"/>
      <c r="HY97" s="191"/>
      <c r="HZ97" s="191"/>
      <c r="IA97" s="191"/>
      <c r="IB97" s="191"/>
      <c r="IC97" s="191"/>
      <c r="ID97" s="191"/>
      <c r="IE97" s="191"/>
      <c r="IF97" s="191"/>
      <c r="IG97" s="191"/>
      <c r="IH97" s="191"/>
      <c r="II97" s="191"/>
      <c r="IJ97" s="191"/>
      <c r="IK97" s="191"/>
      <c r="IL97" s="191"/>
      <c r="IM97" s="191"/>
      <c r="IN97" s="191"/>
      <c r="IO97" s="191"/>
      <c r="IP97" s="191"/>
    </row>
    <row r="98" spans="1:250" s="134" customFormat="1" ht="16.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1"/>
      <c r="FI98" s="191"/>
      <c r="FJ98" s="191"/>
      <c r="FK98" s="191"/>
      <c r="FL98" s="191"/>
      <c r="FM98" s="191"/>
      <c r="FN98" s="191"/>
      <c r="FO98" s="191"/>
      <c r="FP98" s="191"/>
      <c r="FQ98" s="191"/>
      <c r="FR98" s="191"/>
      <c r="FS98" s="191"/>
      <c r="FT98" s="191"/>
      <c r="FU98" s="191"/>
      <c r="FV98" s="191"/>
      <c r="FW98" s="191"/>
      <c r="FX98" s="191"/>
      <c r="FY98" s="191"/>
      <c r="FZ98" s="191"/>
      <c r="GA98" s="191"/>
      <c r="GB98" s="191"/>
      <c r="GC98" s="191"/>
      <c r="GD98" s="191"/>
      <c r="GE98" s="191"/>
      <c r="GF98" s="191"/>
      <c r="GG98" s="191"/>
      <c r="GH98" s="191"/>
      <c r="GI98" s="191"/>
      <c r="GJ98" s="191"/>
      <c r="GK98" s="191"/>
      <c r="GL98" s="191"/>
      <c r="GM98" s="191"/>
      <c r="GN98" s="191"/>
      <c r="GO98" s="191"/>
      <c r="GP98" s="191"/>
      <c r="GQ98" s="191"/>
      <c r="GR98" s="191"/>
      <c r="GS98" s="191"/>
      <c r="GT98" s="191"/>
      <c r="GU98" s="191"/>
      <c r="GV98" s="191"/>
      <c r="GW98" s="191"/>
      <c r="GX98" s="191"/>
      <c r="GY98" s="191"/>
      <c r="GZ98" s="191"/>
      <c r="HA98" s="191"/>
      <c r="HB98" s="191"/>
      <c r="HC98" s="191"/>
      <c r="HD98" s="191"/>
      <c r="HE98" s="191"/>
      <c r="HF98" s="191"/>
      <c r="HG98" s="191"/>
      <c r="HH98" s="191"/>
      <c r="HI98" s="191"/>
      <c r="HJ98" s="191"/>
      <c r="HK98" s="191"/>
      <c r="HL98" s="191"/>
      <c r="HM98" s="191"/>
      <c r="HN98" s="191"/>
      <c r="HO98" s="191"/>
      <c r="HP98" s="191"/>
      <c r="HQ98" s="191"/>
      <c r="HR98" s="191"/>
      <c r="HS98" s="191"/>
      <c r="HT98" s="191"/>
      <c r="HU98" s="191"/>
      <c r="HV98" s="191"/>
      <c r="HW98" s="191"/>
      <c r="HX98" s="191"/>
      <c r="HY98" s="191"/>
      <c r="HZ98" s="191"/>
      <c r="IA98" s="191"/>
      <c r="IB98" s="191"/>
      <c r="IC98" s="191"/>
      <c r="ID98" s="191"/>
      <c r="IE98" s="191"/>
      <c r="IF98" s="191"/>
      <c r="IG98" s="191"/>
      <c r="IH98" s="191"/>
      <c r="II98" s="191"/>
      <c r="IJ98" s="191"/>
      <c r="IK98" s="191"/>
      <c r="IL98" s="191"/>
      <c r="IM98" s="191"/>
      <c r="IN98" s="191"/>
      <c r="IO98" s="191"/>
      <c r="IP98" s="191"/>
    </row>
    <row r="99" spans="1:250" s="134" customFormat="1" ht="16.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  <c r="DF99" s="191"/>
      <c r="DG99" s="191"/>
      <c r="DH99" s="191"/>
      <c r="DI99" s="191"/>
      <c r="DJ99" s="191"/>
      <c r="DK99" s="191"/>
      <c r="DL99" s="191"/>
      <c r="DM99" s="191"/>
      <c r="DN99" s="191"/>
      <c r="DO99" s="191"/>
      <c r="DP99" s="191"/>
      <c r="DQ99" s="191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1"/>
      <c r="ED99" s="191"/>
      <c r="EE99" s="191"/>
      <c r="EF99" s="191"/>
      <c r="EG99" s="191"/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191"/>
      <c r="EW99" s="191"/>
      <c r="EX99" s="191"/>
      <c r="EY99" s="191"/>
      <c r="EZ99" s="191"/>
      <c r="FA99" s="191"/>
      <c r="FB99" s="191"/>
      <c r="FC99" s="191"/>
      <c r="FD99" s="191"/>
      <c r="FE99" s="191"/>
      <c r="FF99" s="191"/>
      <c r="FG99" s="191"/>
      <c r="FH99" s="191"/>
      <c r="FI99" s="191"/>
      <c r="FJ99" s="191"/>
      <c r="FK99" s="191"/>
      <c r="FL99" s="191"/>
      <c r="FM99" s="191"/>
      <c r="FN99" s="191"/>
      <c r="FO99" s="191"/>
      <c r="FP99" s="191"/>
      <c r="FQ99" s="191"/>
      <c r="FR99" s="191"/>
      <c r="FS99" s="191"/>
      <c r="FT99" s="191"/>
      <c r="FU99" s="191"/>
      <c r="FV99" s="191"/>
      <c r="FW99" s="191"/>
      <c r="FX99" s="191"/>
      <c r="FY99" s="191"/>
      <c r="FZ99" s="191"/>
      <c r="GA99" s="191"/>
      <c r="GB99" s="191"/>
      <c r="GC99" s="191"/>
      <c r="GD99" s="191"/>
      <c r="GE99" s="191"/>
      <c r="GF99" s="191"/>
      <c r="GG99" s="191"/>
      <c r="GH99" s="191"/>
      <c r="GI99" s="191"/>
      <c r="GJ99" s="191"/>
      <c r="GK99" s="191"/>
      <c r="GL99" s="191"/>
      <c r="GM99" s="191"/>
      <c r="GN99" s="191"/>
      <c r="GO99" s="191"/>
      <c r="GP99" s="191"/>
      <c r="GQ99" s="191"/>
      <c r="GR99" s="191"/>
      <c r="GS99" s="191"/>
      <c r="GT99" s="191"/>
      <c r="GU99" s="191"/>
      <c r="GV99" s="191"/>
      <c r="GW99" s="191"/>
      <c r="GX99" s="191"/>
      <c r="GY99" s="191"/>
      <c r="GZ99" s="191"/>
      <c r="HA99" s="191"/>
      <c r="HB99" s="191"/>
      <c r="HC99" s="191"/>
      <c r="HD99" s="191"/>
      <c r="HE99" s="191"/>
      <c r="HF99" s="191"/>
      <c r="HG99" s="191"/>
      <c r="HH99" s="191"/>
      <c r="HI99" s="191"/>
      <c r="HJ99" s="191"/>
      <c r="HK99" s="191"/>
      <c r="HL99" s="191"/>
      <c r="HM99" s="191"/>
      <c r="HN99" s="191"/>
      <c r="HO99" s="191"/>
      <c r="HP99" s="191"/>
      <c r="HQ99" s="191"/>
      <c r="HR99" s="191"/>
      <c r="HS99" s="191"/>
      <c r="HT99" s="191"/>
      <c r="HU99" s="191"/>
      <c r="HV99" s="191"/>
      <c r="HW99" s="191"/>
      <c r="HX99" s="191"/>
      <c r="HY99" s="191"/>
      <c r="HZ99" s="191"/>
      <c r="IA99" s="191"/>
      <c r="IB99" s="191"/>
      <c r="IC99" s="191"/>
      <c r="ID99" s="191"/>
      <c r="IE99" s="191"/>
      <c r="IF99" s="191"/>
      <c r="IG99" s="191"/>
      <c r="IH99" s="191"/>
      <c r="II99" s="191"/>
      <c r="IJ99" s="191"/>
      <c r="IK99" s="191"/>
      <c r="IL99" s="191"/>
      <c r="IM99" s="191"/>
      <c r="IN99" s="191"/>
      <c r="IO99" s="191"/>
      <c r="IP99" s="191"/>
    </row>
    <row r="100" spans="1:250" s="134" customFormat="1" ht="16.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1"/>
      <c r="CA100" s="191"/>
      <c r="CB100" s="191"/>
      <c r="CC100" s="191"/>
      <c r="CD100" s="191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1"/>
      <c r="DF100" s="191"/>
      <c r="DG100" s="191"/>
      <c r="DH100" s="191"/>
      <c r="DI100" s="191"/>
      <c r="DJ100" s="191"/>
      <c r="DK100" s="191"/>
      <c r="DL100" s="191"/>
      <c r="DM100" s="191"/>
      <c r="DN100" s="191"/>
      <c r="DO100" s="191"/>
      <c r="DP100" s="191"/>
      <c r="DQ100" s="191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1"/>
      <c r="ED100" s="191"/>
      <c r="EE100" s="191"/>
      <c r="EF100" s="191"/>
      <c r="EG100" s="191"/>
      <c r="EH100" s="191"/>
      <c r="EI100" s="191"/>
      <c r="EJ100" s="191"/>
      <c r="EK100" s="191"/>
      <c r="EL100" s="191"/>
      <c r="EM100" s="191"/>
      <c r="EN100" s="191"/>
      <c r="EO100" s="191"/>
      <c r="EP100" s="191"/>
      <c r="EQ100" s="191"/>
      <c r="ER100" s="191"/>
      <c r="ES100" s="191"/>
      <c r="ET100" s="191"/>
      <c r="EU100" s="191"/>
      <c r="EV100" s="191"/>
      <c r="EW100" s="191"/>
      <c r="EX100" s="191"/>
      <c r="EY100" s="191"/>
      <c r="EZ100" s="191"/>
      <c r="FA100" s="191"/>
      <c r="FB100" s="191"/>
      <c r="FC100" s="191"/>
      <c r="FD100" s="191"/>
      <c r="FE100" s="191"/>
      <c r="FF100" s="191"/>
      <c r="FG100" s="191"/>
      <c r="FH100" s="191"/>
      <c r="FI100" s="191"/>
      <c r="FJ100" s="191"/>
      <c r="FK100" s="191"/>
      <c r="FL100" s="191"/>
      <c r="FM100" s="191"/>
      <c r="FN100" s="191"/>
      <c r="FO100" s="191"/>
      <c r="FP100" s="191"/>
      <c r="FQ100" s="191"/>
      <c r="FR100" s="191"/>
      <c r="FS100" s="191"/>
      <c r="FT100" s="191"/>
      <c r="FU100" s="191"/>
      <c r="FV100" s="191"/>
      <c r="FW100" s="191"/>
      <c r="FX100" s="191"/>
      <c r="FY100" s="191"/>
      <c r="FZ100" s="191"/>
      <c r="GA100" s="191"/>
      <c r="GB100" s="191"/>
      <c r="GC100" s="191"/>
      <c r="GD100" s="191"/>
      <c r="GE100" s="191"/>
      <c r="GF100" s="191"/>
      <c r="GG100" s="191"/>
      <c r="GH100" s="191"/>
      <c r="GI100" s="191"/>
      <c r="GJ100" s="191"/>
      <c r="GK100" s="191"/>
      <c r="GL100" s="191"/>
      <c r="GM100" s="191"/>
      <c r="GN100" s="191"/>
      <c r="GO100" s="191"/>
      <c r="GP100" s="191"/>
      <c r="GQ100" s="191"/>
      <c r="GR100" s="191"/>
      <c r="GS100" s="191"/>
      <c r="GT100" s="191"/>
      <c r="GU100" s="191"/>
      <c r="GV100" s="191"/>
      <c r="GW100" s="191"/>
      <c r="GX100" s="191"/>
      <c r="GY100" s="191"/>
      <c r="GZ100" s="191"/>
      <c r="HA100" s="191"/>
      <c r="HB100" s="191"/>
      <c r="HC100" s="191"/>
      <c r="HD100" s="191"/>
      <c r="HE100" s="191"/>
      <c r="HF100" s="191"/>
      <c r="HG100" s="191"/>
      <c r="HH100" s="191"/>
      <c r="HI100" s="191"/>
      <c r="HJ100" s="191"/>
      <c r="HK100" s="191"/>
      <c r="HL100" s="191"/>
      <c r="HM100" s="191"/>
      <c r="HN100" s="191"/>
      <c r="HO100" s="191"/>
      <c r="HP100" s="191"/>
      <c r="HQ100" s="191"/>
      <c r="HR100" s="191"/>
      <c r="HS100" s="191"/>
      <c r="HT100" s="191"/>
      <c r="HU100" s="191"/>
      <c r="HV100" s="191"/>
      <c r="HW100" s="191"/>
      <c r="HX100" s="191"/>
      <c r="HY100" s="191"/>
      <c r="HZ100" s="191"/>
      <c r="IA100" s="191"/>
      <c r="IB100" s="191"/>
      <c r="IC100" s="191"/>
      <c r="ID100" s="191"/>
      <c r="IE100" s="191"/>
      <c r="IF100" s="191"/>
      <c r="IG100" s="191"/>
      <c r="IH100" s="191"/>
      <c r="II100" s="191"/>
      <c r="IJ100" s="191"/>
      <c r="IK100" s="191"/>
      <c r="IL100" s="191"/>
      <c r="IM100" s="191"/>
      <c r="IN100" s="191"/>
      <c r="IO100" s="191"/>
      <c r="IP100" s="191"/>
    </row>
    <row r="101" spans="1:250" s="134" customFormat="1" ht="16.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  <c r="EG101" s="191"/>
      <c r="EH101" s="191"/>
      <c r="EI101" s="191"/>
      <c r="EJ101" s="191"/>
      <c r="EK101" s="191"/>
      <c r="EL101" s="191"/>
      <c r="EM101" s="191"/>
      <c r="EN101" s="191"/>
      <c r="EO101" s="191"/>
      <c r="EP101" s="191"/>
      <c r="EQ101" s="191"/>
      <c r="ER101" s="191"/>
      <c r="ES101" s="191"/>
      <c r="ET101" s="191"/>
      <c r="EU101" s="191"/>
      <c r="EV101" s="191"/>
      <c r="EW101" s="191"/>
      <c r="EX101" s="191"/>
      <c r="EY101" s="191"/>
      <c r="EZ101" s="191"/>
      <c r="FA101" s="191"/>
      <c r="FB101" s="191"/>
      <c r="FC101" s="191"/>
      <c r="FD101" s="191"/>
      <c r="FE101" s="191"/>
      <c r="FF101" s="191"/>
      <c r="FG101" s="191"/>
      <c r="FH101" s="191"/>
      <c r="FI101" s="191"/>
      <c r="FJ101" s="191"/>
      <c r="FK101" s="191"/>
      <c r="FL101" s="191"/>
      <c r="FM101" s="191"/>
      <c r="FN101" s="191"/>
      <c r="FO101" s="191"/>
      <c r="FP101" s="191"/>
      <c r="FQ101" s="191"/>
      <c r="FR101" s="191"/>
      <c r="FS101" s="191"/>
      <c r="FT101" s="191"/>
      <c r="FU101" s="191"/>
      <c r="FV101" s="191"/>
      <c r="FW101" s="191"/>
      <c r="FX101" s="191"/>
      <c r="FY101" s="191"/>
      <c r="FZ101" s="191"/>
      <c r="GA101" s="191"/>
      <c r="GB101" s="191"/>
      <c r="GC101" s="191"/>
      <c r="GD101" s="191"/>
      <c r="GE101" s="191"/>
      <c r="GF101" s="191"/>
      <c r="GG101" s="191"/>
      <c r="GH101" s="191"/>
      <c r="GI101" s="191"/>
      <c r="GJ101" s="191"/>
      <c r="GK101" s="191"/>
      <c r="GL101" s="191"/>
      <c r="GM101" s="191"/>
      <c r="GN101" s="191"/>
      <c r="GO101" s="191"/>
      <c r="GP101" s="191"/>
      <c r="GQ101" s="191"/>
      <c r="GR101" s="191"/>
      <c r="GS101" s="191"/>
      <c r="GT101" s="191"/>
      <c r="GU101" s="191"/>
      <c r="GV101" s="191"/>
      <c r="GW101" s="191"/>
      <c r="GX101" s="191"/>
      <c r="GY101" s="191"/>
      <c r="GZ101" s="191"/>
      <c r="HA101" s="191"/>
      <c r="HB101" s="191"/>
      <c r="HC101" s="191"/>
      <c r="HD101" s="191"/>
      <c r="HE101" s="191"/>
      <c r="HF101" s="191"/>
      <c r="HG101" s="191"/>
      <c r="HH101" s="191"/>
      <c r="HI101" s="191"/>
      <c r="HJ101" s="191"/>
      <c r="HK101" s="191"/>
      <c r="HL101" s="191"/>
      <c r="HM101" s="191"/>
      <c r="HN101" s="191"/>
      <c r="HO101" s="191"/>
      <c r="HP101" s="191"/>
      <c r="HQ101" s="191"/>
      <c r="HR101" s="191"/>
      <c r="HS101" s="191"/>
      <c r="HT101" s="191"/>
      <c r="HU101" s="191"/>
      <c r="HV101" s="191"/>
      <c r="HW101" s="191"/>
      <c r="HX101" s="191"/>
      <c r="HY101" s="191"/>
      <c r="HZ101" s="191"/>
      <c r="IA101" s="191"/>
      <c r="IB101" s="191"/>
      <c r="IC101" s="191"/>
      <c r="ID101" s="191"/>
      <c r="IE101" s="191"/>
      <c r="IF101" s="191"/>
      <c r="IG101" s="191"/>
      <c r="IH101" s="191"/>
      <c r="II101" s="191"/>
      <c r="IJ101" s="191"/>
      <c r="IK101" s="191"/>
      <c r="IL101" s="191"/>
      <c r="IM101" s="191"/>
      <c r="IN101" s="191"/>
      <c r="IO101" s="191"/>
      <c r="IP101" s="191"/>
    </row>
    <row r="102" spans="1:250" s="134" customFormat="1" ht="16.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  <c r="EI102" s="191"/>
      <c r="EJ102" s="191"/>
      <c r="EK102" s="191"/>
      <c r="EL102" s="191"/>
      <c r="EM102" s="191"/>
      <c r="EN102" s="191"/>
      <c r="EO102" s="191"/>
      <c r="EP102" s="191"/>
      <c r="EQ102" s="191"/>
      <c r="ER102" s="191"/>
      <c r="ES102" s="191"/>
      <c r="ET102" s="191"/>
      <c r="EU102" s="191"/>
      <c r="EV102" s="191"/>
      <c r="EW102" s="191"/>
      <c r="EX102" s="191"/>
      <c r="EY102" s="191"/>
      <c r="EZ102" s="191"/>
      <c r="FA102" s="191"/>
      <c r="FB102" s="191"/>
      <c r="FC102" s="191"/>
      <c r="FD102" s="191"/>
      <c r="FE102" s="191"/>
      <c r="FF102" s="191"/>
      <c r="FG102" s="191"/>
      <c r="FH102" s="191"/>
      <c r="FI102" s="191"/>
      <c r="FJ102" s="191"/>
      <c r="FK102" s="191"/>
      <c r="FL102" s="191"/>
      <c r="FM102" s="191"/>
      <c r="FN102" s="191"/>
      <c r="FO102" s="191"/>
      <c r="FP102" s="191"/>
      <c r="FQ102" s="191"/>
      <c r="FR102" s="191"/>
      <c r="FS102" s="191"/>
      <c r="FT102" s="191"/>
      <c r="FU102" s="191"/>
      <c r="FV102" s="191"/>
      <c r="FW102" s="191"/>
      <c r="FX102" s="191"/>
      <c r="FY102" s="191"/>
      <c r="FZ102" s="191"/>
      <c r="GA102" s="191"/>
      <c r="GB102" s="191"/>
      <c r="GC102" s="191"/>
      <c r="GD102" s="191"/>
      <c r="GE102" s="191"/>
      <c r="GF102" s="191"/>
      <c r="GG102" s="191"/>
      <c r="GH102" s="191"/>
      <c r="GI102" s="191"/>
      <c r="GJ102" s="191"/>
      <c r="GK102" s="191"/>
      <c r="GL102" s="191"/>
      <c r="GM102" s="191"/>
      <c r="GN102" s="191"/>
      <c r="GO102" s="191"/>
      <c r="GP102" s="191"/>
      <c r="GQ102" s="191"/>
      <c r="GR102" s="191"/>
      <c r="GS102" s="191"/>
      <c r="GT102" s="191"/>
      <c r="GU102" s="191"/>
      <c r="GV102" s="191"/>
      <c r="GW102" s="191"/>
      <c r="GX102" s="191"/>
      <c r="GY102" s="191"/>
      <c r="GZ102" s="191"/>
      <c r="HA102" s="191"/>
      <c r="HB102" s="191"/>
      <c r="HC102" s="191"/>
      <c r="HD102" s="191"/>
      <c r="HE102" s="191"/>
      <c r="HF102" s="191"/>
      <c r="HG102" s="191"/>
      <c r="HH102" s="191"/>
      <c r="HI102" s="191"/>
      <c r="HJ102" s="191"/>
      <c r="HK102" s="191"/>
      <c r="HL102" s="191"/>
      <c r="HM102" s="191"/>
      <c r="HN102" s="191"/>
      <c r="HO102" s="191"/>
      <c r="HP102" s="191"/>
      <c r="HQ102" s="191"/>
      <c r="HR102" s="191"/>
      <c r="HS102" s="191"/>
      <c r="HT102" s="191"/>
      <c r="HU102" s="191"/>
      <c r="HV102" s="191"/>
      <c r="HW102" s="191"/>
      <c r="HX102" s="191"/>
      <c r="HY102" s="191"/>
      <c r="HZ102" s="191"/>
      <c r="IA102" s="191"/>
      <c r="IB102" s="191"/>
      <c r="IC102" s="191"/>
      <c r="ID102" s="191"/>
      <c r="IE102" s="191"/>
      <c r="IF102" s="191"/>
      <c r="IG102" s="191"/>
      <c r="IH102" s="191"/>
      <c r="II102" s="191"/>
      <c r="IJ102" s="191"/>
      <c r="IK102" s="191"/>
      <c r="IL102" s="191"/>
      <c r="IM102" s="191"/>
      <c r="IN102" s="191"/>
      <c r="IO102" s="191"/>
      <c r="IP102" s="191"/>
    </row>
    <row r="103" spans="1:250" s="134" customFormat="1" ht="16.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  <c r="DB103" s="191"/>
      <c r="DC103" s="191"/>
      <c r="DD103" s="191"/>
      <c r="DE103" s="191"/>
      <c r="DF103" s="191"/>
      <c r="DG103" s="191"/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1"/>
      <c r="EK103" s="191"/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  <c r="FH103" s="191"/>
      <c r="FI103" s="191"/>
      <c r="FJ103" s="191"/>
      <c r="FK103" s="191"/>
      <c r="FL103" s="191"/>
      <c r="FM103" s="191"/>
      <c r="FN103" s="191"/>
      <c r="FO103" s="191"/>
      <c r="FP103" s="191"/>
      <c r="FQ103" s="191"/>
      <c r="FR103" s="191"/>
      <c r="FS103" s="191"/>
      <c r="FT103" s="191"/>
      <c r="FU103" s="191"/>
      <c r="FV103" s="191"/>
      <c r="FW103" s="191"/>
      <c r="FX103" s="191"/>
      <c r="FY103" s="191"/>
      <c r="FZ103" s="191"/>
      <c r="GA103" s="191"/>
      <c r="GB103" s="191"/>
      <c r="GC103" s="191"/>
      <c r="GD103" s="191"/>
      <c r="GE103" s="191"/>
      <c r="GF103" s="191"/>
      <c r="GG103" s="191"/>
      <c r="GH103" s="191"/>
      <c r="GI103" s="191"/>
      <c r="GJ103" s="191"/>
      <c r="GK103" s="191"/>
      <c r="GL103" s="191"/>
      <c r="GM103" s="191"/>
      <c r="GN103" s="191"/>
      <c r="GO103" s="191"/>
      <c r="GP103" s="191"/>
      <c r="GQ103" s="191"/>
      <c r="GR103" s="191"/>
      <c r="GS103" s="191"/>
      <c r="GT103" s="191"/>
      <c r="GU103" s="191"/>
      <c r="GV103" s="191"/>
      <c r="GW103" s="191"/>
      <c r="GX103" s="191"/>
      <c r="GY103" s="191"/>
      <c r="GZ103" s="191"/>
      <c r="HA103" s="191"/>
      <c r="HB103" s="191"/>
      <c r="HC103" s="191"/>
      <c r="HD103" s="191"/>
      <c r="HE103" s="191"/>
      <c r="HF103" s="191"/>
      <c r="HG103" s="191"/>
      <c r="HH103" s="191"/>
      <c r="HI103" s="191"/>
      <c r="HJ103" s="191"/>
      <c r="HK103" s="191"/>
      <c r="HL103" s="191"/>
      <c r="HM103" s="191"/>
      <c r="HN103" s="191"/>
      <c r="HO103" s="191"/>
      <c r="HP103" s="191"/>
      <c r="HQ103" s="191"/>
      <c r="HR103" s="191"/>
      <c r="HS103" s="191"/>
      <c r="HT103" s="191"/>
      <c r="HU103" s="191"/>
      <c r="HV103" s="191"/>
      <c r="HW103" s="191"/>
      <c r="HX103" s="191"/>
      <c r="HY103" s="191"/>
      <c r="HZ103" s="191"/>
      <c r="IA103" s="191"/>
      <c r="IB103" s="191"/>
      <c r="IC103" s="191"/>
      <c r="ID103" s="191"/>
      <c r="IE103" s="191"/>
      <c r="IF103" s="191"/>
      <c r="IG103" s="191"/>
      <c r="IH103" s="191"/>
      <c r="II103" s="191"/>
      <c r="IJ103" s="191"/>
      <c r="IK103" s="191"/>
      <c r="IL103" s="191"/>
      <c r="IM103" s="191"/>
      <c r="IN103" s="191"/>
      <c r="IO103" s="191"/>
      <c r="IP103" s="191"/>
    </row>
    <row r="104" spans="1:250" s="134" customFormat="1" ht="16.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1"/>
      <c r="FH104" s="191"/>
      <c r="FI104" s="191"/>
      <c r="FJ104" s="191"/>
      <c r="FK104" s="191"/>
      <c r="FL104" s="191"/>
      <c r="FM104" s="191"/>
      <c r="FN104" s="191"/>
      <c r="FO104" s="191"/>
      <c r="FP104" s="191"/>
      <c r="FQ104" s="191"/>
      <c r="FR104" s="191"/>
      <c r="FS104" s="191"/>
      <c r="FT104" s="191"/>
      <c r="FU104" s="191"/>
      <c r="FV104" s="191"/>
      <c r="FW104" s="191"/>
      <c r="FX104" s="191"/>
      <c r="FY104" s="191"/>
      <c r="FZ104" s="191"/>
      <c r="GA104" s="191"/>
      <c r="GB104" s="191"/>
      <c r="GC104" s="191"/>
      <c r="GD104" s="191"/>
      <c r="GE104" s="191"/>
      <c r="GF104" s="191"/>
      <c r="GG104" s="191"/>
      <c r="GH104" s="191"/>
      <c r="GI104" s="191"/>
      <c r="GJ104" s="191"/>
      <c r="GK104" s="191"/>
      <c r="GL104" s="191"/>
      <c r="GM104" s="191"/>
      <c r="GN104" s="191"/>
      <c r="GO104" s="191"/>
      <c r="GP104" s="191"/>
      <c r="GQ104" s="191"/>
      <c r="GR104" s="191"/>
      <c r="GS104" s="191"/>
      <c r="GT104" s="191"/>
      <c r="GU104" s="191"/>
      <c r="GV104" s="191"/>
      <c r="GW104" s="191"/>
      <c r="GX104" s="191"/>
      <c r="GY104" s="191"/>
      <c r="GZ104" s="191"/>
      <c r="HA104" s="191"/>
      <c r="HB104" s="191"/>
      <c r="HC104" s="191"/>
      <c r="HD104" s="191"/>
      <c r="HE104" s="191"/>
      <c r="HF104" s="191"/>
      <c r="HG104" s="191"/>
      <c r="HH104" s="191"/>
      <c r="HI104" s="191"/>
      <c r="HJ104" s="191"/>
      <c r="HK104" s="191"/>
      <c r="HL104" s="191"/>
      <c r="HM104" s="191"/>
      <c r="HN104" s="191"/>
      <c r="HO104" s="191"/>
      <c r="HP104" s="191"/>
      <c r="HQ104" s="191"/>
      <c r="HR104" s="191"/>
      <c r="HS104" s="191"/>
      <c r="HT104" s="191"/>
      <c r="HU104" s="191"/>
      <c r="HV104" s="191"/>
      <c r="HW104" s="191"/>
      <c r="HX104" s="191"/>
      <c r="HY104" s="191"/>
      <c r="HZ104" s="191"/>
      <c r="IA104" s="191"/>
      <c r="IB104" s="191"/>
      <c r="IC104" s="191"/>
      <c r="ID104" s="191"/>
      <c r="IE104" s="191"/>
      <c r="IF104" s="191"/>
      <c r="IG104" s="191"/>
      <c r="IH104" s="191"/>
      <c r="II104" s="191"/>
      <c r="IJ104" s="191"/>
      <c r="IK104" s="191"/>
      <c r="IL104" s="191"/>
      <c r="IM104" s="191"/>
      <c r="IN104" s="191"/>
      <c r="IO104" s="191"/>
      <c r="IP104" s="191"/>
    </row>
    <row r="105" spans="1:250" s="134" customFormat="1" ht="16.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191"/>
      <c r="GD105" s="191"/>
      <c r="GE105" s="191"/>
      <c r="GF105" s="191"/>
      <c r="GG105" s="191"/>
      <c r="GH105" s="191"/>
      <c r="GI105" s="191"/>
      <c r="GJ105" s="191"/>
      <c r="GK105" s="191"/>
      <c r="GL105" s="191"/>
      <c r="GM105" s="191"/>
      <c r="GN105" s="191"/>
      <c r="GO105" s="191"/>
      <c r="GP105" s="191"/>
      <c r="GQ105" s="191"/>
      <c r="GR105" s="191"/>
      <c r="GS105" s="191"/>
      <c r="GT105" s="191"/>
      <c r="GU105" s="191"/>
      <c r="GV105" s="191"/>
      <c r="GW105" s="191"/>
      <c r="GX105" s="191"/>
      <c r="GY105" s="191"/>
      <c r="GZ105" s="191"/>
      <c r="HA105" s="191"/>
      <c r="HB105" s="191"/>
      <c r="HC105" s="191"/>
      <c r="HD105" s="191"/>
      <c r="HE105" s="191"/>
      <c r="HF105" s="191"/>
      <c r="HG105" s="191"/>
      <c r="HH105" s="191"/>
      <c r="HI105" s="191"/>
      <c r="HJ105" s="191"/>
      <c r="HK105" s="191"/>
      <c r="HL105" s="191"/>
      <c r="HM105" s="191"/>
      <c r="HN105" s="191"/>
      <c r="HO105" s="191"/>
      <c r="HP105" s="191"/>
      <c r="HQ105" s="191"/>
      <c r="HR105" s="191"/>
      <c r="HS105" s="191"/>
      <c r="HT105" s="191"/>
      <c r="HU105" s="191"/>
      <c r="HV105" s="191"/>
      <c r="HW105" s="191"/>
      <c r="HX105" s="191"/>
      <c r="HY105" s="191"/>
      <c r="HZ105" s="191"/>
      <c r="IA105" s="191"/>
      <c r="IB105" s="191"/>
      <c r="IC105" s="191"/>
      <c r="ID105" s="191"/>
      <c r="IE105" s="191"/>
      <c r="IF105" s="191"/>
      <c r="IG105" s="191"/>
      <c r="IH105" s="191"/>
      <c r="II105" s="191"/>
      <c r="IJ105" s="191"/>
      <c r="IK105" s="191"/>
      <c r="IL105" s="191"/>
      <c r="IM105" s="191"/>
      <c r="IN105" s="191"/>
      <c r="IO105" s="191"/>
      <c r="IP105" s="191"/>
    </row>
    <row r="106" spans="1:250" s="134" customFormat="1" ht="16.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1"/>
      <c r="HI106" s="191"/>
      <c r="HJ106" s="191"/>
      <c r="HK106" s="191"/>
      <c r="HL106" s="191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  <c r="HX106" s="191"/>
      <c r="HY106" s="191"/>
      <c r="HZ106" s="191"/>
      <c r="IA106" s="191"/>
      <c r="IB106" s="191"/>
      <c r="IC106" s="191"/>
      <c r="ID106" s="191"/>
      <c r="IE106" s="191"/>
      <c r="IF106" s="191"/>
      <c r="IG106" s="191"/>
      <c r="IH106" s="191"/>
      <c r="II106" s="191"/>
      <c r="IJ106" s="191"/>
      <c r="IK106" s="191"/>
      <c r="IL106" s="191"/>
      <c r="IM106" s="191"/>
      <c r="IN106" s="191"/>
      <c r="IO106" s="191"/>
      <c r="IP106" s="191"/>
    </row>
    <row r="107" spans="1:250" s="134" customFormat="1" ht="16.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191"/>
      <c r="GD107" s="191"/>
      <c r="GE107" s="191"/>
      <c r="GF107" s="191"/>
      <c r="GG107" s="191"/>
      <c r="GH107" s="191"/>
      <c r="GI107" s="191"/>
      <c r="GJ107" s="191"/>
      <c r="GK107" s="191"/>
      <c r="GL107" s="191"/>
      <c r="GM107" s="191"/>
      <c r="GN107" s="191"/>
      <c r="GO107" s="191"/>
      <c r="GP107" s="191"/>
      <c r="GQ107" s="191"/>
      <c r="GR107" s="191"/>
      <c r="GS107" s="191"/>
      <c r="GT107" s="191"/>
      <c r="GU107" s="191"/>
      <c r="GV107" s="191"/>
      <c r="GW107" s="191"/>
      <c r="GX107" s="191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1"/>
      <c r="HI107" s="191"/>
      <c r="HJ107" s="191"/>
      <c r="HK107" s="191"/>
      <c r="HL107" s="191"/>
      <c r="HM107" s="191"/>
      <c r="HN107" s="191"/>
      <c r="HO107" s="191"/>
      <c r="HP107" s="191"/>
      <c r="HQ107" s="191"/>
      <c r="HR107" s="191"/>
      <c r="HS107" s="191"/>
      <c r="HT107" s="191"/>
      <c r="HU107" s="191"/>
      <c r="HV107" s="191"/>
      <c r="HW107" s="191"/>
      <c r="HX107" s="191"/>
      <c r="HY107" s="191"/>
      <c r="HZ107" s="191"/>
      <c r="IA107" s="191"/>
      <c r="IB107" s="191"/>
      <c r="IC107" s="191"/>
      <c r="ID107" s="191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1"/>
      <c r="IO107" s="191"/>
      <c r="IP107" s="191"/>
    </row>
    <row r="108" spans="1:250" s="134" customFormat="1" ht="16.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1"/>
      <c r="DE108" s="191"/>
      <c r="DF108" s="191"/>
      <c r="DG108" s="191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1"/>
      <c r="FL108" s="191"/>
      <c r="FM108" s="191"/>
      <c r="FN108" s="191"/>
      <c r="FO108" s="191"/>
      <c r="FP108" s="191"/>
      <c r="FQ108" s="191"/>
      <c r="FR108" s="191"/>
      <c r="FS108" s="191"/>
      <c r="FT108" s="191"/>
      <c r="FU108" s="191"/>
      <c r="FV108" s="191"/>
      <c r="FW108" s="191"/>
      <c r="FX108" s="191"/>
      <c r="FY108" s="191"/>
      <c r="FZ108" s="191"/>
      <c r="GA108" s="191"/>
      <c r="GB108" s="191"/>
      <c r="GC108" s="191"/>
      <c r="GD108" s="191"/>
      <c r="GE108" s="191"/>
      <c r="GF108" s="191"/>
      <c r="GG108" s="191"/>
      <c r="GH108" s="191"/>
      <c r="GI108" s="191"/>
      <c r="GJ108" s="191"/>
      <c r="GK108" s="191"/>
      <c r="GL108" s="191"/>
      <c r="GM108" s="191"/>
      <c r="GN108" s="191"/>
      <c r="GO108" s="191"/>
      <c r="GP108" s="191"/>
      <c r="GQ108" s="191"/>
      <c r="GR108" s="191"/>
      <c r="GS108" s="191"/>
      <c r="GT108" s="191"/>
      <c r="GU108" s="191"/>
      <c r="GV108" s="191"/>
      <c r="GW108" s="191"/>
      <c r="GX108" s="191"/>
      <c r="GY108" s="191"/>
      <c r="GZ108" s="191"/>
      <c r="HA108" s="191"/>
      <c r="HB108" s="191"/>
      <c r="HC108" s="191"/>
      <c r="HD108" s="191"/>
      <c r="HE108" s="191"/>
      <c r="HF108" s="191"/>
      <c r="HG108" s="191"/>
      <c r="HH108" s="191"/>
      <c r="HI108" s="191"/>
      <c r="HJ108" s="191"/>
      <c r="HK108" s="191"/>
      <c r="HL108" s="191"/>
      <c r="HM108" s="191"/>
      <c r="HN108" s="191"/>
      <c r="HO108" s="191"/>
      <c r="HP108" s="191"/>
      <c r="HQ108" s="191"/>
      <c r="HR108" s="191"/>
      <c r="HS108" s="191"/>
      <c r="HT108" s="191"/>
      <c r="HU108" s="191"/>
      <c r="HV108" s="191"/>
      <c r="HW108" s="191"/>
      <c r="HX108" s="191"/>
      <c r="HY108" s="191"/>
      <c r="HZ108" s="191"/>
      <c r="IA108" s="191"/>
      <c r="IB108" s="191"/>
      <c r="IC108" s="191"/>
      <c r="ID108" s="191"/>
      <c r="IE108" s="191"/>
      <c r="IF108" s="191"/>
      <c r="IG108" s="191"/>
      <c r="IH108" s="191"/>
      <c r="II108" s="191"/>
      <c r="IJ108" s="191"/>
      <c r="IK108" s="191"/>
      <c r="IL108" s="191"/>
      <c r="IM108" s="191"/>
      <c r="IN108" s="191"/>
      <c r="IO108" s="191"/>
      <c r="IP108" s="191"/>
    </row>
    <row r="109" spans="1:250" s="134" customFormat="1" ht="16.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  <c r="FL109" s="191"/>
      <c r="FM109" s="191"/>
      <c r="FN109" s="191"/>
      <c r="FO109" s="191"/>
      <c r="FP109" s="191"/>
      <c r="FQ109" s="191"/>
      <c r="FR109" s="191"/>
      <c r="FS109" s="191"/>
      <c r="FT109" s="191"/>
      <c r="FU109" s="191"/>
      <c r="FV109" s="191"/>
      <c r="FW109" s="191"/>
      <c r="FX109" s="191"/>
      <c r="FY109" s="191"/>
      <c r="FZ109" s="191"/>
      <c r="GA109" s="191"/>
      <c r="GB109" s="191"/>
      <c r="GC109" s="191"/>
      <c r="GD109" s="191"/>
      <c r="GE109" s="191"/>
      <c r="GF109" s="191"/>
      <c r="GG109" s="191"/>
      <c r="GH109" s="191"/>
      <c r="GI109" s="191"/>
      <c r="GJ109" s="191"/>
      <c r="GK109" s="191"/>
      <c r="GL109" s="191"/>
      <c r="GM109" s="191"/>
      <c r="GN109" s="191"/>
      <c r="GO109" s="191"/>
      <c r="GP109" s="191"/>
      <c r="GQ109" s="191"/>
      <c r="GR109" s="191"/>
      <c r="GS109" s="191"/>
      <c r="GT109" s="191"/>
      <c r="GU109" s="191"/>
      <c r="GV109" s="191"/>
      <c r="GW109" s="191"/>
      <c r="GX109" s="191"/>
      <c r="GY109" s="191"/>
      <c r="GZ109" s="191"/>
      <c r="HA109" s="191"/>
      <c r="HB109" s="191"/>
      <c r="HC109" s="191"/>
      <c r="HD109" s="191"/>
      <c r="HE109" s="191"/>
      <c r="HF109" s="191"/>
      <c r="HG109" s="191"/>
      <c r="HH109" s="191"/>
      <c r="HI109" s="191"/>
      <c r="HJ109" s="191"/>
      <c r="HK109" s="191"/>
      <c r="HL109" s="191"/>
      <c r="HM109" s="191"/>
      <c r="HN109" s="191"/>
      <c r="HO109" s="191"/>
      <c r="HP109" s="191"/>
      <c r="HQ109" s="191"/>
      <c r="HR109" s="191"/>
      <c r="HS109" s="191"/>
      <c r="HT109" s="191"/>
      <c r="HU109" s="191"/>
      <c r="HV109" s="191"/>
      <c r="HW109" s="191"/>
      <c r="HX109" s="191"/>
      <c r="HY109" s="191"/>
      <c r="HZ109" s="191"/>
      <c r="IA109" s="191"/>
      <c r="IB109" s="191"/>
      <c r="IC109" s="191"/>
      <c r="ID109" s="191"/>
      <c r="IE109" s="191"/>
      <c r="IF109" s="191"/>
      <c r="IG109" s="191"/>
      <c r="IH109" s="191"/>
      <c r="II109" s="191"/>
      <c r="IJ109" s="191"/>
      <c r="IK109" s="191"/>
      <c r="IL109" s="191"/>
      <c r="IM109" s="191"/>
      <c r="IN109" s="191"/>
      <c r="IO109" s="191"/>
      <c r="IP109" s="191"/>
    </row>
    <row r="110" spans="1:250" s="134" customFormat="1" ht="16.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  <c r="EG110" s="191"/>
      <c r="EH110" s="191"/>
      <c r="EI110" s="191"/>
      <c r="EJ110" s="191"/>
      <c r="EK110" s="191"/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1"/>
      <c r="FH110" s="191"/>
      <c r="FI110" s="191"/>
      <c r="FJ110" s="191"/>
      <c r="FK110" s="191"/>
      <c r="FL110" s="191"/>
      <c r="FM110" s="191"/>
      <c r="FN110" s="191"/>
      <c r="FO110" s="191"/>
      <c r="FP110" s="191"/>
      <c r="FQ110" s="191"/>
      <c r="FR110" s="191"/>
      <c r="FS110" s="191"/>
      <c r="FT110" s="191"/>
      <c r="FU110" s="191"/>
      <c r="FV110" s="191"/>
      <c r="FW110" s="191"/>
      <c r="FX110" s="191"/>
      <c r="FY110" s="191"/>
      <c r="FZ110" s="191"/>
      <c r="GA110" s="191"/>
      <c r="GB110" s="191"/>
      <c r="GC110" s="191"/>
      <c r="GD110" s="191"/>
      <c r="GE110" s="191"/>
      <c r="GF110" s="191"/>
      <c r="GG110" s="191"/>
      <c r="GH110" s="191"/>
      <c r="GI110" s="191"/>
      <c r="GJ110" s="191"/>
      <c r="GK110" s="191"/>
      <c r="GL110" s="191"/>
      <c r="GM110" s="191"/>
      <c r="GN110" s="191"/>
      <c r="GO110" s="191"/>
      <c r="GP110" s="191"/>
      <c r="GQ110" s="191"/>
      <c r="GR110" s="191"/>
      <c r="GS110" s="191"/>
      <c r="GT110" s="191"/>
      <c r="GU110" s="191"/>
      <c r="GV110" s="191"/>
      <c r="GW110" s="191"/>
      <c r="GX110" s="191"/>
      <c r="GY110" s="191"/>
      <c r="GZ110" s="191"/>
      <c r="HA110" s="191"/>
      <c r="HB110" s="191"/>
      <c r="HC110" s="191"/>
      <c r="HD110" s="191"/>
      <c r="HE110" s="191"/>
      <c r="HF110" s="191"/>
      <c r="HG110" s="191"/>
      <c r="HH110" s="191"/>
      <c r="HI110" s="191"/>
      <c r="HJ110" s="191"/>
      <c r="HK110" s="191"/>
      <c r="HL110" s="191"/>
      <c r="HM110" s="191"/>
      <c r="HN110" s="191"/>
      <c r="HO110" s="191"/>
      <c r="HP110" s="191"/>
      <c r="HQ110" s="191"/>
      <c r="HR110" s="191"/>
      <c r="HS110" s="191"/>
      <c r="HT110" s="191"/>
      <c r="HU110" s="191"/>
      <c r="HV110" s="191"/>
      <c r="HW110" s="191"/>
      <c r="HX110" s="191"/>
      <c r="HY110" s="191"/>
      <c r="HZ110" s="191"/>
      <c r="IA110" s="191"/>
      <c r="IB110" s="191"/>
      <c r="IC110" s="191"/>
      <c r="ID110" s="191"/>
      <c r="IE110" s="191"/>
      <c r="IF110" s="191"/>
      <c r="IG110" s="191"/>
      <c r="IH110" s="191"/>
      <c r="II110" s="191"/>
      <c r="IJ110" s="191"/>
      <c r="IK110" s="191"/>
      <c r="IL110" s="191"/>
      <c r="IM110" s="191"/>
      <c r="IN110" s="191"/>
      <c r="IO110" s="191"/>
      <c r="IP110" s="191"/>
    </row>
    <row r="111" spans="1:250" s="134" customFormat="1" ht="16.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1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1"/>
      <c r="FF111" s="191"/>
      <c r="FG111" s="191"/>
      <c r="FH111" s="191"/>
      <c r="FI111" s="191"/>
      <c r="FJ111" s="191"/>
      <c r="FK111" s="191"/>
      <c r="FL111" s="191"/>
      <c r="FM111" s="191"/>
      <c r="FN111" s="191"/>
      <c r="FO111" s="191"/>
      <c r="FP111" s="191"/>
      <c r="FQ111" s="191"/>
      <c r="FR111" s="191"/>
      <c r="FS111" s="191"/>
      <c r="FT111" s="191"/>
      <c r="FU111" s="191"/>
      <c r="FV111" s="191"/>
      <c r="FW111" s="191"/>
      <c r="FX111" s="191"/>
      <c r="FY111" s="191"/>
      <c r="FZ111" s="191"/>
      <c r="GA111" s="191"/>
      <c r="GB111" s="191"/>
      <c r="GC111" s="191"/>
      <c r="GD111" s="191"/>
      <c r="GE111" s="191"/>
      <c r="GF111" s="191"/>
      <c r="GG111" s="191"/>
      <c r="GH111" s="191"/>
      <c r="GI111" s="191"/>
      <c r="GJ111" s="191"/>
      <c r="GK111" s="191"/>
      <c r="GL111" s="191"/>
      <c r="GM111" s="191"/>
      <c r="GN111" s="191"/>
      <c r="GO111" s="191"/>
      <c r="GP111" s="191"/>
      <c r="GQ111" s="191"/>
      <c r="GR111" s="191"/>
      <c r="GS111" s="191"/>
      <c r="GT111" s="191"/>
      <c r="GU111" s="191"/>
      <c r="GV111" s="191"/>
      <c r="GW111" s="191"/>
      <c r="GX111" s="191"/>
      <c r="GY111" s="191"/>
      <c r="GZ111" s="191"/>
      <c r="HA111" s="191"/>
      <c r="HB111" s="191"/>
      <c r="HC111" s="191"/>
      <c r="HD111" s="191"/>
      <c r="HE111" s="191"/>
      <c r="HF111" s="191"/>
      <c r="HG111" s="191"/>
      <c r="HH111" s="191"/>
      <c r="HI111" s="191"/>
      <c r="HJ111" s="191"/>
      <c r="HK111" s="191"/>
      <c r="HL111" s="191"/>
      <c r="HM111" s="191"/>
      <c r="HN111" s="191"/>
      <c r="HO111" s="191"/>
      <c r="HP111" s="191"/>
      <c r="HQ111" s="191"/>
      <c r="HR111" s="191"/>
      <c r="HS111" s="191"/>
      <c r="HT111" s="191"/>
      <c r="HU111" s="191"/>
      <c r="HV111" s="191"/>
      <c r="HW111" s="191"/>
      <c r="HX111" s="191"/>
      <c r="HY111" s="191"/>
      <c r="HZ111" s="191"/>
      <c r="IA111" s="191"/>
      <c r="IB111" s="191"/>
      <c r="IC111" s="191"/>
      <c r="ID111" s="191"/>
      <c r="IE111" s="191"/>
      <c r="IF111" s="191"/>
      <c r="IG111" s="191"/>
      <c r="IH111" s="191"/>
      <c r="II111" s="191"/>
      <c r="IJ111" s="191"/>
      <c r="IK111" s="191"/>
      <c r="IL111" s="191"/>
      <c r="IM111" s="191"/>
      <c r="IN111" s="191"/>
      <c r="IO111" s="191"/>
      <c r="IP111" s="191"/>
    </row>
    <row r="112" spans="1:250" s="134" customFormat="1" ht="16.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  <c r="DF112" s="191"/>
      <c r="DG112" s="191"/>
      <c r="DH112" s="191"/>
      <c r="DI112" s="191"/>
      <c r="DJ112" s="191"/>
      <c r="DK112" s="191"/>
      <c r="DL112" s="191"/>
      <c r="DM112" s="191"/>
      <c r="DN112" s="191"/>
      <c r="DO112" s="191"/>
      <c r="DP112" s="191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191"/>
      <c r="EE112" s="191"/>
      <c r="EF112" s="191"/>
      <c r="EG112" s="191"/>
      <c r="EH112" s="191"/>
      <c r="EI112" s="191"/>
      <c r="EJ112" s="191"/>
      <c r="EK112" s="191"/>
      <c r="EL112" s="191"/>
      <c r="EM112" s="191"/>
      <c r="EN112" s="191"/>
      <c r="EO112" s="191"/>
      <c r="EP112" s="191"/>
      <c r="EQ112" s="191"/>
      <c r="ER112" s="191"/>
      <c r="ES112" s="191"/>
      <c r="ET112" s="191"/>
      <c r="EU112" s="191"/>
      <c r="EV112" s="191"/>
      <c r="EW112" s="191"/>
      <c r="EX112" s="191"/>
      <c r="EY112" s="191"/>
      <c r="EZ112" s="191"/>
      <c r="FA112" s="191"/>
      <c r="FB112" s="191"/>
      <c r="FC112" s="191"/>
      <c r="FD112" s="191"/>
      <c r="FE112" s="191"/>
      <c r="FF112" s="191"/>
      <c r="FG112" s="191"/>
      <c r="FH112" s="191"/>
      <c r="FI112" s="191"/>
      <c r="FJ112" s="191"/>
      <c r="FK112" s="191"/>
      <c r="FL112" s="191"/>
      <c r="FM112" s="191"/>
      <c r="FN112" s="191"/>
      <c r="FO112" s="191"/>
      <c r="FP112" s="191"/>
      <c r="FQ112" s="191"/>
      <c r="FR112" s="191"/>
      <c r="FS112" s="191"/>
      <c r="FT112" s="191"/>
      <c r="FU112" s="191"/>
      <c r="FV112" s="191"/>
      <c r="FW112" s="191"/>
      <c r="FX112" s="191"/>
      <c r="FY112" s="191"/>
      <c r="FZ112" s="191"/>
      <c r="GA112" s="191"/>
      <c r="GB112" s="191"/>
      <c r="GC112" s="191"/>
      <c r="GD112" s="191"/>
      <c r="GE112" s="191"/>
      <c r="GF112" s="191"/>
      <c r="GG112" s="191"/>
      <c r="GH112" s="191"/>
      <c r="GI112" s="191"/>
      <c r="GJ112" s="191"/>
      <c r="GK112" s="191"/>
      <c r="GL112" s="191"/>
      <c r="GM112" s="191"/>
      <c r="GN112" s="191"/>
      <c r="GO112" s="191"/>
      <c r="GP112" s="191"/>
      <c r="GQ112" s="191"/>
      <c r="GR112" s="191"/>
      <c r="GS112" s="191"/>
      <c r="GT112" s="191"/>
      <c r="GU112" s="191"/>
      <c r="GV112" s="191"/>
      <c r="GW112" s="191"/>
      <c r="GX112" s="191"/>
      <c r="GY112" s="191"/>
      <c r="GZ112" s="191"/>
      <c r="HA112" s="191"/>
      <c r="HB112" s="191"/>
      <c r="HC112" s="191"/>
      <c r="HD112" s="191"/>
      <c r="HE112" s="191"/>
      <c r="HF112" s="191"/>
      <c r="HG112" s="191"/>
      <c r="HH112" s="191"/>
      <c r="HI112" s="191"/>
      <c r="HJ112" s="191"/>
      <c r="HK112" s="191"/>
      <c r="HL112" s="191"/>
      <c r="HM112" s="191"/>
      <c r="HN112" s="191"/>
      <c r="HO112" s="191"/>
      <c r="HP112" s="191"/>
      <c r="HQ112" s="191"/>
      <c r="HR112" s="191"/>
      <c r="HS112" s="191"/>
      <c r="HT112" s="191"/>
      <c r="HU112" s="191"/>
      <c r="HV112" s="191"/>
      <c r="HW112" s="191"/>
      <c r="HX112" s="191"/>
      <c r="HY112" s="191"/>
      <c r="HZ112" s="191"/>
      <c r="IA112" s="191"/>
      <c r="IB112" s="191"/>
      <c r="IC112" s="191"/>
      <c r="ID112" s="191"/>
      <c r="IE112" s="191"/>
      <c r="IF112" s="191"/>
      <c r="IG112" s="191"/>
      <c r="IH112" s="191"/>
      <c r="II112" s="191"/>
      <c r="IJ112" s="191"/>
      <c r="IK112" s="191"/>
      <c r="IL112" s="191"/>
      <c r="IM112" s="191"/>
      <c r="IN112" s="191"/>
      <c r="IO112" s="191"/>
      <c r="IP112" s="191"/>
    </row>
    <row r="113" spans="1:250" s="134" customFormat="1" ht="16.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  <c r="DB113" s="191"/>
      <c r="DC113" s="191"/>
      <c r="DD113" s="191"/>
      <c r="DE113" s="191"/>
      <c r="DF113" s="191"/>
      <c r="DG113" s="191"/>
      <c r="DH113" s="191"/>
      <c r="DI113" s="191"/>
      <c r="DJ113" s="191"/>
      <c r="DK113" s="191"/>
      <c r="DL113" s="191"/>
      <c r="DM113" s="191"/>
      <c r="DN113" s="191"/>
      <c r="DO113" s="191"/>
      <c r="DP113" s="191"/>
      <c r="DQ113" s="191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1"/>
      <c r="ED113" s="191"/>
      <c r="EE113" s="191"/>
      <c r="EF113" s="191"/>
      <c r="EG113" s="191"/>
      <c r="EH113" s="191"/>
      <c r="EI113" s="191"/>
      <c r="EJ113" s="191"/>
      <c r="EK113" s="191"/>
      <c r="EL113" s="191"/>
      <c r="EM113" s="191"/>
      <c r="EN113" s="191"/>
      <c r="EO113" s="191"/>
      <c r="EP113" s="191"/>
      <c r="EQ113" s="191"/>
      <c r="ER113" s="191"/>
      <c r="ES113" s="191"/>
      <c r="ET113" s="191"/>
      <c r="EU113" s="191"/>
      <c r="EV113" s="191"/>
      <c r="EW113" s="191"/>
      <c r="EX113" s="191"/>
      <c r="EY113" s="191"/>
      <c r="EZ113" s="191"/>
      <c r="FA113" s="191"/>
      <c r="FB113" s="191"/>
      <c r="FC113" s="191"/>
      <c r="FD113" s="191"/>
      <c r="FE113" s="191"/>
      <c r="FF113" s="191"/>
      <c r="FG113" s="191"/>
      <c r="FH113" s="191"/>
      <c r="FI113" s="191"/>
      <c r="FJ113" s="191"/>
      <c r="FK113" s="191"/>
      <c r="FL113" s="191"/>
      <c r="FM113" s="191"/>
      <c r="FN113" s="191"/>
      <c r="FO113" s="191"/>
      <c r="FP113" s="191"/>
      <c r="FQ113" s="191"/>
      <c r="FR113" s="191"/>
      <c r="FS113" s="191"/>
      <c r="FT113" s="191"/>
      <c r="FU113" s="191"/>
      <c r="FV113" s="191"/>
      <c r="FW113" s="191"/>
      <c r="FX113" s="191"/>
      <c r="FY113" s="191"/>
      <c r="FZ113" s="191"/>
      <c r="GA113" s="191"/>
      <c r="GB113" s="191"/>
      <c r="GC113" s="191"/>
      <c r="GD113" s="191"/>
      <c r="GE113" s="191"/>
      <c r="GF113" s="191"/>
      <c r="GG113" s="191"/>
      <c r="GH113" s="191"/>
      <c r="GI113" s="191"/>
      <c r="GJ113" s="191"/>
      <c r="GK113" s="191"/>
      <c r="GL113" s="191"/>
      <c r="GM113" s="191"/>
      <c r="GN113" s="191"/>
      <c r="GO113" s="191"/>
      <c r="GP113" s="191"/>
      <c r="GQ113" s="191"/>
      <c r="GR113" s="191"/>
      <c r="GS113" s="191"/>
      <c r="GT113" s="191"/>
      <c r="GU113" s="191"/>
      <c r="GV113" s="191"/>
      <c r="GW113" s="191"/>
      <c r="GX113" s="191"/>
      <c r="GY113" s="191"/>
      <c r="GZ113" s="191"/>
      <c r="HA113" s="191"/>
      <c r="HB113" s="191"/>
      <c r="HC113" s="191"/>
      <c r="HD113" s="191"/>
      <c r="HE113" s="191"/>
      <c r="HF113" s="191"/>
      <c r="HG113" s="191"/>
      <c r="HH113" s="191"/>
      <c r="HI113" s="191"/>
      <c r="HJ113" s="191"/>
      <c r="HK113" s="191"/>
      <c r="HL113" s="191"/>
      <c r="HM113" s="191"/>
      <c r="HN113" s="191"/>
      <c r="HO113" s="191"/>
      <c r="HP113" s="191"/>
      <c r="HQ113" s="191"/>
      <c r="HR113" s="191"/>
      <c r="HS113" s="191"/>
      <c r="HT113" s="191"/>
      <c r="HU113" s="191"/>
      <c r="HV113" s="191"/>
      <c r="HW113" s="191"/>
      <c r="HX113" s="191"/>
      <c r="HY113" s="191"/>
      <c r="HZ113" s="191"/>
      <c r="IA113" s="191"/>
      <c r="IB113" s="191"/>
      <c r="IC113" s="191"/>
      <c r="ID113" s="191"/>
      <c r="IE113" s="191"/>
      <c r="IF113" s="191"/>
      <c r="IG113" s="191"/>
      <c r="IH113" s="191"/>
      <c r="II113" s="191"/>
      <c r="IJ113" s="191"/>
      <c r="IK113" s="191"/>
      <c r="IL113" s="191"/>
      <c r="IM113" s="191"/>
      <c r="IN113" s="191"/>
      <c r="IO113" s="191"/>
      <c r="IP113" s="191"/>
    </row>
    <row r="114" spans="1:250" s="134" customFormat="1" ht="16.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1"/>
      <c r="ED114" s="191"/>
      <c r="EE114" s="191"/>
      <c r="EF114" s="191"/>
      <c r="EG114" s="191"/>
      <c r="EH114" s="191"/>
      <c r="EI114" s="191"/>
      <c r="EJ114" s="191"/>
      <c r="EK114" s="191"/>
      <c r="EL114" s="191"/>
      <c r="EM114" s="191"/>
      <c r="EN114" s="191"/>
      <c r="EO114" s="191"/>
      <c r="EP114" s="191"/>
      <c r="EQ114" s="191"/>
      <c r="ER114" s="191"/>
      <c r="ES114" s="191"/>
      <c r="ET114" s="191"/>
      <c r="EU114" s="191"/>
      <c r="EV114" s="191"/>
      <c r="EW114" s="191"/>
      <c r="EX114" s="191"/>
      <c r="EY114" s="191"/>
      <c r="EZ114" s="191"/>
      <c r="FA114" s="191"/>
      <c r="FB114" s="191"/>
      <c r="FC114" s="191"/>
      <c r="FD114" s="191"/>
      <c r="FE114" s="191"/>
      <c r="FF114" s="191"/>
      <c r="FG114" s="191"/>
      <c r="FH114" s="191"/>
      <c r="FI114" s="191"/>
      <c r="FJ114" s="191"/>
      <c r="FK114" s="191"/>
      <c r="FL114" s="191"/>
      <c r="FM114" s="191"/>
      <c r="FN114" s="191"/>
      <c r="FO114" s="191"/>
      <c r="FP114" s="191"/>
      <c r="FQ114" s="191"/>
      <c r="FR114" s="191"/>
      <c r="FS114" s="191"/>
      <c r="FT114" s="191"/>
      <c r="FU114" s="191"/>
      <c r="FV114" s="191"/>
      <c r="FW114" s="191"/>
      <c r="FX114" s="191"/>
      <c r="FY114" s="191"/>
      <c r="FZ114" s="191"/>
      <c r="GA114" s="191"/>
      <c r="GB114" s="191"/>
      <c r="GC114" s="191"/>
      <c r="GD114" s="191"/>
      <c r="GE114" s="191"/>
      <c r="GF114" s="191"/>
      <c r="GG114" s="191"/>
      <c r="GH114" s="191"/>
      <c r="GI114" s="191"/>
      <c r="GJ114" s="191"/>
      <c r="GK114" s="191"/>
      <c r="GL114" s="191"/>
      <c r="GM114" s="191"/>
      <c r="GN114" s="191"/>
      <c r="GO114" s="191"/>
      <c r="GP114" s="191"/>
      <c r="GQ114" s="191"/>
      <c r="GR114" s="191"/>
      <c r="GS114" s="191"/>
      <c r="GT114" s="191"/>
      <c r="GU114" s="191"/>
      <c r="GV114" s="191"/>
      <c r="GW114" s="191"/>
      <c r="GX114" s="191"/>
      <c r="GY114" s="191"/>
      <c r="GZ114" s="191"/>
      <c r="HA114" s="191"/>
      <c r="HB114" s="191"/>
      <c r="HC114" s="191"/>
      <c r="HD114" s="191"/>
      <c r="HE114" s="191"/>
      <c r="HF114" s="191"/>
      <c r="HG114" s="191"/>
      <c r="HH114" s="191"/>
      <c r="HI114" s="191"/>
      <c r="HJ114" s="191"/>
      <c r="HK114" s="191"/>
      <c r="HL114" s="191"/>
      <c r="HM114" s="191"/>
      <c r="HN114" s="191"/>
      <c r="HO114" s="191"/>
      <c r="HP114" s="191"/>
      <c r="HQ114" s="191"/>
      <c r="HR114" s="191"/>
      <c r="HS114" s="191"/>
      <c r="HT114" s="191"/>
      <c r="HU114" s="191"/>
      <c r="HV114" s="191"/>
      <c r="HW114" s="191"/>
      <c r="HX114" s="191"/>
      <c r="HY114" s="191"/>
      <c r="HZ114" s="191"/>
      <c r="IA114" s="191"/>
      <c r="IB114" s="191"/>
      <c r="IC114" s="191"/>
      <c r="ID114" s="191"/>
      <c r="IE114" s="191"/>
      <c r="IF114" s="191"/>
      <c r="IG114" s="191"/>
      <c r="IH114" s="191"/>
      <c r="II114" s="191"/>
      <c r="IJ114" s="191"/>
      <c r="IK114" s="191"/>
      <c r="IL114" s="191"/>
      <c r="IM114" s="191"/>
      <c r="IN114" s="191"/>
      <c r="IO114" s="191"/>
      <c r="IP114" s="191"/>
    </row>
    <row r="115" spans="1:250" s="134" customFormat="1" ht="16.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  <c r="EX115" s="191"/>
      <c r="EY115" s="191"/>
      <c r="EZ115" s="191"/>
      <c r="FA115" s="191"/>
      <c r="FB115" s="191"/>
      <c r="FC115" s="191"/>
      <c r="FD115" s="191"/>
      <c r="FE115" s="191"/>
      <c r="FF115" s="191"/>
      <c r="FG115" s="191"/>
      <c r="FH115" s="191"/>
      <c r="FI115" s="191"/>
      <c r="FJ115" s="191"/>
      <c r="FK115" s="191"/>
      <c r="FL115" s="191"/>
      <c r="FM115" s="191"/>
      <c r="FN115" s="191"/>
      <c r="FO115" s="191"/>
      <c r="FP115" s="191"/>
      <c r="FQ115" s="191"/>
      <c r="FR115" s="191"/>
      <c r="FS115" s="191"/>
      <c r="FT115" s="191"/>
      <c r="FU115" s="191"/>
      <c r="FV115" s="191"/>
      <c r="FW115" s="191"/>
      <c r="FX115" s="191"/>
      <c r="FY115" s="191"/>
      <c r="FZ115" s="191"/>
      <c r="GA115" s="191"/>
      <c r="GB115" s="191"/>
      <c r="GC115" s="191"/>
      <c r="GD115" s="191"/>
      <c r="GE115" s="191"/>
      <c r="GF115" s="191"/>
      <c r="GG115" s="191"/>
      <c r="GH115" s="191"/>
      <c r="GI115" s="191"/>
      <c r="GJ115" s="191"/>
      <c r="GK115" s="191"/>
      <c r="GL115" s="191"/>
      <c r="GM115" s="191"/>
      <c r="GN115" s="191"/>
      <c r="GO115" s="191"/>
      <c r="GP115" s="191"/>
      <c r="GQ115" s="191"/>
      <c r="GR115" s="191"/>
      <c r="GS115" s="191"/>
      <c r="GT115" s="191"/>
      <c r="GU115" s="191"/>
      <c r="GV115" s="191"/>
      <c r="GW115" s="191"/>
      <c r="GX115" s="191"/>
      <c r="GY115" s="191"/>
      <c r="GZ115" s="191"/>
      <c r="HA115" s="191"/>
      <c r="HB115" s="191"/>
      <c r="HC115" s="191"/>
      <c r="HD115" s="191"/>
      <c r="HE115" s="191"/>
      <c r="HF115" s="191"/>
      <c r="HG115" s="191"/>
      <c r="HH115" s="191"/>
      <c r="HI115" s="191"/>
      <c r="HJ115" s="191"/>
      <c r="HK115" s="191"/>
      <c r="HL115" s="191"/>
      <c r="HM115" s="191"/>
      <c r="HN115" s="191"/>
      <c r="HO115" s="191"/>
      <c r="HP115" s="191"/>
      <c r="HQ115" s="191"/>
      <c r="HR115" s="191"/>
      <c r="HS115" s="191"/>
      <c r="HT115" s="191"/>
      <c r="HU115" s="191"/>
      <c r="HV115" s="191"/>
      <c r="HW115" s="191"/>
      <c r="HX115" s="191"/>
      <c r="HY115" s="191"/>
      <c r="HZ115" s="191"/>
      <c r="IA115" s="191"/>
      <c r="IB115" s="191"/>
      <c r="IC115" s="191"/>
      <c r="ID115" s="191"/>
      <c r="IE115" s="191"/>
      <c r="IF115" s="191"/>
      <c r="IG115" s="191"/>
      <c r="IH115" s="191"/>
      <c r="II115" s="191"/>
      <c r="IJ115" s="191"/>
      <c r="IK115" s="191"/>
      <c r="IL115" s="191"/>
      <c r="IM115" s="191"/>
      <c r="IN115" s="191"/>
      <c r="IO115" s="191"/>
      <c r="IP115" s="191"/>
    </row>
    <row r="116" spans="1:250" s="134" customFormat="1" ht="16.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91"/>
      <c r="EF116" s="191"/>
      <c r="EG116" s="191"/>
      <c r="EH116" s="191"/>
      <c r="EI116" s="191"/>
      <c r="EJ116" s="191"/>
      <c r="EK116" s="191"/>
      <c r="EL116" s="191"/>
      <c r="EM116" s="191"/>
      <c r="EN116" s="191"/>
      <c r="EO116" s="191"/>
      <c r="EP116" s="191"/>
      <c r="EQ116" s="191"/>
      <c r="ER116" s="191"/>
      <c r="ES116" s="191"/>
      <c r="ET116" s="191"/>
      <c r="EU116" s="191"/>
      <c r="EV116" s="191"/>
      <c r="EW116" s="191"/>
      <c r="EX116" s="191"/>
      <c r="EY116" s="191"/>
      <c r="EZ116" s="191"/>
      <c r="FA116" s="191"/>
      <c r="FB116" s="191"/>
      <c r="FC116" s="191"/>
      <c r="FD116" s="191"/>
      <c r="FE116" s="191"/>
      <c r="FF116" s="191"/>
      <c r="FG116" s="191"/>
      <c r="FH116" s="191"/>
      <c r="FI116" s="191"/>
      <c r="FJ116" s="191"/>
      <c r="FK116" s="191"/>
      <c r="FL116" s="191"/>
      <c r="FM116" s="191"/>
      <c r="FN116" s="191"/>
      <c r="FO116" s="191"/>
      <c r="FP116" s="191"/>
      <c r="FQ116" s="191"/>
      <c r="FR116" s="191"/>
      <c r="FS116" s="191"/>
      <c r="FT116" s="191"/>
      <c r="FU116" s="191"/>
      <c r="FV116" s="191"/>
      <c r="FW116" s="191"/>
      <c r="FX116" s="191"/>
      <c r="FY116" s="191"/>
      <c r="FZ116" s="191"/>
      <c r="GA116" s="191"/>
      <c r="GB116" s="191"/>
      <c r="GC116" s="191"/>
      <c r="GD116" s="191"/>
      <c r="GE116" s="191"/>
      <c r="GF116" s="191"/>
      <c r="GG116" s="191"/>
      <c r="GH116" s="191"/>
      <c r="GI116" s="191"/>
      <c r="GJ116" s="191"/>
      <c r="GK116" s="191"/>
      <c r="GL116" s="191"/>
      <c r="GM116" s="191"/>
      <c r="GN116" s="191"/>
      <c r="GO116" s="191"/>
      <c r="GP116" s="191"/>
      <c r="GQ116" s="191"/>
      <c r="GR116" s="191"/>
      <c r="GS116" s="191"/>
      <c r="GT116" s="191"/>
      <c r="GU116" s="191"/>
      <c r="GV116" s="191"/>
      <c r="GW116" s="191"/>
      <c r="GX116" s="191"/>
      <c r="GY116" s="191"/>
      <c r="GZ116" s="191"/>
      <c r="HA116" s="191"/>
      <c r="HB116" s="191"/>
      <c r="HC116" s="191"/>
      <c r="HD116" s="191"/>
      <c r="HE116" s="191"/>
      <c r="HF116" s="191"/>
      <c r="HG116" s="191"/>
      <c r="HH116" s="191"/>
      <c r="HI116" s="191"/>
      <c r="HJ116" s="191"/>
      <c r="HK116" s="191"/>
      <c r="HL116" s="191"/>
      <c r="HM116" s="191"/>
      <c r="HN116" s="191"/>
      <c r="HO116" s="191"/>
      <c r="HP116" s="191"/>
      <c r="HQ116" s="191"/>
      <c r="HR116" s="191"/>
      <c r="HS116" s="191"/>
      <c r="HT116" s="191"/>
      <c r="HU116" s="191"/>
      <c r="HV116" s="191"/>
      <c r="HW116" s="191"/>
      <c r="HX116" s="191"/>
      <c r="HY116" s="191"/>
      <c r="HZ116" s="191"/>
      <c r="IA116" s="191"/>
      <c r="IB116" s="191"/>
      <c r="IC116" s="191"/>
      <c r="ID116" s="191"/>
      <c r="IE116" s="191"/>
      <c r="IF116" s="191"/>
      <c r="IG116" s="191"/>
      <c r="IH116" s="191"/>
      <c r="II116" s="191"/>
      <c r="IJ116" s="191"/>
      <c r="IK116" s="191"/>
      <c r="IL116" s="191"/>
      <c r="IM116" s="191"/>
      <c r="IN116" s="191"/>
      <c r="IO116" s="191"/>
      <c r="IP116" s="191"/>
    </row>
    <row r="117" spans="1:250" s="134" customFormat="1" ht="16.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91"/>
      <c r="EF117" s="191"/>
      <c r="EG117" s="191"/>
      <c r="EH117" s="191"/>
      <c r="EI117" s="191"/>
      <c r="EJ117" s="191"/>
      <c r="EK117" s="191"/>
      <c r="EL117" s="191"/>
      <c r="EM117" s="191"/>
      <c r="EN117" s="191"/>
      <c r="EO117" s="191"/>
      <c r="EP117" s="191"/>
      <c r="EQ117" s="191"/>
      <c r="ER117" s="191"/>
      <c r="ES117" s="191"/>
      <c r="ET117" s="191"/>
      <c r="EU117" s="191"/>
      <c r="EV117" s="191"/>
      <c r="EW117" s="191"/>
      <c r="EX117" s="191"/>
      <c r="EY117" s="191"/>
      <c r="EZ117" s="191"/>
      <c r="FA117" s="191"/>
      <c r="FB117" s="191"/>
      <c r="FC117" s="191"/>
      <c r="FD117" s="191"/>
      <c r="FE117" s="191"/>
      <c r="FF117" s="191"/>
      <c r="FG117" s="191"/>
      <c r="FH117" s="191"/>
      <c r="FI117" s="191"/>
      <c r="FJ117" s="191"/>
      <c r="FK117" s="191"/>
      <c r="FL117" s="191"/>
      <c r="FM117" s="191"/>
      <c r="FN117" s="191"/>
      <c r="FO117" s="191"/>
      <c r="FP117" s="191"/>
      <c r="FQ117" s="191"/>
      <c r="FR117" s="191"/>
      <c r="FS117" s="191"/>
      <c r="FT117" s="191"/>
      <c r="FU117" s="191"/>
      <c r="FV117" s="191"/>
      <c r="FW117" s="191"/>
      <c r="FX117" s="191"/>
      <c r="FY117" s="191"/>
      <c r="FZ117" s="191"/>
      <c r="GA117" s="191"/>
      <c r="GB117" s="191"/>
      <c r="GC117" s="191"/>
      <c r="GD117" s="191"/>
      <c r="GE117" s="191"/>
      <c r="GF117" s="191"/>
      <c r="GG117" s="191"/>
      <c r="GH117" s="191"/>
      <c r="GI117" s="191"/>
      <c r="GJ117" s="191"/>
      <c r="GK117" s="191"/>
      <c r="GL117" s="191"/>
      <c r="GM117" s="191"/>
      <c r="GN117" s="191"/>
      <c r="GO117" s="191"/>
      <c r="GP117" s="191"/>
      <c r="GQ117" s="191"/>
      <c r="GR117" s="191"/>
      <c r="GS117" s="191"/>
      <c r="GT117" s="191"/>
      <c r="GU117" s="191"/>
      <c r="GV117" s="191"/>
      <c r="GW117" s="191"/>
      <c r="GX117" s="191"/>
      <c r="GY117" s="191"/>
      <c r="GZ117" s="191"/>
      <c r="HA117" s="191"/>
      <c r="HB117" s="191"/>
      <c r="HC117" s="191"/>
      <c r="HD117" s="191"/>
      <c r="HE117" s="191"/>
      <c r="HF117" s="191"/>
      <c r="HG117" s="191"/>
      <c r="HH117" s="191"/>
      <c r="HI117" s="191"/>
      <c r="HJ117" s="191"/>
      <c r="HK117" s="191"/>
      <c r="HL117" s="191"/>
      <c r="HM117" s="191"/>
      <c r="HN117" s="191"/>
      <c r="HO117" s="191"/>
      <c r="HP117" s="191"/>
      <c r="HQ117" s="191"/>
      <c r="HR117" s="191"/>
      <c r="HS117" s="191"/>
      <c r="HT117" s="191"/>
      <c r="HU117" s="191"/>
      <c r="HV117" s="191"/>
      <c r="HW117" s="191"/>
      <c r="HX117" s="191"/>
      <c r="HY117" s="191"/>
      <c r="HZ117" s="191"/>
      <c r="IA117" s="191"/>
      <c r="IB117" s="191"/>
      <c r="IC117" s="191"/>
      <c r="ID117" s="191"/>
      <c r="IE117" s="191"/>
      <c r="IF117" s="191"/>
      <c r="IG117" s="191"/>
      <c r="IH117" s="191"/>
      <c r="II117" s="191"/>
      <c r="IJ117" s="191"/>
      <c r="IK117" s="191"/>
      <c r="IL117" s="191"/>
      <c r="IM117" s="191"/>
      <c r="IN117" s="191"/>
      <c r="IO117" s="191"/>
      <c r="IP117" s="191"/>
    </row>
    <row r="118" spans="1:250" s="134" customFormat="1" ht="16.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91"/>
      <c r="EF118" s="191"/>
      <c r="EG118" s="191"/>
      <c r="EH118" s="191"/>
      <c r="EI118" s="191"/>
      <c r="EJ118" s="191"/>
      <c r="EK118" s="191"/>
      <c r="EL118" s="191"/>
      <c r="EM118" s="191"/>
      <c r="EN118" s="191"/>
      <c r="EO118" s="191"/>
      <c r="EP118" s="191"/>
      <c r="EQ118" s="191"/>
      <c r="ER118" s="191"/>
      <c r="ES118" s="191"/>
      <c r="ET118" s="191"/>
      <c r="EU118" s="191"/>
      <c r="EV118" s="191"/>
      <c r="EW118" s="191"/>
      <c r="EX118" s="191"/>
      <c r="EY118" s="191"/>
      <c r="EZ118" s="191"/>
      <c r="FA118" s="191"/>
      <c r="FB118" s="191"/>
      <c r="FC118" s="191"/>
      <c r="FD118" s="191"/>
      <c r="FE118" s="191"/>
      <c r="FF118" s="191"/>
      <c r="FG118" s="191"/>
      <c r="FH118" s="191"/>
      <c r="FI118" s="191"/>
      <c r="FJ118" s="191"/>
      <c r="FK118" s="191"/>
      <c r="FL118" s="191"/>
      <c r="FM118" s="191"/>
      <c r="FN118" s="191"/>
      <c r="FO118" s="191"/>
      <c r="FP118" s="191"/>
      <c r="FQ118" s="191"/>
      <c r="FR118" s="191"/>
      <c r="FS118" s="191"/>
      <c r="FT118" s="191"/>
      <c r="FU118" s="191"/>
      <c r="FV118" s="191"/>
      <c r="FW118" s="191"/>
      <c r="FX118" s="191"/>
      <c r="FY118" s="191"/>
      <c r="FZ118" s="191"/>
      <c r="GA118" s="191"/>
      <c r="GB118" s="191"/>
      <c r="GC118" s="191"/>
      <c r="GD118" s="191"/>
      <c r="GE118" s="191"/>
      <c r="GF118" s="191"/>
      <c r="GG118" s="191"/>
      <c r="GH118" s="191"/>
      <c r="GI118" s="191"/>
      <c r="GJ118" s="191"/>
      <c r="GK118" s="191"/>
      <c r="GL118" s="191"/>
      <c r="GM118" s="191"/>
      <c r="GN118" s="191"/>
      <c r="GO118" s="191"/>
      <c r="GP118" s="191"/>
      <c r="GQ118" s="191"/>
      <c r="GR118" s="191"/>
      <c r="GS118" s="191"/>
      <c r="GT118" s="191"/>
      <c r="GU118" s="191"/>
      <c r="GV118" s="191"/>
      <c r="GW118" s="191"/>
      <c r="GX118" s="191"/>
      <c r="GY118" s="191"/>
      <c r="GZ118" s="191"/>
      <c r="HA118" s="191"/>
      <c r="HB118" s="191"/>
      <c r="HC118" s="191"/>
      <c r="HD118" s="191"/>
      <c r="HE118" s="191"/>
      <c r="HF118" s="191"/>
      <c r="HG118" s="191"/>
      <c r="HH118" s="191"/>
      <c r="HI118" s="191"/>
      <c r="HJ118" s="191"/>
      <c r="HK118" s="191"/>
      <c r="HL118" s="191"/>
      <c r="HM118" s="191"/>
      <c r="HN118" s="191"/>
      <c r="HO118" s="191"/>
      <c r="HP118" s="191"/>
      <c r="HQ118" s="191"/>
      <c r="HR118" s="191"/>
      <c r="HS118" s="191"/>
      <c r="HT118" s="191"/>
      <c r="HU118" s="191"/>
      <c r="HV118" s="191"/>
      <c r="HW118" s="191"/>
      <c r="HX118" s="191"/>
      <c r="HY118" s="191"/>
      <c r="HZ118" s="191"/>
      <c r="IA118" s="191"/>
      <c r="IB118" s="191"/>
      <c r="IC118" s="191"/>
      <c r="ID118" s="191"/>
      <c r="IE118" s="191"/>
      <c r="IF118" s="191"/>
      <c r="IG118" s="191"/>
      <c r="IH118" s="191"/>
      <c r="II118" s="191"/>
      <c r="IJ118" s="191"/>
      <c r="IK118" s="191"/>
      <c r="IL118" s="191"/>
      <c r="IM118" s="191"/>
      <c r="IN118" s="191"/>
      <c r="IO118" s="191"/>
      <c r="IP118" s="191"/>
    </row>
    <row r="119" spans="1:250" s="134" customFormat="1" ht="16.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  <c r="EN119" s="191"/>
      <c r="EO119" s="191"/>
      <c r="EP119" s="191"/>
      <c r="EQ119" s="191"/>
      <c r="ER119" s="191"/>
      <c r="ES119" s="191"/>
      <c r="ET119" s="191"/>
      <c r="EU119" s="191"/>
      <c r="EV119" s="191"/>
      <c r="EW119" s="191"/>
      <c r="EX119" s="191"/>
      <c r="EY119" s="191"/>
      <c r="EZ119" s="191"/>
      <c r="FA119" s="191"/>
      <c r="FB119" s="191"/>
      <c r="FC119" s="191"/>
      <c r="FD119" s="191"/>
      <c r="FE119" s="191"/>
      <c r="FF119" s="191"/>
      <c r="FG119" s="191"/>
      <c r="FH119" s="191"/>
      <c r="FI119" s="191"/>
      <c r="FJ119" s="191"/>
      <c r="FK119" s="191"/>
      <c r="FL119" s="191"/>
      <c r="FM119" s="191"/>
      <c r="FN119" s="191"/>
      <c r="FO119" s="191"/>
      <c r="FP119" s="191"/>
      <c r="FQ119" s="191"/>
      <c r="FR119" s="191"/>
      <c r="FS119" s="191"/>
      <c r="FT119" s="191"/>
      <c r="FU119" s="191"/>
      <c r="FV119" s="191"/>
      <c r="FW119" s="191"/>
      <c r="FX119" s="191"/>
      <c r="FY119" s="191"/>
      <c r="FZ119" s="191"/>
      <c r="GA119" s="191"/>
      <c r="GB119" s="191"/>
      <c r="GC119" s="191"/>
      <c r="GD119" s="191"/>
      <c r="GE119" s="191"/>
      <c r="GF119" s="191"/>
      <c r="GG119" s="191"/>
      <c r="GH119" s="191"/>
      <c r="GI119" s="191"/>
      <c r="GJ119" s="191"/>
      <c r="GK119" s="191"/>
      <c r="GL119" s="191"/>
      <c r="GM119" s="191"/>
      <c r="GN119" s="191"/>
      <c r="GO119" s="191"/>
      <c r="GP119" s="191"/>
      <c r="GQ119" s="191"/>
      <c r="GR119" s="191"/>
      <c r="GS119" s="191"/>
      <c r="GT119" s="191"/>
      <c r="GU119" s="191"/>
      <c r="GV119" s="191"/>
      <c r="GW119" s="191"/>
      <c r="GX119" s="191"/>
      <c r="GY119" s="191"/>
      <c r="GZ119" s="191"/>
      <c r="HA119" s="191"/>
      <c r="HB119" s="191"/>
      <c r="HC119" s="191"/>
      <c r="HD119" s="191"/>
      <c r="HE119" s="191"/>
      <c r="HF119" s="191"/>
      <c r="HG119" s="191"/>
      <c r="HH119" s="191"/>
      <c r="HI119" s="191"/>
      <c r="HJ119" s="191"/>
      <c r="HK119" s="191"/>
      <c r="HL119" s="191"/>
      <c r="HM119" s="191"/>
      <c r="HN119" s="191"/>
      <c r="HO119" s="191"/>
      <c r="HP119" s="191"/>
      <c r="HQ119" s="191"/>
      <c r="HR119" s="191"/>
      <c r="HS119" s="191"/>
      <c r="HT119" s="191"/>
      <c r="HU119" s="191"/>
      <c r="HV119" s="191"/>
      <c r="HW119" s="191"/>
      <c r="HX119" s="191"/>
      <c r="HY119" s="191"/>
      <c r="HZ119" s="191"/>
      <c r="IA119" s="191"/>
      <c r="IB119" s="191"/>
      <c r="IC119" s="191"/>
      <c r="ID119" s="191"/>
      <c r="IE119" s="191"/>
      <c r="IF119" s="191"/>
      <c r="IG119" s="191"/>
      <c r="IH119" s="191"/>
      <c r="II119" s="191"/>
      <c r="IJ119" s="191"/>
      <c r="IK119" s="191"/>
      <c r="IL119" s="191"/>
      <c r="IM119" s="191"/>
      <c r="IN119" s="191"/>
      <c r="IO119" s="191"/>
      <c r="IP119" s="191"/>
    </row>
    <row r="120" spans="1:250" s="134" customFormat="1" ht="16.5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191"/>
      <c r="GD120" s="191"/>
      <c r="GE120" s="191"/>
      <c r="GF120" s="191"/>
      <c r="GG120" s="191"/>
      <c r="GH120" s="191"/>
      <c r="GI120" s="191"/>
      <c r="GJ120" s="191"/>
      <c r="GK120" s="191"/>
      <c r="GL120" s="191"/>
      <c r="GM120" s="191"/>
      <c r="GN120" s="191"/>
      <c r="GO120" s="191"/>
      <c r="GP120" s="191"/>
      <c r="GQ120" s="191"/>
      <c r="GR120" s="191"/>
      <c r="GS120" s="191"/>
      <c r="GT120" s="191"/>
      <c r="GU120" s="191"/>
      <c r="GV120" s="191"/>
      <c r="GW120" s="191"/>
      <c r="GX120" s="191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1"/>
      <c r="HI120" s="191"/>
      <c r="HJ120" s="191"/>
      <c r="HK120" s="191"/>
      <c r="HL120" s="191"/>
      <c r="HM120" s="191"/>
      <c r="HN120" s="191"/>
      <c r="HO120" s="191"/>
      <c r="HP120" s="191"/>
      <c r="HQ120" s="191"/>
      <c r="HR120" s="191"/>
      <c r="HS120" s="191"/>
      <c r="HT120" s="191"/>
      <c r="HU120" s="191"/>
      <c r="HV120" s="191"/>
      <c r="HW120" s="191"/>
      <c r="HX120" s="191"/>
      <c r="HY120" s="191"/>
      <c r="HZ120" s="191"/>
      <c r="IA120" s="191"/>
      <c r="IB120" s="191"/>
      <c r="IC120" s="191"/>
      <c r="ID120" s="191"/>
      <c r="IE120" s="191"/>
      <c r="IF120" s="191"/>
      <c r="IG120" s="191"/>
      <c r="IH120" s="191"/>
      <c r="II120" s="191"/>
      <c r="IJ120" s="191"/>
      <c r="IK120" s="191"/>
      <c r="IL120" s="191"/>
      <c r="IM120" s="191"/>
      <c r="IN120" s="191"/>
      <c r="IO120" s="191"/>
      <c r="IP120" s="191"/>
    </row>
    <row r="121" spans="1:250" s="134" customFormat="1" ht="16.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1"/>
      <c r="CG121" s="191"/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  <c r="DB121" s="191"/>
      <c r="DC121" s="191"/>
      <c r="DD121" s="191"/>
      <c r="DE121" s="191"/>
      <c r="DF121" s="191"/>
      <c r="DG121" s="191"/>
      <c r="DH121" s="191"/>
      <c r="DI121" s="191"/>
      <c r="DJ121" s="191"/>
      <c r="DK121" s="191"/>
      <c r="DL121" s="191"/>
      <c r="DM121" s="191"/>
      <c r="DN121" s="191"/>
      <c r="DO121" s="191"/>
      <c r="DP121" s="191"/>
      <c r="DQ121" s="191"/>
      <c r="DR121" s="191"/>
      <c r="DS121" s="191"/>
      <c r="DT121" s="191"/>
      <c r="DU121" s="191"/>
      <c r="DV121" s="191"/>
      <c r="DW121" s="191"/>
      <c r="DX121" s="191"/>
      <c r="DY121" s="191"/>
      <c r="DZ121" s="191"/>
      <c r="EA121" s="191"/>
      <c r="EB121" s="191"/>
      <c r="EC121" s="191"/>
      <c r="ED121" s="191"/>
      <c r="EE121" s="191"/>
      <c r="EF121" s="191"/>
      <c r="EG121" s="191"/>
      <c r="EH121" s="191"/>
      <c r="EI121" s="191"/>
      <c r="EJ121" s="191"/>
      <c r="EK121" s="191"/>
      <c r="EL121" s="191"/>
      <c r="EM121" s="191"/>
      <c r="EN121" s="191"/>
      <c r="EO121" s="191"/>
      <c r="EP121" s="191"/>
      <c r="EQ121" s="191"/>
      <c r="ER121" s="191"/>
      <c r="ES121" s="191"/>
      <c r="ET121" s="191"/>
      <c r="EU121" s="191"/>
      <c r="EV121" s="191"/>
      <c r="EW121" s="191"/>
      <c r="EX121" s="191"/>
      <c r="EY121" s="191"/>
      <c r="EZ121" s="191"/>
      <c r="FA121" s="191"/>
      <c r="FB121" s="191"/>
      <c r="FC121" s="191"/>
      <c r="FD121" s="191"/>
      <c r="FE121" s="191"/>
      <c r="FF121" s="191"/>
      <c r="FG121" s="191"/>
      <c r="FH121" s="191"/>
      <c r="FI121" s="191"/>
      <c r="FJ121" s="191"/>
      <c r="FK121" s="191"/>
      <c r="FL121" s="191"/>
      <c r="FM121" s="191"/>
      <c r="FN121" s="191"/>
      <c r="FO121" s="191"/>
      <c r="FP121" s="191"/>
      <c r="FQ121" s="191"/>
      <c r="FR121" s="191"/>
      <c r="FS121" s="191"/>
      <c r="FT121" s="191"/>
      <c r="FU121" s="191"/>
      <c r="FV121" s="191"/>
      <c r="FW121" s="191"/>
      <c r="FX121" s="191"/>
      <c r="FY121" s="191"/>
      <c r="FZ121" s="191"/>
      <c r="GA121" s="191"/>
      <c r="GB121" s="191"/>
      <c r="GC121" s="191"/>
      <c r="GD121" s="191"/>
      <c r="GE121" s="191"/>
      <c r="GF121" s="191"/>
      <c r="GG121" s="191"/>
      <c r="GH121" s="191"/>
      <c r="GI121" s="191"/>
      <c r="GJ121" s="191"/>
      <c r="GK121" s="191"/>
      <c r="GL121" s="191"/>
      <c r="GM121" s="191"/>
      <c r="GN121" s="191"/>
      <c r="GO121" s="191"/>
      <c r="GP121" s="191"/>
      <c r="GQ121" s="191"/>
      <c r="GR121" s="191"/>
      <c r="GS121" s="191"/>
      <c r="GT121" s="191"/>
      <c r="GU121" s="191"/>
      <c r="GV121" s="191"/>
      <c r="GW121" s="191"/>
      <c r="GX121" s="191"/>
      <c r="GY121" s="191"/>
      <c r="GZ121" s="191"/>
      <c r="HA121" s="191"/>
      <c r="HB121" s="191"/>
      <c r="HC121" s="191"/>
      <c r="HD121" s="191"/>
      <c r="HE121" s="191"/>
      <c r="HF121" s="191"/>
      <c r="HG121" s="191"/>
      <c r="HH121" s="191"/>
      <c r="HI121" s="191"/>
      <c r="HJ121" s="191"/>
      <c r="HK121" s="191"/>
      <c r="HL121" s="191"/>
      <c r="HM121" s="191"/>
      <c r="HN121" s="191"/>
      <c r="HO121" s="191"/>
      <c r="HP121" s="191"/>
      <c r="HQ121" s="191"/>
      <c r="HR121" s="191"/>
      <c r="HS121" s="191"/>
      <c r="HT121" s="191"/>
      <c r="HU121" s="191"/>
      <c r="HV121" s="191"/>
      <c r="HW121" s="191"/>
      <c r="HX121" s="191"/>
      <c r="HY121" s="191"/>
      <c r="HZ121" s="191"/>
      <c r="IA121" s="191"/>
      <c r="IB121" s="191"/>
      <c r="IC121" s="191"/>
      <c r="ID121" s="191"/>
      <c r="IE121" s="191"/>
      <c r="IF121" s="191"/>
      <c r="IG121" s="191"/>
      <c r="IH121" s="191"/>
      <c r="II121" s="191"/>
      <c r="IJ121" s="191"/>
      <c r="IK121" s="191"/>
      <c r="IL121" s="191"/>
      <c r="IM121" s="191"/>
      <c r="IN121" s="191"/>
      <c r="IO121" s="191"/>
      <c r="IP121" s="191"/>
    </row>
    <row r="122" spans="1:250" s="134" customFormat="1" ht="16.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1"/>
      <c r="FH122" s="191"/>
      <c r="FI122" s="191"/>
      <c r="FJ122" s="191"/>
      <c r="FK122" s="191"/>
      <c r="FL122" s="191"/>
      <c r="FM122" s="191"/>
      <c r="FN122" s="191"/>
      <c r="FO122" s="191"/>
      <c r="FP122" s="191"/>
      <c r="FQ122" s="191"/>
      <c r="FR122" s="191"/>
      <c r="FS122" s="191"/>
      <c r="FT122" s="191"/>
      <c r="FU122" s="191"/>
      <c r="FV122" s="191"/>
      <c r="FW122" s="191"/>
      <c r="FX122" s="191"/>
      <c r="FY122" s="191"/>
      <c r="FZ122" s="191"/>
      <c r="GA122" s="191"/>
      <c r="GB122" s="191"/>
      <c r="GC122" s="191"/>
      <c r="GD122" s="191"/>
      <c r="GE122" s="191"/>
      <c r="GF122" s="191"/>
      <c r="GG122" s="191"/>
      <c r="GH122" s="191"/>
      <c r="GI122" s="191"/>
      <c r="GJ122" s="191"/>
      <c r="GK122" s="191"/>
      <c r="GL122" s="191"/>
      <c r="GM122" s="191"/>
      <c r="GN122" s="191"/>
      <c r="GO122" s="191"/>
      <c r="GP122" s="191"/>
      <c r="GQ122" s="191"/>
      <c r="GR122" s="191"/>
      <c r="GS122" s="191"/>
      <c r="GT122" s="191"/>
      <c r="GU122" s="191"/>
      <c r="GV122" s="191"/>
      <c r="GW122" s="191"/>
      <c r="GX122" s="191"/>
      <c r="GY122" s="191"/>
      <c r="GZ122" s="191"/>
      <c r="HA122" s="191"/>
      <c r="HB122" s="191"/>
      <c r="HC122" s="191"/>
      <c r="HD122" s="191"/>
      <c r="HE122" s="191"/>
      <c r="HF122" s="191"/>
      <c r="HG122" s="191"/>
      <c r="HH122" s="191"/>
      <c r="HI122" s="191"/>
      <c r="HJ122" s="191"/>
      <c r="HK122" s="191"/>
      <c r="HL122" s="191"/>
      <c r="HM122" s="191"/>
      <c r="HN122" s="191"/>
      <c r="HO122" s="191"/>
      <c r="HP122" s="191"/>
      <c r="HQ122" s="191"/>
      <c r="HR122" s="191"/>
      <c r="HS122" s="191"/>
      <c r="HT122" s="191"/>
      <c r="HU122" s="191"/>
      <c r="HV122" s="191"/>
      <c r="HW122" s="191"/>
      <c r="HX122" s="191"/>
      <c r="HY122" s="191"/>
      <c r="HZ122" s="191"/>
      <c r="IA122" s="191"/>
      <c r="IB122" s="191"/>
      <c r="IC122" s="191"/>
      <c r="ID122" s="191"/>
      <c r="IE122" s="191"/>
      <c r="IF122" s="191"/>
      <c r="IG122" s="191"/>
      <c r="IH122" s="191"/>
      <c r="II122" s="191"/>
      <c r="IJ122" s="191"/>
      <c r="IK122" s="191"/>
      <c r="IL122" s="191"/>
      <c r="IM122" s="191"/>
      <c r="IN122" s="191"/>
      <c r="IO122" s="191"/>
      <c r="IP122" s="191"/>
    </row>
    <row r="123" spans="1:250" s="134" customFormat="1" ht="16.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91"/>
      <c r="EF123" s="191"/>
      <c r="EG123" s="191"/>
      <c r="EH123" s="191"/>
      <c r="EI123" s="191"/>
      <c r="EJ123" s="191"/>
      <c r="EK123" s="191"/>
      <c r="EL123" s="191"/>
      <c r="EM123" s="191"/>
      <c r="EN123" s="191"/>
      <c r="EO123" s="191"/>
      <c r="EP123" s="191"/>
      <c r="EQ123" s="191"/>
      <c r="ER123" s="191"/>
      <c r="ES123" s="191"/>
      <c r="ET123" s="191"/>
      <c r="EU123" s="191"/>
      <c r="EV123" s="191"/>
      <c r="EW123" s="191"/>
      <c r="EX123" s="191"/>
      <c r="EY123" s="191"/>
      <c r="EZ123" s="191"/>
      <c r="FA123" s="191"/>
      <c r="FB123" s="191"/>
      <c r="FC123" s="191"/>
      <c r="FD123" s="191"/>
      <c r="FE123" s="191"/>
      <c r="FF123" s="191"/>
      <c r="FG123" s="191"/>
      <c r="FH123" s="191"/>
      <c r="FI123" s="191"/>
      <c r="FJ123" s="191"/>
      <c r="FK123" s="191"/>
      <c r="FL123" s="191"/>
      <c r="FM123" s="191"/>
      <c r="FN123" s="191"/>
      <c r="FO123" s="191"/>
      <c r="FP123" s="191"/>
      <c r="FQ123" s="191"/>
      <c r="FR123" s="191"/>
      <c r="FS123" s="191"/>
      <c r="FT123" s="191"/>
      <c r="FU123" s="191"/>
      <c r="FV123" s="191"/>
      <c r="FW123" s="191"/>
      <c r="FX123" s="191"/>
      <c r="FY123" s="191"/>
      <c r="FZ123" s="191"/>
      <c r="GA123" s="191"/>
      <c r="GB123" s="191"/>
      <c r="GC123" s="191"/>
      <c r="GD123" s="191"/>
      <c r="GE123" s="191"/>
      <c r="GF123" s="191"/>
      <c r="GG123" s="191"/>
      <c r="GH123" s="191"/>
      <c r="GI123" s="191"/>
      <c r="GJ123" s="191"/>
      <c r="GK123" s="191"/>
      <c r="GL123" s="191"/>
      <c r="GM123" s="191"/>
      <c r="GN123" s="191"/>
      <c r="GO123" s="191"/>
      <c r="GP123" s="191"/>
      <c r="GQ123" s="191"/>
      <c r="GR123" s="191"/>
      <c r="GS123" s="191"/>
      <c r="GT123" s="191"/>
      <c r="GU123" s="191"/>
      <c r="GV123" s="191"/>
      <c r="GW123" s="191"/>
      <c r="GX123" s="191"/>
      <c r="GY123" s="191"/>
      <c r="GZ123" s="191"/>
      <c r="HA123" s="191"/>
      <c r="HB123" s="191"/>
      <c r="HC123" s="191"/>
      <c r="HD123" s="191"/>
      <c r="HE123" s="191"/>
      <c r="HF123" s="191"/>
      <c r="HG123" s="191"/>
      <c r="HH123" s="191"/>
      <c r="HI123" s="191"/>
      <c r="HJ123" s="191"/>
      <c r="HK123" s="191"/>
      <c r="HL123" s="191"/>
      <c r="HM123" s="191"/>
      <c r="HN123" s="191"/>
      <c r="HO123" s="191"/>
      <c r="HP123" s="191"/>
      <c r="HQ123" s="191"/>
      <c r="HR123" s="191"/>
      <c r="HS123" s="191"/>
      <c r="HT123" s="191"/>
      <c r="HU123" s="191"/>
      <c r="HV123" s="191"/>
      <c r="HW123" s="191"/>
      <c r="HX123" s="191"/>
      <c r="HY123" s="191"/>
      <c r="HZ123" s="191"/>
      <c r="IA123" s="191"/>
      <c r="IB123" s="191"/>
      <c r="IC123" s="191"/>
      <c r="ID123" s="191"/>
      <c r="IE123" s="191"/>
      <c r="IF123" s="191"/>
      <c r="IG123" s="191"/>
      <c r="IH123" s="191"/>
      <c r="II123" s="191"/>
      <c r="IJ123" s="191"/>
      <c r="IK123" s="191"/>
      <c r="IL123" s="191"/>
      <c r="IM123" s="191"/>
      <c r="IN123" s="191"/>
      <c r="IO123" s="191"/>
      <c r="IP123" s="191"/>
    </row>
    <row r="124" spans="1:250" s="134" customFormat="1" ht="16.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  <c r="FH124" s="191"/>
      <c r="FI124" s="191"/>
      <c r="FJ124" s="191"/>
      <c r="FK124" s="191"/>
      <c r="FL124" s="191"/>
      <c r="FM124" s="191"/>
      <c r="FN124" s="191"/>
      <c r="FO124" s="191"/>
      <c r="FP124" s="191"/>
      <c r="FQ124" s="191"/>
      <c r="FR124" s="191"/>
      <c r="FS124" s="191"/>
      <c r="FT124" s="191"/>
      <c r="FU124" s="191"/>
      <c r="FV124" s="191"/>
      <c r="FW124" s="191"/>
      <c r="FX124" s="191"/>
      <c r="FY124" s="191"/>
      <c r="FZ124" s="191"/>
      <c r="GA124" s="191"/>
      <c r="GB124" s="191"/>
      <c r="GC124" s="191"/>
      <c r="GD124" s="191"/>
      <c r="GE124" s="191"/>
      <c r="GF124" s="191"/>
      <c r="GG124" s="191"/>
      <c r="GH124" s="191"/>
      <c r="GI124" s="191"/>
      <c r="GJ124" s="191"/>
      <c r="GK124" s="191"/>
      <c r="GL124" s="191"/>
      <c r="GM124" s="191"/>
      <c r="GN124" s="191"/>
      <c r="GO124" s="191"/>
      <c r="GP124" s="191"/>
      <c r="GQ124" s="191"/>
      <c r="GR124" s="191"/>
      <c r="GS124" s="191"/>
      <c r="GT124" s="191"/>
      <c r="GU124" s="191"/>
      <c r="GV124" s="191"/>
      <c r="GW124" s="191"/>
      <c r="GX124" s="191"/>
      <c r="GY124" s="191"/>
      <c r="GZ124" s="191"/>
      <c r="HA124" s="191"/>
      <c r="HB124" s="191"/>
      <c r="HC124" s="191"/>
      <c r="HD124" s="191"/>
      <c r="HE124" s="191"/>
      <c r="HF124" s="191"/>
      <c r="HG124" s="191"/>
      <c r="HH124" s="191"/>
      <c r="HI124" s="191"/>
      <c r="HJ124" s="191"/>
      <c r="HK124" s="191"/>
      <c r="HL124" s="191"/>
      <c r="HM124" s="191"/>
      <c r="HN124" s="191"/>
      <c r="HO124" s="191"/>
      <c r="HP124" s="191"/>
      <c r="HQ124" s="191"/>
      <c r="HR124" s="191"/>
      <c r="HS124" s="191"/>
      <c r="HT124" s="191"/>
      <c r="HU124" s="191"/>
      <c r="HV124" s="191"/>
      <c r="HW124" s="191"/>
      <c r="HX124" s="191"/>
      <c r="HY124" s="191"/>
      <c r="HZ124" s="191"/>
      <c r="IA124" s="191"/>
      <c r="IB124" s="191"/>
      <c r="IC124" s="191"/>
      <c r="ID124" s="191"/>
      <c r="IE124" s="191"/>
      <c r="IF124" s="191"/>
      <c r="IG124" s="191"/>
      <c r="IH124" s="191"/>
      <c r="II124" s="191"/>
      <c r="IJ124" s="191"/>
      <c r="IK124" s="191"/>
      <c r="IL124" s="191"/>
      <c r="IM124" s="191"/>
      <c r="IN124" s="191"/>
      <c r="IO124" s="191"/>
      <c r="IP124" s="191"/>
    </row>
    <row r="125" spans="1:250" s="134" customFormat="1" ht="16.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  <c r="BV125" s="191"/>
      <c r="BW125" s="191"/>
      <c r="BX125" s="191"/>
      <c r="BY125" s="191"/>
      <c r="BZ125" s="191"/>
      <c r="CA125" s="191"/>
      <c r="CB125" s="191"/>
      <c r="CC125" s="191"/>
      <c r="CD125" s="191"/>
      <c r="CE125" s="191"/>
      <c r="CF125" s="191"/>
      <c r="CG125" s="191"/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1"/>
      <c r="DE125" s="191"/>
      <c r="DF125" s="191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1"/>
      <c r="ED125" s="191"/>
      <c r="EE125" s="191"/>
      <c r="EF125" s="191"/>
      <c r="EG125" s="191"/>
      <c r="EH125" s="191"/>
      <c r="EI125" s="191"/>
      <c r="EJ125" s="191"/>
      <c r="EK125" s="191"/>
      <c r="EL125" s="191"/>
      <c r="EM125" s="191"/>
      <c r="EN125" s="191"/>
      <c r="EO125" s="191"/>
      <c r="EP125" s="191"/>
      <c r="EQ125" s="191"/>
      <c r="ER125" s="191"/>
      <c r="ES125" s="191"/>
      <c r="ET125" s="191"/>
      <c r="EU125" s="191"/>
      <c r="EV125" s="191"/>
      <c r="EW125" s="191"/>
      <c r="EX125" s="191"/>
      <c r="EY125" s="191"/>
      <c r="EZ125" s="191"/>
      <c r="FA125" s="191"/>
      <c r="FB125" s="191"/>
      <c r="FC125" s="191"/>
      <c r="FD125" s="191"/>
      <c r="FE125" s="191"/>
      <c r="FF125" s="191"/>
      <c r="FG125" s="191"/>
      <c r="FH125" s="191"/>
      <c r="FI125" s="191"/>
      <c r="FJ125" s="191"/>
      <c r="FK125" s="191"/>
      <c r="FL125" s="191"/>
      <c r="FM125" s="191"/>
      <c r="FN125" s="191"/>
      <c r="FO125" s="191"/>
      <c r="FP125" s="191"/>
      <c r="FQ125" s="191"/>
      <c r="FR125" s="191"/>
      <c r="FS125" s="191"/>
      <c r="FT125" s="191"/>
      <c r="FU125" s="191"/>
      <c r="FV125" s="191"/>
      <c r="FW125" s="191"/>
      <c r="FX125" s="191"/>
      <c r="FY125" s="191"/>
      <c r="FZ125" s="191"/>
      <c r="GA125" s="191"/>
      <c r="GB125" s="191"/>
      <c r="GC125" s="191"/>
      <c r="GD125" s="191"/>
      <c r="GE125" s="191"/>
      <c r="GF125" s="191"/>
      <c r="GG125" s="191"/>
      <c r="GH125" s="191"/>
      <c r="GI125" s="191"/>
      <c r="GJ125" s="191"/>
      <c r="GK125" s="191"/>
      <c r="GL125" s="191"/>
      <c r="GM125" s="191"/>
      <c r="GN125" s="191"/>
      <c r="GO125" s="191"/>
      <c r="GP125" s="191"/>
      <c r="GQ125" s="191"/>
      <c r="GR125" s="191"/>
      <c r="GS125" s="191"/>
      <c r="GT125" s="191"/>
      <c r="GU125" s="191"/>
      <c r="GV125" s="191"/>
      <c r="GW125" s="191"/>
      <c r="GX125" s="191"/>
      <c r="GY125" s="191"/>
      <c r="GZ125" s="191"/>
      <c r="HA125" s="191"/>
      <c r="HB125" s="191"/>
      <c r="HC125" s="191"/>
      <c r="HD125" s="191"/>
      <c r="HE125" s="191"/>
      <c r="HF125" s="191"/>
      <c r="HG125" s="191"/>
      <c r="HH125" s="191"/>
      <c r="HI125" s="191"/>
      <c r="HJ125" s="191"/>
      <c r="HK125" s="191"/>
      <c r="HL125" s="191"/>
      <c r="HM125" s="191"/>
      <c r="HN125" s="191"/>
      <c r="HO125" s="191"/>
      <c r="HP125" s="191"/>
      <c r="HQ125" s="191"/>
      <c r="HR125" s="191"/>
      <c r="HS125" s="191"/>
      <c r="HT125" s="191"/>
      <c r="HU125" s="191"/>
      <c r="HV125" s="191"/>
      <c r="HW125" s="191"/>
      <c r="HX125" s="191"/>
      <c r="HY125" s="191"/>
      <c r="HZ125" s="191"/>
      <c r="IA125" s="191"/>
      <c r="IB125" s="191"/>
      <c r="IC125" s="191"/>
      <c r="ID125" s="191"/>
      <c r="IE125" s="191"/>
      <c r="IF125" s="191"/>
      <c r="IG125" s="191"/>
      <c r="IH125" s="191"/>
      <c r="II125" s="191"/>
      <c r="IJ125" s="191"/>
      <c r="IK125" s="191"/>
      <c r="IL125" s="191"/>
      <c r="IM125" s="191"/>
      <c r="IN125" s="191"/>
      <c r="IO125" s="191"/>
      <c r="IP125" s="191"/>
    </row>
    <row r="126" spans="1:250" s="134" customFormat="1" ht="16.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91"/>
      <c r="BU126" s="191"/>
      <c r="BV126" s="191"/>
      <c r="BW126" s="191"/>
      <c r="BX126" s="191"/>
      <c r="BY126" s="191"/>
      <c r="BZ126" s="191"/>
      <c r="CA126" s="191"/>
      <c r="CB126" s="191"/>
      <c r="CC126" s="191"/>
      <c r="CD126" s="191"/>
      <c r="CE126" s="191"/>
      <c r="CF126" s="191"/>
      <c r="CG126" s="191"/>
      <c r="CH126" s="191"/>
      <c r="CI126" s="191"/>
      <c r="CJ126" s="191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91"/>
      <c r="DB126" s="191"/>
      <c r="DC126" s="191"/>
      <c r="DD126" s="191"/>
      <c r="DE126" s="191"/>
      <c r="DF126" s="191"/>
      <c r="DG126" s="191"/>
      <c r="DH126" s="191"/>
      <c r="DI126" s="191"/>
      <c r="DJ126" s="191"/>
      <c r="DK126" s="191"/>
      <c r="DL126" s="191"/>
      <c r="DM126" s="191"/>
      <c r="DN126" s="191"/>
      <c r="DO126" s="191"/>
      <c r="DP126" s="191"/>
      <c r="DQ126" s="191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1"/>
      <c r="ED126" s="191"/>
      <c r="EE126" s="191"/>
      <c r="EF126" s="191"/>
      <c r="EG126" s="191"/>
      <c r="EH126" s="191"/>
      <c r="EI126" s="191"/>
      <c r="EJ126" s="191"/>
      <c r="EK126" s="191"/>
      <c r="EL126" s="191"/>
      <c r="EM126" s="191"/>
      <c r="EN126" s="191"/>
      <c r="EO126" s="191"/>
      <c r="EP126" s="191"/>
      <c r="EQ126" s="191"/>
      <c r="ER126" s="191"/>
      <c r="ES126" s="191"/>
      <c r="ET126" s="191"/>
      <c r="EU126" s="191"/>
      <c r="EV126" s="191"/>
      <c r="EW126" s="191"/>
      <c r="EX126" s="191"/>
      <c r="EY126" s="191"/>
      <c r="EZ126" s="191"/>
      <c r="FA126" s="191"/>
      <c r="FB126" s="191"/>
      <c r="FC126" s="191"/>
      <c r="FD126" s="191"/>
      <c r="FE126" s="191"/>
      <c r="FF126" s="191"/>
      <c r="FG126" s="191"/>
      <c r="FH126" s="191"/>
      <c r="FI126" s="191"/>
      <c r="FJ126" s="191"/>
      <c r="FK126" s="191"/>
      <c r="FL126" s="191"/>
      <c r="FM126" s="191"/>
      <c r="FN126" s="191"/>
      <c r="FO126" s="191"/>
      <c r="FP126" s="191"/>
      <c r="FQ126" s="191"/>
      <c r="FR126" s="191"/>
      <c r="FS126" s="191"/>
      <c r="FT126" s="191"/>
      <c r="FU126" s="191"/>
      <c r="FV126" s="191"/>
      <c r="FW126" s="191"/>
      <c r="FX126" s="191"/>
      <c r="FY126" s="191"/>
      <c r="FZ126" s="191"/>
      <c r="GA126" s="191"/>
      <c r="GB126" s="191"/>
      <c r="GC126" s="191"/>
      <c r="GD126" s="191"/>
      <c r="GE126" s="191"/>
      <c r="GF126" s="191"/>
      <c r="GG126" s="191"/>
      <c r="GH126" s="191"/>
      <c r="GI126" s="191"/>
      <c r="GJ126" s="191"/>
      <c r="GK126" s="191"/>
      <c r="GL126" s="191"/>
      <c r="GM126" s="191"/>
      <c r="GN126" s="191"/>
      <c r="GO126" s="191"/>
      <c r="GP126" s="191"/>
      <c r="GQ126" s="191"/>
      <c r="GR126" s="191"/>
      <c r="GS126" s="191"/>
      <c r="GT126" s="191"/>
      <c r="GU126" s="191"/>
      <c r="GV126" s="191"/>
      <c r="GW126" s="191"/>
      <c r="GX126" s="191"/>
      <c r="GY126" s="191"/>
      <c r="GZ126" s="191"/>
      <c r="HA126" s="191"/>
      <c r="HB126" s="191"/>
      <c r="HC126" s="191"/>
      <c r="HD126" s="191"/>
      <c r="HE126" s="191"/>
      <c r="HF126" s="191"/>
      <c r="HG126" s="191"/>
      <c r="HH126" s="191"/>
      <c r="HI126" s="191"/>
      <c r="HJ126" s="191"/>
      <c r="HK126" s="191"/>
      <c r="HL126" s="191"/>
      <c r="HM126" s="191"/>
      <c r="HN126" s="191"/>
      <c r="HO126" s="191"/>
      <c r="HP126" s="191"/>
      <c r="HQ126" s="191"/>
      <c r="HR126" s="191"/>
      <c r="HS126" s="191"/>
      <c r="HT126" s="191"/>
      <c r="HU126" s="191"/>
      <c r="HV126" s="191"/>
      <c r="HW126" s="191"/>
      <c r="HX126" s="191"/>
      <c r="HY126" s="191"/>
      <c r="HZ126" s="191"/>
      <c r="IA126" s="191"/>
      <c r="IB126" s="191"/>
      <c r="IC126" s="191"/>
      <c r="ID126" s="191"/>
      <c r="IE126" s="191"/>
      <c r="IF126" s="191"/>
      <c r="IG126" s="191"/>
      <c r="IH126" s="191"/>
      <c r="II126" s="191"/>
      <c r="IJ126" s="191"/>
      <c r="IK126" s="191"/>
      <c r="IL126" s="191"/>
      <c r="IM126" s="191"/>
      <c r="IN126" s="191"/>
      <c r="IO126" s="191"/>
      <c r="IP126" s="191"/>
    </row>
    <row r="127" spans="1:250" s="134" customFormat="1" ht="16.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  <c r="EG127" s="191"/>
      <c r="EH127" s="191"/>
      <c r="EI127" s="191"/>
      <c r="EJ127" s="191"/>
      <c r="EK127" s="191"/>
      <c r="EL127" s="191"/>
      <c r="EM127" s="191"/>
      <c r="EN127" s="191"/>
      <c r="EO127" s="191"/>
      <c r="EP127" s="191"/>
      <c r="EQ127" s="191"/>
      <c r="ER127" s="191"/>
      <c r="ES127" s="191"/>
      <c r="ET127" s="191"/>
      <c r="EU127" s="191"/>
      <c r="EV127" s="191"/>
      <c r="EW127" s="191"/>
      <c r="EX127" s="191"/>
      <c r="EY127" s="191"/>
      <c r="EZ127" s="191"/>
      <c r="FA127" s="191"/>
      <c r="FB127" s="191"/>
      <c r="FC127" s="191"/>
      <c r="FD127" s="191"/>
      <c r="FE127" s="191"/>
      <c r="FF127" s="191"/>
      <c r="FG127" s="191"/>
      <c r="FH127" s="191"/>
      <c r="FI127" s="191"/>
      <c r="FJ127" s="191"/>
      <c r="FK127" s="191"/>
      <c r="FL127" s="191"/>
      <c r="FM127" s="191"/>
      <c r="FN127" s="191"/>
      <c r="FO127" s="191"/>
      <c r="FP127" s="191"/>
      <c r="FQ127" s="191"/>
      <c r="FR127" s="191"/>
      <c r="FS127" s="191"/>
      <c r="FT127" s="191"/>
      <c r="FU127" s="191"/>
      <c r="FV127" s="191"/>
      <c r="FW127" s="191"/>
      <c r="FX127" s="191"/>
      <c r="FY127" s="191"/>
      <c r="FZ127" s="191"/>
      <c r="GA127" s="191"/>
      <c r="GB127" s="191"/>
      <c r="GC127" s="191"/>
      <c r="GD127" s="191"/>
      <c r="GE127" s="191"/>
      <c r="GF127" s="191"/>
      <c r="GG127" s="191"/>
      <c r="GH127" s="191"/>
      <c r="GI127" s="191"/>
      <c r="GJ127" s="191"/>
      <c r="GK127" s="191"/>
      <c r="GL127" s="191"/>
      <c r="GM127" s="191"/>
      <c r="GN127" s="191"/>
      <c r="GO127" s="191"/>
      <c r="GP127" s="191"/>
      <c r="GQ127" s="191"/>
      <c r="GR127" s="191"/>
      <c r="GS127" s="191"/>
      <c r="GT127" s="191"/>
      <c r="GU127" s="191"/>
      <c r="GV127" s="191"/>
      <c r="GW127" s="191"/>
      <c r="GX127" s="191"/>
      <c r="GY127" s="191"/>
      <c r="GZ127" s="191"/>
      <c r="HA127" s="191"/>
      <c r="HB127" s="191"/>
      <c r="HC127" s="191"/>
      <c r="HD127" s="191"/>
      <c r="HE127" s="191"/>
      <c r="HF127" s="191"/>
      <c r="HG127" s="191"/>
      <c r="HH127" s="191"/>
      <c r="HI127" s="191"/>
      <c r="HJ127" s="191"/>
      <c r="HK127" s="191"/>
      <c r="HL127" s="191"/>
      <c r="HM127" s="191"/>
      <c r="HN127" s="191"/>
      <c r="HO127" s="191"/>
      <c r="HP127" s="191"/>
      <c r="HQ127" s="191"/>
      <c r="HR127" s="191"/>
      <c r="HS127" s="191"/>
      <c r="HT127" s="191"/>
      <c r="HU127" s="191"/>
      <c r="HV127" s="191"/>
      <c r="HW127" s="191"/>
      <c r="HX127" s="191"/>
      <c r="HY127" s="191"/>
      <c r="HZ127" s="191"/>
      <c r="IA127" s="191"/>
      <c r="IB127" s="191"/>
      <c r="IC127" s="191"/>
      <c r="ID127" s="191"/>
      <c r="IE127" s="191"/>
      <c r="IF127" s="191"/>
      <c r="IG127" s="191"/>
      <c r="IH127" s="191"/>
      <c r="II127" s="191"/>
      <c r="IJ127" s="191"/>
      <c r="IK127" s="191"/>
      <c r="IL127" s="191"/>
      <c r="IM127" s="191"/>
      <c r="IN127" s="191"/>
      <c r="IO127" s="191"/>
      <c r="IP127" s="191"/>
    </row>
    <row r="128" spans="1:250" s="134" customFormat="1" ht="16.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191"/>
      <c r="EE128" s="191"/>
      <c r="EF128" s="191"/>
      <c r="EG128" s="191"/>
      <c r="EH128" s="191"/>
      <c r="EI128" s="191"/>
      <c r="EJ128" s="191"/>
      <c r="EK128" s="191"/>
      <c r="EL128" s="191"/>
      <c r="EM128" s="191"/>
      <c r="EN128" s="191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91"/>
      <c r="FG128" s="191"/>
      <c r="FH128" s="191"/>
      <c r="FI128" s="191"/>
      <c r="FJ128" s="191"/>
      <c r="FK128" s="191"/>
      <c r="FL128" s="191"/>
      <c r="FM128" s="191"/>
      <c r="FN128" s="191"/>
      <c r="FO128" s="191"/>
      <c r="FP128" s="191"/>
      <c r="FQ128" s="191"/>
      <c r="FR128" s="191"/>
      <c r="FS128" s="191"/>
      <c r="FT128" s="191"/>
      <c r="FU128" s="191"/>
      <c r="FV128" s="191"/>
      <c r="FW128" s="191"/>
      <c r="FX128" s="191"/>
      <c r="FY128" s="191"/>
      <c r="FZ128" s="191"/>
      <c r="GA128" s="191"/>
      <c r="GB128" s="191"/>
      <c r="GC128" s="191"/>
      <c r="GD128" s="191"/>
      <c r="GE128" s="191"/>
      <c r="GF128" s="191"/>
      <c r="GG128" s="191"/>
      <c r="GH128" s="191"/>
      <c r="GI128" s="191"/>
      <c r="GJ128" s="191"/>
      <c r="GK128" s="191"/>
      <c r="GL128" s="191"/>
      <c r="GM128" s="191"/>
      <c r="GN128" s="191"/>
      <c r="GO128" s="191"/>
      <c r="GP128" s="191"/>
      <c r="GQ128" s="191"/>
      <c r="GR128" s="191"/>
      <c r="GS128" s="191"/>
      <c r="GT128" s="191"/>
      <c r="GU128" s="191"/>
      <c r="GV128" s="191"/>
      <c r="GW128" s="191"/>
      <c r="GX128" s="191"/>
      <c r="GY128" s="191"/>
      <c r="GZ128" s="191"/>
      <c r="HA128" s="191"/>
      <c r="HB128" s="191"/>
      <c r="HC128" s="191"/>
      <c r="HD128" s="191"/>
      <c r="HE128" s="191"/>
      <c r="HF128" s="191"/>
      <c r="HG128" s="191"/>
      <c r="HH128" s="191"/>
      <c r="HI128" s="191"/>
      <c r="HJ128" s="191"/>
      <c r="HK128" s="191"/>
      <c r="HL128" s="191"/>
      <c r="HM128" s="191"/>
      <c r="HN128" s="191"/>
      <c r="HO128" s="191"/>
      <c r="HP128" s="191"/>
      <c r="HQ128" s="191"/>
      <c r="HR128" s="191"/>
      <c r="HS128" s="191"/>
      <c r="HT128" s="191"/>
      <c r="HU128" s="191"/>
      <c r="HV128" s="191"/>
      <c r="HW128" s="191"/>
      <c r="HX128" s="191"/>
      <c r="HY128" s="191"/>
      <c r="HZ128" s="191"/>
      <c r="IA128" s="191"/>
      <c r="IB128" s="191"/>
      <c r="IC128" s="191"/>
      <c r="ID128" s="191"/>
      <c r="IE128" s="191"/>
      <c r="IF128" s="191"/>
      <c r="IG128" s="191"/>
      <c r="IH128" s="191"/>
      <c r="II128" s="191"/>
      <c r="IJ128" s="191"/>
      <c r="IK128" s="191"/>
      <c r="IL128" s="191"/>
      <c r="IM128" s="191"/>
      <c r="IN128" s="191"/>
      <c r="IO128" s="191"/>
      <c r="IP128" s="191"/>
    </row>
    <row r="129" spans="1:250" s="134" customFormat="1" ht="16.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91"/>
      <c r="DB129" s="191"/>
      <c r="DC129" s="191"/>
      <c r="DD129" s="191"/>
      <c r="DE129" s="191"/>
      <c r="DF129" s="191"/>
      <c r="DG129" s="191"/>
      <c r="DH129" s="191"/>
      <c r="DI129" s="191"/>
      <c r="DJ129" s="191"/>
      <c r="DK129" s="191"/>
      <c r="DL129" s="191"/>
      <c r="DM129" s="191"/>
      <c r="DN129" s="191"/>
      <c r="DO129" s="191"/>
      <c r="DP129" s="191"/>
      <c r="DQ129" s="191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1"/>
      <c r="ED129" s="191"/>
      <c r="EE129" s="191"/>
      <c r="EF129" s="191"/>
      <c r="EG129" s="191"/>
      <c r="EH129" s="191"/>
      <c r="EI129" s="191"/>
      <c r="EJ129" s="191"/>
      <c r="EK129" s="191"/>
      <c r="EL129" s="191"/>
      <c r="EM129" s="191"/>
      <c r="EN129" s="191"/>
      <c r="EO129" s="191"/>
      <c r="EP129" s="191"/>
      <c r="EQ129" s="191"/>
      <c r="ER129" s="191"/>
      <c r="ES129" s="191"/>
      <c r="ET129" s="191"/>
      <c r="EU129" s="191"/>
      <c r="EV129" s="191"/>
      <c r="EW129" s="191"/>
      <c r="EX129" s="191"/>
      <c r="EY129" s="191"/>
      <c r="EZ129" s="191"/>
      <c r="FA129" s="191"/>
      <c r="FB129" s="191"/>
      <c r="FC129" s="191"/>
      <c r="FD129" s="191"/>
      <c r="FE129" s="191"/>
      <c r="FF129" s="191"/>
      <c r="FG129" s="191"/>
      <c r="FH129" s="191"/>
      <c r="FI129" s="191"/>
      <c r="FJ129" s="191"/>
      <c r="FK129" s="191"/>
      <c r="FL129" s="191"/>
      <c r="FM129" s="191"/>
      <c r="FN129" s="191"/>
      <c r="FO129" s="191"/>
      <c r="FP129" s="191"/>
      <c r="FQ129" s="191"/>
      <c r="FR129" s="191"/>
      <c r="FS129" s="191"/>
      <c r="FT129" s="191"/>
      <c r="FU129" s="191"/>
      <c r="FV129" s="191"/>
      <c r="FW129" s="191"/>
      <c r="FX129" s="191"/>
      <c r="FY129" s="191"/>
      <c r="FZ129" s="191"/>
      <c r="GA129" s="191"/>
      <c r="GB129" s="191"/>
      <c r="GC129" s="191"/>
      <c r="GD129" s="191"/>
      <c r="GE129" s="191"/>
      <c r="GF129" s="191"/>
      <c r="GG129" s="191"/>
      <c r="GH129" s="191"/>
      <c r="GI129" s="191"/>
      <c r="GJ129" s="191"/>
      <c r="GK129" s="191"/>
      <c r="GL129" s="191"/>
      <c r="GM129" s="191"/>
      <c r="GN129" s="191"/>
      <c r="GO129" s="191"/>
      <c r="GP129" s="191"/>
      <c r="GQ129" s="191"/>
      <c r="GR129" s="191"/>
      <c r="GS129" s="191"/>
      <c r="GT129" s="191"/>
      <c r="GU129" s="191"/>
      <c r="GV129" s="191"/>
      <c r="GW129" s="191"/>
      <c r="GX129" s="191"/>
      <c r="GY129" s="191"/>
      <c r="GZ129" s="191"/>
      <c r="HA129" s="191"/>
      <c r="HB129" s="191"/>
      <c r="HC129" s="191"/>
      <c r="HD129" s="191"/>
      <c r="HE129" s="191"/>
      <c r="HF129" s="191"/>
      <c r="HG129" s="191"/>
      <c r="HH129" s="191"/>
      <c r="HI129" s="191"/>
      <c r="HJ129" s="191"/>
      <c r="HK129" s="191"/>
      <c r="HL129" s="191"/>
      <c r="HM129" s="191"/>
      <c r="HN129" s="191"/>
      <c r="HO129" s="191"/>
      <c r="HP129" s="191"/>
      <c r="HQ129" s="191"/>
      <c r="HR129" s="191"/>
      <c r="HS129" s="191"/>
      <c r="HT129" s="191"/>
      <c r="HU129" s="191"/>
      <c r="HV129" s="191"/>
      <c r="HW129" s="191"/>
      <c r="HX129" s="191"/>
      <c r="HY129" s="191"/>
      <c r="HZ129" s="191"/>
      <c r="IA129" s="191"/>
      <c r="IB129" s="191"/>
      <c r="IC129" s="191"/>
      <c r="ID129" s="191"/>
      <c r="IE129" s="191"/>
      <c r="IF129" s="191"/>
      <c r="IG129" s="191"/>
      <c r="IH129" s="191"/>
      <c r="II129" s="191"/>
      <c r="IJ129" s="191"/>
      <c r="IK129" s="191"/>
      <c r="IL129" s="191"/>
      <c r="IM129" s="191"/>
      <c r="IN129" s="191"/>
      <c r="IO129" s="191"/>
      <c r="IP129" s="191"/>
    </row>
    <row r="130" spans="1:250" s="134" customFormat="1" ht="16.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1"/>
      <c r="EE130" s="191"/>
      <c r="EF130" s="191"/>
      <c r="EG130" s="191"/>
      <c r="EH130" s="191"/>
      <c r="EI130" s="191"/>
      <c r="EJ130" s="191"/>
      <c r="EK130" s="191"/>
      <c r="EL130" s="191"/>
      <c r="EM130" s="191"/>
      <c r="EN130" s="191"/>
      <c r="EO130" s="191"/>
      <c r="EP130" s="191"/>
      <c r="EQ130" s="191"/>
      <c r="ER130" s="191"/>
      <c r="ES130" s="191"/>
      <c r="ET130" s="191"/>
      <c r="EU130" s="191"/>
      <c r="EV130" s="191"/>
      <c r="EW130" s="191"/>
      <c r="EX130" s="191"/>
      <c r="EY130" s="191"/>
      <c r="EZ130" s="191"/>
      <c r="FA130" s="191"/>
      <c r="FB130" s="191"/>
      <c r="FC130" s="191"/>
      <c r="FD130" s="191"/>
      <c r="FE130" s="191"/>
      <c r="FF130" s="191"/>
      <c r="FG130" s="191"/>
      <c r="FH130" s="191"/>
      <c r="FI130" s="191"/>
      <c r="FJ130" s="191"/>
      <c r="FK130" s="191"/>
      <c r="FL130" s="191"/>
      <c r="FM130" s="191"/>
      <c r="FN130" s="191"/>
      <c r="FO130" s="191"/>
      <c r="FP130" s="191"/>
      <c r="FQ130" s="191"/>
      <c r="FR130" s="191"/>
      <c r="FS130" s="191"/>
      <c r="FT130" s="191"/>
      <c r="FU130" s="191"/>
      <c r="FV130" s="191"/>
      <c r="FW130" s="191"/>
      <c r="FX130" s="191"/>
      <c r="FY130" s="191"/>
      <c r="FZ130" s="191"/>
      <c r="GA130" s="191"/>
      <c r="GB130" s="191"/>
      <c r="GC130" s="191"/>
      <c r="GD130" s="191"/>
      <c r="GE130" s="191"/>
      <c r="GF130" s="191"/>
      <c r="GG130" s="191"/>
      <c r="GH130" s="191"/>
      <c r="GI130" s="191"/>
      <c r="GJ130" s="191"/>
      <c r="GK130" s="191"/>
      <c r="GL130" s="191"/>
      <c r="GM130" s="191"/>
      <c r="GN130" s="191"/>
      <c r="GO130" s="191"/>
      <c r="GP130" s="191"/>
      <c r="GQ130" s="191"/>
      <c r="GR130" s="191"/>
      <c r="GS130" s="191"/>
      <c r="GT130" s="191"/>
      <c r="GU130" s="191"/>
      <c r="GV130" s="191"/>
      <c r="GW130" s="191"/>
      <c r="GX130" s="191"/>
      <c r="GY130" s="191"/>
      <c r="GZ130" s="191"/>
      <c r="HA130" s="191"/>
      <c r="HB130" s="191"/>
      <c r="HC130" s="191"/>
      <c r="HD130" s="191"/>
      <c r="HE130" s="191"/>
      <c r="HF130" s="191"/>
      <c r="HG130" s="191"/>
      <c r="HH130" s="191"/>
      <c r="HI130" s="191"/>
      <c r="HJ130" s="191"/>
      <c r="HK130" s="191"/>
      <c r="HL130" s="191"/>
      <c r="HM130" s="191"/>
      <c r="HN130" s="191"/>
      <c r="HO130" s="191"/>
      <c r="HP130" s="191"/>
      <c r="HQ130" s="191"/>
      <c r="HR130" s="191"/>
      <c r="HS130" s="191"/>
      <c r="HT130" s="191"/>
      <c r="HU130" s="191"/>
      <c r="HV130" s="191"/>
      <c r="HW130" s="191"/>
      <c r="HX130" s="191"/>
      <c r="HY130" s="191"/>
      <c r="HZ130" s="191"/>
      <c r="IA130" s="191"/>
      <c r="IB130" s="191"/>
      <c r="IC130" s="191"/>
      <c r="ID130" s="191"/>
      <c r="IE130" s="191"/>
      <c r="IF130" s="191"/>
      <c r="IG130" s="191"/>
      <c r="IH130" s="191"/>
      <c r="II130" s="191"/>
      <c r="IJ130" s="191"/>
      <c r="IK130" s="191"/>
      <c r="IL130" s="191"/>
      <c r="IM130" s="191"/>
      <c r="IN130" s="191"/>
      <c r="IO130" s="191"/>
      <c r="IP130" s="191"/>
    </row>
    <row r="131" spans="1:250" s="134" customFormat="1" ht="16.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1"/>
      <c r="DE131" s="191"/>
      <c r="DF131" s="191"/>
      <c r="DG131" s="191"/>
      <c r="DH131" s="191"/>
      <c r="DI131" s="191"/>
      <c r="DJ131" s="191"/>
      <c r="DK131" s="191"/>
      <c r="DL131" s="191"/>
      <c r="DM131" s="191"/>
      <c r="DN131" s="191"/>
      <c r="DO131" s="191"/>
      <c r="DP131" s="191"/>
      <c r="DQ131" s="191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1"/>
      <c r="ED131" s="191"/>
      <c r="EE131" s="191"/>
      <c r="EF131" s="191"/>
      <c r="EG131" s="191"/>
      <c r="EH131" s="191"/>
      <c r="EI131" s="191"/>
      <c r="EJ131" s="191"/>
      <c r="EK131" s="191"/>
      <c r="EL131" s="191"/>
      <c r="EM131" s="191"/>
      <c r="EN131" s="191"/>
      <c r="EO131" s="191"/>
      <c r="EP131" s="191"/>
      <c r="EQ131" s="191"/>
      <c r="ER131" s="191"/>
      <c r="ES131" s="191"/>
      <c r="ET131" s="191"/>
      <c r="EU131" s="191"/>
      <c r="EV131" s="191"/>
      <c r="EW131" s="191"/>
      <c r="EX131" s="191"/>
      <c r="EY131" s="191"/>
      <c r="EZ131" s="191"/>
      <c r="FA131" s="191"/>
      <c r="FB131" s="191"/>
      <c r="FC131" s="191"/>
      <c r="FD131" s="191"/>
      <c r="FE131" s="191"/>
      <c r="FF131" s="191"/>
      <c r="FG131" s="191"/>
      <c r="FH131" s="191"/>
      <c r="FI131" s="191"/>
      <c r="FJ131" s="191"/>
      <c r="FK131" s="191"/>
      <c r="FL131" s="191"/>
      <c r="FM131" s="191"/>
      <c r="FN131" s="191"/>
      <c r="FO131" s="191"/>
      <c r="FP131" s="191"/>
      <c r="FQ131" s="191"/>
      <c r="FR131" s="191"/>
      <c r="FS131" s="191"/>
      <c r="FT131" s="191"/>
      <c r="FU131" s="191"/>
      <c r="FV131" s="191"/>
      <c r="FW131" s="191"/>
      <c r="FX131" s="191"/>
      <c r="FY131" s="191"/>
      <c r="FZ131" s="191"/>
      <c r="GA131" s="191"/>
      <c r="GB131" s="191"/>
      <c r="GC131" s="191"/>
      <c r="GD131" s="191"/>
      <c r="GE131" s="191"/>
      <c r="GF131" s="191"/>
      <c r="GG131" s="191"/>
      <c r="GH131" s="191"/>
      <c r="GI131" s="191"/>
      <c r="GJ131" s="191"/>
      <c r="GK131" s="191"/>
      <c r="GL131" s="191"/>
      <c r="GM131" s="191"/>
      <c r="GN131" s="191"/>
      <c r="GO131" s="191"/>
      <c r="GP131" s="191"/>
      <c r="GQ131" s="191"/>
      <c r="GR131" s="191"/>
      <c r="GS131" s="191"/>
      <c r="GT131" s="191"/>
      <c r="GU131" s="191"/>
      <c r="GV131" s="191"/>
      <c r="GW131" s="191"/>
      <c r="GX131" s="191"/>
      <c r="GY131" s="191"/>
      <c r="GZ131" s="191"/>
      <c r="HA131" s="191"/>
      <c r="HB131" s="191"/>
      <c r="HC131" s="191"/>
      <c r="HD131" s="191"/>
      <c r="HE131" s="191"/>
      <c r="HF131" s="191"/>
      <c r="HG131" s="191"/>
      <c r="HH131" s="191"/>
      <c r="HI131" s="191"/>
      <c r="HJ131" s="191"/>
      <c r="HK131" s="191"/>
      <c r="HL131" s="191"/>
      <c r="HM131" s="191"/>
      <c r="HN131" s="191"/>
      <c r="HO131" s="191"/>
      <c r="HP131" s="191"/>
      <c r="HQ131" s="191"/>
      <c r="HR131" s="191"/>
      <c r="HS131" s="191"/>
      <c r="HT131" s="191"/>
      <c r="HU131" s="191"/>
      <c r="HV131" s="191"/>
      <c r="HW131" s="191"/>
      <c r="HX131" s="191"/>
      <c r="HY131" s="191"/>
      <c r="HZ131" s="191"/>
      <c r="IA131" s="191"/>
      <c r="IB131" s="191"/>
      <c r="IC131" s="191"/>
      <c r="ID131" s="191"/>
      <c r="IE131" s="191"/>
      <c r="IF131" s="191"/>
      <c r="IG131" s="191"/>
      <c r="IH131" s="191"/>
      <c r="II131" s="191"/>
      <c r="IJ131" s="191"/>
      <c r="IK131" s="191"/>
      <c r="IL131" s="191"/>
      <c r="IM131" s="191"/>
      <c r="IN131" s="191"/>
      <c r="IO131" s="191"/>
      <c r="IP131" s="191"/>
    </row>
    <row r="132" spans="1:250" s="134" customFormat="1" ht="16.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91"/>
      <c r="CN132" s="191"/>
      <c r="CO132" s="191"/>
      <c r="CP132" s="191"/>
      <c r="CQ132" s="191"/>
      <c r="CR132" s="191"/>
      <c r="CS132" s="191"/>
      <c r="CT132" s="191"/>
      <c r="CU132" s="191"/>
      <c r="CV132" s="191"/>
      <c r="CW132" s="191"/>
      <c r="CX132" s="191"/>
      <c r="CY132" s="191"/>
      <c r="CZ132" s="191"/>
      <c r="DA132" s="191"/>
      <c r="DB132" s="191"/>
      <c r="DC132" s="191"/>
      <c r="DD132" s="191"/>
      <c r="DE132" s="191"/>
      <c r="DF132" s="191"/>
      <c r="DG132" s="191"/>
      <c r="DH132" s="191"/>
      <c r="DI132" s="191"/>
      <c r="DJ132" s="191"/>
      <c r="DK132" s="191"/>
      <c r="DL132" s="191"/>
      <c r="DM132" s="191"/>
      <c r="DN132" s="191"/>
      <c r="DO132" s="191"/>
      <c r="DP132" s="191"/>
      <c r="DQ132" s="191"/>
      <c r="DR132" s="191"/>
      <c r="DS132" s="191"/>
      <c r="DT132" s="191"/>
      <c r="DU132" s="191"/>
      <c r="DV132" s="191"/>
      <c r="DW132" s="191"/>
      <c r="DX132" s="191"/>
      <c r="DY132" s="191"/>
      <c r="DZ132" s="191"/>
      <c r="EA132" s="191"/>
      <c r="EB132" s="191"/>
      <c r="EC132" s="191"/>
      <c r="ED132" s="191"/>
      <c r="EE132" s="191"/>
      <c r="EF132" s="191"/>
      <c r="EG132" s="191"/>
      <c r="EH132" s="191"/>
      <c r="EI132" s="191"/>
      <c r="EJ132" s="191"/>
      <c r="EK132" s="191"/>
      <c r="EL132" s="191"/>
      <c r="EM132" s="191"/>
      <c r="EN132" s="191"/>
      <c r="EO132" s="191"/>
      <c r="EP132" s="191"/>
      <c r="EQ132" s="191"/>
      <c r="ER132" s="191"/>
      <c r="ES132" s="191"/>
      <c r="ET132" s="191"/>
      <c r="EU132" s="191"/>
      <c r="EV132" s="191"/>
      <c r="EW132" s="191"/>
      <c r="EX132" s="191"/>
      <c r="EY132" s="191"/>
      <c r="EZ132" s="191"/>
      <c r="FA132" s="191"/>
      <c r="FB132" s="191"/>
      <c r="FC132" s="191"/>
      <c r="FD132" s="191"/>
      <c r="FE132" s="191"/>
      <c r="FF132" s="191"/>
      <c r="FG132" s="191"/>
      <c r="FH132" s="191"/>
      <c r="FI132" s="191"/>
      <c r="FJ132" s="191"/>
      <c r="FK132" s="191"/>
      <c r="FL132" s="191"/>
      <c r="FM132" s="191"/>
      <c r="FN132" s="191"/>
      <c r="FO132" s="191"/>
      <c r="FP132" s="191"/>
      <c r="FQ132" s="191"/>
      <c r="FR132" s="191"/>
      <c r="FS132" s="191"/>
      <c r="FT132" s="191"/>
      <c r="FU132" s="191"/>
      <c r="FV132" s="191"/>
      <c r="FW132" s="191"/>
      <c r="FX132" s="191"/>
      <c r="FY132" s="191"/>
      <c r="FZ132" s="191"/>
      <c r="GA132" s="191"/>
      <c r="GB132" s="191"/>
      <c r="GC132" s="191"/>
      <c r="GD132" s="191"/>
      <c r="GE132" s="191"/>
      <c r="GF132" s="191"/>
      <c r="GG132" s="191"/>
      <c r="GH132" s="191"/>
      <c r="GI132" s="191"/>
      <c r="GJ132" s="191"/>
      <c r="GK132" s="191"/>
      <c r="GL132" s="191"/>
      <c r="GM132" s="191"/>
      <c r="GN132" s="191"/>
      <c r="GO132" s="191"/>
      <c r="GP132" s="191"/>
      <c r="GQ132" s="191"/>
      <c r="GR132" s="191"/>
      <c r="GS132" s="191"/>
      <c r="GT132" s="191"/>
      <c r="GU132" s="191"/>
      <c r="GV132" s="191"/>
      <c r="GW132" s="191"/>
      <c r="GX132" s="191"/>
      <c r="GY132" s="191"/>
      <c r="GZ132" s="191"/>
      <c r="HA132" s="191"/>
      <c r="HB132" s="191"/>
      <c r="HC132" s="191"/>
      <c r="HD132" s="191"/>
      <c r="HE132" s="191"/>
      <c r="HF132" s="191"/>
      <c r="HG132" s="191"/>
      <c r="HH132" s="191"/>
      <c r="HI132" s="191"/>
      <c r="HJ132" s="191"/>
      <c r="HK132" s="191"/>
      <c r="HL132" s="191"/>
      <c r="HM132" s="191"/>
      <c r="HN132" s="191"/>
      <c r="HO132" s="191"/>
      <c r="HP132" s="191"/>
      <c r="HQ132" s="191"/>
      <c r="HR132" s="191"/>
      <c r="HS132" s="191"/>
      <c r="HT132" s="191"/>
      <c r="HU132" s="191"/>
      <c r="HV132" s="191"/>
      <c r="HW132" s="191"/>
      <c r="HX132" s="191"/>
      <c r="HY132" s="191"/>
      <c r="HZ132" s="191"/>
      <c r="IA132" s="191"/>
      <c r="IB132" s="191"/>
      <c r="IC132" s="191"/>
      <c r="ID132" s="191"/>
      <c r="IE132" s="191"/>
      <c r="IF132" s="191"/>
      <c r="IG132" s="191"/>
      <c r="IH132" s="191"/>
      <c r="II132" s="191"/>
      <c r="IJ132" s="191"/>
      <c r="IK132" s="191"/>
      <c r="IL132" s="191"/>
      <c r="IM132" s="191"/>
      <c r="IN132" s="191"/>
      <c r="IO132" s="191"/>
      <c r="IP132" s="191"/>
    </row>
    <row r="133" spans="1:250" s="134" customFormat="1" ht="16.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91"/>
      <c r="CN133" s="191"/>
      <c r="CO133" s="191"/>
      <c r="CP133" s="191"/>
      <c r="CQ133" s="191"/>
      <c r="CR133" s="191"/>
      <c r="CS133" s="191"/>
      <c r="CT133" s="191"/>
      <c r="CU133" s="191"/>
      <c r="CV133" s="191"/>
      <c r="CW133" s="191"/>
      <c r="CX133" s="191"/>
      <c r="CY133" s="191"/>
      <c r="CZ133" s="191"/>
      <c r="DA133" s="191"/>
      <c r="DB133" s="191"/>
      <c r="DC133" s="191"/>
      <c r="DD133" s="191"/>
      <c r="DE133" s="191"/>
      <c r="DF133" s="191"/>
      <c r="DG133" s="191"/>
      <c r="DH133" s="191"/>
      <c r="DI133" s="191"/>
      <c r="DJ133" s="191"/>
      <c r="DK133" s="191"/>
      <c r="DL133" s="191"/>
      <c r="DM133" s="191"/>
      <c r="DN133" s="191"/>
      <c r="DO133" s="191"/>
      <c r="DP133" s="191"/>
      <c r="DQ133" s="191"/>
      <c r="DR133" s="191"/>
      <c r="DS133" s="191"/>
      <c r="DT133" s="191"/>
      <c r="DU133" s="191"/>
      <c r="DV133" s="191"/>
      <c r="DW133" s="191"/>
      <c r="DX133" s="191"/>
      <c r="DY133" s="191"/>
      <c r="DZ133" s="191"/>
      <c r="EA133" s="191"/>
      <c r="EB133" s="191"/>
      <c r="EC133" s="191"/>
      <c r="ED133" s="191"/>
      <c r="EE133" s="191"/>
      <c r="EF133" s="191"/>
      <c r="EG133" s="191"/>
      <c r="EH133" s="191"/>
      <c r="EI133" s="191"/>
      <c r="EJ133" s="191"/>
      <c r="EK133" s="191"/>
      <c r="EL133" s="191"/>
      <c r="EM133" s="191"/>
      <c r="EN133" s="191"/>
      <c r="EO133" s="191"/>
      <c r="EP133" s="191"/>
      <c r="EQ133" s="191"/>
      <c r="ER133" s="191"/>
      <c r="ES133" s="191"/>
      <c r="ET133" s="191"/>
      <c r="EU133" s="191"/>
      <c r="EV133" s="191"/>
      <c r="EW133" s="191"/>
      <c r="EX133" s="191"/>
      <c r="EY133" s="191"/>
      <c r="EZ133" s="191"/>
      <c r="FA133" s="191"/>
      <c r="FB133" s="191"/>
      <c r="FC133" s="191"/>
      <c r="FD133" s="191"/>
      <c r="FE133" s="191"/>
      <c r="FF133" s="191"/>
      <c r="FG133" s="191"/>
      <c r="FH133" s="191"/>
      <c r="FI133" s="191"/>
      <c r="FJ133" s="191"/>
      <c r="FK133" s="191"/>
      <c r="FL133" s="191"/>
      <c r="FM133" s="191"/>
      <c r="FN133" s="191"/>
      <c r="FO133" s="191"/>
      <c r="FP133" s="191"/>
      <c r="FQ133" s="191"/>
      <c r="FR133" s="191"/>
      <c r="FS133" s="191"/>
      <c r="FT133" s="191"/>
      <c r="FU133" s="191"/>
      <c r="FV133" s="191"/>
      <c r="FW133" s="191"/>
      <c r="FX133" s="191"/>
      <c r="FY133" s="191"/>
      <c r="FZ133" s="191"/>
      <c r="GA133" s="191"/>
      <c r="GB133" s="191"/>
      <c r="GC133" s="191"/>
      <c r="GD133" s="191"/>
      <c r="GE133" s="191"/>
      <c r="GF133" s="191"/>
      <c r="GG133" s="191"/>
      <c r="GH133" s="191"/>
      <c r="GI133" s="191"/>
      <c r="GJ133" s="191"/>
      <c r="GK133" s="191"/>
      <c r="GL133" s="191"/>
      <c r="GM133" s="191"/>
      <c r="GN133" s="191"/>
      <c r="GO133" s="191"/>
      <c r="GP133" s="191"/>
      <c r="GQ133" s="191"/>
      <c r="GR133" s="191"/>
      <c r="GS133" s="191"/>
      <c r="GT133" s="191"/>
      <c r="GU133" s="191"/>
      <c r="GV133" s="191"/>
      <c r="GW133" s="191"/>
      <c r="GX133" s="191"/>
      <c r="GY133" s="191"/>
      <c r="GZ133" s="191"/>
      <c r="HA133" s="191"/>
      <c r="HB133" s="191"/>
      <c r="HC133" s="191"/>
      <c r="HD133" s="191"/>
      <c r="HE133" s="191"/>
      <c r="HF133" s="191"/>
      <c r="HG133" s="191"/>
      <c r="HH133" s="191"/>
      <c r="HI133" s="191"/>
      <c r="HJ133" s="191"/>
      <c r="HK133" s="191"/>
      <c r="HL133" s="191"/>
      <c r="HM133" s="191"/>
      <c r="HN133" s="191"/>
      <c r="HO133" s="191"/>
      <c r="HP133" s="191"/>
      <c r="HQ133" s="191"/>
      <c r="HR133" s="191"/>
      <c r="HS133" s="191"/>
      <c r="HT133" s="191"/>
      <c r="HU133" s="191"/>
      <c r="HV133" s="191"/>
      <c r="HW133" s="191"/>
      <c r="HX133" s="191"/>
      <c r="HY133" s="191"/>
      <c r="HZ133" s="191"/>
      <c r="IA133" s="191"/>
      <c r="IB133" s="191"/>
      <c r="IC133" s="191"/>
      <c r="ID133" s="191"/>
      <c r="IE133" s="191"/>
      <c r="IF133" s="191"/>
      <c r="IG133" s="191"/>
      <c r="IH133" s="191"/>
      <c r="II133" s="191"/>
      <c r="IJ133" s="191"/>
      <c r="IK133" s="191"/>
      <c r="IL133" s="191"/>
      <c r="IM133" s="191"/>
      <c r="IN133" s="191"/>
      <c r="IO133" s="191"/>
      <c r="IP133" s="191"/>
    </row>
    <row r="134" spans="1:250" s="134" customFormat="1" ht="16.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91"/>
      <c r="CN134" s="191"/>
      <c r="CO134" s="191"/>
      <c r="CP134" s="191"/>
      <c r="CQ134" s="191"/>
      <c r="CR134" s="191"/>
      <c r="CS134" s="191"/>
      <c r="CT134" s="191"/>
      <c r="CU134" s="191"/>
      <c r="CV134" s="191"/>
      <c r="CW134" s="191"/>
      <c r="CX134" s="191"/>
      <c r="CY134" s="191"/>
      <c r="CZ134" s="191"/>
      <c r="DA134" s="191"/>
      <c r="DB134" s="191"/>
      <c r="DC134" s="191"/>
      <c r="DD134" s="191"/>
      <c r="DE134" s="191"/>
      <c r="DF134" s="191"/>
      <c r="DG134" s="191"/>
      <c r="DH134" s="191"/>
      <c r="DI134" s="191"/>
      <c r="DJ134" s="191"/>
      <c r="DK134" s="191"/>
      <c r="DL134" s="191"/>
      <c r="DM134" s="191"/>
      <c r="DN134" s="191"/>
      <c r="DO134" s="191"/>
      <c r="DP134" s="191"/>
      <c r="DQ134" s="191"/>
      <c r="DR134" s="191"/>
      <c r="DS134" s="191"/>
      <c r="DT134" s="191"/>
      <c r="DU134" s="191"/>
      <c r="DV134" s="191"/>
      <c r="DW134" s="191"/>
      <c r="DX134" s="191"/>
      <c r="DY134" s="191"/>
      <c r="DZ134" s="191"/>
      <c r="EA134" s="191"/>
      <c r="EB134" s="191"/>
      <c r="EC134" s="191"/>
      <c r="ED134" s="191"/>
      <c r="EE134" s="191"/>
      <c r="EF134" s="191"/>
      <c r="EG134" s="191"/>
      <c r="EH134" s="191"/>
      <c r="EI134" s="191"/>
      <c r="EJ134" s="191"/>
      <c r="EK134" s="191"/>
      <c r="EL134" s="191"/>
      <c r="EM134" s="191"/>
      <c r="EN134" s="191"/>
      <c r="EO134" s="191"/>
      <c r="EP134" s="191"/>
      <c r="EQ134" s="191"/>
      <c r="ER134" s="191"/>
      <c r="ES134" s="191"/>
      <c r="ET134" s="191"/>
      <c r="EU134" s="191"/>
      <c r="EV134" s="191"/>
      <c r="EW134" s="191"/>
      <c r="EX134" s="191"/>
      <c r="EY134" s="191"/>
      <c r="EZ134" s="191"/>
      <c r="FA134" s="191"/>
      <c r="FB134" s="191"/>
      <c r="FC134" s="191"/>
      <c r="FD134" s="191"/>
      <c r="FE134" s="191"/>
      <c r="FF134" s="191"/>
      <c r="FG134" s="191"/>
      <c r="FH134" s="191"/>
      <c r="FI134" s="191"/>
      <c r="FJ134" s="191"/>
      <c r="FK134" s="191"/>
      <c r="FL134" s="191"/>
      <c r="FM134" s="191"/>
      <c r="FN134" s="191"/>
      <c r="FO134" s="191"/>
      <c r="FP134" s="191"/>
      <c r="FQ134" s="191"/>
      <c r="FR134" s="191"/>
      <c r="FS134" s="191"/>
      <c r="FT134" s="191"/>
      <c r="FU134" s="191"/>
      <c r="FV134" s="191"/>
      <c r="FW134" s="191"/>
      <c r="FX134" s="191"/>
      <c r="FY134" s="191"/>
      <c r="FZ134" s="191"/>
      <c r="GA134" s="191"/>
      <c r="GB134" s="191"/>
      <c r="GC134" s="191"/>
      <c r="GD134" s="191"/>
      <c r="GE134" s="191"/>
      <c r="GF134" s="191"/>
      <c r="GG134" s="191"/>
      <c r="GH134" s="191"/>
      <c r="GI134" s="191"/>
      <c r="GJ134" s="191"/>
      <c r="GK134" s="191"/>
      <c r="GL134" s="191"/>
      <c r="GM134" s="191"/>
      <c r="GN134" s="191"/>
      <c r="GO134" s="191"/>
      <c r="GP134" s="191"/>
      <c r="GQ134" s="191"/>
      <c r="GR134" s="191"/>
      <c r="GS134" s="191"/>
      <c r="GT134" s="191"/>
      <c r="GU134" s="191"/>
      <c r="GV134" s="191"/>
      <c r="GW134" s="191"/>
      <c r="GX134" s="191"/>
      <c r="GY134" s="191"/>
      <c r="GZ134" s="191"/>
      <c r="HA134" s="191"/>
      <c r="HB134" s="191"/>
      <c r="HC134" s="191"/>
      <c r="HD134" s="191"/>
      <c r="HE134" s="191"/>
      <c r="HF134" s="191"/>
      <c r="HG134" s="191"/>
      <c r="HH134" s="191"/>
      <c r="HI134" s="191"/>
      <c r="HJ134" s="191"/>
      <c r="HK134" s="191"/>
      <c r="HL134" s="191"/>
      <c r="HM134" s="191"/>
      <c r="HN134" s="191"/>
      <c r="HO134" s="191"/>
      <c r="HP134" s="191"/>
      <c r="HQ134" s="191"/>
      <c r="HR134" s="191"/>
      <c r="HS134" s="191"/>
      <c r="HT134" s="191"/>
      <c r="HU134" s="191"/>
      <c r="HV134" s="191"/>
      <c r="HW134" s="191"/>
      <c r="HX134" s="191"/>
      <c r="HY134" s="191"/>
      <c r="HZ134" s="191"/>
      <c r="IA134" s="191"/>
      <c r="IB134" s="191"/>
      <c r="IC134" s="191"/>
      <c r="ID134" s="191"/>
      <c r="IE134" s="191"/>
      <c r="IF134" s="191"/>
      <c r="IG134" s="191"/>
      <c r="IH134" s="191"/>
      <c r="II134" s="191"/>
      <c r="IJ134" s="191"/>
      <c r="IK134" s="191"/>
      <c r="IL134" s="191"/>
      <c r="IM134" s="191"/>
      <c r="IN134" s="191"/>
      <c r="IO134" s="191"/>
      <c r="IP134" s="191"/>
    </row>
  </sheetData>
  <sheetProtection/>
  <mergeCells count="3">
    <mergeCell ref="A2:B2"/>
    <mergeCell ref="A3:D3"/>
    <mergeCell ref="A4:D4"/>
  </mergeCells>
  <printOptions horizontalCentered="1" verticalCentered="1"/>
  <pageMargins left="0.62992125984252" right="0.433069772528434" top="0.669290244969379" bottom="0.354329615048119" header="0.236220472440945" footer="0.15748031496063"/>
  <pageSetup horizontalDpi="1200" verticalDpi="1200" orientation="portrait" paperSize="9" r:id="rId1"/>
  <headerFooter alignWithMargins="0">
    <oddFooter>&amp;CPage &amp;P</oddFooter>
  </headerFooter>
  <colBreaks count="1" manualBreakCount="1">
    <brk id="4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00"/>
  </sheetPr>
  <dimension ref="A1:F291"/>
  <sheetViews>
    <sheetView view="pageBreakPreview" zoomScaleNormal="85" zoomScaleSheetLayoutView="100" workbookViewId="0" topLeftCell="A1">
      <pane xSplit="1" ySplit="6" topLeftCell="B7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H9" sqref="H9"/>
    </sheetView>
  </sheetViews>
  <sheetFormatPr defaultColWidth="9.140625" defaultRowHeight="12.75"/>
  <cols>
    <col min="1" max="1" width="6.421875" style="25" bestFit="1" customWidth="1"/>
    <col min="2" max="2" width="53.00390625" style="25" customWidth="1"/>
    <col min="3" max="3" width="8.28125" style="25" customWidth="1"/>
    <col min="4" max="4" width="9.57421875" style="25" customWidth="1"/>
    <col min="5" max="5" width="8.7109375" style="25" customWidth="1"/>
    <col min="6" max="6" width="12.00390625" style="25" bestFit="1" customWidth="1"/>
    <col min="7" max="16384" width="9.140625" style="26" customWidth="1"/>
  </cols>
  <sheetData>
    <row r="1" spans="1:6" s="45" customFormat="1" ht="16.5">
      <c r="A1" s="244"/>
      <c r="B1" s="246" t="s">
        <v>508</v>
      </c>
      <c r="C1" s="254"/>
      <c r="D1" s="254"/>
      <c r="E1" s="254"/>
      <c r="F1" s="254"/>
    </row>
    <row r="2" spans="1:6" s="45" customFormat="1" ht="16.5">
      <c r="A2" s="244"/>
      <c r="B2" s="246" t="s">
        <v>501</v>
      </c>
      <c r="C2" s="254"/>
      <c r="D2" s="254"/>
      <c r="E2" s="254"/>
      <c r="F2" s="254"/>
    </row>
    <row r="3" spans="1:6" s="45" customFormat="1" ht="16.5">
      <c r="A3" s="244"/>
      <c r="B3" s="245"/>
      <c r="C3" s="244"/>
      <c r="D3" s="254"/>
      <c r="E3" s="254"/>
      <c r="F3" s="254"/>
    </row>
    <row r="4" spans="1:6" s="45" customFormat="1" ht="11.25">
      <c r="A4" s="253" t="s">
        <v>0</v>
      </c>
      <c r="B4" s="253" t="s">
        <v>1</v>
      </c>
      <c r="C4" s="253" t="s">
        <v>2</v>
      </c>
      <c r="D4" s="253" t="s">
        <v>3</v>
      </c>
      <c r="E4" s="255" t="s">
        <v>494</v>
      </c>
      <c r="F4" s="255"/>
    </row>
    <row r="5" spans="1:6" s="45" customFormat="1" ht="11.25">
      <c r="A5" s="253"/>
      <c r="B5" s="253"/>
      <c r="C5" s="253"/>
      <c r="D5" s="253"/>
      <c r="E5" s="40" t="s">
        <v>4</v>
      </c>
      <c r="F5" s="46" t="s">
        <v>5</v>
      </c>
    </row>
    <row r="6" spans="1:6" s="45" customFormat="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</row>
    <row r="7" spans="1:6" s="88" customFormat="1" ht="16.5">
      <c r="A7" s="84"/>
      <c r="B7" s="85" t="s">
        <v>11</v>
      </c>
      <c r="C7" s="84"/>
      <c r="D7" s="84"/>
      <c r="E7" s="86"/>
      <c r="F7" s="87"/>
    </row>
    <row r="8" spans="1:6" s="92" customFormat="1" ht="16.5">
      <c r="A8" s="89"/>
      <c r="B8" s="136" t="s">
        <v>38</v>
      </c>
      <c r="C8" s="89"/>
      <c r="D8" s="89"/>
      <c r="E8" s="90"/>
      <c r="F8" s="91"/>
    </row>
    <row r="9" spans="1:6" s="52" customFormat="1" ht="28.5">
      <c r="A9" s="49">
        <v>1</v>
      </c>
      <c r="B9" s="69" t="s">
        <v>498</v>
      </c>
      <c r="C9" s="50" t="s">
        <v>34</v>
      </c>
      <c r="D9" s="117">
        <f>2.5/100</f>
        <v>0.025</v>
      </c>
      <c r="E9" s="50"/>
      <c r="F9" s="78"/>
    </row>
    <row r="10" spans="1:6" s="123" customFormat="1" ht="14.25">
      <c r="A10" s="119">
        <v>2</v>
      </c>
      <c r="B10" s="69" t="s">
        <v>39</v>
      </c>
      <c r="C10" s="119" t="s">
        <v>34</v>
      </c>
      <c r="D10" s="137">
        <f>5/100</f>
        <v>0.05</v>
      </c>
      <c r="E10" s="116"/>
      <c r="F10" s="120"/>
    </row>
    <row r="11" spans="1:6" s="52" customFormat="1" ht="28.5">
      <c r="A11" s="49">
        <v>3</v>
      </c>
      <c r="B11" s="69" t="s">
        <v>40</v>
      </c>
      <c r="C11" s="50" t="s">
        <v>41</v>
      </c>
      <c r="D11" s="117">
        <f>25/1000</f>
        <v>0.025</v>
      </c>
      <c r="E11" s="50"/>
      <c r="F11" s="78"/>
    </row>
    <row r="12" spans="1:6" s="52" customFormat="1" ht="28.5">
      <c r="A12" s="119">
        <v>4</v>
      </c>
      <c r="B12" s="69" t="s">
        <v>42</v>
      </c>
      <c r="C12" s="50" t="s">
        <v>41</v>
      </c>
      <c r="D12" s="117">
        <f>D11</f>
        <v>0.025</v>
      </c>
      <c r="E12" s="50"/>
      <c r="F12" s="78"/>
    </row>
    <row r="13" spans="1:6" s="52" customFormat="1" ht="71.25">
      <c r="A13" s="49">
        <v>5</v>
      </c>
      <c r="B13" s="68" t="s">
        <v>496</v>
      </c>
      <c r="C13" s="49" t="s">
        <v>9</v>
      </c>
      <c r="D13" s="49">
        <f>587.9+876.7</f>
        <v>1464.6</v>
      </c>
      <c r="E13" s="49"/>
      <c r="F13" s="49"/>
    </row>
    <row r="14" spans="1:6" s="52" customFormat="1" ht="28.5">
      <c r="A14" s="119">
        <v>6</v>
      </c>
      <c r="B14" s="69" t="s">
        <v>497</v>
      </c>
      <c r="C14" s="49" t="s">
        <v>9</v>
      </c>
      <c r="D14" s="74">
        <v>876.7</v>
      </c>
      <c r="E14" s="50"/>
      <c r="F14" s="78"/>
    </row>
    <row r="15" spans="1:6" s="52" customFormat="1" ht="14.25">
      <c r="A15" s="49">
        <v>7</v>
      </c>
      <c r="B15" s="69" t="s">
        <v>31</v>
      </c>
      <c r="C15" s="50" t="s">
        <v>9</v>
      </c>
      <c r="D15" s="74">
        <v>380</v>
      </c>
      <c r="E15" s="50"/>
      <c r="F15" s="78"/>
    </row>
    <row r="16" spans="1:6" s="96" customFormat="1" ht="28.5">
      <c r="A16" s="119">
        <v>8</v>
      </c>
      <c r="B16" s="69" t="s">
        <v>35</v>
      </c>
      <c r="C16" s="49" t="s">
        <v>9</v>
      </c>
      <c r="D16" s="49">
        <v>434.9</v>
      </c>
      <c r="E16" s="49"/>
      <c r="F16" s="49"/>
    </row>
    <row r="17" spans="1:6" s="52" customFormat="1" ht="14.25">
      <c r="A17" s="49">
        <v>9</v>
      </c>
      <c r="B17" s="69" t="s">
        <v>43</v>
      </c>
      <c r="C17" s="50" t="s">
        <v>9</v>
      </c>
      <c r="D17" s="49">
        <v>587.9</v>
      </c>
      <c r="E17" s="50"/>
      <c r="F17" s="78"/>
    </row>
    <row r="18" spans="1:6" s="97" customFormat="1" ht="28.5">
      <c r="A18" s="119">
        <v>10</v>
      </c>
      <c r="B18" s="68" t="s">
        <v>44</v>
      </c>
      <c r="C18" s="49" t="s">
        <v>7</v>
      </c>
      <c r="D18" s="49">
        <v>700</v>
      </c>
      <c r="E18" s="49"/>
      <c r="F18" s="49"/>
    </row>
    <row r="19" spans="1:6" s="97" customFormat="1" ht="28.5">
      <c r="A19" s="49">
        <v>11</v>
      </c>
      <c r="B19" s="68" t="s">
        <v>45</v>
      </c>
      <c r="C19" s="49" t="s">
        <v>7</v>
      </c>
      <c r="D19" s="49">
        <v>67</v>
      </c>
      <c r="E19" s="49"/>
      <c r="F19" s="49"/>
    </row>
    <row r="20" spans="1:6" s="97" customFormat="1" ht="28.5">
      <c r="A20" s="119">
        <v>12</v>
      </c>
      <c r="B20" s="68" t="s">
        <v>46</v>
      </c>
      <c r="C20" s="49" t="s">
        <v>7</v>
      </c>
      <c r="D20" s="49">
        <v>92</v>
      </c>
      <c r="E20" s="49"/>
      <c r="F20" s="49"/>
    </row>
    <row r="21" spans="1:6" s="97" customFormat="1" ht="28.5">
      <c r="A21" s="49">
        <v>13</v>
      </c>
      <c r="B21" s="68" t="s">
        <v>47</v>
      </c>
      <c r="C21" s="49" t="s">
        <v>7</v>
      </c>
      <c r="D21" s="49">
        <v>50</v>
      </c>
      <c r="E21" s="49"/>
      <c r="F21" s="49"/>
    </row>
    <row r="22" spans="1:6" s="52" customFormat="1" ht="14.25">
      <c r="A22" s="119">
        <v>14</v>
      </c>
      <c r="B22" s="68" t="s">
        <v>52</v>
      </c>
      <c r="C22" s="49" t="s">
        <v>7</v>
      </c>
      <c r="D22" s="49">
        <f>D18</f>
        <v>700</v>
      </c>
      <c r="E22" s="49"/>
      <c r="F22" s="49"/>
    </row>
    <row r="23" spans="1:6" s="52" customFormat="1" ht="14.25">
      <c r="A23" s="49">
        <v>15</v>
      </c>
      <c r="B23" s="68" t="s">
        <v>49</v>
      </c>
      <c r="C23" s="49" t="s">
        <v>7</v>
      </c>
      <c r="D23" s="49">
        <v>67</v>
      </c>
      <c r="E23" s="49"/>
      <c r="F23" s="49"/>
    </row>
    <row r="24" spans="1:6" s="52" customFormat="1" ht="14.25">
      <c r="A24" s="119">
        <v>16</v>
      </c>
      <c r="B24" s="68" t="s">
        <v>50</v>
      </c>
      <c r="C24" s="49" t="s">
        <v>7</v>
      </c>
      <c r="D24" s="49">
        <v>92</v>
      </c>
      <c r="E24" s="49"/>
      <c r="F24" s="49"/>
    </row>
    <row r="25" spans="1:6" s="52" customFormat="1" ht="14.25">
      <c r="A25" s="49">
        <v>17</v>
      </c>
      <c r="B25" s="68" t="s">
        <v>53</v>
      </c>
      <c r="C25" s="49" t="s">
        <v>7</v>
      </c>
      <c r="D25" s="49">
        <f>D21</f>
        <v>50</v>
      </c>
      <c r="E25" s="49"/>
      <c r="F25" s="49"/>
    </row>
    <row r="26" spans="1:6" s="97" customFormat="1" ht="15.75">
      <c r="A26" s="119">
        <v>18</v>
      </c>
      <c r="B26" s="68" t="s">
        <v>54</v>
      </c>
      <c r="C26" s="49" t="s">
        <v>51</v>
      </c>
      <c r="D26" s="49">
        <f>909/100</f>
        <v>9.09</v>
      </c>
      <c r="E26" s="49"/>
      <c r="F26" s="49"/>
    </row>
    <row r="27" spans="1:6" s="97" customFormat="1" ht="15.75">
      <c r="A27" s="49">
        <v>19</v>
      </c>
      <c r="B27" s="68" t="s">
        <v>147</v>
      </c>
      <c r="C27" s="49" t="s">
        <v>7</v>
      </c>
      <c r="D27" s="49">
        <v>55</v>
      </c>
      <c r="E27" s="49"/>
      <c r="F27" s="49"/>
    </row>
    <row r="28" spans="1:6" s="97" customFormat="1" ht="28.5">
      <c r="A28" s="119">
        <v>20</v>
      </c>
      <c r="B28" s="68" t="s">
        <v>144</v>
      </c>
      <c r="C28" s="49" t="s">
        <v>7</v>
      </c>
      <c r="D28" s="49">
        <v>55</v>
      </c>
      <c r="E28" s="49"/>
      <c r="F28" s="49"/>
    </row>
    <row r="29" spans="1:6" s="97" customFormat="1" ht="15.75">
      <c r="A29" s="49">
        <v>21</v>
      </c>
      <c r="B29" s="68" t="s">
        <v>146</v>
      </c>
      <c r="C29" s="49" t="s">
        <v>7</v>
      </c>
      <c r="D29" s="49">
        <v>55</v>
      </c>
      <c r="E29" s="49"/>
      <c r="F29" s="49"/>
    </row>
    <row r="30" spans="1:6" s="97" customFormat="1" ht="28.5">
      <c r="A30" s="119">
        <v>22</v>
      </c>
      <c r="B30" s="68" t="s">
        <v>145</v>
      </c>
      <c r="C30" s="49" t="s">
        <v>7</v>
      </c>
      <c r="D30" s="49">
        <v>55</v>
      </c>
      <c r="E30" s="49"/>
      <c r="F30" s="49"/>
    </row>
    <row r="31" spans="1:6" s="52" customFormat="1" ht="14.25">
      <c r="A31" s="49">
        <v>23</v>
      </c>
      <c r="B31" s="69" t="s">
        <v>294</v>
      </c>
      <c r="C31" s="50" t="s">
        <v>10</v>
      </c>
      <c r="D31" s="74">
        <f>SUM(D33:D35)</f>
        <v>3</v>
      </c>
      <c r="E31" s="50"/>
      <c r="F31" s="78"/>
    </row>
    <row r="32" spans="1:6" s="7" customFormat="1" ht="15.75">
      <c r="A32" s="42"/>
      <c r="B32" s="31" t="s">
        <v>6</v>
      </c>
      <c r="C32" s="31"/>
      <c r="D32" s="36"/>
      <c r="E32" s="31"/>
      <c r="F32" s="36"/>
    </row>
    <row r="33" spans="1:6" s="7" customFormat="1" ht="15.75">
      <c r="A33" s="42"/>
      <c r="B33" s="32" t="s">
        <v>57</v>
      </c>
      <c r="C33" s="31" t="s">
        <v>10</v>
      </c>
      <c r="D33" s="36">
        <v>1</v>
      </c>
      <c r="E33" s="67"/>
      <c r="F33" s="36"/>
    </row>
    <row r="34" spans="1:6" s="7" customFormat="1" ht="15.75">
      <c r="A34" s="42"/>
      <c r="B34" s="32" t="s">
        <v>59</v>
      </c>
      <c r="C34" s="31" t="s">
        <v>10</v>
      </c>
      <c r="D34" s="36">
        <v>1</v>
      </c>
      <c r="E34" s="67"/>
      <c r="F34" s="36"/>
    </row>
    <row r="35" spans="1:6" s="7" customFormat="1" ht="15.75">
      <c r="A35" s="42"/>
      <c r="B35" s="32" t="s">
        <v>58</v>
      </c>
      <c r="C35" s="31" t="s">
        <v>10</v>
      </c>
      <c r="D35" s="36">
        <v>1</v>
      </c>
      <c r="E35" s="67"/>
      <c r="F35" s="36"/>
    </row>
    <row r="36" spans="1:6" s="109" customFormat="1" ht="28.5">
      <c r="A36" s="62">
        <v>24</v>
      </c>
      <c r="B36" s="68" t="s">
        <v>55</v>
      </c>
      <c r="C36" s="49" t="s">
        <v>10</v>
      </c>
      <c r="D36" s="108">
        <f>SUM(D38:D47)</f>
        <v>22</v>
      </c>
      <c r="E36" s="49"/>
      <c r="F36" s="49"/>
    </row>
    <row r="37" spans="1:6" s="106" customFormat="1" ht="14.25">
      <c r="A37" s="111"/>
      <c r="B37" s="59" t="s">
        <v>6</v>
      </c>
      <c r="C37" s="112"/>
      <c r="D37" s="112"/>
      <c r="E37" s="112"/>
      <c r="F37" s="113"/>
    </row>
    <row r="38" spans="1:6" s="114" customFormat="1" ht="14.25">
      <c r="A38" s="42"/>
      <c r="B38" s="107" t="s">
        <v>65</v>
      </c>
      <c r="C38" s="59" t="s">
        <v>10</v>
      </c>
      <c r="D38" s="65">
        <v>1</v>
      </c>
      <c r="E38" s="65"/>
      <c r="F38" s="65"/>
    </row>
    <row r="39" spans="1:6" s="114" customFormat="1" ht="14.25">
      <c r="A39" s="42"/>
      <c r="B39" s="107" t="s">
        <v>56</v>
      </c>
      <c r="C39" s="59" t="s">
        <v>10</v>
      </c>
      <c r="D39" s="65">
        <v>2</v>
      </c>
      <c r="E39" s="65"/>
      <c r="F39" s="65"/>
    </row>
    <row r="40" spans="1:6" s="114" customFormat="1" ht="14.25">
      <c r="A40" s="42"/>
      <c r="B40" s="107" t="s">
        <v>66</v>
      </c>
      <c r="C40" s="59" t="s">
        <v>10</v>
      </c>
      <c r="D40" s="65">
        <v>3</v>
      </c>
      <c r="E40" s="65"/>
      <c r="F40" s="65"/>
    </row>
    <row r="41" spans="1:6" s="114" customFormat="1" ht="14.25">
      <c r="A41" s="42"/>
      <c r="B41" s="107" t="s">
        <v>67</v>
      </c>
      <c r="C41" s="59" t="s">
        <v>10</v>
      </c>
      <c r="D41" s="65">
        <v>2</v>
      </c>
      <c r="E41" s="65"/>
      <c r="F41" s="65"/>
    </row>
    <row r="42" spans="1:6" s="114" customFormat="1" ht="14.25">
      <c r="A42" s="42"/>
      <c r="B42" s="107" t="s">
        <v>60</v>
      </c>
      <c r="C42" s="59" t="s">
        <v>10</v>
      </c>
      <c r="D42" s="65">
        <v>5</v>
      </c>
      <c r="E42" s="65"/>
      <c r="F42" s="65"/>
    </row>
    <row r="43" spans="1:6" s="114" customFormat="1" ht="14.25">
      <c r="A43" s="42"/>
      <c r="B43" s="107" t="s">
        <v>61</v>
      </c>
      <c r="C43" s="59" t="s">
        <v>10</v>
      </c>
      <c r="D43" s="65">
        <v>2</v>
      </c>
      <c r="E43" s="65"/>
      <c r="F43" s="65"/>
    </row>
    <row r="44" spans="1:6" s="114" customFormat="1" ht="14.25">
      <c r="A44" s="42"/>
      <c r="B44" s="107" t="s">
        <v>62</v>
      </c>
      <c r="C44" s="59" t="s">
        <v>10</v>
      </c>
      <c r="D44" s="65">
        <v>1</v>
      </c>
      <c r="E44" s="65"/>
      <c r="F44" s="65"/>
    </row>
    <row r="45" spans="1:6" s="114" customFormat="1" ht="14.25">
      <c r="A45" s="42"/>
      <c r="B45" s="107" t="s">
        <v>63</v>
      </c>
      <c r="C45" s="59" t="s">
        <v>10</v>
      </c>
      <c r="D45" s="65">
        <v>2</v>
      </c>
      <c r="E45" s="65"/>
      <c r="F45" s="65"/>
    </row>
    <row r="46" spans="1:6" s="114" customFormat="1" ht="14.25">
      <c r="A46" s="42"/>
      <c r="B46" s="107" t="s">
        <v>64</v>
      </c>
      <c r="C46" s="59" t="s">
        <v>10</v>
      </c>
      <c r="D46" s="65">
        <v>2</v>
      </c>
      <c r="E46" s="65"/>
      <c r="F46" s="65"/>
    </row>
    <row r="47" spans="1:6" s="114" customFormat="1" ht="14.25">
      <c r="A47" s="42"/>
      <c r="B47" s="107" t="s">
        <v>75</v>
      </c>
      <c r="C47" s="59" t="s">
        <v>10</v>
      </c>
      <c r="D47" s="65">
        <v>2</v>
      </c>
      <c r="E47" s="65"/>
      <c r="F47" s="65"/>
    </row>
    <row r="48" spans="1:6" s="129" customFormat="1" ht="27">
      <c r="A48" s="98">
        <v>25</v>
      </c>
      <c r="B48" s="99" t="s">
        <v>295</v>
      </c>
      <c r="C48" s="98" t="s">
        <v>10</v>
      </c>
      <c r="D48" s="125">
        <v>6</v>
      </c>
      <c r="E48" s="126"/>
      <c r="F48" s="127"/>
    </row>
    <row r="49" spans="1:6" s="81" customFormat="1" ht="15.75">
      <c r="A49" s="49">
        <v>26</v>
      </c>
      <c r="B49" s="138" t="s">
        <v>296</v>
      </c>
      <c r="C49" s="49" t="s">
        <v>68</v>
      </c>
      <c r="D49" s="49">
        <v>5</v>
      </c>
      <c r="E49" s="49"/>
      <c r="F49" s="49"/>
    </row>
    <row r="50" spans="1:6" s="63" customFormat="1" ht="28.5">
      <c r="A50" s="98">
        <v>27</v>
      </c>
      <c r="B50" s="68" t="s">
        <v>297</v>
      </c>
      <c r="C50" s="100" t="s">
        <v>10</v>
      </c>
      <c r="D50" s="125">
        <v>5</v>
      </c>
      <c r="E50" s="101"/>
      <c r="F50" s="102"/>
    </row>
    <row r="51" spans="1:6" s="109" customFormat="1" ht="14.25">
      <c r="A51" s="49">
        <v>28</v>
      </c>
      <c r="B51" s="68" t="s">
        <v>72</v>
      </c>
      <c r="C51" s="49" t="s">
        <v>25</v>
      </c>
      <c r="D51" s="49">
        <f>56/1000*4</f>
        <v>0.224</v>
      </c>
      <c r="E51" s="49"/>
      <c r="F51" s="49"/>
    </row>
    <row r="52" spans="1:6" s="109" customFormat="1" ht="14.25">
      <c r="A52" s="98">
        <v>29</v>
      </c>
      <c r="B52" s="68" t="s">
        <v>73</v>
      </c>
      <c r="C52" s="49" t="s">
        <v>25</v>
      </c>
      <c r="D52" s="49">
        <f>77/1000*2</f>
        <v>0.154</v>
      </c>
      <c r="E52" s="49"/>
      <c r="F52" s="49"/>
    </row>
    <row r="53" spans="1:6" s="63" customFormat="1" ht="14.25">
      <c r="A53" s="49">
        <v>30</v>
      </c>
      <c r="B53" s="68" t="s">
        <v>74</v>
      </c>
      <c r="C53" s="100" t="s">
        <v>10</v>
      </c>
      <c r="D53" s="125">
        <v>13</v>
      </c>
      <c r="E53" s="101"/>
      <c r="F53" s="102"/>
    </row>
    <row r="54" spans="1:6" s="129" customFormat="1" ht="14.25">
      <c r="A54" s="98">
        <v>31</v>
      </c>
      <c r="B54" s="99" t="s">
        <v>298</v>
      </c>
      <c r="C54" s="98" t="s">
        <v>10</v>
      </c>
      <c r="D54" s="125">
        <v>1</v>
      </c>
      <c r="E54" s="126"/>
      <c r="F54" s="127"/>
    </row>
    <row r="55" spans="1:6" s="51" customFormat="1" ht="14.25">
      <c r="A55" s="49">
        <v>32</v>
      </c>
      <c r="B55" s="68" t="s">
        <v>131</v>
      </c>
      <c r="C55" s="49" t="s">
        <v>25</v>
      </c>
      <c r="D55" s="62">
        <f>42.5/1000*6</f>
        <v>0.255</v>
      </c>
      <c r="E55" s="49"/>
      <c r="F55" s="49"/>
    </row>
    <row r="56" spans="1:6" s="51" customFormat="1" ht="14.25">
      <c r="A56" s="98">
        <v>33</v>
      </c>
      <c r="B56" s="68" t="s">
        <v>132</v>
      </c>
      <c r="C56" s="49" t="s">
        <v>25</v>
      </c>
      <c r="D56" s="62">
        <f>7/1000*2</f>
        <v>0.014</v>
      </c>
      <c r="E56" s="49"/>
      <c r="F56" s="49"/>
    </row>
    <row r="57" spans="1:6" s="97" customFormat="1" ht="28.5">
      <c r="A57" s="49">
        <v>34</v>
      </c>
      <c r="B57" s="68" t="s">
        <v>76</v>
      </c>
      <c r="C57" s="49" t="s">
        <v>7</v>
      </c>
      <c r="D57" s="49">
        <v>20</v>
      </c>
      <c r="E57" s="49"/>
      <c r="F57" s="49"/>
    </row>
    <row r="58" spans="1:6" s="52" customFormat="1" ht="28.5">
      <c r="A58" s="98">
        <v>35</v>
      </c>
      <c r="B58" s="69" t="s">
        <v>77</v>
      </c>
      <c r="C58" s="50" t="s">
        <v>27</v>
      </c>
      <c r="D58" s="74">
        <v>6.5</v>
      </c>
      <c r="E58" s="50"/>
      <c r="F58" s="78"/>
    </row>
    <row r="59" spans="1:6" s="97" customFormat="1" ht="15.75">
      <c r="A59" s="49">
        <v>36</v>
      </c>
      <c r="B59" s="68" t="s">
        <v>78</v>
      </c>
      <c r="C59" s="49" t="s">
        <v>7</v>
      </c>
      <c r="D59" s="49">
        <v>25</v>
      </c>
      <c r="E59" s="49"/>
      <c r="F59" s="49"/>
    </row>
    <row r="60" spans="1:6" s="52" customFormat="1" ht="28.5">
      <c r="A60" s="98">
        <v>37</v>
      </c>
      <c r="B60" s="69" t="s">
        <v>85</v>
      </c>
      <c r="C60" s="50" t="s">
        <v>25</v>
      </c>
      <c r="D60" s="74">
        <f>58/1000*25</f>
        <v>1.4500000000000002</v>
      </c>
      <c r="E60" s="50"/>
      <c r="F60" s="78"/>
    </row>
    <row r="61" spans="1:6" s="52" customFormat="1" ht="14.25">
      <c r="A61" s="49">
        <v>38</v>
      </c>
      <c r="B61" s="68" t="s">
        <v>81</v>
      </c>
      <c r="C61" s="49" t="s">
        <v>79</v>
      </c>
      <c r="D61" s="49">
        <v>4</v>
      </c>
      <c r="E61" s="49"/>
      <c r="F61" s="49"/>
    </row>
    <row r="62" spans="1:6" s="52" customFormat="1" ht="14.25">
      <c r="A62" s="98">
        <v>39</v>
      </c>
      <c r="B62" s="68" t="s">
        <v>80</v>
      </c>
      <c r="C62" s="49" t="s">
        <v>79</v>
      </c>
      <c r="D62" s="49">
        <v>4</v>
      </c>
      <c r="E62" s="49"/>
      <c r="F62" s="49"/>
    </row>
    <row r="63" spans="1:6" s="63" customFormat="1" ht="14.25">
      <c r="A63" s="49">
        <v>40</v>
      </c>
      <c r="B63" s="68" t="s">
        <v>82</v>
      </c>
      <c r="C63" s="100" t="s">
        <v>10</v>
      </c>
      <c r="D63" s="125">
        <v>4</v>
      </c>
      <c r="E63" s="101"/>
      <c r="F63" s="102"/>
    </row>
    <row r="64" spans="1:6" s="63" customFormat="1" ht="14.25">
      <c r="A64" s="98">
        <v>41</v>
      </c>
      <c r="B64" s="68" t="s">
        <v>83</v>
      </c>
      <c r="C64" s="100" t="s">
        <v>10</v>
      </c>
      <c r="D64" s="125">
        <v>4</v>
      </c>
      <c r="E64" s="101"/>
      <c r="F64" s="102"/>
    </row>
    <row r="65" spans="1:6" s="52" customFormat="1" ht="14.25">
      <c r="A65" s="49">
        <v>42</v>
      </c>
      <c r="B65" s="69" t="s">
        <v>84</v>
      </c>
      <c r="C65" s="50" t="s">
        <v>37</v>
      </c>
      <c r="D65" s="74">
        <v>1</v>
      </c>
      <c r="E65" s="50"/>
      <c r="F65" s="78"/>
    </row>
    <row r="66" spans="1:6" s="63" customFormat="1" ht="28.5">
      <c r="A66" s="98">
        <v>43</v>
      </c>
      <c r="B66" s="68" t="s">
        <v>499</v>
      </c>
      <c r="C66" s="100" t="s">
        <v>9</v>
      </c>
      <c r="D66" s="49">
        <f>1.2*2*1.5*2</f>
        <v>7.199999999999999</v>
      </c>
      <c r="E66" s="101"/>
      <c r="F66" s="102"/>
    </row>
    <row r="67" spans="1:6" s="92" customFormat="1" ht="16.5">
      <c r="A67" s="89"/>
      <c r="B67" s="136" t="s">
        <v>86</v>
      </c>
      <c r="C67" s="158"/>
      <c r="D67" s="158"/>
      <c r="E67" s="159"/>
      <c r="F67" s="160"/>
    </row>
    <row r="68" spans="1:6" s="52" customFormat="1" ht="14.25">
      <c r="A68" s="49">
        <v>44</v>
      </c>
      <c r="B68" s="69" t="s">
        <v>33</v>
      </c>
      <c r="C68" s="50" t="s">
        <v>34</v>
      </c>
      <c r="D68" s="117">
        <f>44.2/100</f>
        <v>0.442</v>
      </c>
      <c r="E68" s="50"/>
      <c r="F68" s="78"/>
    </row>
    <row r="69" spans="1:6" s="123" customFormat="1" ht="14.25">
      <c r="A69" s="119">
        <v>45</v>
      </c>
      <c r="B69" s="69" t="s">
        <v>39</v>
      </c>
      <c r="C69" s="119" t="s">
        <v>34</v>
      </c>
      <c r="D69" s="137">
        <f>88.4/100</f>
        <v>0.884</v>
      </c>
      <c r="E69" s="116"/>
      <c r="F69" s="120"/>
    </row>
    <row r="70" spans="1:6" s="52" customFormat="1" ht="28.5">
      <c r="A70" s="49">
        <v>46</v>
      </c>
      <c r="B70" s="69" t="s">
        <v>40</v>
      </c>
      <c r="C70" s="50" t="s">
        <v>41</v>
      </c>
      <c r="D70" s="117">
        <f>442.3/1000</f>
        <v>0.4423</v>
      </c>
      <c r="E70" s="50"/>
      <c r="F70" s="78"/>
    </row>
    <row r="71" spans="1:6" s="52" customFormat="1" ht="28.5">
      <c r="A71" s="119">
        <v>47</v>
      </c>
      <c r="B71" s="69" t="s">
        <v>42</v>
      </c>
      <c r="C71" s="50" t="s">
        <v>41</v>
      </c>
      <c r="D71" s="117">
        <f>D70</f>
        <v>0.4423</v>
      </c>
      <c r="E71" s="50"/>
      <c r="F71" s="78"/>
    </row>
    <row r="72" spans="1:6" s="52" customFormat="1" ht="71.25">
      <c r="A72" s="49">
        <v>48</v>
      </c>
      <c r="B72" s="68" t="s">
        <v>496</v>
      </c>
      <c r="C72" s="49" t="s">
        <v>9</v>
      </c>
      <c r="D72" s="49">
        <f>856.4+64.5</f>
        <v>920.9</v>
      </c>
      <c r="E72" s="49"/>
      <c r="F72" s="49"/>
    </row>
    <row r="73" spans="1:6" s="52" customFormat="1" ht="28.5">
      <c r="A73" s="119">
        <v>49</v>
      </c>
      <c r="B73" s="69" t="s">
        <v>497</v>
      </c>
      <c r="C73" s="49" t="s">
        <v>9</v>
      </c>
      <c r="D73" s="74">
        <f>856.4+64.5</f>
        <v>920.9</v>
      </c>
      <c r="E73" s="50"/>
      <c r="F73" s="78"/>
    </row>
    <row r="74" spans="1:6" s="52" customFormat="1" ht="14.25">
      <c r="A74" s="49">
        <v>50</v>
      </c>
      <c r="B74" s="69" t="s">
        <v>31</v>
      </c>
      <c r="C74" s="50" t="s">
        <v>9</v>
      </c>
      <c r="D74" s="74">
        <v>339</v>
      </c>
      <c r="E74" s="50"/>
      <c r="F74" s="78"/>
    </row>
    <row r="75" spans="1:6" s="96" customFormat="1" ht="28.5">
      <c r="A75" s="119">
        <v>51</v>
      </c>
      <c r="B75" s="69" t="s">
        <v>35</v>
      </c>
      <c r="C75" s="49" t="s">
        <v>9</v>
      </c>
      <c r="D75" s="49">
        <v>442</v>
      </c>
      <c r="E75" s="49"/>
      <c r="F75" s="49"/>
    </row>
    <row r="76" spans="1:6" s="35" customFormat="1" ht="14.25">
      <c r="A76" s="49">
        <v>52</v>
      </c>
      <c r="B76" s="68" t="s">
        <v>237</v>
      </c>
      <c r="C76" s="49" t="s">
        <v>9</v>
      </c>
      <c r="D76" s="49">
        <v>0.5</v>
      </c>
      <c r="E76" s="49"/>
      <c r="F76" s="49"/>
    </row>
    <row r="77" spans="1:6" s="97" customFormat="1" ht="28.5">
      <c r="A77" s="119">
        <v>53</v>
      </c>
      <c r="B77" s="68" t="s">
        <v>44</v>
      </c>
      <c r="C77" s="49" t="s">
        <v>7</v>
      </c>
      <c r="D77" s="49">
        <v>190</v>
      </c>
      <c r="E77" s="49"/>
      <c r="F77" s="49"/>
    </row>
    <row r="78" spans="1:6" s="97" customFormat="1" ht="28.5">
      <c r="A78" s="49">
        <v>54</v>
      </c>
      <c r="B78" s="68" t="s">
        <v>87</v>
      </c>
      <c r="C78" s="49" t="s">
        <v>7</v>
      </c>
      <c r="D78" s="49">
        <v>200</v>
      </c>
      <c r="E78" s="49"/>
      <c r="F78" s="49"/>
    </row>
    <row r="79" spans="1:6" s="97" customFormat="1" ht="28.5">
      <c r="A79" s="119">
        <v>55</v>
      </c>
      <c r="B79" s="68" t="s">
        <v>88</v>
      </c>
      <c r="C79" s="49" t="s">
        <v>7</v>
      </c>
      <c r="D79" s="49">
        <v>625</v>
      </c>
      <c r="E79" s="49"/>
      <c r="F79" s="49"/>
    </row>
    <row r="80" spans="1:6" s="52" customFormat="1" ht="14.25">
      <c r="A80" s="49">
        <v>56</v>
      </c>
      <c r="B80" s="68" t="s">
        <v>52</v>
      </c>
      <c r="C80" s="49" t="s">
        <v>7</v>
      </c>
      <c r="D80" s="49">
        <f>D77</f>
        <v>190</v>
      </c>
      <c r="E80" s="49"/>
      <c r="F80" s="49"/>
    </row>
    <row r="81" spans="1:6" s="52" customFormat="1" ht="14.25">
      <c r="A81" s="119">
        <v>57</v>
      </c>
      <c r="B81" s="68" t="s">
        <v>89</v>
      </c>
      <c r="C81" s="49" t="s">
        <v>7</v>
      </c>
      <c r="D81" s="49">
        <f>D78</f>
        <v>200</v>
      </c>
      <c r="E81" s="49"/>
      <c r="F81" s="49"/>
    </row>
    <row r="82" spans="1:6" s="52" customFormat="1" ht="14.25">
      <c r="A82" s="49">
        <v>58</v>
      </c>
      <c r="B82" s="68" t="s">
        <v>48</v>
      </c>
      <c r="C82" s="49" t="s">
        <v>7</v>
      </c>
      <c r="D82" s="49">
        <f>D79</f>
        <v>625</v>
      </c>
      <c r="E82" s="49"/>
      <c r="F82" s="49"/>
    </row>
    <row r="83" spans="1:6" s="97" customFormat="1" ht="15.75">
      <c r="A83" s="119">
        <v>59</v>
      </c>
      <c r="B83" s="68" t="s">
        <v>54</v>
      </c>
      <c r="C83" s="49" t="s">
        <v>51</v>
      </c>
      <c r="D83" s="49">
        <f>1015/100</f>
        <v>10.15</v>
      </c>
      <c r="E83" s="49"/>
      <c r="F83" s="49"/>
    </row>
    <row r="84" spans="1:6" s="97" customFormat="1" ht="15.75">
      <c r="A84" s="49">
        <v>60</v>
      </c>
      <c r="B84" s="68" t="s">
        <v>147</v>
      </c>
      <c r="C84" s="49" t="s">
        <v>7</v>
      </c>
      <c r="D84" s="49">
        <v>20</v>
      </c>
      <c r="E84" s="49"/>
      <c r="F84" s="49"/>
    </row>
    <row r="85" spans="1:6" s="243" customFormat="1" ht="28.5">
      <c r="A85" s="119">
        <v>61</v>
      </c>
      <c r="B85" s="242" t="s">
        <v>144</v>
      </c>
      <c r="C85" s="241" t="s">
        <v>7</v>
      </c>
      <c r="D85" s="241">
        <v>20</v>
      </c>
      <c r="E85" s="241"/>
      <c r="F85" s="241"/>
    </row>
    <row r="86" spans="1:6" s="243" customFormat="1" ht="15.75">
      <c r="A86" s="49">
        <v>62</v>
      </c>
      <c r="B86" s="242" t="s">
        <v>146</v>
      </c>
      <c r="C86" s="241" t="s">
        <v>7</v>
      </c>
      <c r="D86" s="241">
        <v>20</v>
      </c>
      <c r="E86" s="241"/>
      <c r="F86" s="241"/>
    </row>
    <row r="87" spans="1:6" s="243" customFormat="1" ht="28.5">
      <c r="A87" s="119">
        <v>63</v>
      </c>
      <c r="B87" s="242" t="s">
        <v>145</v>
      </c>
      <c r="C87" s="241" t="s">
        <v>7</v>
      </c>
      <c r="D87" s="241">
        <v>20</v>
      </c>
      <c r="E87" s="241"/>
      <c r="F87" s="241"/>
    </row>
    <row r="88" spans="1:6" s="106" customFormat="1" ht="28.5">
      <c r="A88" s="49">
        <v>64</v>
      </c>
      <c r="B88" s="69" t="s">
        <v>232</v>
      </c>
      <c r="C88" s="49" t="s">
        <v>109</v>
      </c>
      <c r="D88" s="152">
        <f>(0.35*1*8+0.24+0.24)/10*1</f>
        <v>0.328</v>
      </c>
      <c r="E88" s="49"/>
      <c r="F88" s="49"/>
    </row>
    <row r="89" spans="1:6" s="52" customFormat="1" ht="28.5">
      <c r="A89" s="119">
        <v>65</v>
      </c>
      <c r="B89" s="69" t="s">
        <v>233</v>
      </c>
      <c r="C89" s="50" t="s">
        <v>10</v>
      </c>
      <c r="D89" s="74">
        <v>1</v>
      </c>
      <c r="E89" s="50"/>
      <c r="F89" s="167"/>
    </row>
    <row r="90" spans="1:6" s="106" customFormat="1" ht="27">
      <c r="A90" s="49">
        <v>66</v>
      </c>
      <c r="B90" s="99" t="s">
        <v>235</v>
      </c>
      <c r="C90" s="98" t="s">
        <v>109</v>
      </c>
      <c r="D90" s="125">
        <v>1</v>
      </c>
      <c r="E90" s="126"/>
      <c r="F90" s="127"/>
    </row>
    <row r="91" spans="1:6" s="63" customFormat="1" ht="14.25">
      <c r="A91" s="119">
        <v>67</v>
      </c>
      <c r="B91" s="68" t="s">
        <v>299</v>
      </c>
      <c r="C91" s="100" t="s">
        <v>10</v>
      </c>
      <c r="D91" s="125">
        <v>1</v>
      </c>
      <c r="E91" s="101"/>
      <c r="F91" s="102"/>
    </row>
    <row r="92" spans="1:6" s="129" customFormat="1" ht="27">
      <c r="A92" s="49">
        <v>68</v>
      </c>
      <c r="B92" s="99" t="s">
        <v>236</v>
      </c>
      <c r="C92" s="98" t="s">
        <v>10</v>
      </c>
      <c r="D92" s="125">
        <v>1</v>
      </c>
      <c r="E92" s="126"/>
      <c r="F92" s="127"/>
    </row>
    <row r="93" spans="1:6" s="52" customFormat="1" ht="14.25">
      <c r="A93" s="119">
        <v>69</v>
      </c>
      <c r="B93" s="69" t="s">
        <v>294</v>
      </c>
      <c r="C93" s="50" t="s">
        <v>10</v>
      </c>
      <c r="D93" s="74">
        <f>SUM(D95:D97)</f>
        <v>4</v>
      </c>
      <c r="E93" s="50"/>
      <c r="F93" s="78"/>
    </row>
    <row r="94" spans="1:6" s="7" customFormat="1" ht="15.75">
      <c r="A94" s="42"/>
      <c r="B94" s="31" t="s">
        <v>6</v>
      </c>
      <c r="C94" s="31"/>
      <c r="D94" s="36"/>
      <c r="E94" s="31"/>
      <c r="F94" s="36"/>
    </row>
    <row r="95" spans="1:6" s="7" customFormat="1" ht="15.75">
      <c r="A95" s="42"/>
      <c r="B95" s="32" t="s">
        <v>90</v>
      </c>
      <c r="C95" s="31" t="s">
        <v>10</v>
      </c>
      <c r="D95" s="36">
        <v>1</v>
      </c>
      <c r="E95" s="67"/>
      <c r="F95" s="36"/>
    </row>
    <row r="96" spans="1:6" s="7" customFormat="1" ht="15.75">
      <c r="A96" s="42"/>
      <c r="B96" s="32" t="s">
        <v>91</v>
      </c>
      <c r="C96" s="31" t="s">
        <v>10</v>
      </c>
      <c r="D96" s="36">
        <v>2</v>
      </c>
      <c r="E96" s="67"/>
      <c r="F96" s="36"/>
    </row>
    <row r="97" spans="1:6" s="7" customFormat="1" ht="15.75">
      <c r="A97" s="42"/>
      <c r="B97" s="32" t="s">
        <v>92</v>
      </c>
      <c r="C97" s="31" t="s">
        <v>10</v>
      </c>
      <c r="D97" s="36">
        <v>1</v>
      </c>
      <c r="E97" s="67"/>
      <c r="F97" s="36"/>
    </row>
    <row r="98" spans="1:6" s="109" customFormat="1" ht="28.5">
      <c r="A98" s="62">
        <v>70</v>
      </c>
      <c r="B98" s="68" t="s">
        <v>300</v>
      </c>
      <c r="C98" s="49" t="s">
        <v>10</v>
      </c>
      <c r="D98" s="108">
        <f>SUM(D100:D107)</f>
        <v>12</v>
      </c>
      <c r="E98" s="49"/>
      <c r="F98" s="49"/>
    </row>
    <row r="99" spans="1:6" s="106" customFormat="1" ht="14.25">
      <c r="A99" s="111"/>
      <c r="B99" s="59" t="s">
        <v>6</v>
      </c>
      <c r="C99" s="112"/>
      <c r="D99" s="112"/>
      <c r="E99" s="112"/>
      <c r="F99" s="113"/>
    </row>
    <row r="100" spans="1:6" s="114" customFormat="1" ht="14.25">
      <c r="A100" s="42"/>
      <c r="B100" s="107" t="s">
        <v>97</v>
      </c>
      <c r="C100" s="59" t="s">
        <v>10</v>
      </c>
      <c r="D100" s="65">
        <v>1</v>
      </c>
      <c r="E100" s="65"/>
      <c r="F100" s="65"/>
    </row>
    <row r="101" spans="1:6" s="114" customFormat="1" ht="14.25">
      <c r="A101" s="42"/>
      <c r="B101" s="107" t="s">
        <v>60</v>
      </c>
      <c r="C101" s="59" t="s">
        <v>10</v>
      </c>
      <c r="D101" s="65">
        <v>1</v>
      </c>
      <c r="E101" s="65"/>
      <c r="F101" s="65"/>
    </row>
    <row r="102" spans="1:6" s="114" customFormat="1" ht="14.25">
      <c r="A102" s="42"/>
      <c r="B102" s="107" t="s">
        <v>61</v>
      </c>
      <c r="C102" s="59" t="s">
        <v>10</v>
      </c>
      <c r="D102" s="65">
        <v>2</v>
      </c>
      <c r="E102" s="65"/>
      <c r="F102" s="65"/>
    </row>
    <row r="103" spans="1:6" s="114" customFormat="1" ht="14.25">
      <c r="A103" s="42"/>
      <c r="B103" s="107" t="s">
        <v>93</v>
      </c>
      <c r="C103" s="59" t="s">
        <v>10</v>
      </c>
      <c r="D103" s="65">
        <v>1</v>
      </c>
      <c r="E103" s="65"/>
      <c r="F103" s="65"/>
    </row>
    <row r="104" spans="1:6" s="114" customFormat="1" ht="14.25">
      <c r="A104" s="42"/>
      <c r="B104" s="107" t="s">
        <v>94</v>
      </c>
      <c r="C104" s="59" t="s">
        <v>10</v>
      </c>
      <c r="D104" s="65">
        <v>2</v>
      </c>
      <c r="E104" s="65"/>
      <c r="F104" s="65"/>
    </row>
    <row r="105" spans="1:6" s="114" customFormat="1" ht="14.25">
      <c r="A105" s="42"/>
      <c r="B105" s="107" t="s">
        <v>95</v>
      </c>
      <c r="C105" s="59" t="s">
        <v>10</v>
      </c>
      <c r="D105" s="65">
        <v>2</v>
      </c>
      <c r="E105" s="65"/>
      <c r="F105" s="65"/>
    </row>
    <row r="106" spans="1:6" s="114" customFormat="1" ht="14.25">
      <c r="A106" s="42"/>
      <c r="B106" s="107" t="s">
        <v>96</v>
      </c>
      <c r="C106" s="59" t="s">
        <v>10</v>
      </c>
      <c r="D106" s="65">
        <v>2</v>
      </c>
      <c r="E106" s="65"/>
      <c r="F106" s="65"/>
    </row>
    <row r="107" spans="1:6" s="114" customFormat="1" ht="27">
      <c r="A107" s="42"/>
      <c r="B107" s="73" t="s">
        <v>234</v>
      </c>
      <c r="C107" s="59" t="s">
        <v>10</v>
      </c>
      <c r="D107" s="65">
        <v>1</v>
      </c>
      <c r="E107" s="65"/>
      <c r="F107" s="65"/>
    </row>
    <row r="108" spans="1:6" s="129" customFormat="1" ht="28.5">
      <c r="A108" s="98">
        <v>71</v>
      </c>
      <c r="B108" s="99" t="s">
        <v>301</v>
      </c>
      <c r="C108" s="98" t="s">
        <v>10</v>
      </c>
      <c r="D108" s="125">
        <v>1</v>
      </c>
      <c r="E108" s="126"/>
      <c r="F108" s="127"/>
    </row>
    <row r="109" spans="1:6" s="51" customFormat="1" ht="28.5">
      <c r="A109" s="62">
        <v>72</v>
      </c>
      <c r="B109" s="131" t="s">
        <v>134</v>
      </c>
      <c r="C109" s="115" t="s">
        <v>34</v>
      </c>
      <c r="D109" s="132">
        <f>(0.04+0.2+0.04+0.2)/100</f>
        <v>0.0048000000000000004</v>
      </c>
      <c r="E109" s="116"/>
      <c r="F109" s="94"/>
    </row>
    <row r="110" spans="1:6" s="133" customFormat="1" ht="14.25">
      <c r="A110" s="104"/>
      <c r="B110" s="59" t="s">
        <v>26</v>
      </c>
      <c r="C110" s="53"/>
      <c r="D110" s="60"/>
      <c r="E110" s="53"/>
      <c r="F110" s="60"/>
    </row>
    <row r="111" spans="1:6" s="133" customFormat="1" ht="14.25">
      <c r="A111" s="104"/>
      <c r="B111" s="64" t="s">
        <v>98</v>
      </c>
      <c r="C111" s="53" t="s">
        <v>133</v>
      </c>
      <c r="D111" s="60">
        <f>2.6+10.8+2.6+10.8</f>
        <v>26.8</v>
      </c>
      <c r="E111" s="59"/>
      <c r="F111" s="65"/>
    </row>
    <row r="112" spans="1:6" s="35" customFormat="1" ht="14.25">
      <c r="A112" s="62">
        <f>A109+1</f>
        <v>73</v>
      </c>
      <c r="B112" s="69" t="s">
        <v>99</v>
      </c>
      <c r="C112" s="49" t="s">
        <v>9</v>
      </c>
      <c r="D112" s="49">
        <v>0.4</v>
      </c>
      <c r="E112" s="49"/>
      <c r="F112" s="49"/>
    </row>
    <row r="113" spans="1:6" s="129" customFormat="1" ht="28.5">
      <c r="A113" s="98">
        <f>A112+1</f>
        <v>74</v>
      </c>
      <c r="B113" s="99" t="s">
        <v>302</v>
      </c>
      <c r="C113" s="98" t="s">
        <v>10</v>
      </c>
      <c r="D113" s="125">
        <v>1</v>
      </c>
      <c r="E113" s="126"/>
      <c r="F113" s="127"/>
    </row>
    <row r="114" spans="1:6" s="35" customFormat="1" ht="14.25">
      <c r="A114" s="62">
        <f>A113+1</f>
        <v>75</v>
      </c>
      <c r="B114" s="69" t="s">
        <v>99</v>
      </c>
      <c r="C114" s="49" t="s">
        <v>9</v>
      </c>
      <c r="D114" s="49">
        <v>0.4</v>
      </c>
      <c r="E114" s="49"/>
      <c r="F114" s="49"/>
    </row>
    <row r="115" spans="1:6" s="63" customFormat="1" ht="28.5">
      <c r="A115" s="130">
        <f>A114+1</f>
        <v>76</v>
      </c>
      <c r="B115" s="68" t="s">
        <v>71</v>
      </c>
      <c r="C115" s="100" t="s">
        <v>10</v>
      </c>
      <c r="D115" s="125">
        <v>1</v>
      </c>
      <c r="E115" s="101"/>
      <c r="F115" s="102"/>
    </row>
    <row r="116" spans="1:6" s="63" customFormat="1" ht="28.5">
      <c r="A116" s="130">
        <f>A115+1</f>
        <v>77</v>
      </c>
      <c r="B116" s="68" t="s">
        <v>100</v>
      </c>
      <c r="C116" s="100" t="s">
        <v>10</v>
      </c>
      <c r="D116" s="125">
        <v>3</v>
      </c>
      <c r="E116" s="101"/>
      <c r="F116" s="102"/>
    </row>
    <row r="117" spans="1:6" s="63" customFormat="1" ht="28.5">
      <c r="A117" s="130">
        <f>A116+1</f>
        <v>78</v>
      </c>
      <c r="B117" s="68" t="s">
        <v>70</v>
      </c>
      <c r="C117" s="100" t="s">
        <v>10</v>
      </c>
      <c r="D117" s="125">
        <v>2</v>
      </c>
      <c r="E117" s="101"/>
      <c r="F117" s="102"/>
    </row>
    <row r="118" spans="1:6" s="7" customFormat="1" ht="16.5">
      <c r="A118" s="196"/>
      <c r="B118" s="136" t="s">
        <v>291</v>
      </c>
      <c r="C118" s="196"/>
      <c r="D118" s="196"/>
      <c r="E118" s="10"/>
      <c r="F118" s="197"/>
    </row>
    <row r="119" spans="1:6" s="163" customFormat="1" ht="71.25">
      <c r="A119" s="49">
        <v>79</v>
      </c>
      <c r="B119" s="68" t="s">
        <v>496</v>
      </c>
      <c r="C119" s="50" t="s">
        <v>9</v>
      </c>
      <c r="D119" s="50">
        <v>24.64</v>
      </c>
      <c r="E119" s="50"/>
      <c r="F119" s="162"/>
    </row>
    <row r="120" spans="1:6" s="199" customFormat="1" ht="42.75">
      <c r="A120" s="49">
        <v>80</v>
      </c>
      <c r="B120" s="69" t="s">
        <v>238</v>
      </c>
      <c r="C120" s="50" t="s">
        <v>7</v>
      </c>
      <c r="D120" s="108">
        <v>200</v>
      </c>
      <c r="E120" s="198"/>
      <c r="F120" s="162"/>
    </row>
    <row r="121" spans="1:6" s="201" customFormat="1" ht="13.5">
      <c r="A121" s="202"/>
      <c r="B121" s="164" t="s">
        <v>6</v>
      </c>
      <c r="C121" s="164"/>
      <c r="D121" s="200"/>
      <c r="E121" s="164"/>
      <c r="F121" s="200"/>
    </row>
    <row r="122" spans="1:6" s="201" customFormat="1" ht="15.75">
      <c r="A122" s="202"/>
      <c r="B122" s="154" t="s">
        <v>239</v>
      </c>
      <c r="C122" s="165" t="s">
        <v>23</v>
      </c>
      <c r="D122" s="200">
        <v>24.64</v>
      </c>
      <c r="E122" s="70"/>
      <c r="F122" s="148"/>
    </row>
    <row r="123" spans="1:6" s="201" customFormat="1" ht="13.5">
      <c r="A123" s="202"/>
      <c r="B123" s="154" t="s">
        <v>240</v>
      </c>
      <c r="C123" s="165" t="s">
        <v>10</v>
      </c>
      <c r="D123" s="164">
        <v>77</v>
      </c>
      <c r="E123" s="148"/>
      <c r="F123" s="148"/>
    </row>
    <row r="124" spans="1:6" s="201" customFormat="1" ht="13.5">
      <c r="A124" s="202"/>
      <c r="B124" s="154" t="s">
        <v>241</v>
      </c>
      <c r="C124" s="165" t="s">
        <v>10</v>
      </c>
      <c r="D124" s="164">
        <v>12</v>
      </c>
      <c r="E124" s="148"/>
      <c r="F124" s="148"/>
    </row>
    <row r="125" spans="1:6" s="201" customFormat="1" ht="27">
      <c r="A125" s="202"/>
      <c r="B125" s="154" t="s">
        <v>242</v>
      </c>
      <c r="C125" s="165" t="s">
        <v>27</v>
      </c>
      <c r="D125" s="200">
        <v>300</v>
      </c>
      <c r="E125" s="148"/>
      <c r="F125" s="148"/>
    </row>
    <row r="126" spans="1:6" s="201" customFormat="1" ht="13.5">
      <c r="A126" s="202"/>
      <c r="B126" s="154" t="s">
        <v>243</v>
      </c>
      <c r="C126" s="165" t="s">
        <v>7</v>
      </c>
      <c r="D126" s="200">
        <v>400</v>
      </c>
      <c r="E126" s="70"/>
      <c r="F126" s="148"/>
    </row>
    <row r="127" spans="1:6" s="201" customFormat="1" ht="13.5">
      <c r="A127" s="202"/>
      <c r="B127" s="154" t="s">
        <v>244</v>
      </c>
      <c r="C127" s="165" t="s">
        <v>7</v>
      </c>
      <c r="D127" s="200">
        <v>400</v>
      </c>
      <c r="E127" s="70"/>
      <c r="F127" s="148"/>
    </row>
    <row r="128" spans="1:6" s="204" customFormat="1" ht="14.25">
      <c r="A128" s="49">
        <v>81</v>
      </c>
      <c r="B128" s="69" t="s">
        <v>245</v>
      </c>
      <c r="C128" s="50" t="s">
        <v>10</v>
      </c>
      <c r="D128" s="203">
        <v>1</v>
      </c>
      <c r="E128" s="50"/>
      <c r="F128" s="162"/>
    </row>
    <row r="129" spans="1:6" s="201" customFormat="1" ht="13.5">
      <c r="A129" s="202"/>
      <c r="B129" s="164" t="s">
        <v>6</v>
      </c>
      <c r="C129" s="164"/>
      <c r="D129" s="200"/>
      <c r="E129" s="164"/>
      <c r="F129" s="200"/>
    </row>
    <row r="130" spans="1:6" s="201" customFormat="1" ht="27">
      <c r="A130" s="202"/>
      <c r="B130" s="154" t="s">
        <v>246</v>
      </c>
      <c r="C130" s="165" t="s">
        <v>27</v>
      </c>
      <c r="D130" s="200">
        <v>9</v>
      </c>
      <c r="E130" s="148"/>
      <c r="F130" s="148"/>
    </row>
    <row r="131" spans="1:6" s="201" customFormat="1" ht="13.5">
      <c r="A131" s="202"/>
      <c r="B131" s="205" t="s">
        <v>247</v>
      </c>
      <c r="C131" s="165" t="s">
        <v>7</v>
      </c>
      <c r="D131" s="148">
        <v>9</v>
      </c>
      <c r="E131" s="148"/>
      <c r="F131" s="148"/>
    </row>
    <row r="132" spans="1:6" s="201" customFormat="1" ht="13.5">
      <c r="A132" s="202"/>
      <c r="B132" s="206" t="s">
        <v>248</v>
      </c>
      <c r="C132" s="165" t="s">
        <v>7</v>
      </c>
      <c r="D132" s="148">
        <v>24</v>
      </c>
      <c r="E132" s="148"/>
      <c r="F132" s="148"/>
    </row>
    <row r="133" spans="1:6" s="201" customFormat="1" ht="13.5">
      <c r="A133" s="202"/>
      <c r="B133" s="206" t="s">
        <v>249</v>
      </c>
      <c r="C133" s="165" t="s">
        <v>7</v>
      </c>
      <c r="D133" s="148">
        <v>24</v>
      </c>
      <c r="E133" s="70"/>
      <c r="F133" s="148"/>
    </row>
    <row r="134" spans="1:6" s="201" customFormat="1" ht="13.5">
      <c r="A134" s="202"/>
      <c r="B134" s="206" t="s">
        <v>250</v>
      </c>
      <c r="C134" s="165" t="s">
        <v>109</v>
      </c>
      <c r="D134" s="148">
        <v>2</v>
      </c>
      <c r="E134" s="148"/>
      <c r="F134" s="148"/>
    </row>
    <row r="135" spans="1:6" s="201" customFormat="1" ht="13.5">
      <c r="A135" s="202"/>
      <c r="B135" s="207" t="s">
        <v>251</v>
      </c>
      <c r="C135" s="165" t="s">
        <v>10</v>
      </c>
      <c r="D135" s="148">
        <v>6</v>
      </c>
      <c r="E135" s="148"/>
      <c r="F135" s="148"/>
    </row>
    <row r="136" spans="1:6" s="201" customFormat="1" ht="13.5">
      <c r="A136" s="202"/>
      <c r="B136" s="207" t="s">
        <v>231</v>
      </c>
      <c r="C136" s="165" t="s">
        <v>109</v>
      </c>
      <c r="D136" s="148">
        <v>2</v>
      </c>
      <c r="E136" s="148"/>
      <c r="F136" s="148"/>
    </row>
    <row r="137" spans="1:6" s="201" customFormat="1" ht="15.75">
      <c r="A137" s="202"/>
      <c r="B137" s="154" t="s">
        <v>239</v>
      </c>
      <c r="C137" s="165" t="s">
        <v>23</v>
      </c>
      <c r="D137" s="200">
        <v>0.7</v>
      </c>
      <c r="E137" s="70"/>
      <c r="F137" s="148"/>
    </row>
    <row r="138" spans="1:6" s="201" customFormat="1" ht="13.5">
      <c r="A138" s="202"/>
      <c r="B138" s="154" t="s">
        <v>241</v>
      </c>
      <c r="C138" s="165" t="s">
        <v>10</v>
      </c>
      <c r="D138" s="164">
        <v>2</v>
      </c>
      <c r="E138" s="148"/>
      <c r="F138" s="148"/>
    </row>
    <row r="139" spans="1:6" s="204" customFormat="1" ht="14.25">
      <c r="A139" s="49">
        <v>82</v>
      </c>
      <c r="B139" s="69" t="s">
        <v>252</v>
      </c>
      <c r="C139" s="50" t="s">
        <v>10</v>
      </c>
      <c r="D139" s="203">
        <v>1</v>
      </c>
      <c r="E139" s="50"/>
      <c r="F139" s="162"/>
    </row>
    <row r="140" spans="1:6" s="52" customFormat="1" ht="28.5">
      <c r="A140" s="49">
        <v>83</v>
      </c>
      <c r="B140" s="69" t="s">
        <v>253</v>
      </c>
      <c r="C140" s="50" t="s">
        <v>27</v>
      </c>
      <c r="D140" s="74">
        <v>30</v>
      </c>
      <c r="E140" s="50"/>
      <c r="F140" s="78"/>
    </row>
    <row r="141" spans="1:6" s="92" customFormat="1" ht="16.5">
      <c r="A141" s="89"/>
      <c r="B141" s="136" t="s">
        <v>229</v>
      </c>
      <c r="C141" s="158"/>
      <c r="D141" s="158"/>
      <c r="E141" s="159"/>
      <c r="F141" s="160"/>
    </row>
    <row r="142" spans="1:6" s="52" customFormat="1" ht="71.25">
      <c r="A142" s="49">
        <v>84</v>
      </c>
      <c r="B142" s="68" t="s">
        <v>496</v>
      </c>
      <c r="C142" s="49" t="s">
        <v>9</v>
      </c>
      <c r="D142" s="49">
        <f>117.3+8.8</f>
        <v>126.1</v>
      </c>
      <c r="E142" s="49"/>
      <c r="F142" s="49"/>
    </row>
    <row r="143" spans="1:6" s="52" customFormat="1" ht="28.5">
      <c r="A143" s="49">
        <v>85</v>
      </c>
      <c r="B143" s="69" t="s">
        <v>497</v>
      </c>
      <c r="C143" s="49" t="s">
        <v>9</v>
      </c>
      <c r="D143" s="74">
        <v>126.1</v>
      </c>
      <c r="E143" s="50"/>
      <c r="F143" s="78"/>
    </row>
    <row r="144" spans="1:6" s="52" customFormat="1" ht="14.25">
      <c r="A144" s="49">
        <f aca="true" t="shared" si="0" ref="A144:A152">A143+1</f>
        <v>86</v>
      </c>
      <c r="B144" s="69" t="s">
        <v>31</v>
      </c>
      <c r="C144" s="50" t="s">
        <v>9</v>
      </c>
      <c r="D144" s="74">
        <v>42.8</v>
      </c>
      <c r="E144" s="50"/>
      <c r="F144" s="78"/>
    </row>
    <row r="145" spans="1:6" s="96" customFormat="1" ht="28.5">
      <c r="A145" s="62">
        <f t="shared" si="0"/>
        <v>87</v>
      </c>
      <c r="B145" s="69" t="s">
        <v>35</v>
      </c>
      <c r="C145" s="49" t="s">
        <v>9</v>
      </c>
      <c r="D145" s="49">
        <v>80.1</v>
      </c>
      <c r="E145" s="49"/>
      <c r="F145" s="49"/>
    </row>
    <row r="146" spans="1:6" s="97" customFormat="1" ht="28.5">
      <c r="A146" s="49">
        <f t="shared" si="0"/>
        <v>88</v>
      </c>
      <c r="B146" s="68" t="s">
        <v>88</v>
      </c>
      <c r="C146" s="49" t="s">
        <v>7</v>
      </c>
      <c r="D146" s="49">
        <v>57</v>
      </c>
      <c r="E146" s="49"/>
      <c r="F146" s="49"/>
    </row>
    <row r="147" spans="1:6" s="97" customFormat="1" ht="28.5">
      <c r="A147" s="49">
        <f t="shared" si="0"/>
        <v>89</v>
      </c>
      <c r="B147" s="68" t="s">
        <v>45</v>
      </c>
      <c r="C147" s="49" t="s">
        <v>7</v>
      </c>
      <c r="D147" s="49">
        <v>12</v>
      </c>
      <c r="E147" s="49"/>
      <c r="F147" s="49"/>
    </row>
    <row r="148" spans="1:6" s="97" customFormat="1" ht="28.5">
      <c r="A148" s="49">
        <f t="shared" si="0"/>
        <v>90</v>
      </c>
      <c r="B148" s="68" t="s">
        <v>46</v>
      </c>
      <c r="C148" s="49" t="s">
        <v>7</v>
      </c>
      <c r="D148" s="49">
        <v>74</v>
      </c>
      <c r="E148" s="49"/>
      <c r="F148" s="49"/>
    </row>
    <row r="149" spans="1:6" s="52" customFormat="1" ht="14.25">
      <c r="A149" s="49">
        <f t="shared" si="0"/>
        <v>91</v>
      </c>
      <c r="B149" s="68" t="s">
        <v>48</v>
      </c>
      <c r="C149" s="49" t="s">
        <v>7</v>
      </c>
      <c r="D149" s="49">
        <f>D146</f>
        <v>57</v>
      </c>
      <c r="E149" s="49"/>
      <c r="F149" s="49"/>
    </row>
    <row r="150" spans="1:6" s="52" customFormat="1" ht="14.25">
      <c r="A150" s="49">
        <f t="shared" si="0"/>
        <v>92</v>
      </c>
      <c r="B150" s="68" t="s">
        <v>49</v>
      </c>
      <c r="C150" s="49" t="s">
        <v>7</v>
      </c>
      <c r="D150" s="49">
        <v>12</v>
      </c>
      <c r="E150" s="49"/>
      <c r="F150" s="49"/>
    </row>
    <row r="151" spans="1:6" s="52" customFormat="1" ht="14.25">
      <c r="A151" s="49">
        <f t="shared" si="0"/>
        <v>93</v>
      </c>
      <c r="B151" s="68" t="s">
        <v>50</v>
      </c>
      <c r="C151" s="49" t="s">
        <v>7</v>
      </c>
      <c r="D151" s="49">
        <v>74</v>
      </c>
      <c r="E151" s="49"/>
      <c r="F151" s="49"/>
    </row>
    <row r="152" spans="1:6" s="97" customFormat="1" ht="15.75">
      <c r="A152" s="49">
        <f t="shared" si="0"/>
        <v>94</v>
      </c>
      <c r="B152" s="68" t="s">
        <v>54</v>
      </c>
      <c r="C152" s="49" t="s">
        <v>51</v>
      </c>
      <c r="D152" s="49">
        <f>143/100</f>
        <v>1.43</v>
      </c>
      <c r="E152" s="49"/>
      <c r="F152" s="49"/>
    </row>
    <row r="153" spans="1:6" s="52" customFormat="1" ht="14.25">
      <c r="A153" s="49">
        <v>95</v>
      </c>
      <c r="B153" s="68" t="s">
        <v>487</v>
      </c>
      <c r="C153" s="49" t="s">
        <v>37</v>
      </c>
      <c r="D153" s="49">
        <v>12</v>
      </c>
      <c r="E153" s="49"/>
      <c r="F153" s="49"/>
    </row>
    <row r="154" spans="1:6" s="92" customFormat="1" ht="16.5">
      <c r="A154" s="89"/>
      <c r="B154" s="136" t="s">
        <v>101</v>
      </c>
      <c r="C154" s="158"/>
      <c r="D154" s="158"/>
      <c r="E154" s="159"/>
      <c r="F154" s="160"/>
    </row>
    <row r="155" spans="1:6" s="52" customFormat="1" ht="71.25">
      <c r="A155" s="49">
        <v>96</v>
      </c>
      <c r="B155" s="68" t="s">
        <v>496</v>
      </c>
      <c r="C155" s="49" t="s">
        <v>9</v>
      </c>
      <c r="D155" s="49">
        <v>70</v>
      </c>
      <c r="E155" s="49"/>
      <c r="F155" s="49"/>
    </row>
    <row r="156" spans="1:6" s="52" customFormat="1" ht="28.5">
      <c r="A156" s="49">
        <v>97</v>
      </c>
      <c r="B156" s="69" t="s">
        <v>497</v>
      </c>
      <c r="C156" s="49" t="s">
        <v>9</v>
      </c>
      <c r="D156" s="74">
        <v>70</v>
      </c>
      <c r="E156" s="50"/>
      <c r="F156" s="78"/>
    </row>
    <row r="157" spans="1:6" s="52" customFormat="1" ht="14.25">
      <c r="A157" s="49">
        <f>A156+1</f>
        <v>98</v>
      </c>
      <c r="B157" s="69" t="s">
        <v>31</v>
      </c>
      <c r="C157" s="50" t="s">
        <v>9</v>
      </c>
      <c r="D157" s="74">
        <v>0.5</v>
      </c>
      <c r="E157" s="50"/>
      <c r="F157" s="78"/>
    </row>
    <row r="158" spans="1:6" s="96" customFormat="1" ht="28.5">
      <c r="A158" s="62">
        <f>A157+1</f>
        <v>99</v>
      </c>
      <c r="B158" s="69" t="s">
        <v>35</v>
      </c>
      <c r="C158" s="49" t="s">
        <v>9</v>
      </c>
      <c r="D158" s="49">
        <v>62.2</v>
      </c>
      <c r="E158" s="49"/>
      <c r="F158" s="49"/>
    </row>
    <row r="159" spans="1:6" s="129" customFormat="1" ht="28.5">
      <c r="A159" s="98">
        <f>A158+1</f>
        <v>100</v>
      </c>
      <c r="B159" s="99" t="s">
        <v>303</v>
      </c>
      <c r="C159" s="98" t="s">
        <v>10</v>
      </c>
      <c r="D159" s="125">
        <v>3</v>
      </c>
      <c r="E159" s="126"/>
      <c r="F159" s="127"/>
    </row>
    <row r="160" spans="1:6" s="51" customFormat="1" ht="28.5">
      <c r="A160" s="98">
        <f>A159+1</f>
        <v>101</v>
      </c>
      <c r="B160" s="131" t="s">
        <v>134</v>
      </c>
      <c r="C160" s="115" t="s">
        <v>34</v>
      </c>
      <c r="D160" s="137">
        <f>(0.1+0.5)/100</f>
        <v>0.006</v>
      </c>
      <c r="E160" s="116"/>
      <c r="F160" s="94"/>
    </row>
    <row r="161" spans="1:6" s="133" customFormat="1" ht="14.25">
      <c r="A161" s="104"/>
      <c r="B161" s="59" t="s">
        <v>26</v>
      </c>
      <c r="C161" s="53"/>
      <c r="D161" s="60"/>
      <c r="E161" s="53"/>
      <c r="F161" s="60"/>
    </row>
    <row r="162" spans="1:6" s="133" customFormat="1" ht="14.25">
      <c r="A162" s="104"/>
      <c r="B162" s="64" t="s">
        <v>98</v>
      </c>
      <c r="C162" s="53" t="s">
        <v>133</v>
      </c>
      <c r="D162" s="60">
        <f>7.4+32.4</f>
        <v>39.8</v>
      </c>
      <c r="E162" s="142"/>
      <c r="F162" s="65"/>
    </row>
    <row r="163" spans="1:6" s="35" customFormat="1" ht="14.25">
      <c r="A163" s="98">
        <f>A160+1</f>
        <v>102</v>
      </c>
      <c r="B163" s="69" t="s">
        <v>99</v>
      </c>
      <c r="C163" s="49" t="s">
        <v>9</v>
      </c>
      <c r="D163" s="49">
        <v>1.1</v>
      </c>
      <c r="E163" s="49"/>
      <c r="F163" s="49"/>
    </row>
    <row r="164" spans="1:6" s="63" customFormat="1" ht="14.25">
      <c r="A164" s="130">
        <f>A163+1</f>
        <v>103</v>
      </c>
      <c r="B164" s="68" t="s">
        <v>103</v>
      </c>
      <c r="C164" s="100" t="s">
        <v>10</v>
      </c>
      <c r="D164" s="125">
        <v>1</v>
      </c>
      <c r="E164" s="101"/>
      <c r="F164" s="102"/>
    </row>
    <row r="165" spans="1:6" s="63" customFormat="1" ht="28.5">
      <c r="A165" s="130">
        <f>A164+1</f>
        <v>104</v>
      </c>
      <c r="B165" s="68" t="s">
        <v>102</v>
      </c>
      <c r="C165" s="100" t="s">
        <v>10</v>
      </c>
      <c r="D165" s="125">
        <v>7</v>
      </c>
      <c r="E165" s="101"/>
      <c r="F165" s="102"/>
    </row>
    <row r="166" spans="1:6" s="52" customFormat="1" ht="28.5">
      <c r="A166" s="49">
        <f>A165+1</f>
        <v>105</v>
      </c>
      <c r="B166" s="69" t="s">
        <v>105</v>
      </c>
      <c r="C166" s="50" t="s">
        <v>10</v>
      </c>
      <c r="D166" s="74">
        <f>SUM(D168:D168)</f>
        <v>2</v>
      </c>
      <c r="E166" s="50"/>
      <c r="F166" s="78"/>
    </row>
    <row r="167" spans="1:6" s="7" customFormat="1" ht="15.75">
      <c r="A167" s="42"/>
      <c r="B167" s="31" t="s">
        <v>6</v>
      </c>
      <c r="C167" s="31"/>
      <c r="D167" s="36"/>
      <c r="E167" s="31"/>
      <c r="F167" s="36"/>
    </row>
    <row r="168" spans="1:6" s="7" customFormat="1" ht="15.75">
      <c r="A168" s="42"/>
      <c r="B168" s="32" t="s">
        <v>57</v>
      </c>
      <c r="C168" s="31" t="s">
        <v>10</v>
      </c>
      <c r="D168" s="36">
        <v>2</v>
      </c>
      <c r="E168" s="67"/>
      <c r="F168" s="36"/>
    </row>
    <row r="169" spans="1:6" s="109" customFormat="1" ht="28.5">
      <c r="A169" s="62">
        <f>A166+1</f>
        <v>106</v>
      </c>
      <c r="B169" s="68" t="s">
        <v>106</v>
      </c>
      <c r="C169" s="49" t="s">
        <v>10</v>
      </c>
      <c r="D169" s="108">
        <f>SUM(D171:D172)</f>
        <v>3</v>
      </c>
      <c r="E169" s="49"/>
      <c r="F169" s="49"/>
    </row>
    <row r="170" spans="1:6" s="106" customFormat="1" ht="14.25">
      <c r="A170" s="111"/>
      <c r="B170" s="59" t="s">
        <v>6</v>
      </c>
      <c r="C170" s="112"/>
      <c r="D170" s="112"/>
      <c r="E170" s="112"/>
      <c r="F170" s="113"/>
    </row>
    <row r="171" spans="1:6" s="114" customFormat="1" ht="14.25">
      <c r="A171" s="42"/>
      <c r="B171" s="107" t="s">
        <v>60</v>
      </c>
      <c r="C171" s="59" t="s">
        <v>10</v>
      </c>
      <c r="D171" s="65">
        <v>2</v>
      </c>
      <c r="E171" s="65"/>
      <c r="F171" s="65"/>
    </row>
    <row r="172" spans="1:6" s="114" customFormat="1" ht="14.25">
      <c r="A172" s="42"/>
      <c r="B172" s="107" t="s">
        <v>104</v>
      </c>
      <c r="C172" s="59" t="s">
        <v>10</v>
      </c>
      <c r="D172" s="65">
        <v>1</v>
      </c>
      <c r="E172" s="139"/>
      <c r="F172" s="65"/>
    </row>
    <row r="173" spans="1:6" s="97" customFormat="1" ht="28.5">
      <c r="A173" s="49">
        <f>A169+1</f>
        <v>107</v>
      </c>
      <c r="B173" s="68" t="s">
        <v>44</v>
      </c>
      <c r="C173" s="49" t="s">
        <v>7</v>
      </c>
      <c r="D173" s="49">
        <v>6</v>
      </c>
      <c r="E173" s="49"/>
      <c r="F173" s="49"/>
    </row>
    <row r="174" spans="1:6" s="52" customFormat="1" ht="14.25">
      <c r="A174" s="49">
        <f>A173+1</f>
        <v>108</v>
      </c>
      <c r="B174" s="68" t="s">
        <v>52</v>
      </c>
      <c r="C174" s="49" t="s">
        <v>7</v>
      </c>
      <c r="D174" s="49">
        <v>6</v>
      </c>
      <c r="E174" s="49"/>
      <c r="F174" s="49"/>
    </row>
    <row r="175" spans="1:6" s="97" customFormat="1" ht="71.25">
      <c r="A175" s="49">
        <f>A174+1</f>
        <v>109</v>
      </c>
      <c r="B175" s="68" t="s">
        <v>308</v>
      </c>
      <c r="C175" s="49" t="s">
        <v>68</v>
      </c>
      <c r="D175" s="49">
        <v>1</v>
      </c>
      <c r="E175" s="49"/>
      <c r="F175" s="49"/>
    </row>
    <row r="176" spans="1:6" s="51" customFormat="1" ht="14.25">
      <c r="A176" s="119">
        <f>A175+1</f>
        <v>110</v>
      </c>
      <c r="B176" s="131" t="s">
        <v>107</v>
      </c>
      <c r="C176" s="115" t="s">
        <v>34</v>
      </c>
      <c r="D176" s="132">
        <f>0.6/100</f>
        <v>0.006</v>
      </c>
      <c r="E176" s="116"/>
      <c r="F176" s="94"/>
    </row>
    <row r="177" spans="1:6" s="123" customFormat="1" ht="14.25">
      <c r="A177" s="146">
        <f>A176+1</f>
        <v>111</v>
      </c>
      <c r="B177" s="147" t="s">
        <v>108</v>
      </c>
      <c r="C177" s="119" t="s">
        <v>34</v>
      </c>
      <c r="D177" s="132">
        <f>6.5/100</f>
        <v>0.065</v>
      </c>
      <c r="E177" s="93"/>
      <c r="F177" s="93"/>
    </row>
    <row r="178" spans="1:6" s="47" customFormat="1" ht="13.5">
      <c r="A178" s="31"/>
      <c r="B178" s="31" t="s">
        <v>26</v>
      </c>
      <c r="C178" s="31"/>
      <c r="D178" s="36"/>
      <c r="E178" s="34"/>
      <c r="F178" s="145"/>
    </row>
    <row r="179" spans="1:6" s="47" customFormat="1" ht="13.5">
      <c r="A179" s="66"/>
      <c r="B179" s="39" t="s">
        <v>112</v>
      </c>
      <c r="C179" s="31" t="s">
        <v>69</v>
      </c>
      <c r="D179" s="144">
        <v>20.6</v>
      </c>
      <c r="E179" s="70"/>
      <c r="F179" s="148"/>
    </row>
    <row r="180" spans="1:6" s="35" customFormat="1" ht="13.5">
      <c r="A180" s="41"/>
      <c r="B180" s="39" t="s">
        <v>111</v>
      </c>
      <c r="C180" s="34" t="s">
        <v>69</v>
      </c>
      <c r="D180" s="124">
        <v>885.2</v>
      </c>
      <c r="E180" s="70"/>
      <c r="F180" s="148"/>
    </row>
    <row r="181" spans="1:6" s="52" customFormat="1" ht="28.5">
      <c r="A181" s="49">
        <f>A177+1</f>
        <v>112</v>
      </c>
      <c r="B181" s="69" t="s">
        <v>110</v>
      </c>
      <c r="C181" s="50" t="s">
        <v>109</v>
      </c>
      <c r="D181" s="74">
        <v>2</v>
      </c>
      <c r="E181" s="50"/>
      <c r="F181" s="78"/>
    </row>
    <row r="182" spans="1:6" s="35" customFormat="1" ht="14.25">
      <c r="A182" s="62">
        <f>A181+1</f>
        <v>113</v>
      </c>
      <c r="B182" s="69" t="s">
        <v>113</v>
      </c>
      <c r="C182" s="50" t="s">
        <v>27</v>
      </c>
      <c r="D182" s="49">
        <v>35</v>
      </c>
      <c r="E182" s="50"/>
      <c r="F182" s="78"/>
    </row>
    <row r="183" spans="1:6" s="92" customFormat="1" ht="16.5">
      <c r="A183" s="89"/>
      <c r="B183" s="151" t="s">
        <v>148</v>
      </c>
      <c r="C183" s="158"/>
      <c r="D183" s="158"/>
      <c r="E183" s="159"/>
      <c r="F183" s="160"/>
    </row>
    <row r="184" spans="1:6" s="52" customFormat="1" ht="28.5">
      <c r="A184" s="49">
        <f>A182+1</f>
        <v>114</v>
      </c>
      <c r="B184" s="69" t="s">
        <v>500</v>
      </c>
      <c r="C184" s="50" t="s">
        <v>34</v>
      </c>
      <c r="D184" s="117">
        <f>9.6/100</f>
        <v>0.096</v>
      </c>
      <c r="E184" s="50"/>
      <c r="F184" s="78"/>
    </row>
    <row r="185" spans="1:6" s="123" customFormat="1" ht="14.25">
      <c r="A185" s="119">
        <f>A184+1</f>
        <v>115</v>
      </c>
      <c r="B185" s="69" t="s">
        <v>39</v>
      </c>
      <c r="C185" s="119" t="s">
        <v>34</v>
      </c>
      <c r="D185" s="137">
        <f>19.2/100</f>
        <v>0.192</v>
      </c>
      <c r="E185" s="116"/>
      <c r="F185" s="120"/>
    </row>
    <row r="186" spans="1:6" s="52" customFormat="1" ht="28.5">
      <c r="A186" s="49">
        <f>A185+1</f>
        <v>116</v>
      </c>
      <c r="B186" s="69" t="s">
        <v>40</v>
      </c>
      <c r="C186" s="50" t="s">
        <v>41</v>
      </c>
      <c r="D186" s="117">
        <f>96/1000</f>
        <v>0.096</v>
      </c>
      <c r="E186" s="50"/>
      <c r="F186" s="78"/>
    </row>
    <row r="187" spans="1:6" s="52" customFormat="1" ht="28.5">
      <c r="A187" s="49">
        <f>A186+1</f>
        <v>117</v>
      </c>
      <c r="B187" s="69" t="s">
        <v>42</v>
      </c>
      <c r="C187" s="50" t="s">
        <v>41</v>
      </c>
      <c r="D187" s="117">
        <f>D186</f>
        <v>0.096</v>
      </c>
      <c r="E187" s="50"/>
      <c r="F187" s="78"/>
    </row>
    <row r="188" spans="1:6" s="52" customFormat="1" ht="71.25">
      <c r="A188" s="49">
        <f>A187+1</f>
        <v>118</v>
      </c>
      <c r="B188" s="68" t="s">
        <v>496</v>
      </c>
      <c r="C188" s="49" t="s">
        <v>9</v>
      </c>
      <c r="D188" s="49">
        <f>240+20</f>
        <v>260</v>
      </c>
      <c r="E188" s="49"/>
      <c r="F188" s="49"/>
    </row>
    <row r="189" spans="1:6" s="52" customFormat="1" ht="28.5">
      <c r="A189" s="49">
        <v>119</v>
      </c>
      <c r="B189" s="69" t="s">
        <v>497</v>
      </c>
      <c r="C189" s="49" t="s">
        <v>9</v>
      </c>
      <c r="D189" s="74">
        <v>260</v>
      </c>
      <c r="E189" s="50"/>
      <c r="F189" s="78"/>
    </row>
    <row r="190" spans="1:6" s="52" customFormat="1" ht="14.25">
      <c r="A190" s="49">
        <f>A189+1</f>
        <v>120</v>
      </c>
      <c r="B190" s="69" t="s">
        <v>31</v>
      </c>
      <c r="C190" s="50" t="s">
        <v>9</v>
      </c>
      <c r="D190" s="74">
        <v>2</v>
      </c>
      <c r="E190" s="50"/>
      <c r="F190" s="78"/>
    </row>
    <row r="191" spans="1:6" s="96" customFormat="1" ht="28.5">
      <c r="A191" s="62">
        <f>A190+1</f>
        <v>121</v>
      </c>
      <c r="B191" s="69" t="s">
        <v>35</v>
      </c>
      <c r="C191" s="49" t="s">
        <v>9</v>
      </c>
      <c r="D191" s="49">
        <v>255.2</v>
      </c>
      <c r="E191" s="49"/>
      <c r="F191" s="49"/>
    </row>
    <row r="192" spans="1:6" s="129" customFormat="1" ht="28.5">
      <c r="A192" s="98">
        <f>A191+1</f>
        <v>122</v>
      </c>
      <c r="B192" s="99" t="s">
        <v>304</v>
      </c>
      <c r="C192" s="98" t="s">
        <v>10</v>
      </c>
      <c r="D192" s="125">
        <v>12</v>
      </c>
      <c r="E192" s="126"/>
      <c r="F192" s="127"/>
    </row>
    <row r="193" spans="1:6" s="51" customFormat="1" ht="28.5">
      <c r="A193" s="62">
        <f>A192+1</f>
        <v>123</v>
      </c>
      <c r="B193" s="131" t="s">
        <v>134</v>
      </c>
      <c r="C193" s="115" t="s">
        <v>34</v>
      </c>
      <c r="D193" s="137">
        <f>(0.544+1.28)/100</f>
        <v>0.01824</v>
      </c>
      <c r="E193" s="116"/>
      <c r="F193" s="94"/>
    </row>
    <row r="194" spans="1:6" s="133" customFormat="1" ht="14.25">
      <c r="A194" s="104"/>
      <c r="B194" s="59" t="s">
        <v>26</v>
      </c>
      <c r="C194" s="53"/>
      <c r="D194" s="60"/>
      <c r="E194" s="53"/>
      <c r="F194" s="60"/>
    </row>
    <row r="195" spans="1:6" s="133" customFormat="1" ht="14.25">
      <c r="A195" s="104"/>
      <c r="B195" s="64" t="s">
        <v>98</v>
      </c>
      <c r="C195" s="53" t="s">
        <v>133</v>
      </c>
      <c r="D195" s="60">
        <f>19.76+86.4</f>
        <v>106.16000000000001</v>
      </c>
      <c r="E195" s="142"/>
      <c r="F195" s="65"/>
    </row>
    <row r="196" spans="1:6" s="35" customFormat="1" ht="14.25">
      <c r="A196" s="62">
        <f>A193+1</f>
        <v>124</v>
      </c>
      <c r="B196" s="69" t="s">
        <v>99</v>
      </c>
      <c r="C196" s="49" t="s">
        <v>9</v>
      </c>
      <c r="D196" s="49">
        <v>2.88</v>
      </c>
      <c r="E196" s="49"/>
      <c r="F196" s="49"/>
    </row>
    <row r="197" spans="1:6" s="63" customFormat="1" ht="14.25">
      <c r="A197" s="130">
        <f>A196+1</f>
        <v>125</v>
      </c>
      <c r="B197" s="68" t="s">
        <v>114</v>
      </c>
      <c r="C197" s="100" t="s">
        <v>10</v>
      </c>
      <c r="D197" s="125">
        <v>4</v>
      </c>
      <c r="E197" s="101"/>
      <c r="F197" s="102"/>
    </row>
    <row r="198" spans="1:6" s="63" customFormat="1" ht="28.5">
      <c r="A198" s="130">
        <f>A197+1</f>
        <v>126</v>
      </c>
      <c r="B198" s="68" t="s">
        <v>115</v>
      </c>
      <c r="C198" s="100" t="s">
        <v>10</v>
      </c>
      <c r="D198" s="125">
        <v>28</v>
      </c>
      <c r="E198" s="101"/>
      <c r="F198" s="102"/>
    </row>
    <row r="199" spans="1:6" s="109" customFormat="1" ht="28.5">
      <c r="A199" s="62">
        <f>A198+1</f>
        <v>127</v>
      </c>
      <c r="B199" s="68" t="s">
        <v>120</v>
      </c>
      <c r="C199" s="49" t="s">
        <v>10</v>
      </c>
      <c r="D199" s="108">
        <f>SUM(D201:D202)</f>
        <v>12</v>
      </c>
      <c r="E199" s="49"/>
      <c r="F199" s="49"/>
    </row>
    <row r="200" spans="1:6" s="106" customFormat="1" ht="14.25">
      <c r="A200" s="111"/>
      <c r="B200" s="59" t="s">
        <v>6</v>
      </c>
      <c r="C200" s="112"/>
      <c r="D200" s="112"/>
      <c r="E200" s="112"/>
      <c r="F200" s="113"/>
    </row>
    <row r="201" spans="1:6" s="114" customFormat="1" ht="14.25">
      <c r="A201" s="42"/>
      <c r="B201" s="107" t="s">
        <v>117</v>
      </c>
      <c r="C201" s="59" t="s">
        <v>10</v>
      </c>
      <c r="D201" s="65">
        <v>8</v>
      </c>
      <c r="E201" s="139"/>
      <c r="F201" s="65"/>
    </row>
    <row r="202" spans="1:6" s="114" customFormat="1" ht="14.25">
      <c r="A202" s="42"/>
      <c r="B202" s="107" t="s">
        <v>116</v>
      </c>
      <c r="C202" s="59" t="s">
        <v>10</v>
      </c>
      <c r="D202" s="65">
        <v>4</v>
      </c>
      <c r="E202" s="139"/>
      <c r="F202" s="65"/>
    </row>
    <row r="203" spans="1:6" s="97" customFormat="1" ht="28.5">
      <c r="A203" s="49">
        <f>A199+1</f>
        <v>128</v>
      </c>
      <c r="B203" s="68" t="s">
        <v>45</v>
      </c>
      <c r="C203" s="49" t="s">
        <v>7</v>
      </c>
      <c r="D203" s="49">
        <v>20</v>
      </c>
      <c r="E203" s="49"/>
      <c r="F203" s="49"/>
    </row>
    <row r="204" spans="1:6" s="52" customFormat="1" ht="14.25">
      <c r="A204" s="49">
        <f>A203+1</f>
        <v>129</v>
      </c>
      <c r="B204" s="68" t="s">
        <v>49</v>
      </c>
      <c r="C204" s="49" t="s">
        <v>7</v>
      </c>
      <c r="D204" s="49">
        <v>20</v>
      </c>
      <c r="E204" s="49"/>
      <c r="F204" s="49"/>
    </row>
    <row r="205" spans="1:6" s="97" customFormat="1" ht="71.25">
      <c r="A205" s="49">
        <f>A204+1</f>
        <v>130</v>
      </c>
      <c r="B205" s="68" t="s">
        <v>309</v>
      </c>
      <c r="C205" s="49" t="s">
        <v>68</v>
      </c>
      <c r="D205" s="49">
        <v>4</v>
      </c>
      <c r="E205" s="49"/>
      <c r="F205" s="49"/>
    </row>
    <row r="206" spans="1:6" s="51" customFormat="1" ht="14.25">
      <c r="A206" s="119">
        <f>A205+1</f>
        <v>131</v>
      </c>
      <c r="B206" s="131" t="s">
        <v>293</v>
      </c>
      <c r="C206" s="115" t="s">
        <v>34</v>
      </c>
      <c r="D206" s="115">
        <f>2.4/100</f>
        <v>0.024</v>
      </c>
      <c r="E206" s="116"/>
      <c r="F206" s="94"/>
    </row>
    <row r="207" spans="1:6" s="123" customFormat="1" ht="14.25">
      <c r="A207" s="146">
        <f>A206+1</f>
        <v>132</v>
      </c>
      <c r="B207" s="147" t="s">
        <v>292</v>
      </c>
      <c r="C207" s="119" t="s">
        <v>34</v>
      </c>
      <c r="D207" s="132">
        <f>26/100</f>
        <v>0.26</v>
      </c>
      <c r="E207" s="93"/>
      <c r="F207" s="93"/>
    </row>
    <row r="208" spans="1:6" s="47" customFormat="1" ht="13.5">
      <c r="A208" s="31"/>
      <c r="B208" s="31" t="s">
        <v>26</v>
      </c>
      <c r="C208" s="31"/>
      <c r="D208" s="36"/>
      <c r="E208" s="34"/>
      <c r="F208" s="145"/>
    </row>
    <row r="209" spans="1:6" s="47" customFormat="1" ht="13.5">
      <c r="A209" s="66"/>
      <c r="B209" s="39" t="s">
        <v>112</v>
      </c>
      <c r="C209" s="31" t="s">
        <v>69</v>
      </c>
      <c r="D209" s="144">
        <v>82.4</v>
      </c>
      <c r="E209" s="70"/>
      <c r="F209" s="148"/>
    </row>
    <row r="210" spans="1:6" s="35" customFormat="1" ht="13.5">
      <c r="A210" s="41"/>
      <c r="B210" s="39" t="s">
        <v>111</v>
      </c>
      <c r="C210" s="34" t="s">
        <v>69</v>
      </c>
      <c r="D210" s="124">
        <v>3540.8</v>
      </c>
      <c r="E210" s="70"/>
      <c r="F210" s="148"/>
    </row>
    <row r="211" spans="1:6" s="52" customFormat="1" ht="28.5">
      <c r="A211" s="49">
        <f>A207+1</f>
        <v>133</v>
      </c>
      <c r="B211" s="69" t="s">
        <v>110</v>
      </c>
      <c r="C211" s="50" t="s">
        <v>109</v>
      </c>
      <c r="D211" s="74">
        <v>8</v>
      </c>
      <c r="E211" s="50"/>
      <c r="F211" s="78"/>
    </row>
    <row r="212" spans="1:6" s="35" customFormat="1" ht="14.25">
      <c r="A212" s="62">
        <f>A211+1</f>
        <v>134</v>
      </c>
      <c r="B212" s="69" t="s">
        <v>113</v>
      </c>
      <c r="C212" s="50" t="s">
        <v>27</v>
      </c>
      <c r="D212" s="49">
        <v>140</v>
      </c>
      <c r="E212" s="50"/>
      <c r="F212" s="78"/>
    </row>
    <row r="213" spans="1:6" s="92" customFormat="1" ht="16.5">
      <c r="A213" s="89"/>
      <c r="B213" s="151" t="s">
        <v>149</v>
      </c>
      <c r="C213" s="158"/>
      <c r="D213" s="158"/>
      <c r="E213" s="159"/>
      <c r="F213" s="160"/>
    </row>
    <row r="214" spans="1:6" s="52" customFormat="1" ht="28.5">
      <c r="A214" s="49">
        <f>A212+1</f>
        <v>135</v>
      </c>
      <c r="B214" s="69" t="s">
        <v>500</v>
      </c>
      <c r="C214" s="50" t="s">
        <v>34</v>
      </c>
      <c r="D214" s="117">
        <f>7.2/100</f>
        <v>0.07200000000000001</v>
      </c>
      <c r="E214" s="50"/>
      <c r="F214" s="78"/>
    </row>
    <row r="215" spans="1:6" s="123" customFormat="1" ht="14.25">
      <c r="A215" s="119">
        <f>A214+1</f>
        <v>136</v>
      </c>
      <c r="B215" s="69" t="s">
        <v>39</v>
      </c>
      <c r="C215" s="119" t="s">
        <v>34</v>
      </c>
      <c r="D215" s="137">
        <f>14.4/100</f>
        <v>0.14400000000000002</v>
      </c>
      <c r="E215" s="116"/>
      <c r="F215" s="120"/>
    </row>
    <row r="216" spans="1:6" s="52" customFormat="1" ht="28.5">
      <c r="A216" s="49">
        <f>A215+1</f>
        <v>137</v>
      </c>
      <c r="B216" s="69" t="s">
        <v>40</v>
      </c>
      <c r="C216" s="50" t="s">
        <v>41</v>
      </c>
      <c r="D216" s="117">
        <f>72/1000</f>
        <v>0.072</v>
      </c>
      <c r="E216" s="50"/>
      <c r="F216" s="78"/>
    </row>
    <row r="217" spans="1:6" s="52" customFormat="1" ht="28.5">
      <c r="A217" s="49">
        <f>A216+1</f>
        <v>138</v>
      </c>
      <c r="B217" s="69" t="s">
        <v>42</v>
      </c>
      <c r="C217" s="50" t="s">
        <v>41</v>
      </c>
      <c r="D217" s="117">
        <f>D216</f>
        <v>0.072</v>
      </c>
      <c r="E217" s="50"/>
      <c r="F217" s="78"/>
    </row>
    <row r="218" spans="1:6" s="52" customFormat="1" ht="71.25">
      <c r="A218" s="49">
        <f>A217+1</f>
        <v>139</v>
      </c>
      <c r="B218" s="68" t="s">
        <v>496</v>
      </c>
      <c r="C218" s="49" t="s">
        <v>9</v>
      </c>
      <c r="D218" s="49">
        <v>195</v>
      </c>
      <c r="E218" s="49"/>
      <c r="F218" s="49"/>
    </row>
    <row r="219" spans="1:6" s="52" customFormat="1" ht="28.5">
      <c r="A219" s="49">
        <v>140</v>
      </c>
      <c r="B219" s="69" t="s">
        <v>497</v>
      </c>
      <c r="C219" s="49" t="s">
        <v>9</v>
      </c>
      <c r="D219" s="74">
        <v>195</v>
      </c>
      <c r="E219" s="50"/>
      <c r="F219" s="78"/>
    </row>
    <row r="220" spans="1:6" s="52" customFormat="1" ht="14.25">
      <c r="A220" s="49">
        <f>A219+1</f>
        <v>141</v>
      </c>
      <c r="B220" s="69" t="s">
        <v>31</v>
      </c>
      <c r="C220" s="50" t="s">
        <v>9</v>
      </c>
      <c r="D220" s="74">
        <v>1.5</v>
      </c>
      <c r="E220" s="50"/>
      <c r="F220" s="78"/>
    </row>
    <row r="221" spans="1:6" s="96" customFormat="1" ht="28.5">
      <c r="A221" s="62">
        <f>A220+1</f>
        <v>142</v>
      </c>
      <c r="B221" s="69" t="s">
        <v>35</v>
      </c>
      <c r="C221" s="49" t="s">
        <v>9</v>
      </c>
      <c r="D221" s="49">
        <v>191.4</v>
      </c>
      <c r="E221" s="49"/>
      <c r="F221" s="49"/>
    </row>
    <row r="222" spans="1:6" s="129" customFormat="1" ht="28.5">
      <c r="A222" s="98">
        <f>A221+1</f>
        <v>143</v>
      </c>
      <c r="B222" s="99" t="s">
        <v>305</v>
      </c>
      <c r="C222" s="98" t="s">
        <v>10</v>
      </c>
      <c r="D222" s="125">
        <v>6</v>
      </c>
      <c r="E222" s="126"/>
      <c r="F222" s="127"/>
    </row>
    <row r="223" spans="1:6" s="51" customFormat="1" ht="28.5">
      <c r="A223" s="62">
        <f>A222+1</f>
        <v>144</v>
      </c>
      <c r="B223" s="131" t="s">
        <v>134</v>
      </c>
      <c r="C223" s="115" t="s">
        <v>34</v>
      </c>
      <c r="D223" s="137">
        <f>(0.204+1.92)/100</f>
        <v>0.021240000000000002</v>
      </c>
      <c r="E223" s="116"/>
      <c r="F223" s="94"/>
    </row>
    <row r="224" spans="1:6" s="133" customFormat="1" ht="14.25">
      <c r="A224" s="104"/>
      <c r="B224" s="59" t="s">
        <v>26</v>
      </c>
      <c r="C224" s="53"/>
      <c r="D224" s="60"/>
      <c r="E224" s="53"/>
      <c r="F224" s="60"/>
    </row>
    <row r="225" spans="1:6" s="133" customFormat="1" ht="14.25">
      <c r="A225" s="104"/>
      <c r="B225" s="64" t="s">
        <v>98</v>
      </c>
      <c r="C225" s="53" t="s">
        <v>133</v>
      </c>
      <c r="D225" s="60">
        <f>14.82+64.8</f>
        <v>79.62</v>
      </c>
      <c r="E225" s="142"/>
      <c r="F225" s="65"/>
    </row>
    <row r="226" spans="1:6" s="35" customFormat="1" ht="14.25">
      <c r="A226" s="62">
        <f>A223+1</f>
        <v>145</v>
      </c>
      <c r="B226" s="69" t="s">
        <v>99</v>
      </c>
      <c r="C226" s="49" t="s">
        <v>9</v>
      </c>
      <c r="D226" s="49">
        <v>2.16</v>
      </c>
      <c r="E226" s="49"/>
      <c r="F226" s="49"/>
    </row>
    <row r="227" spans="1:6" s="35" customFormat="1" ht="14.25">
      <c r="A227" s="58"/>
      <c r="B227" s="57" t="s">
        <v>6</v>
      </c>
      <c r="C227" s="61"/>
      <c r="D227" s="71"/>
      <c r="E227" s="61"/>
      <c r="F227" s="61"/>
    </row>
    <row r="228" spans="1:6" s="63" customFormat="1" ht="28.5">
      <c r="A228" s="130">
        <f>A226+1</f>
        <v>146</v>
      </c>
      <c r="B228" s="68" t="s">
        <v>119</v>
      </c>
      <c r="C228" s="100" t="s">
        <v>10</v>
      </c>
      <c r="D228" s="125">
        <v>15</v>
      </c>
      <c r="E228" s="101"/>
      <c r="F228" s="102"/>
    </row>
    <row r="229" spans="1:6" s="109" customFormat="1" ht="28.5">
      <c r="A229" s="62">
        <f>A228+1</f>
        <v>147</v>
      </c>
      <c r="B229" s="68" t="s">
        <v>122</v>
      </c>
      <c r="C229" s="49" t="s">
        <v>10</v>
      </c>
      <c r="D229" s="108">
        <f>SUM(D231:D232)</f>
        <v>9</v>
      </c>
      <c r="E229" s="49"/>
      <c r="F229" s="49"/>
    </row>
    <row r="230" spans="1:6" s="106" customFormat="1" ht="14.25">
      <c r="A230" s="111"/>
      <c r="B230" s="59" t="s">
        <v>6</v>
      </c>
      <c r="C230" s="112"/>
      <c r="D230" s="112"/>
      <c r="E230" s="112"/>
      <c r="F230" s="113"/>
    </row>
    <row r="231" spans="1:6" s="114" customFormat="1" ht="14.25">
      <c r="A231" s="42"/>
      <c r="B231" s="107" t="s">
        <v>121</v>
      </c>
      <c r="C231" s="59" t="s">
        <v>10</v>
      </c>
      <c r="D231" s="65">
        <v>6</v>
      </c>
      <c r="E231" s="65"/>
      <c r="F231" s="65"/>
    </row>
    <row r="232" spans="1:6" s="114" customFormat="1" ht="14.25">
      <c r="A232" s="42"/>
      <c r="B232" s="107" t="s">
        <v>152</v>
      </c>
      <c r="C232" s="59" t="s">
        <v>10</v>
      </c>
      <c r="D232" s="65">
        <v>3</v>
      </c>
      <c r="E232" s="65"/>
      <c r="F232" s="65"/>
    </row>
    <row r="233" spans="1:6" s="97" customFormat="1" ht="28.5">
      <c r="A233" s="49">
        <f>A229+1</f>
        <v>148</v>
      </c>
      <c r="B233" s="68" t="s">
        <v>46</v>
      </c>
      <c r="C233" s="49" t="s">
        <v>7</v>
      </c>
      <c r="D233" s="49">
        <v>15</v>
      </c>
      <c r="E233" s="49"/>
      <c r="F233" s="49"/>
    </row>
    <row r="234" spans="1:6" s="52" customFormat="1" ht="14.25">
      <c r="A234" s="49">
        <f>A233+1</f>
        <v>149</v>
      </c>
      <c r="B234" s="68" t="s">
        <v>50</v>
      </c>
      <c r="C234" s="49" t="s">
        <v>7</v>
      </c>
      <c r="D234" s="49">
        <v>15</v>
      </c>
      <c r="E234" s="49"/>
      <c r="F234" s="49"/>
    </row>
    <row r="235" spans="1:6" s="97" customFormat="1" ht="71.25">
      <c r="A235" s="49">
        <f>A234+1</f>
        <v>150</v>
      </c>
      <c r="B235" s="68" t="s">
        <v>310</v>
      </c>
      <c r="C235" s="49" t="s">
        <v>68</v>
      </c>
      <c r="D235" s="49">
        <v>3</v>
      </c>
      <c r="E235" s="49"/>
      <c r="F235" s="49"/>
    </row>
    <row r="236" spans="1:6" s="51" customFormat="1" ht="14.25">
      <c r="A236" s="119">
        <f>A235+1</f>
        <v>151</v>
      </c>
      <c r="B236" s="131" t="s">
        <v>107</v>
      </c>
      <c r="C236" s="115" t="s">
        <v>34</v>
      </c>
      <c r="D236" s="132">
        <f>1.8/100</f>
        <v>0.018000000000000002</v>
      </c>
      <c r="E236" s="116"/>
      <c r="F236" s="94"/>
    </row>
    <row r="237" spans="1:6" s="123" customFormat="1" ht="14.25">
      <c r="A237" s="146">
        <f>A236+1</f>
        <v>152</v>
      </c>
      <c r="B237" s="147" t="s">
        <v>292</v>
      </c>
      <c r="C237" s="119" t="s">
        <v>34</v>
      </c>
      <c r="D237" s="132">
        <f>19.5/100</f>
        <v>0.195</v>
      </c>
      <c r="E237" s="93"/>
      <c r="F237" s="93"/>
    </row>
    <row r="238" spans="1:6" s="47" customFormat="1" ht="13.5">
      <c r="A238" s="31"/>
      <c r="B238" s="31" t="s">
        <v>26</v>
      </c>
      <c r="C238" s="31"/>
      <c r="D238" s="36"/>
      <c r="E238" s="34"/>
      <c r="F238" s="145"/>
    </row>
    <row r="239" spans="1:6" s="47" customFormat="1" ht="13.5">
      <c r="A239" s="66"/>
      <c r="B239" s="39" t="s">
        <v>112</v>
      </c>
      <c r="C239" s="31" t="s">
        <v>69</v>
      </c>
      <c r="D239" s="144">
        <v>61.8</v>
      </c>
      <c r="E239" s="70"/>
      <c r="F239" s="148"/>
    </row>
    <row r="240" spans="1:6" s="35" customFormat="1" ht="13.5">
      <c r="A240" s="41"/>
      <c r="B240" s="39" t="s">
        <v>111</v>
      </c>
      <c r="C240" s="34" t="s">
        <v>69</v>
      </c>
      <c r="D240" s="124">
        <v>2655.6</v>
      </c>
      <c r="E240" s="70"/>
      <c r="F240" s="148"/>
    </row>
    <row r="241" spans="1:6" s="52" customFormat="1" ht="28.5">
      <c r="A241" s="49">
        <f>A237+1</f>
        <v>153</v>
      </c>
      <c r="B241" s="69" t="s">
        <v>110</v>
      </c>
      <c r="C241" s="50" t="s">
        <v>109</v>
      </c>
      <c r="D241" s="74">
        <v>6</v>
      </c>
      <c r="E241" s="50"/>
      <c r="F241" s="78"/>
    </row>
    <row r="242" spans="1:6" s="35" customFormat="1" ht="14.25">
      <c r="A242" s="62">
        <f>A241+1</f>
        <v>154</v>
      </c>
      <c r="B242" s="69" t="s">
        <v>113</v>
      </c>
      <c r="C242" s="50" t="s">
        <v>27</v>
      </c>
      <c r="D242" s="49">
        <v>105</v>
      </c>
      <c r="E242" s="50"/>
      <c r="F242" s="78"/>
    </row>
    <row r="243" spans="1:6" s="92" customFormat="1" ht="16.5">
      <c r="A243" s="89"/>
      <c r="B243" s="151" t="s">
        <v>150</v>
      </c>
      <c r="C243" s="158"/>
      <c r="D243" s="158"/>
      <c r="E243" s="159"/>
      <c r="F243" s="160"/>
    </row>
    <row r="244" spans="1:6" s="52" customFormat="1" ht="28.5">
      <c r="A244" s="49">
        <f>A242+1</f>
        <v>155</v>
      </c>
      <c r="B244" s="69" t="s">
        <v>500</v>
      </c>
      <c r="C244" s="50" t="s">
        <v>34</v>
      </c>
      <c r="D244" s="117">
        <f>7.2/100</f>
        <v>0.07200000000000001</v>
      </c>
      <c r="E244" s="50"/>
      <c r="F244" s="78"/>
    </row>
    <row r="245" spans="1:6" s="123" customFormat="1" ht="14.25">
      <c r="A245" s="119">
        <f>A244+1</f>
        <v>156</v>
      </c>
      <c r="B245" s="69" t="s">
        <v>39</v>
      </c>
      <c r="C245" s="119" t="s">
        <v>34</v>
      </c>
      <c r="D245" s="137">
        <f>14.4/100</f>
        <v>0.14400000000000002</v>
      </c>
      <c r="E245" s="116"/>
      <c r="F245" s="120"/>
    </row>
    <row r="246" spans="1:6" s="52" customFormat="1" ht="28.5">
      <c r="A246" s="49">
        <f>A245+1</f>
        <v>157</v>
      </c>
      <c r="B246" s="69" t="s">
        <v>40</v>
      </c>
      <c r="C246" s="50" t="s">
        <v>41</v>
      </c>
      <c r="D246" s="117">
        <f>72/1000</f>
        <v>0.072</v>
      </c>
      <c r="E246" s="50"/>
      <c r="F246" s="78"/>
    </row>
    <row r="247" spans="1:6" s="52" customFormat="1" ht="28.5">
      <c r="A247" s="49">
        <f>A246+1</f>
        <v>158</v>
      </c>
      <c r="B247" s="69" t="s">
        <v>42</v>
      </c>
      <c r="C247" s="50" t="s">
        <v>41</v>
      </c>
      <c r="D247" s="117">
        <f>D246</f>
        <v>0.072</v>
      </c>
      <c r="E247" s="50"/>
      <c r="F247" s="78"/>
    </row>
    <row r="248" spans="1:6" s="52" customFormat="1" ht="71.25">
      <c r="A248" s="49">
        <f>A247+1</f>
        <v>159</v>
      </c>
      <c r="B248" s="68" t="s">
        <v>496</v>
      </c>
      <c r="C248" s="49" t="s">
        <v>9</v>
      </c>
      <c r="D248" s="49">
        <v>195</v>
      </c>
      <c r="E248" s="49"/>
      <c r="F248" s="49"/>
    </row>
    <row r="249" spans="1:6" s="52" customFormat="1" ht="28.5">
      <c r="A249" s="49">
        <v>160</v>
      </c>
      <c r="B249" s="69" t="s">
        <v>497</v>
      </c>
      <c r="C249" s="49" t="s">
        <v>9</v>
      </c>
      <c r="D249" s="74">
        <v>195</v>
      </c>
      <c r="E249" s="50"/>
      <c r="F249" s="78"/>
    </row>
    <row r="250" spans="1:6" s="52" customFormat="1" ht="14.25">
      <c r="A250" s="49">
        <f>A249+1</f>
        <v>161</v>
      </c>
      <c r="B250" s="69" t="s">
        <v>31</v>
      </c>
      <c r="C250" s="50" t="s">
        <v>9</v>
      </c>
      <c r="D250" s="74">
        <v>1.5</v>
      </c>
      <c r="E250" s="50"/>
      <c r="F250" s="78"/>
    </row>
    <row r="251" spans="1:6" s="96" customFormat="1" ht="28.5">
      <c r="A251" s="62">
        <f>A250+1</f>
        <v>162</v>
      </c>
      <c r="B251" s="69" t="s">
        <v>35</v>
      </c>
      <c r="C251" s="49" t="s">
        <v>9</v>
      </c>
      <c r="D251" s="49">
        <v>191.4</v>
      </c>
      <c r="E251" s="49"/>
      <c r="F251" s="49"/>
    </row>
    <row r="252" spans="1:6" s="129" customFormat="1" ht="28.5">
      <c r="A252" s="98">
        <f>A251+1</f>
        <v>163</v>
      </c>
      <c r="B252" s="99" t="s">
        <v>306</v>
      </c>
      <c r="C252" s="98" t="s">
        <v>10</v>
      </c>
      <c r="D252" s="125">
        <v>6</v>
      </c>
      <c r="E252" s="126"/>
      <c r="F252" s="127"/>
    </row>
    <row r="253" spans="1:6" s="51" customFormat="1" ht="28.5">
      <c r="A253" s="62">
        <f>A252+1</f>
        <v>164</v>
      </c>
      <c r="B253" s="131" t="s">
        <v>134</v>
      </c>
      <c r="C253" s="115" t="s">
        <v>34</v>
      </c>
      <c r="D253" s="137">
        <f>(0.204+1.92)/100</f>
        <v>0.021240000000000002</v>
      </c>
      <c r="E253" s="116"/>
      <c r="F253" s="94"/>
    </row>
    <row r="254" spans="1:6" s="133" customFormat="1" ht="14.25">
      <c r="A254" s="104"/>
      <c r="B254" s="59" t="s">
        <v>26</v>
      </c>
      <c r="C254" s="53"/>
      <c r="D254" s="60"/>
      <c r="E254" s="53"/>
      <c r="F254" s="60"/>
    </row>
    <row r="255" spans="1:6" s="133" customFormat="1" ht="14.25">
      <c r="A255" s="104"/>
      <c r="B255" s="64" t="s">
        <v>98</v>
      </c>
      <c r="C255" s="53" t="s">
        <v>133</v>
      </c>
      <c r="D255" s="60">
        <f>14.82+64.8</f>
        <v>79.62</v>
      </c>
      <c r="E255" s="142"/>
      <c r="F255" s="65"/>
    </row>
    <row r="256" spans="1:6" s="35" customFormat="1" ht="14.25">
      <c r="A256" s="62">
        <f>A253+1</f>
        <v>165</v>
      </c>
      <c r="B256" s="69" t="s">
        <v>99</v>
      </c>
      <c r="C256" s="49" t="s">
        <v>9</v>
      </c>
      <c r="D256" s="49">
        <v>2.16</v>
      </c>
      <c r="E256" s="49"/>
      <c r="F256" s="49"/>
    </row>
    <row r="257" spans="1:6" s="63" customFormat="1" ht="28.5">
      <c r="A257" s="130">
        <f>A256+1</f>
        <v>166</v>
      </c>
      <c r="B257" s="68" t="s">
        <v>123</v>
      </c>
      <c r="C257" s="100" t="s">
        <v>10</v>
      </c>
      <c r="D257" s="125">
        <v>15</v>
      </c>
      <c r="E257" s="101"/>
      <c r="F257" s="102"/>
    </row>
    <row r="258" spans="1:6" s="109" customFormat="1" ht="28.5">
      <c r="A258" s="62">
        <f>A257+1</f>
        <v>167</v>
      </c>
      <c r="B258" s="68" t="s">
        <v>122</v>
      </c>
      <c r="C258" s="49" t="s">
        <v>10</v>
      </c>
      <c r="D258" s="108">
        <f>SUM(D260:D261)</f>
        <v>9</v>
      </c>
      <c r="E258" s="49"/>
      <c r="F258" s="49"/>
    </row>
    <row r="259" spans="1:6" s="106" customFormat="1" ht="14.25">
      <c r="A259" s="111"/>
      <c r="B259" s="59" t="s">
        <v>6</v>
      </c>
      <c r="C259" s="112"/>
      <c r="D259" s="112"/>
      <c r="E259" s="112"/>
      <c r="F259" s="113"/>
    </row>
    <row r="260" spans="1:6" s="114" customFormat="1" ht="14.25">
      <c r="A260" s="42"/>
      <c r="B260" s="107" t="s">
        <v>124</v>
      </c>
      <c r="C260" s="59" t="s">
        <v>10</v>
      </c>
      <c r="D260" s="65">
        <v>6</v>
      </c>
      <c r="E260" s="65"/>
      <c r="F260" s="65"/>
    </row>
    <row r="261" spans="1:6" s="114" customFormat="1" ht="14.25">
      <c r="A261" s="42"/>
      <c r="B261" s="107" t="s">
        <v>153</v>
      </c>
      <c r="C261" s="59" t="s">
        <v>10</v>
      </c>
      <c r="D261" s="65">
        <v>3</v>
      </c>
      <c r="E261" s="65"/>
      <c r="F261" s="65"/>
    </row>
    <row r="262" spans="1:6" s="97" customFormat="1" ht="28.5">
      <c r="A262" s="49">
        <f>A258+1</f>
        <v>168</v>
      </c>
      <c r="B262" s="68" t="s">
        <v>125</v>
      </c>
      <c r="C262" s="49" t="s">
        <v>7</v>
      </c>
      <c r="D262" s="49">
        <v>15</v>
      </c>
      <c r="E262" s="49"/>
      <c r="F262" s="49"/>
    </row>
    <row r="263" spans="1:6" s="52" customFormat="1" ht="14.25">
      <c r="A263" s="49">
        <f>A262+1</f>
        <v>169</v>
      </c>
      <c r="B263" s="68" t="s">
        <v>126</v>
      </c>
      <c r="C263" s="49" t="s">
        <v>7</v>
      </c>
      <c r="D263" s="49">
        <v>15</v>
      </c>
      <c r="E263" s="49"/>
      <c r="F263" s="49"/>
    </row>
    <row r="264" spans="1:6" s="97" customFormat="1" ht="71.25">
      <c r="A264" s="49">
        <f>A263+1</f>
        <v>170</v>
      </c>
      <c r="B264" s="68" t="s">
        <v>307</v>
      </c>
      <c r="C264" s="49" t="s">
        <v>68</v>
      </c>
      <c r="D264" s="49">
        <v>3</v>
      </c>
      <c r="E264" s="49"/>
      <c r="F264" s="49"/>
    </row>
    <row r="265" spans="1:6" s="51" customFormat="1" ht="14.25">
      <c r="A265" s="119">
        <f>A264+1</f>
        <v>171</v>
      </c>
      <c r="B265" s="131" t="s">
        <v>107</v>
      </c>
      <c r="C265" s="115" t="s">
        <v>34</v>
      </c>
      <c r="D265" s="132">
        <f>1.8/100</f>
        <v>0.018000000000000002</v>
      </c>
      <c r="E265" s="116"/>
      <c r="F265" s="94"/>
    </row>
    <row r="266" spans="1:6" s="123" customFormat="1" ht="14.25">
      <c r="A266" s="146">
        <f>A265+1</f>
        <v>172</v>
      </c>
      <c r="B266" s="147" t="s">
        <v>292</v>
      </c>
      <c r="C266" s="119" t="s">
        <v>34</v>
      </c>
      <c r="D266" s="132">
        <f>19.5/100</f>
        <v>0.195</v>
      </c>
      <c r="E266" s="93"/>
      <c r="F266" s="93"/>
    </row>
    <row r="267" spans="1:6" s="47" customFormat="1" ht="13.5">
      <c r="A267" s="31"/>
      <c r="B267" s="31" t="s">
        <v>26</v>
      </c>
      <c r="C267" s="31"/>
      <c r="D267" s="36"/>
      <c r="E267" s="34"/>
      <c r="F267" s="145"/>
    </row>
    <row r="268" spans="1:6" s="47" customFormat="1" ht="13.5">
      <c r="A268" s="66"/>
      <c r="B268" s="39" t="s">
        <v>112</v>
      </c>
      <c r="C268" s="31" t="s">
        <v>69</v>
      </c>
      <c r="D268" s="144">
        <v>61.8</v>
      </c>
      <c r="E268" s="70"/>
      <c r="F268" s="148"/>
    </row>
    <row r="269" spans="1:6" s="35" customFormat="1" ht="13.5">
      <c r="A269" s="41"/>
      <c r="B269" s="39" t="s">
        <v>111</v>
      </c>
      <c r="C269" s="34" t="s">
        <v>69</v>
      </c>
      <c r="D269" s="124">
        <v>2655.6</v>
      </c>
      <c r="E269" s="70"/>
      <c r="F269" s="148"/>
    </row>
    <row r="270" spans="1:6" s="52" customFormat="1" ht="28.5">
      <c r="A270" s="49">
        <f>A266+1</f>
        <v>173</v>
      </c>
      <c r="B270" s="69" t="s">
        <v>110</v>
      </c>
      <c r="C270" s="50" t="s">
        <v>109</v>
      </c>
      <c r="D270" s="74">
        <v>6</v>
      </c>
      <c r="E270" s="50"/>
      <c r="F270" s="78"/>
    </row>
    <row r="271" spans="1:6" s="35" customFormat="1" ht="14.25">
      <c r="A271" s="62">
        <f>A270+1</f>
        <v>174</v>
      </c>
      <c r="B271" s="69" t="s">
        <v>113</v>
      </c>
      <c r="C271" s="50" t="s">
        <v>27</v>
      </c>
      <c r="D271" s="49">
        <v>105</v>
      </c>
      <c r="E271" s="50"/>
      <c r="F271" s="78"/>
    </row>
    <row r="272" spans="1:6" s="92" customFormat="1" ht="16.5">
      <c r="A272" s="89"/>
      <c r="B272" s="151" t="s">
        <v>151</v>
      </c>
      <c r="C272" s="158"/>
      <c r="D272" s="158"/>
      <c r="E272" s="159"/>
      <c r="F272" s="160"/>
    </row>
    <row r="273" spans="1:6" s="52" customFormat="1" ht="28.5">
      <c r="A273" s="49">
        <f>A271+1</f>
        <v>175</v>
      </c>
      <c r="B273" s="69" t="s">
        <v>500</v>
      </c>
      <c r="C273" s="50" t="s">
        <v>34</v>
      </c>
      <c r="D273" s="117">
        <f>350/100</f>
        <v>3.5</v>
      </c>
      <c r="E273" s="50"/>
      <c r="F273" s="78"/>
    </row>
    <row r="274" spans="1:6" s="123" customFormat="1" ht="14.25">
      <c r="A274" s="119">
        <f>A273+1</f>
        <v>176</v>
      </c>
      <c r="B274" s="69" t="s">
        <v>39</v>
      </c>
      <c r="C274" s="119" t="s">
        <v>34</v>
      </c>
      <c r="D274" s="137">
        <f>700/100</f>
        <v>7</v>
      </c>
      <c r="E274" s="116"/>
      <c r="F274" s="120"/>
    </row>
    <row r="275" spans="1:6" s="52" customFormat="1" ht="28.5">
      <c r="A275" s="49">
        <f>A274+1</f>
        <v>177</v>
      </c>
      <c r="B275" s="69" t="s">
        <v>40</v>
      </c>
      <c r="C275" s="50" t="s">
        <v>41</v>
      </c>
      <c r="D275" s="117">
        <f>3500/1000</f>
        <v>3.5</v>
      </c>
      <c r="E275" s="50"/>
      <c r="F275" s="78"/>
    </row>
    <row r="276" spans="1:6" s="52" customFormat="1" ht="28.5">
      <c r="A276" s="49">
        <f>A275+1</f>
        <v>178</v>
      </c>
      <c r="B276" s="69" t="s">
        <v>42</v>
      </c>
      <c r="C276" s="50" t="s">
        <v>41</v>
      </c>
      <c r="D276" s="117">
        <f>D275</f>
        <v>3.5</v>
      </c>
      <c r="E276" s="50"/>
      <c r="F276" s="78"/>
    </row>
    <row r="277" spans="1:6" s="52" customFormat="1" ht="71.25">
      <c r="A277" s="49">
        <f>A276+1</f>
        <v>179</v>
      </c>
      <c r="B277" s="68" t="s">
        <v>496</v>
      </c>
      <c r="C277" s="49" t="s">
        <v>9</v>
      </c>
      <c r="D277" s="49">
        <f>875+945</f>
        <v>1820</v>
      </c>
      <c r="E277" s="49"/>
      <c r="F277" s="49"/>
    </row>
    <row r="278" spans="1:6" s="52" customFormat="1" ht="28.5">
      <c r="A278" s="49">
        <v>180</v>
      </c>
      <c r="B278" s="69" t="s">
        <v>497</v>
      </c>
      <c r="C278" s="49" t="s">
        <v>9</v>
      </c>
      <c r="D278" s="74">
        <v>1820</v>
      </c>
      <c r="E278" s="50"/>
      <c r="F278" s="78"/>
    </row>
    <row r="279" spans="1:6" s="35" customFormat="1" ht="14.25">
      <c r="A279" s="62">
        <f>A278+1</f>
        <v>181</v>
      </c>
      <c r="B279" s="69" t="s">
        <v>118</v>
      </c>
      <c r="C279" s="49" t="s">
        <v>9</v>
      </c>
      <c r="D279" s="49">
        <v>805</v>
      </c>
      <c r="E279" s="49"/>
      <c r="F279" s="49"/>
    </row>
    <row r="280" spans="1:6" s="63" customFormat="1" ht="28.5">
      <c r="A280" s="98">
        <f>A279+1</f>
        <v>182</v>
      </c>
      <c r="B280" s="99" t="s">
        <v>128</v>
      </c>
      <c r="C280" s="100" t="s">
        <v>127</v>
      </c>
      <c r="D280" s="152">
        <v>3500</v>
      </c>
      <c r="E280" s="101"/>
      <c r="F280" s="102"/>
    </row>
    <row r="281" spans="1:6" s="52" customFormat="1" ht="14.25">
      <c r="A281" s="49">
        <f>A280+1</f>
        <v>183</v>
      </c>
      <c r="B281" s="68" t="s">
        <v>130</v>
      </c>
      <c r="C281" s="49" t="s">
        <v>37</v>
      </c>
      <c r="D281" s="49">
        <v>3500</v>
      </c>
      <c r="E281" s="49"/>
      <c r="F281" s="49"/>
    </row>
    <row r="282" spans="1:6" s="52" customFormat="1" ht="14.25">
      <c r="A282" s="49">
        <f>A281+1</f>
        <v>184</v>
      </c>
      <c r="B282" s="68" t="s">
        <v>129</v>
      </c>
      <c r="C282" s="49" t="s">
        <v>37</v>
      </c>
      <c r="D282" s="49">
        <v>3500</v>
      </c>
      <c r="E282" s="49"/>
      <c r="F282" s="49"/>
    </row>
    <row r="283" spans="1:6" s="95" customFormat="1" ht="14.25">
      <c r="A283" s="42"/>
      <c r="B283" s="38" t="s">
        <v>5</v>
      </c>
      <c r="C283" s="29"/>
      <c r="D283" s="48"/>
      <c r="E283" s="29"/>
      <c r="F283" s="30"/>
    </row>
    <row r="284" spans="1:6" s="35" customFormat="1" ht="13.5">
      <c r="A284" s="41"/>
      <c r="B284" s="39" t="s">
        <v>29</v>
      </c>
      <c r="C284" s="31"/>
      <c r="D284" s="31" t="s">
        <v>495</v>
      </c>
      <c r="E284" s="31"/>
      <c r="F284" s="31"/>
    </row>
    <row r="285" spans="1:6" s="95" customFormat="1" ht="14.25">
      <c r="A285" s="42"/>
      <c r="B285" s="38" t="s">
        <v>5</v>
      </c>
      <c r="C285" s="29"/>
      <c r="D285" s="48"/>
      <c r="E285" s="29"/>
      <c r="F285" s="43"/>
    </row>
    <row r="286" spans="1:6" s="35" customFormat="1" ht="13.5">
      <c r="A286" s="41"/>
      <c r="B286" s="39" t="s">
        <v>8</v>
      </c>
      <c r="C286" s="31"/>
      <c r="D286" s="37" t="s">
        <v>495</v>
      </c>
      <c r="E286" s="31"/>
      <c r="F286" s="44"/>
    </row>
    <row r="287" spans="1:6" s="95" customFormat="1" ht="14.25">
      <c r="A287" s="42"/>
      <c r="B287" s="38" t="s">
        <v>24</v>
      </c>
      <c r="C287" s="29"/>
      <c r="D287" s="48"/>
      <c r="E287" s="29"/>
      <c r="F287" s="30"/>
    </row>
    <row r="288" s="35" customFormat="1" ht="13.5"/>
    <row r="289" s="35" customFormat="1" ht="13.5"/>
    <row r="290" spans="2:6" s="7" customFormat="1" ht="15.75">
      <c r="B290" s="28"/>
      <c r="F290" s="27"/>
    </row>
    <row r="291" s="35" customFormat="1" ht="13.5">
      <c r="B291" s="28"/>
    </row>
    <row r="292" s="35" customFormat="1" ht="13.5"/>
    <row r="293" s="35" customFormat="1" ht="13.5"/>
    <row r="333" ht="12.75"/>
    <row r="334" ht="12.75"/>
    <row r="335" ht="12.75"/>
    <row r="336" ht="12.75"/>
  </sheetData>
  <sheetProtection/>
  <autoFilter ref="A1:A292"/>
  <mergeCells count="8">
    <mergeCell ref="D4:D5"/>
    <mergeCell ref="B2:F2"/>
    <mergeCell ref="E4:F4"/>
    <mergeCell ref="B1:F1"/>
    <mergeCell ref="D3:F3"/>
    <mergeCell ref="A4:A5"/>
    <mergeCell ref="B4:B5"/>
    <mergeCell ref="C4:C5"/>
  </mergeCells>
  <printOptions/>
  <pageMargins left="0.64" right="0.45" top="0.27" bottom="0.36" header="0.22" footer="0.16"/>
  <pageSetup orientation="portrait" paperSize="9" scale="94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00"/>
  </sheetPr>
  <dimension ref="A1:H33"/>
  <sheetViews>
    <sheetView view="pageBreakPreview" zoomScaleNormal="85" zoomScaleSheetLayoutView="100" workbookViewId="0" topLeftCell="A1">
      <pane xSplit="1" ySplit="5" topLeftCell="B6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I9" sqref="I9"/>
    </sheetView>
  </sheetViews>
  <sheetFormatPr defaultColWidth="9.140625" defaultRowHeight="12.75"/>
  <cols>
    <col min="1" max="1" width="3.57421875" style="25" customWidth="1"/>
    <col min="2" max="2" width="57.57421875" style="25" customWidth="1"/>
    <col min="3" max="3" width="8.28125" style="25" customWidth="1"/>
    <col min="4" max="4" width="9.7109375" style="25" customWidth="1"/>
    <col min="5" max="5" width="8.7109375" style="25" customWidth="1"/>
    <col min="6" max="6" width="10.28125" style="25" customWidth="1"/>
    <col min="7" max="16384" width="9.140625" style="26" customWidth="1"/>
  </cols>
  <sheetData>
    <row r="1" spans="1:6" s="45" customFormat="1" ht="16.5">
      <c r="A1" s="82"/>
      <c r="B1" s="257" t="s">
        <v>508</v>
      </c>
      <c r="C1" s="258"/>
      <c r="D1" s="258"/>
      <c r="E1" s="258"/>
      <c r="F1" s="258"/>
    </row>
    <row r="2" spans="1:6" s="45" customFormat="1" ht="16.5">
      <c r="A2" s="244"/>
      <c r="B2" s="246" t="s">
        <v>502</v>
      </c>
      <c r="C2" s="254"/>
      <c r="D2" s="254"/>
      <c r="E2" s="254"/>
      <c r="F2" s="254"/>
    </row>
    <row r="3" spans="1:6" s="45" customFormat="1" ht="11.25">
      <c r="A3" s="253" t="s">
        <v>0</v>
      </c>
      <c r="B3" s="253" t="s">
        <v>1</v>
      </c>
      <c r="C3" s="253" t="s">
        <v>2</v>
      </c>
      <c r="D3" s="253" t="s">
        <v>3</v>
      </c>
      <c r="E3" s="255" t="s">
        <v>494</v>
      </c>
      <c r="F3" s="255"/>
    </row>
    <row r="4" spans="1:6" s="45" customFormat="1" ht="11.25">
      <c r="A4" s="253"/>
      <c r="B4" s="253"/>
      <c r="C4" s="253"/>
      <c r="D4" s="253"/>
      <c r="E4" s="40" t="s">
        <v>4</v>
      </c>
      <c r="F4" s="46" t="s">
        <v>5</v>
      </c>
    </row>
    <row r="5" spans="1:6" s="4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s="45" customFormat="1" ht="16.5">
      <c r="A6" s="256" t="str">
        <f>B!C10</f>
        <v>saqloratoro teqnologiis mowyoba kalciumis hipoqloridis dozirebis sistemiT</v>
      </c>
      <c r="B6" s="256"/>
      <c r="C6" s="256"/>
      <c r="D6" s="256"/>
      <c r="E6" s="256"/>
      <c r="F6" s="256"/>
    </row>
    <row r="7" spans="1:6" s="88" customFormat="1" ht="16.5">
      <c r="A7" s="84"/>
      <c r="B7" s="85" t="s">
        <v>11</v>
      </c>
      <c r="C7" s="84"/>
      <c r="D7" s="84"/>
      <c r="E7" s="86"/>
      <c r="F7" s="87"/>
    </row>
    <row r="8" spans="1:6" s="92" customFormat="1" ht="16.5">
      <c r="A8" s="89"/>
      <c r="B8" s="161"/>
      <c r="C8" s="89"/>
      <c r="D8" s="89"/>
      <c r="E8" s="90"/>
      <c r="F8" s="91"/>
    </row>
    <row r="9" spans="1:6" s="106" customFormat="1" ht="128.25">
      <c r="A9" s="62">
        <v>1</v>
      </c>
      <c r="B9" s="68" t="s">
        <v>155</v>
      </c>
      <c r="C9" s="49" t="s">
        <v>68</v>
      </c>
      <c r="D9" s="152">
        <v>2</v>
      </c>
      <c r="E9" s="49"/>
      <c r="F9" s="49"/>
    </row>
    <row r="10" spans="1:6" s="106" customFormat="1" ht="142.5">
      <c r="A10" s="62">
        <v>2</v>
      </c>
      <c r="B10" s="68" t="s">
        <v>156</v>
      </c>
      <c r="C10" s="49" t="s">
        <v>68</v>
      </c>
      <c r="D10" s="152">
        <v>1</v>
      </c>
      <c r="E10" s="49"/>
      <c r="F10" s="49"/>
    </row>
    <row r="11" spans="1:6" s="106" customFormat="1" ht="28.5">
      <c r="A11" s="62">
        <v>3</v>
      </c>
      <c r="B11" s="68" t="s">
        <v>177</v>
      </c>
      <c r="C11" s="49" t="s">
        <v>68</v>
      </c>
      <c r="D11" s="125">
        <v>1</v>
      </c>
      <c r="E11" s="49"/>
      <c r="F11" s="49"/>
    </row>
    <row r="12" spans="1:8" s="129" customFormat="1" ht="14.25">
      <c r="A12" s="98">
        <v>4</v>
      </c>
      <c r="B12" s="99" t="s">
        <v>157</v>
      </c>
      <c r="C12" s="98" t="s">
        <v>10</v>
      </c>
      <c r="D12" s="125">
        <v>2</v>
      </c>
      <c r="E12" s="126"/>
      <c r="F12" s="127"/>
      <c r="G12" s="103" t="s">
        <v>36</v>
      </c>
      <c r="H12" s="128"/>
    </row>
    <row r="13" spans="1:6" s="163" customFormat="1" ht="14.25">
      <c r="A13" s="49">
        <v>5</v>
      </c>
      <c r="B13" s="69" t="s">
        <v>158</v>
      </c>
      <c r="C13" s="50" t="s">
        <v>68</v>
      </c>
      <c r="D13" s="50">
        <v>2</v>
      </c>
      <c r="E13" s="50"/>
      <c r="F13" s="162"/>
    </row>
    <row r="14" spans="1:6" s="52" customFormat="1" ht="14.25">
      <c r="A14" s="49">
        <v>6</v>
      </c>
      <c r="B14" s="69" t="s">
        <v>159</v>
      </c>
      <c r="C14" s="50" t="s">
        <v>68</v>
      </c>
      <c r="D14" s="74">
        <v>1</v>
      </c>
      <c r="E14" s="50"/>
      <c r="F14" s="74"/>
    </row>
    <row r="15" spans="1:6" s="52" customFormat="1" ht="14.25">
      <c r="A15" s="49">
        <v>7</v>
      </c>
      <c r="B15" s="69" t="s">
        <v>160</v>
      </c>
      <c r="C15" s="50" t="s">
        <v>68</v>
      </c>
      <c r="D15" s="74">
        <v>1</v>
      </c>
      <c r="E15" s="50"/>
      <c r="F15" s="74"/>
    </row>
    <row r="16" spans="1:6" s="52" customFormat="1" ht="14.25">
      <c r="A16" s="49">
        <v>8</v>
      </c>
      <c r="B16" s="69" t="s">
        <v>161</v>
      </c>
      <c r="C16" s="50" t="s">
        <v>68</v>
      </c>
      <c r="D16" s="74">
        <v>1</v>
      </c>
      <c r="E16" s="50"/>
      <c r="F16" s="74"/>
    </row>
    <row r="17" spans="1:6" s="52" customFormat="1" ht="14.25">
      <c r="A17" s="49">
        <v>9</v>
      </c>
      <c r="B17" s="69" t="s">
        <v>162</v>
      </c>
      <c r="C17" s="50" t="s">
        <v>68</v>
      </c>
      <c r="D17" s="74">
        <v>14</v>
      </c>
      <c r="E17" s="50"/>
      <c r="F17" s="74"/>
    </row>
    <row r="18" spans="1:6" s="52" customFormat="1" ht="14.25">
      <c r="A18" s="49">
        <v>10</v>
      </c>
      <c r="B18" s="69" t="s">
        <v>163</v>
      </c>
      <c r="C18" s="50" t="s">
        <v>68</v>
      </c>
      <c r="D18" s="74">
        <v>2</v>
      </c>
      <c r="E18" s="50"/>
      <c r="F18" s="74"/>
    </row>
    <row r="19" spans="1:6" s="52" customFormat="1" ht="28.5">
      <c r="A19" s="49">
        <v>11</v>
      </c>
      <c r="B19" s="69" t="s">
        <v>164</v>
      </c>
      <c r="C19" s="50" t="s">
        <v>68</v>
      </c>
      <c r="D19" s="74">
        <v>5</v>
      </c>
      <c r="E19" s="50"/>
      <c r="F19" s="74"/>
    </row>
    <row r="20" spans="1:6" s="52" customFormat="1" ht="28.5">
      <c r="A20" s="49">
        <v>12</v>
      </c>
      <c r="B20" s="69" t="s">
        <v>165</v>
      </c>
      <c r="C20" s="50" t="s">
        <v>68</v>
      </c>
      <c r="D20" s="74">
        <v>2</v>
      </c>
      <c r="E20" s="50"/>
      <c r="F20" s="74"/>
    </row>
    <row r="21" spans="1:6" s="52" customFormat="1" ht="57">
      <c r="A21" s="49">
        <v>13</v>
      </c>
      <c r="B21" s="69" t="s">
        <v>166</v>
      </c>
      <c r="C21" s="50" t="s">
        <v>68</v>
      </c>
      <c r="D21" s="74">
        <v>2</v>
      </c>
      <c r="E21" s="50"/>
      <c r="F21" s="74"/>
    </row>
    <row r="22" spans="1:6" s="52" customFormat="1" ht="28.5">
      <c r="A22" s="49">
        <v>14</v>
      </c>
      <c r="B22" s="69" t="s">
        <v>167</v>
      </c>
      <c r="C22" s="50" t="s">
        <v>68</v>
      </c>
      <c r="D22" s="74">
        <v>1</v>
      </c>
      <c r="E22" s="50"/>
      <c r="F22" s="74"/>
    </row>
    <row r="23" spans="1:6" s="52" customFormat="1" ht="57">
      <c r="A23" s="49">
        <v>15</v>
      </c>
      <c r="B23" s="69" t="s">
        <v>168</v>
      </c>
      <c r="C23" s="50" t="s">
        <v>7</v>
      </c>
      <c r="D23" s="74">
        <v>140</v>
      </c>
      <c r="E23" s="50"/>
      <c r="F23" s="74"/>
    </row>
    <row r="24" spans="1:6" s="52" customFormat="1" ht="57">
      <c r="A24" s="49">
        <v>16</v>
      </c>
      <c r="B24" s="69" t="s">
        <v>169</v>
      </c>
      <c r="C24" s="50" t="s">
        <v>68</v>
      </c>
      <c r="D24" s="74">
        <v>1</v>
      </c>
      <c r="E24" s="50"/>
      <c r="F24" s="74"/>
    </row>
    <row r="25" spans="1:6" s="95" customFormat="1" ht="14.25">
      <c r="A25" s="42"/>
      <c r="B25" s="38" t="s">
        <v>5</v>
      </c>
      <c r="C25" s="29"/>
      <c r="D25" s="48"/>
      <c r="E25" s="29"/>
      <c r="F25" s="30"/>
    </row>
    <row r="26" spans="1:6" s="35" customFormat="1" ht="13.5">
      <c r="A26" s="41"/>
      <c r="B26" s="39" t="s">
        <v>29</v>
      </c>
      <c r="C26" s="31"/>
      <c r="D26" s="31" t="s">
        <v>495</v>
      </c>
      <c r="E26" s="31"/>
      <c r="F26" s="31"/>
    </row>
    <row r="27" spans="1:6" s="95" customFormat="1" ht="14.25">
      <c r="A27" s="42"/>
      <c r="B27" s="38" t="s">
        <v>5</v>
      </c>
      <c r="C27" s="29"/>
      <c r="D27" s="48"/>
      <c r="E27" s="29"/>
      <c r="F27" s="43"/>
    </row>
    <row r="28" spans="1:6" s="35" customFormat="1" ht="13.5">
      <c r="A28" s="41"/>
      <c r="B28" s="39" t="s">
        <v>8</v>
      </c>
      <c r="C28" s="31"/>
      <c r="D28" s="37" t="s">
        <v>495</v>
      </c>
      <c r="E28" s="31"/>
      <c r="F28" s="44"/>
    </row>
    <row r="29" spans="1:6" s="95" customFormat="1" ht="14.25">
      <c r="A29" s="42"/>
      <c r="B29" s="38" t="s">
        <v>24</v>
      </c>
      <c r="C29" s="29"/>
      <c r="D29" s="48"/>
      <c r="E29" s="29"/>
      <c r="F29" s="30"/>
    </row>
    <row r="30" s="35" customFormat="1" ht="13.5"/>
    <row r="31" s="35" customFormat="1" ht="13.5"/>
    <row r="32" spans="2:6" s="7" customFormat="1" ht="15.75">
      <c r="B32" s="28"/>
      <c r="F32" s="27"/>
    </row>
    <row r="33" s="35" customFormat="1" ht="13.5">
      <c r="B33" s="28"/>
    </row>
    <row r="34" s="35" customFormat="1" ht="13.5"/>
    <row r="35" s="35" customFormat="1" ht="13.5"/>
  </sheetData>
  <sheetProtection/>
  <autoFilter ref="A1:A34"/>
  <mergeCells count="8">
    <mergeCell ref="D3:D4"/>
    <mergeCell ref="B2:F2"/>
    <mergeCell ref="E3:F3"/>
    <mergeCell ref="A6:F6"/>
    <mergeCell ref="B1:F1"/>
    <mergeCell ref="A3:A4"/>
    <mergeCell ref="B3:B4"/>
    <mergeCell ref="C3:C4"/>
  </mergeCells>
  <printOptions/>
  <pageMargins left="0.64" right="0.45" top="0.27" bottom="0.36" header="0.22" footer="0.16"/>
  <pageSetup orientation="portrait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00"/>
  </sheetPr>
  <dimension ref="A1:H94"/>
  <sheetViews>
    <sheetView view="pageBreakPreview" zoomScaleNormal="85" zoomScaleSheetLayoutView="100" workbookViewId="0" topLeftCell="A1">
      <pane xSplit="1" ySplit="5" topLeftCell="B33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I35" sqref="I35"/>
    </sheetView>
  </sheetViews>
  <sheetFormatPr defaultColWidth="9.140625" defaultRowHeight="12.75"/>
  <cols>
    <col min="1" max="1" width="3.57421875" style="25" customWidth="1"/>
    <col min="2" max="2" width="60.140625" style="25" customWidth="1"/>
    <col min="3" max="3" width="8.28125" style="25" customWidth="1"/>
    <col min="4" max="4" width="9.57421875" style="25" customWidth="1"/>
    <col min="5" max="5" width="8.7109375" style="25" customWidth="1"/>
    <col min="6" max="6" width="10.8515625" style="25" bestFit="1" customWidth="1"/>
    <col min="7" max="16384" width="9.140625" style="26" customWidth="1"/>
  </cols>
  <sheetData>
    <row r="1" spans="1:6" s="45" customFormat="1" ht="30.75" customHeight="1">
      <c r="A1" s="82"/>
      <c r="B1" s="257" t="s">
        <v>508</v>
      </c>
      <c r="C1" s="258"/>
      <c r="D1" s="258"/>
      <c r="E1" s="258"/>
      <c r="F1" s="258"/>
    </row>
    <row r="2" spans="1:6" s="45" customFormat="1" ht="16.5">
      <c r="A2" s="244"/>
      <c r="B2" s="246" t="s">
        <v>503</v>
      </c>
      <c r="C2" s="254"/>
      <c r="D2" s="254"/>
      <c r="E2" s="254"/>
      <c r="F2" s="254"/>
    </row>
    <row r="3" spans="1:6" s="45" customFormat="1" ht="11.25">
      <c r="A3" s="253" t="s">
        <v>0</v>
      </c>
      <c r="B3" s="253" t="s">
        <v>1</v>
      </c>
      <c r="C3" s="253" t="s">
        <v>2</v>
      </c>
      <c r="D3" s="253" t="s">
        <v>3</v>
      </c>
      <c r="E3" s="255" t="s">
        <v>494</v>
      </c>
      <c r="F3" s="255"/>
    </row>
    <row r="4" spans="1:6" s="45" customFormat="1" ht="11.25">
      <c r="A4" s="253"/>
      <c r="B4" s="253"/>
      <c r="C4" s="253"/>
      <c r="D4" s="253"/>
      <c r="E4" s="40" t="s">
        <v>4</v>
      </c>
      <c r="F4" s="46" t="s">
        <v>5</v>
      </c>
    </row>
    <row r="5" spans="1:6" s="4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s="45" customFormat="1" ht="16.5">
      <c r="A6" s="256" t="str">
        <f>B!C11</f>
        <v>centraluri rezervuaris teritoriaze saproeqto nagebobebis el. momarageba da gare ganaTeba, sadarajo jixuris saqloratorosa da satumbi sadguris el. momarageba</v>
      </c>
      <c r="B6" s="256"/>
      <c r="C6" s="256"/>
      <c r="D6" s="256"/>
      <c r="E6" s="256"/>
      <c r="F6" s="256"/>
    </row>
    <row r="7" spans="1:6" s="88" customFormat="1" ht="16.5">
      <c r="A7" s="84"/>
      <c r="B7" s="85" t="s">
        <v>188</v>
      </c>
      <c r="C7" s="84"/>
      <c r="D7" s="84"/>
      <c r="E7" s="86"/>
      <c r="F7" s="87"/>
    </row>
    <row r="8" spans="1:6" s="92" customFormat="1" ht="16.5">
      <c r="A8" s="89"/>
      <c r="B8" s="136" t="s">
        <v>224</v>
      </c>
      <c r="C8" s="89"/>
      <c r="D8" s="89"/>
      <c r="E8" s="90"/>
      <c r="F8" s="91"/>
    </row>
    <row r="9" spans="1:6" s="123" customFormat="1" ht="28.5">
      <c r="A9" s="115">
        <v>1</v>
      </c>
      <c r="B9" s="147" t="s">
        <v>198</v>
      </c>
      <c r="C9" s="119" t="s">
        <v>109</v>
      </c>
      <c r="D9" s="119">
        <v>1</v>
      </c>
      <c r="E9" s="115"/>
      <c r="F9" s="120"/>
    </row>
    <row r="10" spans="1:6" s="123" customFormat="1" ht="28.5">
      <c r="A10" s="115">
        <v>2</v>
      </c>
      <c r="B10" s="147" t="s">
        <v>199</v>
      </c>
      <c r="C10" s="119" t="s">
        <v>109</v>
      </c>
      <c r="D10" s="119">
        <f>1</f>
        <v>1</v>
      </c>
      <c r="E10" s="115"/>
      <c r="F10" s="120"/>
    </row>
    <row r="11" spans="1:6" s="123" customFormat="1" ht="28.5">
      <c r="A11" s="115">
        <v>3</v>
      </c>
      <c r="B11" s="147" t="s">
        <v>200</v>
      </c>
      <c r="C11" s="119" t="s">
        <v>109</v>
      </c>
      <c r="D11" s="119">
        <v>1</v>
      </c>
      <c r="E11" s="115"/>
      <c r="F11" s="120"/>
    </row>
    <row r="12" spans="1:6" s="157" customFormat="1" ht="14.25">
      <c r="A12" s="100">
        <v>4</v>
      </c>
      <c r="B12" s="155" t="s">
        <v>202</v>
      </c>
      <c r="C12" s="98" t="s">
        <v>10</v>
      </c>
      <c r="D12" s="98">
        <v>1</v>
      </c>
      <c r="E12" s="100"/>
      <c r="F12" s="156"/>
    </row>
    <row r="13" spans="1:6" s="157" customFormat="1" ht="14.25">
      <c r="A13" s="100">
        <v>5</v>
      </c>
      <c r="B13" s="155" t="s">
        <v>203</v>
      </c>
      <c r="C13" s="98" t="s">
        <v>10</v>
      </c>
      <c r="D13" s="98">
        <v>2</v>
      </c>
      <c r="E13" s="100"/>
      <c r="F13" s="156"/>
    </row>
    <row r="14" spans="1:6" s="157" customFormat="1" ht="14.25">
      <c r="A14" s="100">
        <v>6</v>
      </c>
      <c r="B14" s="155" t="s">
        <v>204</v>
      </c>
      <c r="C14" s="98" t="s">
        <v>10</v>
      </c>
      <c r="D14" s="98">
        <v>2</v>
      </c>
      <c r="E14" s="100"/>
      <c r="F14" s="156"/>
    </row>
    <row r="15" spans="1:6" s="157" customFormat="1" ht="14.25">
      <c r="A15" s="100">
        <v>7</v>
      </c>
      <c r="B15" s="155" t="s">
        <v>136</v>
      </c>
      <c r="C15" s="119" t="s">
        <v>7</v>
      </c>
      <c r="D15" s="98">
        <v>50</v>
      </c>
      <c r="E15" s="100"/>
      <c r="F15" s="156"/>
    </row>
    <row r="16" spans="1:6" s="157" customFormat="1" ht="14.25">
      <c r="A16" s="100">
        <v>8</v>
      </c>
      <c r="B16" s="155" t="s">
        <v>135</v>
      </c>
      <c r="C16" s="119" t="s">
        <v>7</v>
      </c>
      <c r="D16" s="98">
        <v>160</v>
      </c>
      <c r="E16" s="100"/>
      <c r="F16" s="156"/>
    </row>
    <row r="17" spans="1:6" s="157" customFormat="1" ht="14.25">
      <c r="A17" s="100">
        <v>9</v>
      </c>
      <c r="B17" s="155" t="s">
        <v>137</v>
      </c>
      <c r="C17" s="119" t="s">
        <v>7</v>
      </c>
      <c r="D17" s="98">
        <v>5</v>
      </c>
      <c r="E17" s="100"/>
      <c r="F17" s="156"/>
    </row>
    <row r="18" spans="1:6" s="157" customFormat="1" ht="28.5">
      <c r="A18" s="100">
        <v>10</v>
      </c>
      <c r="B18" s="155" t="s">
        <v>138</v>
      </c>
      <c r="C18" s="119" t="s">
        <v>7</v>
      </c>
      <c r="D18" s="98">
        <v>20</v>
      </c>
      <c r="E18" s="100"/>
      <c r="F18" s="156"/>
    </row>
    <row r="19" spans="1:6" s="157" customFormat="1" ht="28.5">
      <c r="A19" s="100">
        <v>11</v>
      </c>
      <c r="B19" s="155" t="s">
        <v>140</v>
      </c>
      <c r="C19" s="119" t="s">
        <v>7</v>
      </c>
      <c r="D19" s="98">
        <v>130</v>
      </c>
      <c r="E19" s="100"/>
      <c r="F19" s="156"/>
    </row>
    <row r="20" spans="1:6" s="157" customFormat="1" ht="28.5">
      <c r="A20" s="100">
        <v>12</v>
      </c>
      <c r="B20" s="155" t="s">
        <v>139</v>
      </c>
      <c r="C20" s="119" t="s">
        <v>7</v>
      </c>
      <c r="D20" s="98">
        <v>50</v>
      </c>
      <c r="E20" s="100"/>
      <c r="F20" s="156"/>
    </row>
    <row r="21" spans="1:6" s="157" customFormat="1" ht="28.5">
      <c r="A21" s="100">
        <v>13</v>
      </c>
      <c r="B21" s="155" t="s">
        <v>142</v>
      </c>
      <c r="C21" s="98" t="s">
        <v>141</v>
      </c>
      <c r="D21" s="98">
        <f>6/100</f>
        <v>0.06</v>
      </c>
      <c r="E21" s="100"/>
      <c r="F21" s="156"/>
    </row>
    <row r="22" spans="1:6" s="97" customFormat="1" ht="15.75">
      <c r="A22" s="49">
        <v>14</v>
      </c>
      <c r="B22" s="68" t="s">
        <v>143</v>
      </c>
      <c r="C22" s="49" t="s">
        <v>7</v>
      </c>
      <c r="D22" s="49">
        <v>5</v>
      </c>
      <c r="E22" s="49"/>
      <c r="F22" s="49"/>
    </row>
    <row r="23" spans="1:6" s="51" customFormat="1" ht="28.5">
      <c r="A23" s="119">
        <v>15</v>
      </c>
      <c r="B23" s="131" t="s">
        <v>154</v>
      </c>
      <c r="C23" s="115" t="s">
        <v>10</v>
      </c>
      <c r="D23" s="193">
        <v>6</v>
      </c>
      <c r="E23" s="116"/>
      <c r="F23" s="94"/>
    </row>
    <row r="24" spans="1:6" s="157" customFormat="1" ht="14.25">
      <c r="A24" s="100">
        <v>16</v>
      </c>
      <c r="B24" s="155" t="s">
        <v>178</v>
      </c>
      <c r="C24" s="98" t="s">
        <v>10</v>
      </c>
      <c r="D24" s="98">
        <v>6</v>
      </c>
      <c r="E24" s="100"/>
      <c r="F24" s="156"/>
    </row>
    <row r="25" spans="1:6" s="157" customFormat="1" ht="14.25">
      <c r="A25" s="100">
        <v>17</v>
      </c>
      <c r="B25" s="155" t="s">
        <v>179</v>
      </c>
      <c r="C25" s="98" t="s">
        <v>7</v>
      </c>
      <c r="D25" s="98">
        <v>200</v>
      </c>
      <c r="E25" s="100"/>
      <c r="F25" s="156"/>
    </row>
    <row r="26" spans="1:6" s="157" customFormat="1" ht="14.25">
      <c r="A26" s="100">
        <v>18</v>
      </c>
      <c r="B26" s="155" t="s">
        <v>180</v>
      </c>
      <c r="C26" s="98" t="s">
        <v>10</v>
      </c>
      <c r="D26" s="98">
        <f>3+1</f>
        <v>4</v>
      </c>
      <c r="E26" s="100"/>
      <c r="F26" s="156"/>
    </row>
    <row r="27" spans="1:6" s="123" customFormat="1" ht="14.25">
      <c r="A27" s="115">
        <v>19</v>
      </c>
      <c r="B27" s="147" t="s">
        <v>181</v>
      </c>
      <c r="C27" s="119" t="s">
        <v>10</v>
      </c>
      <c r="D27" s="119">
        <v>1</v>
      </c>
      <c r="E27" s="115"/>
      <c r="F27" s="120"/>
    </row>
    <row r="28" spans="1:6" s="123" customFormat="1" ht="14.25">
      <c r="A28" s="115">
        <v>20</v>
      </c>
      <c r="B28" s="147" t="s">
        <v>182</v>
      </c>
      <c r="C28" s="119" t="s">
        <v>10</v>
      </c>
      <c r="D28" s="119">
        <v>1</v>
      </c>
      <c r="E28" s="115"/>
      <c r="F28" s="120"/>
    </row>
    <row r="29" spans="1:6" s="123" customFormat="1" ht="14.25">
      <c r="A29" s="115">
        <v>21</v>
      </c>
      <c r="B29" s="147" t="s">
        <v>183</v>
      </c>
      <c r="C29" s="119" t="s">
        <v>10</v>
      </c>
      <c r="D29" s="119">
        <v>1</v>
      </c>
      <c r="E29" s="115"/>
      <c r="F29" s="120"/>
    </row>
    <row r="30" spans="1:6" s="123" customFormat="1" ht="28.5">
      <c r="A30" s="115">
        <v>22</v>
      </c>
      <c r="B30" s="147" t="s">
        <v>184</v>
      </c>
      <c r="C30" s="119" t="s">
        <v>109</v>
      </c>
      <c r="D30" s="119">
        <v>1</v>
      </c>
      <c r="E30" s="115"/>
      <c r="F30" s="120"/>
    </row>
    <row r="31" spans="1:6" s="157" customFormat="1" ht="14.25">
      <c r="A31" s="100">
        <v>23</v>
      </c>
      <c r="B31" s="155" t="s">
        <v>185</v>
      </c>
      <c r="C31" s="98" t="s">
        <v>10</v>
      </c>
      <c r="D31" s="152">
        <f>3+6</f>
        <v>9</v>
      </c>
      <c r="E31" s="100"/>
      <c r="F31" s="156"/>
    </row>
    <row r="32" spans="1:6" s="157" customFormat="1" ht="14.25">
      <c r="A32" s="100">
        <v>24</v>
      </c>
      <c r="B32" s="155" t="s">
        <v>187</v>
      </c>
      <c r="C32" s="98" t="s">
        <v>51</v>
      </c>
      <c r="D32" s="98">
        <f>15/100</f>
        <v>0.15</v>
      </c>
      <c r="E32" s="100"/>
      <c r="F32" s="156"/>
    </row>
    <row r="33" spans="1:6" s="157" customFormat="1" ht="14.25">
      <c r="A33" s="100">
        <v>25</v>
      </c>
      <c r="B33" s="155" t="s">
        <v>186</v>
      </c>
      <c r="C33" s="98" t="s">
        <v>51</v>
      </c>
      <c r="D33" s="98">
        <f>15/100</f>
        <v>0.15</v>
      </c>
      <c r="E33" s="100"/>
      <c r="F33" s="156"/>
    </row>
    <row r="34" spans="1:6" s="157" customFormat="1" ht="14.25">
      <c r="A34" s="100">
        <v>26</v>
      </c>
      <c r="B34" s="155" t="s">
        <v>195</v>
      </c>
      <c r="C34" s="98" t="s">
        <v>51</v>
      </c>
      <c r="D34" s="98">
        <f>360/100</f>
        <v>3.6</v>
      </c>
      <c r="E34" s="100"/>
      <c r="F34" s="156"/>
    </row>
    <row r="35" spans="1:6" s="92" customFormat="1" ht="15.75">
      <c r="A35" s="89"/>
      <c r="B35" s="195" t="s">
        <v>201</v>
      </c>
      <c r="C35" s="158"/>
      <c r="D35" s="158"/>
      <c r="E35" s="159"/>
      <c r="F35" s="160"/>
    </row>
    <row r="36" spans="1:6" s="123" customFormat="1" ht="28.5">
      <c r="A36" s="115">
        <v>27</v>
      </c>
      <c r="B36" s="147" t="s">
        <v>218</v>
      </c>
      <c r="C36" s="119" t="s">
        <v>109</v>
      </c>
      <c r="D36" s="119">
        <f>1</f>
        <v>1</v>
      </c>
      <c r="E36" s="115"/>
      <c r="F36" s="120"/>
    </row>
    <row r="37" spans="1:6" s="123" customFormat="1" ht="28.5">
      <c r="A37" s="115">
        <v>28</v>
      </c>
      <c r="B37" s="147" t="s">
        <v>200</v>
      </c>
      <c r="C37" s="119" t="s">
        <v>109</v>
      </c>
      <c r="D37" s="119">
        <v>1</v>
      </c>
      <c r="E37" s="115"/>
      <c r="F37" s="120"/>
    </row>
    <row r="38" spans="1:6" s="157" customFormat="1" ht="14.25">
      <c r="A38" s="100">
        <v>29</v>
      </c>
      <c r="B38" s="155" t="s">
        <v>203</v>
      </c>
      <c r="C38" s="98" t="s">
        <v>10</v>
      </c>
      <c r="D38" s="98">
        <v>1</v>
      </c>
      <c r="E38" s="100"/>
      <c r="F38" s="156"/>
    </row>
    <row r="39" spans="1:6" s="157" customFormat="1" ht="14.25">
      <c r="A39" s="100">
        <v>30</v>
      </c>
      <c r="B39" s="155" t="s">
        <v>205</v>
      </c>
      <c r="C39" s="98" t="s">
        <v>10</v>
      </c>
      <c r="D39" s="98">
        <v>1</v>
      </c>
      <c r="E39" s="100"/>
      <c r="F39" s="156"/>
    </row>
    <row r="40" spans="1:6" s="157" customFormat="1" ht="14.25">
      <c r="A40" s="100">
        <v>31</v>
      </c>
      <c r="B40" s="155" t="s">
        <v>206</v>
      </c>
      <c r="C40" s="98" t="s">
        <v>10</v>
      </c>
      <c r="D40" s="98">
        <v>1</v>
      </c>
      <c r="E40" s="100"/>
      <c r="F40" s="156"/>
    </row>
    <row r="41" spans="1:6" s="157" customFormat="1" ht="14.25">
      <c r="A41" s="100">
        <v>32</v>
      </c>
      <c r="B41" s="155" t="s">
        <v>204</v>
      </c>
      <c r="C41" s="98" t="s">
        <v>10</v>
      </c>
      <c r="D41" s="98">
        <v>4</v>
      </c>
      <c r="E41" s="100"/>
      <c r="F41" s="156"/>
    </row>
    <row r="42" spans="1:6" s="157" customFormat="1" ht="14.25">
      <c r="A42" s="100">
        <v>33</v>
      </c>
      <c r="B42" s="155" t="s">
        <v>207</v>
      </c>
      <c r="C42" s="98" t="s">
        <v>10</v>
      </c>
      <c r="D42" s="98">
        <v>2</v>
      </c>
      <c r="E42" s="100"/>
      <c r="F42" s="156"/>
    </row>
    <row r="43" spans="1:6" s="157" customFormat="1" ht="28.5">
      <c r="A43" s="100">
        <v>34</v>
      </c>
      <c r="B43" s="155" t="s">
        <v>209</v>
      </c>
      <c r="C43" s="119" t="s">
        <v>7</v>
      </c>
      <c r="D43" s="98">
        <v>20</v>
      </c>
      <c r="E43" s="100"/>
      <c r="F43" s="156"/>
    </row>
    <row r="44" spans="1:6" s="157" customFormat="1" ht="28.5">
      <c r="A44" s="100">
        <v>35</v>
      </c>
      <c r="B44" s="155" t="s">
        <v>140</v>
      </c>
      <c r="C44" s="119" t="s">
        <v>7</v>
      </c>
      <c r="D44" s="98">
        <v>90</v>
      </c>
      <c r="E44" s="100"/>
      <c r="F44" s="156"/>
    </row>
    <row r="45" spans="1:6" s="157" customFormat="1" ht="28.5">
      <c r="A45" s="100">
        <v>36</v>
      </c>
      <c r="B45" s="155" t="s">
        <v>208</v>
      </c>
      <c r="C45" s="119" t="s">
        <v>7</v>
      </c>
      <c r="D45" s="98">
        <v>35</v>
      </c>
      <c r="E45" s="100"/>
      <c r="F45" s="156"/>
    </row>
    <row r="46" spans="1:6" s="157" customFormat="1" ht="28.5">
      <c r="A46" s="100">
        <v>37</v>
      </c>
      <c r="B46" s="155" t="s">
        <v>210</v>
      </c>
      <c r="C46" s="98" t="s">
        <v>141</v>
      </c>
      <c r="D46" s="98">
        <f>2/100</f>
        <v>0.02</v>
      </c>
      <c r="E46" s="100"/>
      <c r="F46" s="156"/>
    </row>
    <row r="47" spans="1:6" s="157" customFormat="1" ht="28.5">
      <c r="A47" s="100">
        <v>38</v>
      </c>
      <c r="B47" s="155" t="s">
        <v>211</v>
      </c>
      <c r="C47" s="98" t="s">
        <v>141</v>
      </c>
      <c r="D47" s="98">
        <f>9/100</f>
        <v>0.09</v>
      </c>
      <c r="E47" s="100"/>
      <c r="F47" s="156"/>
    </row>
    <row r="48" spans="1:6" s="157" customFormat="1" ht="14.25">
      <c r="A48" s="100">
        <v>39</v>
      </c>
      <c r="B48" s="155" t="s">
        <v>178</v>
      </c>
      <c r="C48" s="98" t="s">
        <v>10</v>
      </c>
      <c r="D48" s="98">
        <v>6</v>
      </c>
      <c r="E48" s="100"/>
      <c r="F48" s="156"/>
    </row>
    <row r="49" spans="1:6" s="157" customFormat="1" ht="28.5">
      <c r="A49" s="100">
        <v>40</v>
      </c>
      <c r="B49" s="155" t="s">
        <v>212</v>
      </c>
      <c r="C49" s="98" t="s">
        <v>10</v>
      </c>
      <c r="D49" s="98">
        <v>1</v>
      </c>
      <c r="E49" s="100"/>
      <c r="F49" s="156"/>
    </row>
    <row r="50" spans="1:6" s="157" customFormat="1" ht="14.25">
      <c r="A50" s="100">
        <v>41</v>
      </c>
      <c r="B50" s="155" t="s">
        <v>213</v>
      </c>
      <c r="C50" s="98" t="s">
        <v>10</v>
      </c>
      <c r="D50" s="98">
        <v>1</v>
      </c>
      <c r="E50" s="100"/>
      <c r="F50" s="156"/>
    </row>
    <row r="51" spans="1:6" s="157" customFormat="1" ht="28.5">
      <c r="A51" s="100">
        <v>42</v>
      </c>
      <c r="B51" s="155" t="s">
        <v>216</v>
      </c>
      <c r="C51" s="98" t="s">
        <v>10</v>
      </c>
      <c r="D51" s="98">
        <v>1</v>
      </c>
      <c r="E51" s="100"/>
      <c r="F51" s="156"/>
    </row>
    <row r="52" spans="1:6" s="157" customFormat="1" ht="14.25">
      <c r="A52" s="100">
        <v>43</v>
      </c>
      <c r="B52" s="155" t="s">
        <v>215</v>
      </c>
      <c r="C52" s="98" t="s">
        <v>10</v>
      </c>
      <c r="D52" s="98">
        <v>2</v>
      </c>
      <c r="E52" s="100"/>
      <c r="F52" s="156"/>
    </row>
    <row r="53" spans="1:6" s="194" customFormat="1" ht="14.25">
      <c r="A53" s="146">
        <v>44</v>
      </c>
      <c r="B53" s="155" t="s">
        <v>214</v>
      </c>
      <c r="C53" s="98" t="s">
        <v>10</v>
      </c>
      <c r="D53" s="98">
        <v>17</v>
      </c>
      <c r="E53" s="100"/>
      <c r="F53" s="156"/>
    </row>
    <row r="54" spans="1:6" s="194" customFormat="1" ht="28.5">
      <c r="A54" s="146">
        <v>45</v>
      </c>
      <c r="B54" s="155" t="s">
        <v>217</v>
      </c>
      <c r="C54" s="98" t="s">
        <v>10</v>
      </c>
      <c r="D54" s="98">
        <v>6</v>
      </c>
      <c r="E54" s="100"/>
      <c r="F54" s="156"/>
    </row>
    <row r="55" spans="1:6" s="157" customFormat="1" ht="14.25">
      <c r="A55" s="100">
        <v>46</v>
      </c>
      <c r="B55" s="155" t="s">
        <v>179</v>
      </c>
      <c r="C55" s="98" t="s">
        <v>7</v>
      </c>
      <c r="D55" s="98">
        <v>20</v>
      </c>
      <c r="E55" s="100"/>
      <c r="F55" s="156"/>
    </row>
    <row r="56" spans="1:6" s="157" customFormat="1" ht="14.25">
      <c r="A56" s="100">
        <v>47</v>
      </c>
      <c r="B56" s="155" t="s">
        <v>185</v>
      </c>
      <c r="C56" s="98" t="s">
        <v>10</v>
      </c>
      <c r="D56" s="152">
        <v>3</v>
      </c>
      <c r="E56" s="100"/>
      <c r="F56" s="156"/>
    </row>
    <row r="57" spans="1:6" s="157" customFormat="1" ht="14.25">
      <c r="A57" s="100">
        <v>48</v>
      </c>
      <c r="B57" s="155" t="s">
        <v>187</v>
      </c>
      <c r="C57" s="98" t="s">
        <v>51</v>
      </c>
      <c r="D57" s="98">
        <f>6/100</f>
        <v>0.06</v>
      </c>
      <c r="E57" s="100"/>
      <c r="F57" s="156"/>
    </row>
    <row r="58" spans="1:6" s="157" customFormat="1" ht="14.25">
      <c r="A58" s="100">
        <v>49</v>
      </c>
      <c r="B58" s="155" t="s">
        <v>186</v>
      </c>
      <c r="C58" s="98" t="s">
        <v>51</v>
      </c>
      <c r="D58" s="98">
        <f>6/100</f>
        <v>0.06</v>
      </c>
      <c r="E58" s="100"/>
      <c r="F58" s="156"/>
    </row>
    <row r="59" spans="1:6" s="92" customFormat="1" ht="15.75">
      <c r="A59" s="89"/>
      <c r="B59" s="195" t="s">
        <v>220</v>
      </c>
      <c r="C59" s="158"/>
      <c r="D59" s="158"/>
      <c r="E59" s="159"/>
      <c r="F59" s="160"/>
    </row>
    <row r="60" spans="1:6" s="123" customFormat="1" ht="28.5">
      <c r="A60" s="115">
        <v>50</v>
      </c>
      <c r="B60" s="147" t="s">
        <v>218</v>
      </c>
      <c r="C60" s="119" t="s">
        <v>109</v>
      </c>
      <c r="D60" s="119">
        <f>1</f>
        <v>1</v>
      </c>
      <c r="E60" s="115"/>
      <c r="F60" s="120"/>
    </row>
    <row r="61" spans="1:6" s="157" customFormat="1" ht="14.25">
      <c r="A61" s="100">
        <v>51</v>
      </c>
      <c r="B61" s="155" t="s">
        <v>203</v>
      </c>
      <c r="C61" s="98" t="s">
        <v>10</v>
      </c>
      <c r="D61" s="98">
        <v>1</v>
      </c>
      <c r="E61" s="100"/>
      <c r="F61" s="156"/>
    </row>
    <row r="62" spans="1:6" s="157" customFormat="1" ht="14.25">
      <c r="A62" s="100">
        <v>52</v>
      </c>
      <c r="B62" s="155" t="s">
        <v>205</v>
      </c>
      <c r="C62" s="98" t="s">
        <v>10</v>
      </c>
      <c r="D62" s="98">
        <v>1</v>
      </c>
      <c r="E62" s="100"/>
      <c r="F62" s="156"/>
    </row>
    <row r="63" spans="1:6" s="157" customFormat="1" ht="14.25">
      <c r="A63" s="100">
        <v>53</v>
      </c>
      <c r="B63" s="155" t="s">
        <v>204</v>
      </c>
      <c r="C63" s="98" t="s">
        <v>10</v>
      </c>
      <c r="D63" s="98">
        <v>1</v>
      </c>
      <c r="E63" s="100"/>
      <c r="F63" s="156"/>
    </row>
    <row r="64" spans="1:6" s="157" customFormat="1" ht="14.25">
      <c r="A64" s="100">
        <v>54</v>
      </c>
      <c r="B64" s="155" t="s">
        <v>207</v>
      </c>
      <c r="C64" s="98" t="s">
        <v>10</v>
      </c>
      <c r="D64" s="98">
        <v>1</v>
      </c>
      <c r="E64" s="100"/>
      <c r="F64" s="156"/>
    </row>
    <row r="65" spans="1:6" s="157" customFormat="1" ht="14.25">
      <c r="A65" s="100">
        <v>55</v>
      </c>
      <c r="B65" s="155" t="s">
        <v>219</v>
      </c>
      <c r="C65" s="98" t="s">
        <v>10</v>
      </c>
      <c r="D65" s="98">
        <v>1</v>
      </c>
      <c r="E65" s="100"/>
      <c r="F65" s="156"/>
    </row>
    <row r="66" spans="1:6" s="157" customFormat="1" ht="14.25">
      <c r="A66" s="100">
        <v>56</v>
      </c>
      <c r="B66" s="155" t="s">
        <v>221</v>
      </c>
      <c r="C66" s="119" t="s">
        <v>7</v>
      </c>
      <c r="D66" s="98">
        <v>10</v>
      </c>
      <c r="E66" s="100"/>
      <c r="F66" s="156"/>
    </row>
    <row r="67" spans="1:6" s="157" customFormat="1" ht="28.5">
      <c r="A67" s="100">
        <v>57</v>
      </c>
      <c r="B67" s="155" t="s">
        <v>140</v>
      </c>
      <c r="C67" s="119" t="s">
        <v>7</v>
      </c>
      <c r="D67" s="98">
        <v>25</v>
      </c>
      <c r="E67" s="100"/>
      <c r="F67" s="156"/>
    </row>
    <row r="68" spans="1:6" s="157" customFormat="1" ht="28.5">
      <c r="A68" s="100">
        <v>58</v>
      </c>
      <c r="B68" s="155" t="s">
        <v>208</v>
      </c>
      <c r="C68" s="119" t="s">
        <v>7</v>
      </c>
      <c r="D68" s="98">
        <v>15</v>
      </c>
      <c r="E68" s="100"/>
      <c r="F68" s="156"/>
    </row>
    <row r="69" spans="1:6" s="157" customFormat="1" ht="28.5">
      <c r="A69" s="100">
        <v>59</v>
      </c>
      <c r="B69" s="155" t="s">
        <v>210</v>
      </c>
      <c r="C69" s="98" t="s">
        <v>141</v>
      </c>
      <c r="D69" s="98">
        <f>1/100</f>
        <v>0.01</v>
      </c>
      <c r="E69" s="100"/>
      <c r="F69" s="156"/>
    </row>
    <row r="70" spans="1:6" s="157" customFormat="1" ht="28.5">
      <c r="A70" s="100">
        <v>60</v>
      </c>
      <c r="B70" s="155" t="s">
        <v>222</v>
      </c>
      <c r="C70" s="98" t="s">
        <v>141</v>
      </c>
      <c r="D70" s="98">
        <f>3/100</f>
        <v>0.03</v>
      </c>
      <c r="E70" s="100"/>
      <c r="F70" s="156"/>
    </row>
    <row r="71" spans="1:6" s="157" customFormat="1" ht="14.25">
      <c r="A71" s="100">
        <v>61</v>
      </c>
      <c r="B71" s="155" t="s">
        <v>178</v>
      </c>
      <c r="C71" s="98" t="s">
        <v>10</v>
      </c>
      <c r="D71" s="98">
        <v>5</v>
      </c>
      <c r="E71" s="100"/>
      <c r="F71" s="156"/>
    </row>
    <row r="72" spans="1:6" s="157" customFormat="1" ht="14.25">
      <c r="A72" s="100">
        <v>62</v>
      </c>
      <c r="B72" s="155" t="s">
        <v>213</v>
      </c>
      <c r="C72" s="98" t="s">
        <v>10</v>
      </c>
      <c r="D72" s="98">
        <v>1</v>
      </c>
      <c r="E72" s="100"/>
      <c r="F72" s="156"/>
    </row>
    <row r="73" spans="1:6" s="194" customFormat="1" ht="14.25">
      <c r="A73" s="146">
        <v>63</v>
      </c>
      <c r="B73" s="155" t="s">
        <v>214</v>
      </c>
      <c r="C73" s="98" t="s">
        <v>10</v>
      </c>
      <c r="D73" s="98">
        <v>2</v>
      </c>
      <c r="E73" s="100"/>
      <c r="F73" s="156"/>
    </row>
    <row r="74" spans="1:6" s="157" customFormat="1" ht="14.25">
      <c r="A74" s="100">
        <v>64</v>
      </c>
      <c r="B74" s="155" t="s">
        <v>179</v>
      </c>
      <c r="C74" s="98" t="s">
        <v>7</v>
      </c>
      <c r="D74" s="98">
        <v>20</v>
      </c>
      <c r="E74" s="100"/>
      <c r="F74" s="156"/>
    </row>
    <row r="75" spans="1:6" s="157" customFormat="1" ht="14.25">
      <c r="A75" s="100">
        <v>65</v>
      </c>
      <c r="B75" s="155" t="s">
        <v>185</v>
      </c>
      <c r="C75" s="98" t="s">
        <v>10</v>
      </c>
      <c r="D75" s="152">
        <v>3</v>
      </c>
      <c r="E75" s="100"/>
      <c r="F75" s="156"/>
    </row>
    <row r="76" spans="1:6" s="157" customFormat="1" ht="14.25">
      <c r="A76" s="100">
        <v>66</v>
      </c>
      <c r="B76" s="155" t="s">
        <v>187</v>
      </c>
      <c r="C76" s="98" t="s">
        <v>51</v>
      </c>
      <c r="D76" s="98">
        <f>5/100</f>
        <v>0.05</v>
      </c>
      <c r="E76" s="100"/>
      <c r="F76" s="156"/>
    </row>
    <row r="77" spans="1:6" s="157" customFormat="1" ht="14.25">
      <c r="A77" s="100">
        <v>67</v>
      </c>
      <c r="B77" s="155" t="s">
        <v>223</v>
      </c>
      <c r="C77" s="98" t="s">
        <v>51</v>
      </c>
      <c r="D77" s="98">
        <f>10/100</f>
        <v>0.1</v>
      </c>
      <c r="E77" s="100"/>
      <c r="F77" s="156"/>
    </row>
    <row r="78" spans="1:6" s="157" customFormat="1" ht="14.25">
      <c r="A78" s="100">
        <v>68</v>
      </c>
      <c r="B78" s="155" t="s">
        <v>186</v>
      </c>
      <c r="C78" s="98" t="s">
        <v>51</v>
      </c>
      <c r="D78" s="98">
        <f>5/100</f>
        <v>0.05</v>
      </c>
      <c r="E78" s="100"/>
      <c r="F78" s="156"/>
    </row>
    <row r="79" spans="1:8" s="129" customFormat="1" ht="14.25">
      <c r="A79" s="98">
        <v>69</v>
      </c>
      <c r="B79" s="99" t="s">
        <v>260</v>
      </c>
      <c r="C79" s="98" t="s">
        <v>10</v>
      </c>
      <c r="D79" s="125">
        <v>1</v>
      </c>
      <c r="E79" s="126"/>
      <c r="F79" s="127"/>
      <c r="G79" s="103" t="s">
        <v>36</v>
      </c>
      <c r="H79" s="128"/>
    </row>
    <row r="80" spans="1:6" s="88" customFormat="1" ht="16.5">
      <c r="A80" s="84"/>
      <c r="B80" s="85" t="s">
        <v>11</v>
      </c>
      <c r="C80" s="84"/>
      <c r="D80" s="84"/>
      <c r="E80" s="86"/>
      <c r="F80" s="87"/>
    </row>
    <row r="81" spans="1:6" s="63" customFormat="1" ht="28.5">
      <c r="A81" s="98">
        <v>70</v>
      </c>
      <c r="B81" s="99" t="s">
        <v>189</v>
      </c>
      <c r="C81" s="98" t="s">
        <v>190</v>
      </c>
      <c r="D81" s="49">
        <v>6</v>
      </c>
      <c r="E81" s="49"/>
      <c r="F81" s="49"/>
    </row>
    <row r="82" spans="1:7" s="52" customFormat="1" ht="14.25">
      <c r="A82" s="49">
        <v>71</v>
      </c>
      <c r="B82" s="68" t="s">
        <v>194</v>
      </c>
      <c r="C82" s="49" t="s">
        <v>9</v>
      </c>
      <c r="D82" s="49">
        <v>75.6</v>
      </c>
      <c r="E82" s="49"/>
      <c r="F82" s="49"/>
      <c r="G82" s="51"/>
    </row>
    <row r="83" spans="1:7" s="52" customFormat="1" ht="14.25">
      <c r="A83" s="62">
        <v>72</v>
      </c>
      <c r="B83" s="69" t="s">
        <v>191</v>
      </c>
      <c r="C83" s="49" t="s">
        <v>9</v>
      </c>
      <c r="D83" s="49">
        <v>21.6</v>
      </c>
      <c r="E83" s="49"/>
      <c r="F83" s="49"/>
      <c r="G83" s="118"/>
    </row>
    <row r="84" spans="1:7" s="52" customFormat="1" ht="28.5">
      <c r="A84" s="62">
        <f>A83+1</f>
        <v>73</v>
      </c>
      <c r="B84" s="69" t="s">
        <v>192</v>
      </c>
      <c r="C84" s="50" t="s">
        <v>9</v>
      </c>
      <c r="D84" s="49">
        <v>55</v>
      </c>
      <c r="E84" s="50"/>
      <c r="F84" s="167"/>
      <c r="G84" s="51"/>
    </row>
    <row r="85" spans="1:7" s="83" customFormat="1" ht="14.25">
      <c r="A85" s="49">
        <f>A84+1</f>
        <v>74</v>
      </c>
      <c r="B85" s="68" t="s">
        <v>193</v>
      </c>
      <c r="C85" s="49" t="s">
        <v>9</v>
      </c>
      <c r="D85" s="49">
        <v>21.6</v>
      </c>
      <c r="E85" s="49"/>
      <c r="F85" s="49"/>
      <c r="G85" s="133"/>
    </row>
    <row r="86" spans="1:6" s="95" customFormat="1" ht="14.25">
      <c r="A86" s="42"/>
      <c r="B86" s="38" t="s">
        <v>5</v>
      </c>
      <c r="C86" s="29"/>
      <c r="D86" s="48"/>
      <c r="E86" s="29"/>
      <c r="F86" s="30"/>
    </row>
    <row r="87" spans="1:6" s="35" customFormat="1" ht="13.5">
      <c r="A87" s="41"/>
      <c r="B87" s="39" t="s">
        <v>29</v>
      </c>
      <c r="C87" s="31"/>
      <c r="D87" s="31" t="s">
        <v>495</v>
      </c>
      <c r="E87" s="31"/>
      <c r="F87" s="31"/>
    </row>
    <row r="88" spans="1:6" s="95" customFormat="1" ht="14.25">
      <c r="A88" s="42"/>
      <c r="B88" s="38" t="s">
        <v>5</v>
      </c>
      <c r="C88" s="29"/>
      <c r="D88" s="48"/>
      <c r="E88" s="29"/>
      <c r="F88" s="43"/>
    </row>
    <row r="89" spans="1:6" s="35" customFormat="1" ht="13.5">
      <c r="A89" s="41"/>
      <c r="B89" s="39" t="s">
        <v>8</v>
      </c>
      <c r="C89" s="31"/>
      <c r="D89" s="37" t="s">
        <v>495</v>
      </c>
      <c r="E89" s="31"/>
      <c r="F89" s="44"/>
    </row>
    <row r="90" spans="1:6" s="95" customFormat="1" ht="14.25">
      <c r="A90" s="42"/>
      <c r="B90" s="38" t="s">
        <v>24</v>
      </c>
      <c r="C90" s="29"/>
      <c r="D90" s="48"/>
      <c r="E90" s="29"/>
      <c r="F90" s="30"/>
    </row>
    <row r="91" s="35" customFormat="1" ht="13.5"/>
    <row r="92" s="35" customFormat="1" ht="13.5"/>
    <row r="93" spans="2:6" s="7" customFormat="1" ht="15.75">
      <c r="B93" s="28"/>
      <c r="F93" s="27"/>
    </row>
    <row r="94" s="35" customFormat="1" ht="13.5">
      <c r="B94" s="28"/>
    </row>
    <row r="95" s="35" customFormat="1" ht="13.5"/>
    <row r="96" s="35" customFormat="1" ht="13.5"/>
  </sheetData>
  <sheetProtection/>
  <autoFilter ref="A1:A95"/>
  <mergeCells count="8">
    <mergeCell ref="A6:F6"/>
    <mergeCell ref="B1:F1"/>
    <mergeCell ref="A3:A4"/>
    <mergeCell ref="B3:B4"/>
    <mergeCell ref="B2:F2"/>
    <mergeCell ref="C3:C4"/>
    <mergeCell ref="D3:D4"/>
    <mergeCell ref="E3:F3"/>
  </mergeCells>
  <printOptions/>
  <pageMargins left="0.64" right="0.45" top="0.27" bottom="0.36" header="0.22" footer="0.16"/>
  <pageSetup orientation="portrait" paperSize="9" scale="92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00"/>
  </sheetPr>
  <dimension ref="A1:G61"/>
  <sheetViews>
    <sheetView view="pageBreakPreview" zoomScaleNormal="85" zoomScaleSheetLayoutView="100" workbookViewId="0" topLeftCell="A1">
      <pane xSplit="1" ySplit="5" topLeftCell="B36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I37" sqref="I37"/>
    </sheetView>
  </sheetViews>
  <sheetFormatPr defaultColWidth="9.140625" defaultRowHeight="12.75"/>
  <cols>
    <col min="1" max="1" width="3.57421875" style="25" customWidth="1"/>
    <col min="2" max="2" width="58.57421875" style="25" customWidth="1"/>
    <col min="3" max="3" width="8.28125" style="25" customWidth="1"/>
    <col min="4" max="4" width="9.57421875" style="25" customWidth="1"/>
    <col min="5" max="5" width="8.7109375" style="25" customWidth="1"/>
    <col min="6" max="6" width="10.8515625" style="25" bestFit="1" customWidth="1"/>
    <col min="7" max="16384" width="9.140625" style="26" customWidth="1"/>
  </cols>
  <sheetData>
    <row r="1" spans="1:6" s="45" customFormat="1" ht="16.5">
      <c r="A1" s="82"/>
      <c r="B1" s="257" t="s">
        <v>508</v>
      </c>
      <c r="C1" s="258"/>
      <c r="D1" s="258"/>
      <c r="E1" s="258"/>
      <c r="F1" s="258"/>
    </row>
    <row r="2" spans="1:6" s="45" customFormat="1" ht="16.5">
      <c r="A2" s="244"/>
      <c r="B2" s="246" t="s">
        <v>504</v>
      </c>
      <c r="C2" s="254"/>
      <c r="D2" s="254"/>
      <c r="E2" s="254"/>
      <c r="F2" s="254"/>
    </row>
    <row r="3" spans="1:6" s="45" customFormat="1" ht="11.25">
      <c r="A3" s="253" t="s">
        <v>0</v>
      </c>
      <c r="B3" s="253" t="s">
        <v>1</v>
      </c>
      <c r="C3" s="253" t="s">
        <v>2</v>
      </c>
      <c r="D3" s="253" t="s">
        <v>3</v>
      </c>
      <c r="E3" s="255" t="s">
        <v>494</v>
      </c>
      <c r="F3" s="255"/>
    </row>
    <row r="4" spans="1:6" s="45" customFormat="1" ht="11.25">
      <c r="A4" s="253"/>
      <c r="B4" s="253"/>
      <c r="C4" s="253"/>
      <c r="D4" s="253"/>
      <c r="E4" s="40" t="s">
        <v>4</v>
      </c>
      <c r="F4" s="46" t="s">
        <v>5</v>
      </c>
    </row>
    <row r="5" spans="1:6" s="4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s="45" customFormat="1" ht="16.5">
      <c r="A6" s="256" t="str">
        <f>B!C12</f>
        <v>gigos rezervuaris sanitaruli teritoriis gare ganaTeba, satumbi sadguris el. momarageba</v>
      </c>
      <c r="B6" s="256"/>
      <c r="C6" s="256"/>
      <c r="D6" s="256"/>
      <c r="E6" s="256"/>
      <c r="F6" s="256"/>
    </row>
    <row r="7" spans="1:6" s="88" customFormat="1" ht="16.5">
      <c r="A7" s="84"/>
      <c r="B7" s="85" t="s">
        <v>188</v>
      </c>
      <c r="C7" s="84"/>
      <c r="D7" s="84"/>
      <c r="E7" s="86"/>
      <c r="F7" s="87"/>
    </row>
    <row r="8" spans="1:6" s="92" customFormat="1" ht="16.5">
      <c r="A8" s="89"/>
      <c r="B8" s="136" t="s">
        <v>226</v>
      </c>
      <c r="C8" s="89"/>
      <c r="D8" s="89"/>
      <c r="E8" s="90"/>
      <c r="F8" s="91"/>
    </row>
    <row r="9" spans="1:6" s="157" customFormat="1" ht="28.5">
      <c r="A9" s="100">
        <v>1</v>
      </c>
      <c r="B9" s="155" t="s">
        <v>138</v>
      </c>
      <c r="C9" s="119" t="s">
        <v>7</v>
      </c>
      <c r="D9" s="98">
        <v>90</v>
      </c>
      <c r="E9" s="100"/>
      <c r="F9" s="156"/>
    </row>
    <row r="10" spans="1:6" s="157" customFormat="1" ht="28.5">
      <c r="A10" s="100">
        <v>2</v>
      </c>
      <c r="B10" s="155" t="s">
        <v>139</v>
      </c>
      <c r="C10" s="119" t="s">
        <v>7</v>
      </c>
      <c r="D10" s="98">
        <v>40</v>
      </c>
      <c r="E10" s="100"/>
      <c r="F10" s="156"/>
    </row>
    <row r="11" spans="1:6" s="157" customFormat="1" ht="28.5">
      <c r="A11" s="100">
        <v>3</v>
      </c>
      <c r="B11" s="155" t="s">
        <v>142</v>
      </c>
      <c r="C11" s="98" t="s">
        <v>141</v>
      </c>
      <c r="D11" s="98">
        <f>5/100</f>
        <v>0.05</v>
      </c>
      <c r="E11" s="100"/>
      <c r="F11" s="156"/>
    </row>
    <row r="12" spans="1:6" s="51" customFormat="1" ht="28.5">
      <c r="A12" s="119">
        <v>4</v>
      </c>
      <c r="B12" s="131" t="s">
        <v>154</v>
      </c>
      <c r="C12" s="115" t="s">
        <v>10</v>
      </c>
      <c r="D12" s="193">
        <v>5</v>
      </c>
      <c r="E12" s="116"/>
      <c r="F12" s="94"/>
    </row>
    <row r="13" spans="1:6" s="157" customFormat="1" ht="14.25">
      <c r="A13" s="100">
        <v>5</v>
      </c>
      <c r="B13" s="155" t="s">
        <v>178</v>
      </c>
      <c r="C13" s="98" t="s">
        <v>10</v>
      </c>
      <c r="D13" s="98">
        <v>5</v>
      </c>
      <c r="E13" s="100"/>
      <c r="F13" s="156"/>
    </row>
    <row r="14" spans="1:6" s="157" customFormat="1" ht="14.25">
      <c r="A14" s="100">
        <v>6</v>
      </c>
      <c r="B14" s="155" t="s">
        <v>179</v>
      </c>
      <c r="C14" s="98" t="s">
        <v>7</v>
      </c>
      <c r="D14" s="98">
        <v>100</v>
      </c>
      <c r="E14" s="100"/>
      <c r="F14" s="156"/>
    </row>
    <row r="15" spans="1:6" s="157" customFormat="1" ht="14.25">
      <c r="A15" s="100">
        <v>7</v>
      </c>
      <c r="B15" s="155" t="s">
        <v>180</v>
      </c>
      <c r="C15" s="98" t="s">
        <v>10</v>
      </c>
      <c r="D15" s="98">
        <v>1</v>
      </c>
      <c r="E15" s="100"/>
      <c r="F15" s="156"/>
    </row>
    <row r="16" spans="1:6" s="123" customFormat="1" ht="14.25">
      <c r="A16" s="115">
        <v>8</v>
      </c>
      <c r="B16" s="147" t="s">
        <v>181</v>
      </c>
      <c r="C16" s="119" t="s">
        <v>10</v>
      </c>
      <c r="D16" s="119">
        <v>1</v>
      </c>
      <c r="E16" s="115"/>
      <c r="F16" s="120"/>
    </row>
    <row r="17" spans="1:6" s="123" customFormat="1" ht="14.25">
      <c r="A17" s="115">
        <v>9</v>
      </c>
      <c r="B17" s="147" t="s">
        <v>182</v>
      </c>
      <c r="C17" s="119" t="s">
        <v>10</v>
      </c>
      <c r="D17" s="119">
        <v>1</v>
      </c>
      <c r="E17" s="115"/>
      <c r="F17" s="120"/>
    </row>
    <row r="18" spans="1:6" s="123" customFormat="1" ht="14.25">
      <c r="A18" s="115">
        <v>10</v>
      </c>
      <c r="B18" s="147" t="s">
        <v>183</v>
      </c>
      <c r="C18" s="119" t="s">
        <v>10</v>
      </c>
      <c r="D18" s="119">
        <v>1</v>
      </c>
      <c r="E18" s="115"/>
      <c r="F18" s="120"/>
    </row>
    <row r="19" spans="1:6" s="123" customFormat="1" ht="28.5">
      <c r="A19" s="115">
        <v>11</v>
      </c>
      <c r="B19" s="147" t="s">
        <v>184</v>
      </c>
      <c r="C19" s="119" t="s">
        <v>109</v>
      </c>
      <c r="D19" s="119">
        <v>1</v>
      </c>
      <c r="E19" s="115"/>
      <c r="F19" s="120"/>
    </row>
    <row r="20" spans="1:6" s="157" customFormat="1" ht="14.25">
      <c r="A20" s="100">
        <v>12</v>
      </c>
      <c r="B20" s="155" t="s">
        <v>185</v>
      </c>
      <c r="C20" s="98" t="s">
        <v>10</v>
      </c>
      <c r="D20" s="152">
        <v>5</v>
      </c>
      <c r="E20" s="100"/>
      <c r="F20" s="156"/>
    </row>
    <row r="21" spans="1:6" s="157" customFormat="1" ht="14.25">
      <c r="A21" s="100">
        <v>13</v>
      </c>
      <c r="B21" s="155" t="s">
        <v>186</v>
      </c>
      <c r="C21" s="98" t="s">
        <v>51</v>
      </c>
      <c r="D21" s="98">
        <f>15/100</f>
        <v>0.15</v>
      </c>
      <c r="E21" s="100"/>
      <c r="F21" s="156"/>
    </row>
    <row r="22" spans="1:6" s="157" customFormat="1" ht="14.25">
      <c r="A22" s="100">
        <v>14</v>
      </c>
      <c r="B22" s="155" t="s">
        <v>195</v>
      </c>
      <c r="C22" s="98" t="s">
        <v>51</v>
      </c>
      <c r="D22" s="98">
        <f>100/100</f>
        <v>1</v>
      </c>
      <c r="E22" s="100"/>
      <c r="F22" s="156"/>
    </row>
    <row r="23" spans="1:6" s="92" customFormat="1" ht="15.75">
      <c r="A23" s="158"/>
      <c r="B23" s="195" t="s">
        <v>220</v>
      </c>
      <c r="C23" s="158"/>
      <c r="D23" s="158"/>
      <c r="E23" s="159"/>
      <c r="F23" s="160"/>
    </row>
    <row r="24" spans="1:6" s="123" customFormat="1" ht="28.5">
      <c r="A24" s="115">
        <v>15</v>
      </c>
      <c r="B24" s="147" t="s">
        <v>254</v>
      </c>
      <c r="C24" s="119" t="s">
        <v>109</v>
      </c>
      <c r="D24" s="119">
        <v>2</v>
      </c>
      <c r="E24" s="115"/>
      <c r="F24" s="120"/>
    </row>
    <row r="25" spans="1:6" s="157" customFormat="1" ht="14.25">
      <c r="A25" s="100">
        <v>16</v>
      </c>
      <c r="B25" s="155" t="s">
        <v>255</v>
      </c>
      <c r="C25" s="98" t="s">
        <v>10</v>
      </c>
      <c r="D25" s="98">
        <v>1</v>
      </c>
      <c r="E25" s="100"/>
      <c r="F25" s="156"/>
    </row>
    <row r="26" spans="1:6" s="157" customFormat="1" ht="14.25">
      <c r="A26" s="100">
        <v>17</v>
      </c>
      <c r="B26" s="155" t="s">
        <v>203</v>
      </c>
      <c r="C26" s="98" t="s">
        <v>10</v>
      </c>
      <c r="D26" s="98">
        <v>2</v>
      </c>
      <c r="E26" s="100"/>
      <c r="F26" s="156"/>
    </row>
    <row r="27" spans="1:6" s="157" customFormat="1" ht="14.25">
      <c r="A27" s="100">
        <v>18</v>
      </c>
      <c r="B27" s="155" t="s">
        <v>205</v>
      </c>
      <c r="C27" s="98" t="s">
        <v>10</v>
      </c>
      <c r="D27" s="98">
        <v>1</v>
      </c>
      <c r="E27" s="100"/>
      <c r="F27" s="156"/>
    </row>
    <row r="28" spans="1:6" s="157" customFormat="1" ht="14.25">
      <c r="A28" s="100">
        <v>19</v>
      </c>
      <c r="B28" s="155" t="s">
        <v>204</v>
      </c>
      <c r="C28" s="98" t="s">
        <v>10</v>
      </c>
      <c r="D28" s="98">
        <v>1</v>
      </c>
      <c r="E28" s="100"/>
      <c r="F28" s="156"/>
    </row>
    <row r="29" spans="1:6" s="157" customFormat="1" ht="14.25">
      <c r="A29" s="100">
        <v>20</v>
      </c>
      <c r="B29" s="155" t="s">
        <v>207</v>
      </c>
      <c r="C29" s="98" t="s">
        <v>10</v>
      </c>
      <c r="D29" s="98">
        <v>1</v>
      </c>
      <c r="E29" s="100"/>
      <c r="F29" s="156"/>
    </row>
    <row r="30" spans="1:6" s="157" customFormat="1" ht="14.25">
      <c r="A30" s="100">
        <v>21</v>
      </c>
      <c r="B30" s="155" t="s">
        <v>219</v>
      </c>
      <c r="C30" s="98" t="s">
        <v>10</v>
      </c>
      <c r="D30" s="98">
        <v>1</v>
      </c>
      <c r="E30" s="100"/>
      <c r="F30" s="156"/>
    </row>
    <row r="31" spans="1:6" s="157" customFormat="1" ht="28.5">
      <c r="A31" s="100">
        <v>22</v>
      </c>
      <c r="B31" s="155" t="s">
        <v>135</v>
      </c>
      <c r="C31" s="119" t="s">
        <v>7</v>
      </c>
      <c r="D31" s="98">
        <v>60</v>
      </c>
      <c r="E31" s="100"/>
      <c r="F31" s="156"/>
    </row>
    <row r="32" spans="1:6" s="157" customFormat="1" ht="28.5">
      <c r="A32" s="100">
        <v>23</v>
      </c>
      <c r="B32" s="155" t="s">
        <v>137</v>
      </c>
      <c r="C32" s="119" t="s">
        <v>7</v>
      </c>
      <c r="D32" s="98">
        <v>65</v>
      </c>
      <c r="E32" s="100"/>
      <c r="F32" s="156"/>
    </row>
    <row r="33" spans="1:6" s="157" customFormat="1" ht="28.5">
      <c r="A33" s="100">
        <v>24</v>
      </c>
      <c r="B33" s="155" t="s">
        <v>221</v>
      </c>
      <c r="C33" s="119" t="s">
        <v>7</v>
      </c>
      <c r="D33" s="98">
        <v>10</v>
      </c>
      <c r="E33" s="100"/>
      <c r="F33" s="156"/>
    </row>
    <row r="34" spans="1:6" s="157" customFormat="1" ht="28.5">
      <c r="A34" s="100">
        <v>25</v>
      </c>
      <c r="B34" s="155" t="s">
        <v>140</v>
      </c>
      <c r="C34" s="119" t="s">
        <v>7</v>
      </c>
      <c r="D34" s="98">
        <v>25</v>
      </c>
      <c r="E34" s="100"/>
      <c r="F34" s="156"/>
    </row>
    <row r="35" spans="1:6" s="157" customFormat="1" ht="28.5">
      <c r="A35" s="100">
        <v>26</v>
      </c>
      <c r="B35" s="155" t="s">
        <v>208</v>
      </c>
      <c r="C35" s="119" t="s">
        <v>7</v>
      </c>
      <c r="D35" s="98">
        <v>15</v>
      </c>
      <c r="E35" s="100"/>
      <c r="F35" s="156"/>
    </row>
    <row r="36" spans="1:6" s="157" customFormat="1" ht="28.5">
      <c r="A36" s="100">
        <v>27</v>
      </c>
      <c r="B36" s="155" t="s">
        <v>210</v>
      </c>
      <c r="C36" s="98" t="s">
        <v>141</v>
      </c>
      <c r="D36" s="98">
        <f>1/100</f>
        <v>0.01</v>
      </c>
      <c r="E36" s="100"/>
      <c r="F36" s="156"/>
    </row>
    <row r="37" spans="1:6" s="157" customFormat="1" ht="28.5">
      <c r="A37" s="100">
        <v>28</v>
      </c>
      <c r="B37" s="155" t="s">
        <v>222</v>
      </c>
      <c r="C37" s="98" t="s">
        <v>141</v>
      </c>
      <c r="D37" s="98">
        <f>3/100</f>
        <v>0.03</v>
      </c>
      <c r="E37" s="100"/>
      <c r="F37" s="156"/>
    </row>
    <row r="38" spans="1:6" s="157" customFormat="1" ht="14.25">
      <c r="A38" s="100">
        <v>29</v>
      </c>
      <c r="B38" s="155" t="s">
        <v>178</v>
      </c>
      <c r="C38" s="98" t="s">
        <v>10</v>
      </c>
      <c r="D38" s="98">
        <v>5</v>
      </c>
      <c r="E38" s="100"/>
      <c r="F38" s="156"/>
    </row>
    <row r="39" spans="1:6" s="157" customFormat="1" ht="28.5">
      <c r="A39" s="100">
        <v>30</v>
      </c>
      <c r="B39" s="155" t="s">
        <v>213</v>
      </c>
      <c r="C39" s="98" t="s">
        <v>10</v>
      </c>
      <c r="D39" s="98">
        <v>1</v>
      </c>
      <c r="E39" s="100"/>
      <c r="F39" s="156"/>
    </row>
    <row r="40" spans="1:6" s="194" customFormat="1" ht="14.25">
      <c r="A40" s="146">
        <v>31</v>
      </c>
      <c r="B40" s="155" t="s">
        <v>214</v>
      </c>
      <c r="C40" s="98" t="s">
        <v>10</v>
      </c>
      <c r="D40" s="98">
        <v>2</v>
      </c>
      <c r="E40" s="100"/>
      <c r="F40" s="156"/>
    </row>
    <row r="41" spans="1:6" s="157" customFormat="1" ht="14.25">
      <c r="A41" s="100">
        <v>32</v>
      </c>
      <c r="B41" s="155" t="s">
        <v>179</v>
      </c>
      <c r="C41" s="98" t="s">
        <v>7</v>
      </c>
      <c r="D41" s="98">
        <v>20</v>
      </c>
      <c r="E41" s="100"/>
      <c r="F41" s="156"/>
    </row>
    <row r="42" spans="1:6" s="157" customFormat="1" ht="14.25">
      <c r="A42" s="100">
        <v>33</v>
      </c>
      <c r="B42" s="155" t="s">
        <v>185</v>
      </c>
      <c r="C42" s="98" t="s">
        <v>10</v>
      </c>
      <c r="D42" s="152">
        <v>3</v>
      </c>
      <c r="E42" s="100"/>
      <c r="F42" s="156"/>
    </row>
    <row r="43" spans="1:6" s="157" customFormat="1" ht="14.25">
      <c r="A43" s="100">
        <v>34</v>
      </c>
      <c r="B43" s="155" t="s">
        <v>187</v>
      </c>
      <c r="C43" s="98" t="s">
        <v>51</v>
      </c>
      <c r="D43" s="98">
        <f>5/100</f>
        <v>0.05</v>
      </c>
      <c r="E43" s="100"/>
      <c r="F43" s="156"/>
    </row>
    <row r="44" spans="1:6" s="157" customFormat="1" ht="14.25">
      <c r="A44" s="100">
        <v>35</v>
      </c>
      <c r="B44" s="155" t="s">
        <v>186</v>
      </c>
      <c r="C44" s="98" t="s">
        <v>51</v>
      </c>
      <c r="D44" s="98">
        <f>5/100</f>
        <v>0.05</v>
      </c>
      <c r="E44" s="100"/>
      <c r="F44" s="156"/>
    </row>
    <row r="45" spans="1:6" s="157" customFormat="1" ht="14.25">
      <c r="A45" s="100">
        <v>36</v>
      </c>
      <c r="B45" s="155" t="s">
        <v>223</v>
      </c>
      <c r="C45" s="98" t="s">
        <v>51</v>
      </c>
      <c r="D45" s="130">
        <f>10/100</f>
        <v>0.1</v>
      </c>
      <c r="E45" s="100"/>
      <c r="F45" s="156"/>
    </row>
    <row r="46" spans="1:7" s="129" customFormat="1" ht="14.25">
      <c r="A46" s="98">
        <v>37</v>
      </c>
      <c r="B46" s="99" t="s">
        <v>260</v>
      </c>
      <c r="C46" s="98" t="s">
        <v>10</v>
      </c>
      <c r="D46" s="125">
        <v>1</v>
      </c>
      <c r="E46" s="126"/>
      <c r="F46" s="127"/>
      <c r="G46" s="128"/>
    </row>
    <row r="47" spans="1:6" s="88" customFormat="1" ht="16.5">
      <c r="A47" s="84"/>
      <c r="B47" s="85" t="s">
        <v>11</v>
      </c>
      <c r="C47" s="84"/>
      <c r="D47" s="84"/>
      <c r="E47" s="86"/>
      <c r="F47" s="87"/>
    </row>
    <row r="48" spans="1:6" s="63" customFormat="1" ht="28.5">
      <c r="A48" s="98">
        <v>38</v>
      </c>
      <c r="B48" s="99" t="s">
        <v>189</v>
      </c>
      <c r="C48" s="98" t="s">
        <v>190</v>
      </c>
      <c r="D48" s="49">
        <v>5</v>
      </c>
      <c r="E48" s="49">
        <v>30</v>
      </c>
      <c r="F48" s="49">
        <f>D48*E48</f>
        <v>150</v>
      </c>
    </row>
    <row r="49" spans="1:6" s="52" customFormat="1" ht="14.25">
      <c r="A49" s="49">
        <v>39</v>
      </c>
      <c r="B49" s="68" t="s">
        <v>225</v>
      </c>
      <c r="C49" s="49" t="s">
        <v>9</v>
      </c>
      <c r="D49" s="49">
        <v>21</v>
      </c>
      <c r="E49" s="49"/>
      <c r="F49" s="49"/>
    </row>
    <row r="50" spans="1:6" s="52" customFormat="1" ht="14.25">
      <c r="A50" s="62">
        <v>40</v>
      </c>
      <c r="B50" s="69" t="s">
        <v>191</v>
      </c>
      <c r="C50" s="49" t="s">
        <v>9</v>
      </c>
      <c r="D50" s="49">
        <v>6</v>
      </c>
      <c r="E50" s="49"/>
      <c r="F50" s="49"/>
    </row>
    <row r="51" spans="1:6" s="52" customFormat="1" ht="28.5">
      <c r="A51" s="62">
        <v>41</v>
      </c>
      <c r="B51" s="69" t="s">
        <v>192</v>
      </c>
      <c r="C51" s="50" t="s">
        <v>9</v>
      </c>
      <c r="D51" s="49">
        <v>15</v>
      </c>
      <c r="E51" s="50"/>
      <c r="F51" s="167"/>
    </row>
    <row r="52" spans="1:6" s="83" customFormat="1" ht="14.25">
      <c r="A52" s="49">
        <v>42</v>
      </c>
      <c r="B52" s="68" t="s">
        <v>193</v>
      </c>
      <c r="C52" s="49" t="s">
        <v>9</v>
      </c>
      <c r="D52" s="49">
        <v>6</v>
      </c>
      <c r="E52" s="49"/>
      <c r="F52" s="49"/>
    </row>
    <row r="53" spans="1:6" s="95" customFormat="1" ht="14.25">
      <c r="A53" s="42"/>
      <c r="B53" s="38" t="s">
        <v>5</v>
      </c>
      <c r="C53" s="29"/>
      <c r="D53" s="48"/>
      <c r="E53" s="29"/>
      <c r="F53" s="30"/>
    </row>
    <row r="54" spans="1:6" s="35" customFormat="1" ht="13.5">
      <c r="A54" s="41"/>
      <c r="B54" s="39" t="s">
        <v>29</v>
      </c>
      <c r="C54" s="31"/>
      <c r="D54" s="31" t="s">
        <v>495</v>
      </c>
      <c r="E54" s="31"/>
      <c r="F54" s="31"/>
    </row>
    <row r="55" spans="1:6" s="95" customFormat="1" ht="14.25">
      <c r="A55" s="42"/>
      <c r="B55" s="38" t="s">
        <v>5</v>
      </c>
      <c r="C55" s="29"/>
      <c r="D55" s="48"/>
      <c r="E55" s="29"/>
      <c r="F55" s="43"/>
    </row>
    <row r="56" spans="1:6" s="35" customFormat="1" ht="13.5">
      <c r="A56" s="41"/>
      <c r="B56" s="39" t="s">
        <v>8</v>
      </c>
      <c r="C56" s="31"/>
      <c r="D56" s="37" t="s">
        <v>495</v>
      </c>
      <c r="E56" s="31"/>
      <c r="F56" s="44"/>
    </row>
    <row r="57" spans="1:6" s="95" customFormat="1" ht="14.25">
      <c r="A57" s="42"/>
      <c r="B57" s="38" t="s">
        <v>24</v>
      </c>
      <c r="C57" s="29"/>
      <c r="D57" s="48"/>
      <c r="E57" s="29"/>
      <c r="F57" s="30"/>
    </row>
    <row r="58" s="35" customFormat="1" ht="13.5"/>
    <row r="59" s="35" customFormat="1" ht="13.5"/>
    <row r="60" spans="2:6" s="7" customFormat="1" ht="15.75">
      <c r="B60" s="28"/>
      <c r="F60" s="27"/>
    </row>
    <row r="61" s="35" customFormat="1" ht="13.5">
      <c r="B61" s="28"/>
    </row>
    <row r="62" s="35" customFormat="1" ht="13.5"/>
    <row r="63" s="35" customFormat="1" ht="13.5"/>
  </sheetData>
  <sheetProtection/>
  <autoFilter ref="A1:A62"/>
  <mergeCells count="8">
    <mergeCell ref="D3:D4"/>
    <mergeCell ref="B2:F2"/>
    <mergeCell ref="E3:F3"/>
    <mergeCell ref="A6:F6"/>
    <mergeCell ref="B1:F1"/>
    <mergeCell ref="A3:A4"/>
    <mergeCell ref="B3:B4"/>
    <mergeCell ref="C3:C4"/>
  </mergeCells>
  <printOptions/>
  <pageMargins left="0.64" right="0.45" top="0.27" bottom="0.36" header="0.22" footer="0.16"/>
  <pageSetup orientation="portrait" paperSize="9" scale="93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00"/>
  </sheetPr>
  <dimension ref="A1:J84"/>
  <sheetViews>
    <sheetView view="pageBreakPreview" zoomScaleNormal="85" zoomScaleSheetLayoutView="100" workbookViewId="0" topLeftCell="A1">
      <pane xSplit="1" ySplit="5" topLeftCell="B66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B1" sqref="B1:F1"/>
    </sheetView>
  </sheetViews>
  <sheetFormatPr defaultColWidth="9.140625" defaultRowHeight="12.75"/>
  <cols>
    <col min="1" max="1" width="3.57421875" style="25" customWidth="1"/>
    <col min="2" max="2" width="64.7109375" style="25" customWidth="1"/>
    <col min="3" max="3" width="8.28125" style="25" customWidth="1"/>
    <col min="4" max="4" width="9.57421875" style="25" customWidth="1"/>
    <col min="5" max="5" width="8.7109375" style="25" customWidth="1"/>
    <col min="6" max="6" width="10.8515625" style="25" bestFit="1" customWidth="1"/>
    <col min="7" max="16384" width="9.140625" style="26" customWidth="1"/>
  </cols>
  <sheetData>
    <row r="1" spans="1:6" s="45" customFormat="1" ht="16.5">
      <c r="A1" s="82"/>
      <c r="B1" s="257" t="s">
        <v>508</v>
      </c>
      <c r="C1" s="258"/>
      <c r="D1" s="258"/>
      <c r="E1" s="258"/>
      <c r="F1" s="258"/>
    </row>
    <row r="2" spans="1:6" s="45" customFormat="1" ht="16.5">
      <c r="A2" s="244"/>
      <c r="B2" s="246" t="s">
        <v>505</v>
      </c>
      <c r="C2" s="254"/>
      <c r="D2" s="254"/>
      <c r="E2" s="254"/>
      <c r="F2" s="254"/>
    </row>
    <row r="3" spans="1:6" s="45" customFormat="1" ht="11.25">
      <c r="A3" s="253" t="s">
        <v>0</v>
      </c>
      <c r="B3" s="253" t="s">
        <v>1</v>
      </c>
      <c r="C3" s="253" t="s">
        <v>2</v>
      </c>
      <c r="D3" s="253" t="s">
        <v>3</v>
      </c>
      <c r="E3" s="255" t="s">
        <v>494</v>
      </c>
      <c r="F3" s="255"/>
    </row>
    <row r="4" spans="1:6" s="45" customFormat="1" ht="11.25">
      <c r="A4" s="253"/>
      <c r="B4" s="253"/>
      <c r="C4" s="253"/>
      <c r="D4" s="253"/>
      <c r="E4" s="40" t="s">
        <v>4</v>
      </c>
      <c r="F4" s="46" t="s">
        <v>5</v>
      </c>
    </row>
    <row r="5" spans="1:6" s="4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s="88" customFormat="1" ht="16.5">
      <c r="A6" s="84"/>
      <c r="B6" s="85" t="s">
        <v>11</v>
      </c>
      <c r="C6" s="84"/>
      <c r="D6" s="84"/>
      <c r="E6" s="86"/>
      <c r="F6" s="87"/>
    </row>
    <row r="7" spans="1:6" s="92" customFormat="1" ht="16.5">
      <c r="A7" s="89"/>
      <c r="B7" s="136" t="s">
        <v>256</v>
      </c>
      <c r="C7" s="89"/>
      <c r="D7" s="89"/>
      <c r="E7" s="90"/>
      <c r="F7" s="91"/>
    </row>
    <row r="8" spans="1:8" s="129" customFormat="1" ht="14.25">
      <c r="A8" s="98">
        <v>1</v>
      </c>
      <c r="B8" s="99" t="s">
        <v>257</v>
      </c>
      <c r="C8" s="98" t="s">
        <v>10</v>
      </c>
      <c r="D8" s="125">
        <v>1</v>
      </c>
      <c r="E8" s="126"/>
      <c r="F8" s="127"/>
      <c r="G8" s="103"/>
      <c r="H8" s="128"/>
    </row>
    <row r="9" spans="1:8" s="129" customFormat="1" ht="14.25">
      <c r="A9" s="98">
        <v>2</v>
      </c>
      <c r="B9" s="99" t="s">
        <v>258</v>
      </c>
      <c r="C9" s="98" t="s">
        <v>10</v>
      </c>
      <c r="D9" s="125">
        <v>1</v>
      </c>
      <c r="E9" s="126"/>
      <c r="F9" s="127"/>
      <c r="G9" s="103"/>
      <c r="H9" s="128"/>
    </row>
    <row r="10" spans="1:8" s="129" customFormat="1" ht="14.25">
      <c r="A10" s="98">
        <v>3</v>
      </c>
      <c r="B10" s="99" t="s">
        <v>259</v>
      </c>
      <c r="C10" s="98" t="s">
        <v>10</v>
      </c>
      <c r="D10" s="125">
        <v>1</v>
      </c>
      <c r="E10" s="126"/>
      <c r="F10" s="127"/>
      <c r="G10" s="103"/>
      <c r="H10" s="128"/>
    </row>
    <row r="11" spans="1:8" s="129" customFormat="1" ht="14.25">
      <c r="A11" s="98">
        <v>4</v>
      </c>
      <c r="B11" s="99" t="s">
        <v>261</v>
      </c>
      <c r="C11" s="98" t="s">
        <v>10</v>
      </c>
      <c r="D11" s="125">
        <v>1</v>
      </c>
      <c r="E11" s="126"/>
      <c r="F11" s="127"/>
      <c r="G11" s="103"/>
      <c r="H11" s="128"/>
    </row>
    <row r="12" spans="1:8" s="129" customFormat="1" ht="14.25">
      <c r="A12" s="98">
        <v>5</v>
      </c>
      <c r="B12" s="99" t="s">
        <v>262</v>
      </c>
      <c r="C12" s="98" t="s">
        <v>10</v>
      </c>
      <c r="D12" s="125">
        <v>1</v>
      </c>
      <c r="E12" s="126"/>
      <c r="F12" s="127"/>
      <c r="G12" s="103"/>
      <c r="H12" s="128"/>
    </row>
    <row r="13" spans="1:10" s="109" customFormat="1" ht="14.25">
      <c r="A13" s="62">
        <v>6</v>
      </c>
      <c r="B13" s="68" t="s">
        <v>267</v>
      </c>
      <c r="C13" s="49" t="s">
        <v>25</v>
      </c>
      <c r="D13" s="49">
        <f>5.3/1000*2</f>
        <v>0.0106</v>
      </c>
      <c r="E13" s="49"/>
      <c r="F13" s="49"/>
      <c r="H13" s="110"/>
      <c r="I13" s="110"/>
      <c r="J13" s="110"/>
    </row>
    <row r="14" spans="1:6" s="81" customFormat="1" ht="15.75">
      <c r="A14" s="49">
        <v>7</v>
      </c>
      <c r="B14" s="138" t="s">
        <v>263</v>
      </c>
      <c r="C14" s="49" t="s">
        <v>68</v>
      </c>
      <c r="D14" s="49">
        <v>1</v>
      </c>
      <c r="E14" s="49"/>
      <c r="F14" s="49"/>
    </row>
    <row r="15" spans="1:6" s="81" customFormat="1" ht="15.75">
      <c r="A15" s="49">
        <v>8</v>
      </c>
      <c r="B15" s="138" t="s">
        <v>264</v>
      </c>
      <c r="C15" s="49" t="s">
        <v>68</v>
      </c>
      <c r="D15" s="49">
        <v>1</v>
      </c>
      <c r="E15" s="49"/>
      <c r="F15" s="49"/>
    </row>
    <row r="16" spans="1:6" s="97" customFormat="1" ht="15.75">
      <c r="A16" s="49">
        <v>9</v>
      </c>
      <c r="B16" s="68" t="s">
        <v>265</v>
      </c>
      <c r="C16" s="49" t="s">
        <v>10</v>
      </c>
      <c r="D16" s="49">
        <v>1</v>
      </c>
      <c r="E16" s="49"/>
      <c r="F16" s="49"/>
    </row>
    <row r="17" spans="1:6" s="97" customFormat="1" ht="15.75">
      <c r="A17" s="49">
        <v>10</v>
      </c>
      <c r="B17" s="68" t="s">
        <v>266</v>
      </c>
      <c r="C17" s="49" t="s">
        <v>10</v>
      </c>
      <c r="D17" s="49">
        <v>1</v>
      </c>
      <c r="E17" s="49"/>
      <c r="F17" s="49"/>
    </row>
    <row r="18" spans="1:10" s="109" customFormat="1" ht="14.25">
      <c r="A18" s="62">
        <v>11</v>
      </c>
      <c r="B18" s="68" t="s">
        <v>268</v>
      </c>
      <c r="C18" s="49" t="s">
        <v>25</v>
      </c>
      <c r="D18" s="49">
        <f>20/1000</f>
        <v>0.02</v>
      </c>
      <c r="E18" s="49"/>
      <c r="F18" s="49"/>
      <c r="H18" s="110"/>
      <c r="I18" s="110"/>
      <c r="J18" s="110"/>
    </row>
    <row r="19" spans="1:10" s="109" customFormat="1" ht="14.25">
      <c r="A19" s="62">
        <v>12</v>
      </c>
      <c r="B19" s="68" t="s">
        <v>269</v>
      </c>
      <c r="C19" s="49" t="s">
        <v>25</v>
      </c>
      <c r="D19" s="49">
        <f>10.2/1000</f>
        <v>0.010199999999999999</v>
      </c>
      <c r="E19" s="49"/>
      <c r="F19" s="49"/>
      <c r="H19" s="110"/>
      <c r="I19" s="110"/>
      <c r="J19" s="110"/>
    </row>
    <row r="20" spans="1:10" s="109" customFormat="1" ht="14.25">
      <c r="A20" s="62">
        <v>13</v>
      </c>
      <c r="B20" s="68" t="s">
        <v>270</v>
      </c>
      <c r="C20" s="49" t="s">
        <v>25</v>
      </c>
      <c r="D20" s="49">
        <f>2.1/1000*2</f>
        <v>0.004200000000000001</v>
      </c>
      <c r="E20" s="49"/>
      <c r="F20" s="49"/>
      <c r="H20" s="110"/>
      <c r="I20" s="110"/>
      <c r="J20" s="110"/>
    </row>
    <row r="21" spans="1:8" s="63" customFormat="1" ht="14.25">
      <c r="A21" s="130">
        <v>14</v>
      </c>
      <c r="B21" s="68" t="s">
        <v>286</v>
      </c>
      <c r="C21" s="100" t="s">
        <v>10</v>
      </c>
      <c r="D21" s="125">
        <v>4</v>
      </c>
      <c r="E21" s="101"/>
      <c r="F21" s="102"/>
      <c r="G21" s="103"/>
      <c r="H21" s="103"/>
    </row>
    <row r="22" spans="1:8" s="63" customFormat="1" ht="14.25">
      <c r="A22" s="130">
        <v>15</v>
      </c>
      <c r="B22" s="68" t="s">
        <v>287</v>
      </c>
      <c r="C22" s="100" t="s">
        <v>10</v>
      </c>
      <c r="D22" s="125">
        <v>9</v>
      </c>
      <c r="E22" s="101"/>
      <c r="F22" s="102"/>
      <c r="G22" s="103"/>
      <c r="H22" s="103"/>
    </row>
    <row r="23" spans="1:8" s="63" customFormat="1" ht="14.25">
      <c r="A23" s="130">
        <v>16</v>
      </c>
      <c r="B23" s="68" t="s">
        <v>288</v>
      </c>
      <c r="C23" s="100" t="s">
        <v>10</v>
      </c>
      <c r="D23" s="125">
        <v>2</v>
      </c>
      <c r="E23" s="101"/>
      <c r="F23" s="102"/>
      <c r="G23" s="103"/>
      <c r="H23" s="103"/>
    </row>
    <row r="24" spans="1:9" s="51" customFormat="1" ht="14.25">
      <c r="A24" s="62">
        <v>17</v>
      </c>
      <c r="B24" s="68" t="s">
        <v>271</v>
      </c>
      <c r="C24" s="49" t="s">
        <v>25</v>
      </c>
      <c r="D24" s="62">
        <f>20.6/1000*2</f>
        <v>0.0412</v>
      </c>
      <c r="E24" s="49"/>
      <c r="F24" s="49"/>
      <c r="G24" s="122"/>
      <c r="H24" s="153"/>
      <c r="I24" s="122"/>
    </row>
    <row r="25" spans="1:9" s="51" customFormat="1" ht="14.25">
      <c r="A25" s="62">
        <v>18</v>
      </c>
      <c r="B25" s="68" t="s">
        <v>272</v>
      </c>
      <c r="C25" s="49" t="s">
        <v>25</v>
      </c>
      <c r="D25" s="62">
        <f>8.7/1000</f>
        <v>0.0087</v>
      </c>
      <c r="E25" s="49"/>
      <c r="F25" s="49"/>
      <c r="G25" s="122"/>
      <c r="H25" s="153"/>
      <c r="I25" s="122"/>
    </row>
    <row r="26" spans="1:6" s="97" customFormat="1" ht="15.75">
      <c r="A26" s="49">
        <v>19</v>
      </c>
      <c r="B26" s="68" t="s">
        <v>143</v>
      </c>
      <c r="C26" s="49" t="s">
        <v>7</v>
      </c>
      <c r="D26" s="49">
        <v>5</v>
      </c>
      <c r="E26" s="49"/>
      <c r="F26" s="49"/>
    </row>
    <row r="27" spans="1:6" s="97" customFormat="1" ht="15.75">
      <c r="A27" s="49">
        <v>20</v>
      </c>
      <c r="B27" s="68" t="s">
        <v>273</v>
      </c>
      <c r="C27" s="49" t="s">
        <v>7</v>
      </c>
      <c r="D27" s="49">
        <v>3</v>
      </c>
      <c r="E27" s="49"/>
      <c r="F27" s="49"/>
    </row>
    <row r="28" spans="1:6" s="208" customFormat="1" ht="14.25">
      <c r="A28" s="119">
        <v>21</v>
      </c>
      <c r="B28" s="147" t="s">
        <v>274</v>
      </c>
      <c r="C28" s="115" t="s">
        <v>9</v>
      </c>
      <c r="D28" s="93">
        <v>120.7</v>
      </c>
      <c r="E28" s="115"/>
      <c r="F28" s="94"/>
    </row>
    <row r="29" spans="1:7" s="52" customFormat="1" ht="14.25">
      <c r="A29" s="49">
        <v>22</v>
      </c>
      <c r="B29" s="69" t="s">
        <v>275</v>
      </c>
      <c r="C29" s="50" t="s">
        <v>9</v>
      </c>
      <c r="D29" s="74">
        <v>348.7</v>
      </c>
      <c r="E29" s="50"/>
      <c r="F29" s="78"/>
      <c r="G29" s="51"/>
    </row>
    <row r="30" spans="1:10" s="109" customFormat="1" ht="14.25">
      <c r="A30" s="62">
        <v>23</v>
      </c>
      <c r="B30" s="68" t="s">
        <v>284</v>
      </c>
      <c r="C30" s="49" t="s">
        <v>10</v>
      </c>
      <c r="D30" s="108">
        <v>1</v>
      </c>
      <c r="E30" s="49"/>
      <c r="F30" s="49"/>
      <c r="H30" s="110"/>
      <c r="I30" s="110"/>
      <c r="J30" s="110"/>
    </row>
    <row r="31" spans="1:6" s="92" customFormat="1" ht="16.5">
      <c r="A31" s="89"/>
      <c r="B31" s="136" t="s">
        <v>276</v>
      </c>
      <c r="C31" s="89"/>
      <c r="D31" s="89"/>
      <c r="E31" s="90"/>
      <c r="F31" s="91"/>
    </row>
    <row r="32" spans="1:10" s="109" customFormat="1" ht="14.25">
      <c r="A32" s="62">
        <v>24</v>
      </c>
      <c r="B32" s="68" t="s">
        <v>277</v>
      </c>
      <c r="C32" s="49" t="s">
        <v>25</v>
      </c>
      <c r="D32" s="49">
        <f>1.1/1000*2</f>
        <v>0.0022</v>
      </c>
      <c r="E32" s="49"/>
      <c r="F32" s="49"/>
      <c r="H32" s="110"/>
      <c r="I32" s="110"/>
      <c r="J32" s="110"/>
    </row>
    <row r="33" spans="1:8" s="129" customFormat="1" ht="14.25">
      <c r="A33" s="98">
        <v>25</v>
      </c>
      <c r="B33" s="99" t="s">
        <v>261</v>
      </c>
      <c r="C33" s="98" t="s">
        <v>10</v>
      </c>
      <c r="D33" s="125">
        <v>1</v>
      </c>
      <c r="E33" s="126"/>
      <c r="F33" s="127"/>
      <c r="G33" s="103"/>
      <c r="H33" s="128"/>
    </row>
    <row r="34" spans="1:8" s="129" customFormat="1" ht="14.25">
      <c r="A34" s="98">
        <v>26</v>
      </c>
      <c r="B34" s="99" t="s">
        <v>262</v>
      </c>
      <c r="C34" s="98" t="s">
        <v>10</v>
      </c>
      <c r="D34" s="125">
        <v>1</v>
      </c>
      <c r="E34" s="126"/>
      <c r="F34" s="127"/>
      <c r="G34" s="103"/>
      <c r="H34" s="128"/>
    </row>
    <row r="35" spans="1:6" s="97" customFormat="1" ht="15.75">
      <c r="A35" s="49">
        <v>27</v>
      </c>
      <c r="B35" s="68" t="s">
        <v>278</v>
      </c>
      <c r="C35" s="49" t="s">
        <v>10</v>
      </c>
      <c r="D35" s="49">
        <v>1</v>
      </c>
      <c r="E35" s="49"/>
      <c r="F35" s="49"/>
    </row>
    <row r="36" spans="1:6" s="81" customFormat="1" ht="15.75">
      <c r="A36" s="49">
        <v>28</v>
      </c>
      <c r="B36" s="138" t="s">
        <v>279</v>
      </c>
      <c r="C36" s="49" t="s">
        <v>68</v>
      </c>
      <c r="D36" s="49">
        <v>1</v>
      </c>
      <c r="E36" s="49"/>
      <c r="F36" s="49"/>
    </row>
    <row r="37" spans="1:8" s="129" customFormat="1" ht="14.25">
      <c r="A37" s="98">
        <v>29</v>
      </c>
      <c r="B37" s="99" t="s">
        <v>280</v>
      </c>
      <c r="C37" s="98" t="s">
        <v>10</v>
      </c>
      <c r="D37" s="125">
        <v>1</v>
      </c>
      <c r="E37" s="126"/>
      <c r="F37" s="127"/>
      <c r="G37" s="103"/>
      <c r="H37" s="128"/>
    </row>
    <row r="38" spans="1:10" s="109" customFormat="1" ht="14.25">
      <c r="A38" s="62">
        <v>30</v>
      </c>
      <c r="B38" s="68" t="s">
        <v>281</v>
      </c>
      <c r="C38" s="49" t="s">
        <v>25</v>
      </c>
      <c r="D38" s="49">
        <f>0.72/1000</f>
        <v>0.0007199999999999999</v>
      </c>
      <c r="E38" s="49"/>
      <c r="F38" s="49"/>
      <c r="H38" s="110"/>
      <c r="I38" s="110"/>
      <c r="J38" s="110"/>
    </row>
    <row r="39" spans="1:8" s="63" customFormat="1" ht="14.25">
      <c r="A39" s="130">
        <v>31</v>
      </c>
      <c r="B39" s="68" t="s">
        <v>289</v>
      </c>
      <c r="C39" s="100" t="s">
        <v>10</v>
      </c>
      <c r="D39" s="125">
        <v>5</v>
      </c>
      <c r="E39" s="101"/>
      <c r="F39" s="102"/>
      <c r="G39" s="103"/>
      <c r="H39" s="103"/>
    </row>
    <row r="40" spans="1:8" s="63" customFormat="1" ht="14.25">
      <c r="A40" s="130">
        <v>32</v>
      </c>
      <c r="B40" s="68" t="s">
        <v>290</v>
      </c>
      <c r="C40" s="100" t="s">
        <v>10</v>
      </c>
      <c r="D40" s="125">
        <v>2</v>
      </c>
      <c r="E40" s="101"/>
      <c r="F40" s="102"/>
      <c r="G40" s="103"/>
      <c r="H40" s="103"/>
    </row>
    <row r="41" spans="1:9" s="51" customFormat="1" ht="14.25">
      <c r="A41" s="62">
        <v>33</v>
      </c>
      <c r="B41" s="68" t="s">
        <v>282</v>
      </c>
      <c r="C41" s="49" t="s">
        <v>25</v>
      </c>
      <c r="D41" s="62">
        <f>10.4/1000*2</f>
        <v>0.0208</v>
      </c>
      <c r="E41" s="49"/>
      <c r="F41" s="49"/>
      <c r="G41" s="122"/>
      <c r="H41" s="153"/>
      <c r="I41" s="122"/>
    </row>
    <row r="42" spans="1:6" s="97" customFormat="1" ht="15.75">
      <c r="A42" s="49">
        <v>34</v>
      </c>
      <c r="B42" s="68" t="s">
        <v>283</v>
      </c>
      <c r="C42" s="49" t="s">
        <v>7</v>
      </c>
      <c r="D42" s="49">
        <v>7</v>
      </c>
      <c r="E42" s="49"/>
      <c r="F42" s="49"/>
    </row>
    <row r="43" spans="1:10" s="109" customFormat="1" ht="14.25">
      <c r="A43" s="62">
        <v>35</v>
      </c>
      <c r="B43" s="68" t="s">
        <v>285</v>
      </c>
      <c r="C43" s="49" t="s">
        <v>10</v>
      </c>
      <c r="D43" s="108">
        <v>2</v>
      </c>
      <c r="E43" s="49"/>
      <c r="F43" s="49"/>
      <c r="H43" s="110"/>
      <c r="I43" s="110"/>
      <c r="J43" s="110"/>
    </row>
    <row r="44" spans="1:6" s="92" customFormat="1" ht="16.5">
      <c r="A44" s="89"/>
      <c r="B44" s="136" t="s">
        <v>474</v>
      </c>
      <c r="C44" s="89"/>
      <c r="D44" s="89"/>
      <c r="E44" s="90"/>
      <c r="F44" s="91"/>
    </row>
    <row r="45" spans="1:6" s="51" customFormat="1" ht="14.25">
      <c r="A45" s="119">
        <v>36</v>
      </c>
      <c r="B45" s="131" t="s">
        <v>484</v>
      </c>
      <c r="C45" s="115" t="s">
        <v>34</v>
      </c>
      <c r="D45" s="132">
        <f>2.35/100*2</f>
        <v>0.047</v>
      </c>
      <c r="E45" s="116"/>
      <c r="F45" s="94"/>
    </row>
    <row r="46" spans="1:6" s="123" customFormat="1" ht="28.5">
      <c r="A46" s="146">
        <v>37</v>
      </c>
      <c r="B46" s="147" t="s">
        <v>485</v>
      </c>
      <c r="C46" s="119" t="s">
        <v>34</v>
      </c>
      <c r="D46" s="132">
        <f>35.52/100*2</f>
        <v>0.7104</v>
      </c>
      <c r="E46" s="93"/>
      <c r="F46" s="93"/>
    </row>
    <row r="47" spans="1:10" s="47" customFormat="1" ht="13.5">
      <c r="A47" s="31"/>
      <c r="B47" s="31" t="s">
        <v>26</v>
      </c>
      <c r="C47" s="31"/>
      <c r="D47" s="36"/>
      <c r="E47" s="34"/>
      <c r="F47" s="145"/>
      <c r="J47" s="225"/>
    </row>
    <row r="48" spans="1:6" s="35" customFormat="1" ht="13.5">
      <c r="A48" s="41"/>
      <c r="B48" s="39" t="s">
        <v>486</v>
      </c>
      <c r="C48" s="34" t="s">
        <v>69</v>
      </c>
      <c r="D48" s="124">
        <f>205.21*2</f>
        <v>410.42</v>
      </c>
      <c r="E48" s="70"/>
      <c r="F48" s="148"/>
    </row>
    <row r="49" spans="1:6" s="35" customFormat="1" ht="13.5">
      <c r="A49" s="41"/>
      <c r="B49" s="39" t="s">
        <v>321</v>
      </c>
      <c r="C49" s="34" t="s">
        <v>69</v>
      </c>
      <c r="D49" s="124">
        <f>(62.58+1689.51+673.64+368.57+200.97)*2</f>
        <v>5990.54</v>
      </c>
      <c r="E49" s="70"/>
      <c r="F49" s="148"/>
    </row>
    <row r="50" spans="1:7" s="52" customFormat="1" ht="14.25">
      <c r="A50" s="49">
        <v>38</v>
      </c>
      <c r="B50" s="69" t="s">
        <v>478</v>
      </c>
      <c r="C50" s="50" t="s">
        <v>25</v>
      </c>
      <c r="D50" s="50">
        <f>SUM(D52:D55)/1000*2</f>
        <v>0.35908</v>
      </c>
      <c r="E50" s="50"/>
      <c r="F50" s="167"/>
      <c r="G50" s="51"/>
    </row>
    <row r="51" spans="1:6" s="47" customFormat="1" ht="13.5">
      <c r="A51" s="31"/>
      <c r="B51" s="31" t="s">
        <v>26</v>
      </c>
      <c r="C51" s="31"/>
      <c r="D51" s="36"/>
      <c r="E51" s="34"/>
      <c r="F51" s="145"/>
    </row>
    <row r="52" spans="1:6" s="47" customFormat="1" ht="13.5">
      <c r="A52" s="66"/>
      <c r="B52" s="39" t="s">
        <v>479</v>
      </c>
      <c r="C52" s="31" t="s">
        <v>69</v>
      </c>
      <c r="D52" s="36">
        <v>62.98</v>
      </c>
      <c r="E52" s="70"/>
      <c r="F52" s="148"/>
    </row>
    <row r="53" spans="1:6" s="47" customFormat="1" ht="13.5">
      <c r="A53" s="66"/>
      <c r="B53" s="39" t="s">
        <v>475</v>
      </c>
      <c r="C53" s="31" t="s">
        <v>69</v>
      </c>
      <c r="D53" s="36">
        <v>48.24</v>
      </c>
      <c r="E53" s="70"/>
      <c r="F53" s="148"/>
    </row>
    <row r="54" spans="1:6" s="47" customFormat="1" ht="13.5">
      <c r="A54" s="66"/>
      <c r="B54" s="39" t="s">
        <v>476</v>
      </c>
      <c r="C54" s="31" t="s">
        <v>69</v>
      </c>
      <c r="D54" s="36">
        <v>42.72</v>
      </c>
      <c r="E54" s="70"/>
      <c r="F54" s="148"/>
    </row>
    <row r="55" spans="1:6" s="47" customFormat="1" ht="13.5">
      <c r="A55" s="66"/>
      <c r="B55" s="39" t="s">
        <v>477</v>
      </c>
      <c r="C55" s="31" t="s">
        <v>69</v>
      </c>
      <c r="D55" s="36">
        <v>25.6</v>
      </c>
      <c r="E55" s="70"/>
      <c r="F55" s="148"/>
    </row>
    <row r="56" spans="1:6" s="51" customFormat="1" ht="14.25">
      <c r="A56" s="119">
        <v>39</v>
      </c>
      <c r="B56" s="131" t="s">
        <v>483</v>
      </c>
      <c r="C56" s="115" t="s">
        <v>25</v>
      </c>
      <c r="D56" s="132">
        <f>SUM(D58:D60)/1000*2</f>
        <v>0.04578</v>
      </c>
      <c r="E56" s="116"/>
      <c r="F56" s="94"/>
    </row>
    <row r="57" spans="1:6" s="133" customFormat="1" ht="14.25">
      <c r="A57" s="104"/>
      <c r="B57" s="59" t="s">
        <v>26</v>
      </c>
      <c r="C57" s="53"/>
      <c r="D57" s="60"/>
      <c r="E57" s="53"/>
      <c r="F57" s="60"/>
    </row>
    <row r="58" spans="1:6" s="133" customFormat="1" ht="14.25">
      <c r="A58" s="104"/>
      <c r="B58" s="64" t="s">
        <v>480</v>
      </c>
      <c r="C58" s="53" t="s">
        <v>69</v>
      </c>
      <c r="D58" s="60">
        <v>6</v>
      </c>
      <c r="E58" s="59"/>
      <c r="F58" s="65"/>
    </row>
    <row r="59" spans="1:6" s="133" customFormat="1" ht="14.25">
      <c r="A59" s="104"/>
      <c r="B59" s="64" t="s">
        <v>481</v>
      </c>
      <c r="C59" s="53" t="s">
        <v>69</v>
      </c>
      <c r="D59" s="60">
        <v>9.67</v>
      </c>
      <c r="E59" s="70"/>
      <c r="F59" s="65"/>
    </row>
    <row r="60" spans="1:6" s="133" customFormat="1" ht="14.25">
      <c r="A60" s="104"/>
      <c r="B60" s="64" t="s">
        <v>482</v>
      </c>
      <c r="C60" s="53" t="s">
        <v>69</v>
      </c>
      <c r="D60" s="60">
        <v>7.22</v>
      </c>
      <c r="E60" s="70"/>
      <c r="F60" s="65"/>
    </row>
    <row r="61" spans="1:6" s="92" customFormat="1" ht="16.5">
      <c r="A61" s="89"/>
      <c r="B61" s="136" t="s">
        <v>473</v>
      </c>
      <c r="C61" s="89"/>
      <c r="D61" s="89"/>
      <c r="E61" s="90"/>
      <c r="F61" s="91"/>
    </row>
    <row r="62" spans="1:6" s="222" customFormat="1" ht="14.25">
      <c r="A62" s="146">
        <v>40</v>
      </c>
      <c r="B62" s="131" t="s">
        <v>344</v>
      </c>
      <c r="C62" s="119" t="s">
        <v>27</v>
      </c>
      <c r="D62" s="93">
        <f>4.2*2</f>
        <v>8.4</v>
      </c>
      <c r="E62" s="119"/>
      <c r="F62" s="93"/>
    </row>
    <row r="63" spans="1:6" s="166" customFormat="1" ht="16.5">
      <c r="A63" s="62">
        <v>41</v>
      </c>
      <c r="B63" s="215" t="s">
        <v>338</v>
      </c>
      <c r="C63" s="214" t="s">
        <v>313</v>
      </c>
      <c r="D63" s="72">
        <f>15/100*2</f>
        <v>0.3</v>
      </c>
      <c r="E63" s="212"/>
      <c r="F63" s="221"/>
    </row>
    <row r="64" spans="1:6" s="166" customFormat="1" ht="16.5">
      <c r="A64" s="62">
        <v>42</v>
      </c>
      <c r="B64" s="215" t="s">
        <v>471</v>
      </c>
      <c r="C64" s="214" t="s">
        <v>313</v>
      </c>
      <c r="D64" s="72">
        <f>67/100*2</f>
        <v>1.34</v>
      </c>
      <c r="E64" s="212"/>
      <c r="F64" s="221"/>
    </row>
    <row r="65" spans="1:6" s="166" customFormat="1" ht="16.5">
      <c r="A65" s="62">
        <v>43</v>
      </c>
      <c r="B65" s="215" t="s">
        <v>337</v>
      </c>
      <c r="C65" s="214" t="s">
        <v>313</v>
      </c>
      <c r="D65" s="72">
        <f>67/100*2</f>
        <v>1.34</v>
      </c>
      <c r="E65" s="212"/>
      <c r="F65" s="211"/>
    </row>
    <row r="66" spans="1:6" s="166" customFormat="1" ht="16.5">
      <c r="A66" s="62">
        <v>44</v>
      </c>
      <c r="B66" s="215" t="s">
        <v>472</v>
      </c>
      <c r="C66" s="214" t="s">
        <v>313</v>
      </c>
      <c r="D66" s="72">
        <f>52/100*2</f>
        <v>1.04</v>
      </c>
      <c r="E66" s="212"/>
      <c r="F66" s="211"/>
    </row>
    <row r="67" spans="1:6" s="166" customFormat="1" ht="16.5">
      <c r="A67" s="62">
        <v>45</v>
      </c>
      <c r="B67" s="215" t="s">
        <v>336</v>
      </c>
      <c r="C67" s="214" t="s">
        <v>313</v>
      </c>
      <c r="D67" s="72">
        <f>52/100*2</f>
        <v>1.04</v>
      </c>
      <c r="E67" s="212"/>
      <c r="F67" s="211"/>
    </row>
    <row r="68" spans="1:6" s="166" customFormat="1" ht="16.5">
      <c r="A68" s="62">
        <v>46</v>
      </c>
      <c r="B68" s="215" t="s">
        <v>468</v>
      </c>
      <c r="C68" s="214" t="s">
        <v>311</v>
      </c>
      <c r="D68" s="210">
        <f>52*2</f>
        <v>104</v>
      </c>
      <c r="E68" s="213"/>
      <c r="F68" s="210"/>
    </row>
    <row r="69" spans="1:6" s="166" customFormat="1" ht="16.5">
      <c r="A69" s="62">
        <v>47</v>
      </c>
      <c r="B69" s="215" t="s">
        <v>470</v>
      </c>
      <c r="C69" s="214" t="s">
        <v>311</v>
      </c>
      <c r="D69" s="210">
        <f>22*2</f>
        <v>44</v>
      </c>
      <c r="E69" s="213"/>
      <c r="F69" s="210"/>
    </row>
    <row r="70" spans="1:6" s="166" customFormat="1" ht="16.5">
      <c r="A70" s="62">
        <v>48</v>
      </c>
      <c r="B70" s="215" t="s">
        <v>469</v>
      </c>
      <c r="C70" s="214" t="s">
        <v>313</v>
      </c>
      <c r="D70" s="72">
        <f>9/100*2</f>
        <v>0.18</v>
      </c>
      <c r="E70" s="212"/>
      <c r="F70" s="211"/>
    </row>
    <row r="71" spans="1:6" s="166" customFormat="1" ht="16.5">
      <c r="A71" s="62">
        <v>49</v>
      </c>
      <c r="B71" s="215" t="s">
        <v>335</v>
      </c>
      <c r="C71" s="214" t="s">
        <v>311</v>
      </c>
      <c r="D71" s="210">
        <f>23*2</f>
        <v>46</v>
      </c>
      <c r="E71" s="213"/>
      <c r="F71" s="210"/>
    </row>
    <row r="72" spans="1:6" s="231" customFormat="1" ht="14.25">
      <c r="A72" s="226"/>
      <c r="B72" s="227" t="s">
        <v>488</v>
      </c>
      <c r="C72" s="228"/>
      <c r="D72" s="229"/>
      <c r="E72" s="228"/>
      <c r="F72" s="230"/>
    </row>
    <row r="73" spans="1:6" s="63" customFormat="1" ht="99.75">
      <c r="A73" s="98">
        <v>50</v>
      </c>
      <c r="B73" s="99" t="s">
        <v>492</v>
      </c>
      <c r="C73" s="232" t="s">
        <v>109</v>
      </c>
      <c r="D73" s="233">
        <v>3</v>
      </c>
      <c r="E73" s="234"/>
      <c r="F73" s="79"/>
    </row>
    <row r="74" spans="1:6" s="63" customFormat="1" ht="99.75">
      <c r="A74" s="98">
        <v>51</v>
      </c>
      <c r="B74" s="99" t="s">
        <v>493</v>
      </c>
      <c r="C74" s="232" t="s">
        <v>109</v>
      </c>
      <c r="D74" s="233">
        <v>2</v>
      </c>
      <c r="E74" s="234"/>
      <c r="F74" s="79"/>
    </row>
    <row r="75" spans="1:7" s="25" customFormat="1" ht="13.5">
      <c r="A75" s="80"/>
      <c r="B75" s="235"/>
      <c r="C75" s="236"/>
      <c r="D75" s="209"/>
      <c r="E75" s="236"/>
      <c r="F75" s="236"/>
      <c r="G75" s="26"/>
    </row>
    <row r="76" spans="1:6" s="95" customFormat="1" ht="14.25">
      <c r="A76" s="42"/>
      <c r="B76" s="38" t="s">
        <v>5</v>
      </c>
      <c r="C76" s="29"/>
      <c r="D76" s="48"/>
      <c r="E76" s="29"/>
      <c r="F76" s="30"/>
    </row>
    <row r="77" spans="1:6" s="35" customFormat="1" ht="13.5">
      <c r="A77" s="41"/>
      <c r="B77" s="39" t="s">
        <v>29</v>
      </c>
      <c r="C77" s="31"/>
      <c r="D77" s="31" t="s">
        <v>495</v>
      </c>
      <c r="E77" s="31"/>
      <c r="F77" s="31"/>
    </row>
    <row r="78" spans="1:6" s="95" customFormat="1" ht="14.25">
      <c r="A78" s="42"/>
      <c r="B78" s="38" t="s">
        <v>5</v>
      </c>
      <c r="C78" s="29"/>
      <c r="D78" s="48"/>
      <c r="E78" s="29"/>
      <c r="F78" s="43"/>
    </row>
    <row r="79" spans="1:6" s="35" customFormat="1" ht="13.5">
      <c r="A79" s="41"/>
      <c r="B79" s="39" t="s">
        <v>8</v>
      </c>
      <c r="C79" s="31"/>
      <c r="D79" s="37" t="s">
        <v>495</v>
      </c>
      <c r="E79" s="31"/>
      <c r="F79" s="44"/>
    </row>
    <row r="80" spans="1:6" s="95" customFormat="1" ht="14.25">
      <c r="A80" s="42"/>
      <c r="B80" s="38" t="s">
        <v>5</v>
      </c>
      <c r="C80" s="29"/>
      <c r="D80" s="48"/>
      <c r="E80" s="29"/>
      <c r="F80" s="30"/>
    </row>
    <row r="81" s="35" customFormat="1" ht="13.5"/>
    <row r="82" s="35" customFormat="1" ht="13.5"/>
    <row r="83" spans="2:6" s="7" customFormat="1" ht="15.75">
      <c r="B83" s="28"/>
      <c r="F83" s="27"/>
    </row>
    <row r="84" s="35" customFormat="1" ht="13.5">
      <c r="B84" s="28"/>
    </row>
    <row r="85" s="35" customFormat="1" ht="13.5"/>
    <row r="86" s="35" customFormat="1" ht="13.5"/>
  </sheetData>
  <sheetProtection/>
  <autoFilter ref="A1:A85"/>
  <mergeCells count="7">
    <mergeCell ref="E3:F3"/>
    <mergeCell ref="B1:F1"/>
    <mergeCell ref="B2:F2"/>
    <mergeCell ref="A3:A4"/>
    <mergeCell ref="B3:B4"/>
    <mergeCell ref="C3:C4"/>
    <mergeCell ref="D3:D4"/>
  </mergeCells>
  <conditionalFormatting sqref="A65:F65 C67:F67">
    <cfRule type="cellIs" priority="13" dxfId="0" operator="equal" stopIfTrue="1">
      <formula>8223.307275</formula>
    </cfRule>
  </conditionalFormatting>
  <conditionalFormatting sqref="A67">
    <cfRule type="cellIs" priority="11" dxfId="0" operator="equal" stopIfTrue="1">
      <formula>8223.307275</formula>
    </cfRule>
  </conditionalFormatting>
  <conditionalFormatting sqref="B67">
    <cfRule type="cellIs" priority="8" dxfId="0" operator="equal" stopIfTrue="1">
      <formula>8223.307275</formula>
    </cfRule>
  </conditionalFormatting>
  <printOptions/>
  <pageMargins left="0.64" right="0.45" top="0.27" bottom="0.36" header="0.22" footer="0.16"/>
  <pageSetup orientation="portrait" paperSize="9" scale="88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00"/>
  </sheetPr>
  <dimension ref="A1:H153"/>
  <sheetViews>
    <sheetView view="pageBreakPreview" zoomScaleNormal="85" zoomScaleSheetLayoutView="100" workbookViewId="0" topLeftCell="A1">
      <pane xSplit="1" ySplit="5" topLeftCell="B123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J125" sqref="J125"/>
    </sheetView>
  </sheetViews>
  <sheetFormatPr defaultColWidth="9.140625" defaultRowHeight="12.75"/>
  <cols>
    <col min="1" max="1" width="3.57421875" style="25" customWidth="1"/>
    <col min="2" max="2" width="61.57421875" style="25" customWidth="1"/>
    <col min="3" max="3" width="8.28125" style="25" customWidth="1"/>
    <col min="4" max="4" width="9.57421875" style="25" customWidth="1"/>
    <col min="5" max="5" width="8.7109375" style="25" customWidth="1"/>
    <col min="6" max="6" width="10.8515625" style="25" bestFit="1" customWidth="1"/>
    <col min="7" max="16384" width="9.140625" style="26" customWidth="1"/>
  </cols>
  <sheetData>
    <row r="1" spans="1:6" s="45" customFormat="1" ht="16.5">
      <c r="A1" s="82"/>
      <c r="B1" s="257" t="s">
        <v>508</v>
      </c>
      <c r="C1" s="258"/>
      <c r="D1" s="258"/>
      <c r="E1" s="258"/>
      <c r="F1" s="258"/>
    </row>
    <row r="2" spans="1:6" s="45" customFormat="1" ht="16.5">
      <c r="A2" s="244"/>
      <c r="B2" s="246" t="s">
        <v>506</v>
      </c>
      <c r="C2" s="254"/>
      <c r="D2" s="254"/>
      <c r="E2" s="254"/>
      <c r="F2" s="254"/>
    </row>
    <row r="3" spans="1:6" s="45" customFormat="1" ht="11.25">
      <c r="A3" s="253" t="s">
        <v>0</v>
      </c>
      <c r="B3" s="253" t="s">
        <v>1</v>
      </c>
      <c r="C3" s="253" t="s">
        <v>2</v>
      </c>
      <c r="D3" s="253" t="s">
        <v>3</v>
      </c>
      <c r="E3" s="255" t="s">
        <v>494</v>
      </c>
      <c r="F3" s="255"/>
    </row>
    <row r="4" spans="1:6" s="45" customFormat="1" ht="11.25">
      <c r="A4" s="253"/>
      <c r="B4" s="253"/>
      <c r="C4" s="253"/>
      <c r="D4" s="253"/>
      <c r="E4" s="40" t="s">
        <v>4</v>
      </c>
      <c r="F4" s="46" t="s">
        <v>5</v>
      </c>
    </row>
    <row r="5" spans="1:6" s="4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s="88" customFormat="1" ht="16.5">
      <c r="A6" s="84"/>
      <c r="B6" s="85" t="s">
        <v>11</v>
      </c>
      <c r="C6" s="84"/>
      <c r="D6" s="84"/>
      <c r="E6" s="86"/>
      <c r="F6" s="87"/>
    </row>
    <row r="7" spans="1:6" s="92" customFormat="1" ht="16.5">
      <c r="A7" s="89"/>
      <c r="B7" s="136" t="s">
        <v>380</v>
      </c>
      <c r="C7" s="89"/>
      <c r="D7" s="89"/>
      <c r="E7" s="90"/>
      <c r="F7" s="91"/>
    </row>
    <row r="8" spans="1:6" s="52" customFormat="1" ht="14.25">
      <c r="A8" s="49">
        <v>1</v>
      </c>
      <c r="B8" s="68" t="s">
        <v>378</v>
      </c>
      <c r="C8" s="49" t="s">
        <v>9</v>
      </c>
      <c r="D8" s="49">
        <v>1</v>
      </c>
      <c r="E8" s="49"/>
      <c r="F8" s="49"/>
    </row>
    <row r="9" spans="1:6" s="123" customFormat="1" ht="14.25">
      <c r="A9" s="146">
        <v>2</v>
      </c>
      <c r="B9" s="147" t="s">
        <v>366</v>
      </c>
      <c r="C9" s="119" t="s">
        <v>34</v>
      </c>
      <c r="D9" s="132">
        <f>3.8/100</f>
        <v>0.038</v>
      </c>
      <c r="E9" s="93"/>
      <c r="F9" s="93"/>
    </row>
    <row r="10" spans="1:6" s="47" customFormat="1" ht="13.5">
      <c r="A10" s="31"/>
      <c r="B10" s="31" t="s">
        <v>26</v>
      </c>
      <c r="C10" s="31"/>
      <c r="D10" s="36"/>
      <c r="E10" s="34"/>
      <c r="F10" s="145"/>
    </row>
    <row r="11" spans="1:6" s="35" customFormat="1" ht="13.5">
      <c r="A11" s="41"/>
      <c r="B11" s="39" t="s">
        <v>321</v>
      </c>
      <c r="C11" s="34" t="s">
        <v>69</v>
      </c>
      <c r="D11" s="124">
        <v>224</v>
      </c>
      <c r="E11" s="70"/>
      <c r="F11" s="148"/>
    </row>
    <row r="12" spans="1:6" s="52" customFormat="1" ht="14.25">
      <c r="A12" s="49">
        <v>3</v>
      </c>
      <c r="B12" s="69" t="s">
        <v>330</v>
      </c>
      <c r="C12" s="50" t="s">
        <v>109</v>
      </c>
      <c r="D12" s="74">
        <v>2</v>
      </c>
      <c r="E12" s="50"/>
      <c r="F12" s="78"/>
    </row>
    <row r="13" spans="1:6" s="92" customFormat="1" ht="16.5">
      <c r="A13" s="89"/>
      <c r="B13" s="136" t="s">
        <v>379</v>
      </c>
      <c r="C13" s="89"/>
      <c r="D13" s="89"/>
      <c r="E13" s="90"/>
      <c r="F13" s="91"/>
    </row>
    <row r="14" spans="1:6" s="52" customFormat="1" ht="14.25">
      <c r="A14" s="49">
        <v>4</v>
      </c>
      <c r="B14" s="68" t="s">
        <v>378</v>
      </c>
      <c r="C14" s="49" t="s">
        <v>9</v>
      </c>
      <c r="D14" s="49">
        <v>10</v>
      </c>
      <c r="E14" s="49"/>
      <c r="F14" s="49"/>
    </row>
    <row r="15" spans="1:6" s="123" customFormat="1" ht="14.25">
      <c r="A15" s="146">
        <v>5</v>
      </c>
      <c r="B15" s="147" t="s">
        <v>366</v>
      </c>
      <c r="C15" s="119" t="s">
        <v>34</v>
      </c>
      <c r="D15" s="132">
        <f>2.5/100</f>
        <v>0.025</v>
      </c>
      <c r="E15" s="93"/>
      <c r="F15" s="93"/>
    </row>
    <row r="16" spans="1:6" s="47" customFormat="1" ht="13.5">
      <c r="A16" s="31"/>
      <c r="B16" s="31" t="s">
        <v>26</v>
      </c>
      <c r="C16" s="31"/>
      <c r="D16" s="36"/>
      <c r="E16" s="34"/>
      <c r="F16" s="145"/>
    </row>
    <row r="17" spans="1:6" s="35" customFormat="1" ht="13.5">
      <c r="A17" s="41"/>
      <c r="B17" s="39" t="s">
        <v>321</v>
      </c>
      <c r="C17" s="34" t="s">
        <v>69</v>
      </c>
      <c r="D17" s="124">
        <v>138</v>
      </c>
      <c r="E17" s="70"/>
      <c r="F17" s="148"/>
    </row>
    <row r="18" spans="1:6" s="92" customFormat="1" ht="16.5">
      <c r="A18" s="89"/>
      <c r="B18" s="136" t="s">
        <v>377</v>
      </c>
      <c r="C18" s="89"/>
      <c r="D18" s="89"/>
      <c r="E18" s="90"/>
      <c r="F18" s="91"/>
    </row>
    <row r="19" spans="1:6" s="106" customFormat="1" ht="14.25">
      <c r="A19" s="62">
        <v>6</v>
      </c>
      <c r="B19" s="69" t="s">
        <v>373</v>
      </c>
      <c r="C19" s="49" t="s">
        <v>230</v>
      </c>
      <c r="D19" s="152">
        <f>(0.35*1.5*1+0.24+0.24)/10</f>
        <v>0.10049999999999999</v>
      </c>
      <c r="E19" s="49"/>
      <c r="F19" s="49"/>
    </row>
    <row r="20" spans="1:6" s="106" customFormat="1" ht="14.25">
      <c r="A20" s="62">
        <v>7</v>
      </c>
      <c r="B20" s="69" t="s">
        <v>372</v>
      </c>
      <c r="C20" s="49" t="s">
        <v>9</v>
      </c>
      <c r="D20" s="152">
        <v>2.5</v>
      </c>
      <c r="E20" s="49"/>
      <c r="F20" s="49"/>
    </row>
    <row r="21" spans="1:6" s="166" customFormat="1" ht="16.5">
      <c r="A21" s="62">
        <v>8</v>
      </c>
      <c r="B21" s="215" t="s">
        <v>371</v>
      </c>
      <c r="C21" s="214" t="s">
        <v>318</v>
      </c>
      <c r="D21" s="72">
        <f>0.5/100</f>
        <v>0.005</v>
      </c>
      <c r="E21" s="212"/>
      <c r="F21" s="221"/>
    </row>
    <row r="22" spans="1:6" s="166" customFormat="1" ht="13.5">
      <c r="A22" s="149"/>
      <c r="B22" s="216" t="s">
        <v>30</v>
      </c>
      <c r="C22" s="220"/>
      <c r="D22" s="216"/>
      <c r="E22" s="216"/>
      <c r="F22" s="216"/>
    </row>
    <row r="23" spans="1:6" s="166" customFormat="1" ht="13.5">
      <c r="A23" s="149"/>
      <c r="B23" s="39" t="s">
        <v>321</v>
      </c>
      <c r="C23" s="218" t="s">
        <v>69</v>
      </c>
      <c r="D23" s="216">
        <v>45</v>
      </c>
      <c r="E23" s="70"/>
      <c r="F23" s="150"/>
    </row>
    <row r="24" spans="1:6" s="92" customFormat="1" ht="16.5">
      <c r="A24" s="89"/>
      <c r="B24" s="136" t="s">
        <v>376</v>
      </c>
      <c r="C24" s="89"/>
      <c r="D24" s="89"/>
      <c r="E24" s="90"/>
      <c r="F24" s="91"/>
    </row>
    <row r="25" spans="1:6" s="106" customFormat="1" ht="14.25">
      <c r="A25" s="62">
        <v>9</v>
      </c>
      <c r="B25" s="69" t="s">
        <v>373</v>
      </c>
      <c r="C25" s="49" t="s">
        <v>230</v>
      </c>
      <c r="D25" s="152">
        <f>(0.35*1.5*1+0.24+0.24)/10</f>
        <v>0.10049999999999999</v>
      </c>
      <c r="E25" s="49"/>
      <c r="F25" s="49"/>
    </row>
    <row r="26" spans="1:6" s="106" customFormat="1" ht="14.25">
      <c r="A26" s="62">
        <v>10</v>
      </c>
      <c r="B26" s="69" t="s">
        <v>372</v>
      </c>
      <c r="C26" s="49" t="s">
        <v>9</v>
      </c>
      <c r="D26" s="152">
        <v>2.5</v>
      </c>
      <c r="E26" s="49"/>
      <c r="F26" s="49"/>
    </row>
    <row r="27" spans="1:6" s="166" customFormat="1" ht="16.5">
      <c r="A27" s="62">
        <v>11</v>
      </c>
      <c r="B27" s="215" t="s">
        <v>371</v>
      </c>
      <c r="C27" s="214" t="s">
        <v>318</v>
      </c>
      <c r="D27" s="72">
        <f>0.5/100</f>
        <v>0.005</v>
      </c>
      <c r="E27" s="212"/>
      <c r="F27" s="221"/>
    </row>
    <row r="28" spans="1:6" s="166" customFormat="1" ht="13.5">
      <c r="A28" s="149"/>
      <c r="B28" s="216" t="s">
        <v>30</v>
      </c>
      <c r="C28" s="220"/>
      <c r="D28" s="216"/>
      <c r="E28" s="216"/>
      <c r="F28" s="216"/>
    </row>
    <row r="29" spans="1:6" s="166" customFormat="1" ht="13.5">
      <c r="A29" s="149"/>
      <c r="B29" s="39" t="s">
        <v>321</v>
      </c>
      <c r="C29" s="218" t="s">
        <v>69</v>
      </c>
      <c r="D29" s="216">
        <v>45</v>
      </c>
      <c r="E29" s="70"/>
      <c r="F29" s="150"/>
    </row>
    <row r="30" spans="1:6" s="92" customFormat="1" ht="16.5">
      <c r="A30" s="89"/>
      <c r="B30" s="136" t="s">
        <v>375</v>
      </c>
      <c r="C30" s="89"/>
      <c r="D30" s="89"/>
      <c r="E30" s="90"/>
      <c r="F30" s="91"/>
    </row>
    <row r="31" spans="1:6" s="106" customFormat="1" ht="14.25">
      <c r="A31" s="62">
        <v>12</v>
      </c>
      <c r="B31" s="69" t="s">
        <v>373</v>
      </c>
      <c r="C31" s="49" t="s">
        <v>230</v>
      </c>
      <c r="D31" s="152">
        <f>(0.35*1.5*1+0.24+0.24)/10</f>
        <v>0.10049999999999999</v>
      </c>
      <c r="E31" s="49"/>
      <c r="F31" s="49"/>
    </row>
    <row r="32" spans="1:6" s="106" customFormat="1" ht="14.25">
      <c r="A32" s="62">
        <v>13</v>
      </c>
      <c r="B32" s="69" t="s">
        <v>372</v>
      </c>
      <c r="C32" s="49" t="s">
        <v>9</v>
      </c>
      <c r="D32" s="152">
        <v>2.5</v>
      </c>
      <c r="E32" s="49"/>
      <c r="F32" s="49"/>
    </row>
    <row r="33" spans="1:6" s="166" customFormat="1" ht="16.5">
      <c r="A33" s="62">
        <v>14</v>
      </c>
      <c r="B33" s="215" t="s">
        <v>371</v>
      </c>
      <c r="C33" s="214" t="s">
        <v>318</v>
      </c>
      <c r="D33" s="72">
        <f>0.5/100</f>
        <v>0.005</v>
      </c>
      <c r="E33" s="212"/>
      <c r="F33" s="221"/>
    </row>
    <row r="34" spans="1:6" s="166" customFormat="1" ht="13.5">
      <c r="A34" s="149"/>
      <c r="B34" s="216" t="s">
        <v>30</v>
      </c>
      <c r="C34" s="220"/>
      <c r="D34" s="216"/>
      <c r="E34" s="216"/>
      <c r="F34" s="216"/>
    </row>
    <row r="35" spans="1:6" s="166" customFormat="1" ht="13.5">
      <c r="A35" s="149"/>
      <c r="B35" s="39" t="s">
        <v>321</v>
      </c>
      <c r="C35" s="218" t="s">
        <v>69</v>
      </c>
      <c r="D35" s="216">
        <v>45</v>
      </c>
      <c r="E35" s="70"/>
      <c r="F35" s="150"/>
    </row>
    <row r="36" spans="1:6" s="92" customFormat="1" ht="16.5">
      <c r="A36" s="89"/>
      <c r="B36" s="136" t="s">
        <v>374</v>
      </c>
      <c r="C36" s="89"/>
      <c r="D36" s="89"/>
      <c r="E36" s="90"/>
      <c r="F36" s="91"/>
    </row>
    <row r="37" spans="1:6" s="106" customFormat="1" ht="14.25">
      <c r="A37" s="62">
        <v>15</v>
      </c>
      <c r="B37" s="69" t="s">
        <v>373</v>
      </c>
      <c r="C37" s="49" t="s">
        <v>230</v>
      </c>
      <c r="D37" s="152">
        <f>(0.35*1.5*1+0.24+0.24)/10</f>
        <v>0.10049999999999999</v>
      </c>
      <c r="E37" s="49"/>
      <c r="F37" s="49"/>
    </row>
    <row r="38" spans="1:6" s="106" customFormat="1" ht="14.25">
      <c r="A38" s="62">
        <v>16</v>
      </c>
      <c r="B38" s="69" t="s">
        <v>372</v>
      </c>
      <c r="C38" s="49" t="s">
        <v>9</v>
      </c>
      <c r="D38" s="152">
        <v>2.5</v>
      </c>
      <c r="E38" s="49"/>
      <c r="F38" s="49"/>
    </row>
    <row r="39" spans="1:6" s="166" customFormat="1" ht="16.5">
      <c r="A39" s="62">
        <v>17</v>
      </c>
      <c r="B39" s="215" t="s">
        <v>371</v>
      </c>
      <c r="C39" s="214" t="s">
        <v>318</v>
      </c>
      <c r="D39" s="72">
        <f>0.5/100</f>
        <v>0.005</v>
      </c>
      <c r="E39" s="212"/>
      <c r="F39" s="221"/>
    </row>
    <row r="40" spans="1:6" s="166" customFormat="1" ht="13.5">
      <c r="A40" s="149"/>
      <c r="B40" s="216" t="s">
        <v>30</v>
      </c>
      <c r="C40" s="220"/>
      <c r="D40" s="216"/>
      <c r="E40" s="216"/>
      <c r="F40" s="216"/>
    </row>
    <row r="41" spans="1:6" s="166" customFormat="1" ht="13.5">
      <c r="A41" s="149"/>
      <c r="B41" s="39" t="s">
        <v>321</v>
      </c>
      <c r="C41" s="218" t="s">
        <v>69</v>
      </c>
      <c r="D41" s="216">
        <v>45</v>
      </c>
      <c r="E41" s="70"/>
      <c r="F41" s="150"/>
    </row>
    <row r="42" spans="1:6" s="92" customFormat="1" ht="16.5">
      <c r="A42" s="89"/>
      <c r="B42" s="136" t="s">
        <v>370</v>
      </c>
      <c r="C42" s="89"/>
      <c r="D42" s="89"/>
      <c r="E42" s="90"/>
      <c r="F42" s="91"/>
    </row>
    <row r="43" spans="1:6" s="106" customFormat="1" ht="14.25">
      <c r="A43" s="62">
        <v>18</v>
      </c>
      <c r="B43" s="69" t="s">
        <v>369</v>
      </c>
      <c r="C43" s="49" t="s">
        <v>27</v>
      </c>
      <c r="D43" s="152">
        <v>20</v>
      </c>
      <c r="E43" s="49"/>
      <c r="F43" s="49"/>
    </row>
    <row r="44" spans="1:6" s="166" customFormat="1" ht="28.5">
      <c r="A44" s="62">
        <v>19</v>
      </c>
      <c r="B44" s="215" t="s">
        <v>368</v>
      </c>
      <c r="C44" s="214" t="s">
        <v>313</v>
      </c>
      <c r="D44" s="72">
        <f>20/100</f>
        <v>0.2</v>
      </c>
      <c r="E44" s="212"/>
      <c r="F44" s="211"/>
    </row>
    <row r="45" spans="1:6" s="35" customFormat="1" ht="14.25">
      <c r="A45" s="62">
        <v>20</v>
      </c>
      <c r="B45" s="69" t="s">
        <v>352</v>
      </c>
      <c r="C45" s="50" t="s">
        <v>27</v>
      </c>
      <c r="D45" s="49">
        <v>14</v>
      </c>
      <c r="E45" s="50"/>
      <c r="F45" s="78"/>
    </row>
    <row r="46" spans="1:6" s="92" customFormat="1" ht="16.5">
      <c r="A46" s="89"/>
      <c r="B46" s="136" t="s">
        <v>367</v>
      </c>
      <c r="C46" s="89"/>
      <c r="D46" s="89"/>
      <c r="E46" s="90"/>
      <c r="F46" s="91"/>
    </row>
    <row r="47" spans="1:6" s="52" customFormat="1" ht="14.25">
      <c r="A47" s="49">
        <v>21</v>
      </c>
      <c r="B47" s="68" t="s">
        <v>32</v>
      </c>
      <c r="C47" s="49" t="s">
        <v>9</v>
      </c>
      <c r="D47" s="49">
        <v>1.5</v>
      </c>
      <c r="E47" s="49"/>
      <c r="F47" s="49"/>
    </row>
    <row r="48" spans="1:6" s="123" customFormat="1" ht="14.25">
      <c r="A48" s="146">
        <v>22</v>
      </c>
      <c r="B48" s="147" t="s">
        <v>366</v>
      </c>
      <c r="C48" s="119" t="s">
        <v>34</v>
      </c>
      <c r="D48" s="132">
        <f>2/100</f>
        <v>0.02</v>
      </c>
      <c r="E48" s="93"/>
      <c r="F48" s="93"/>
    </row>
    <row r="49" spans="1:6" s="47" customFormat="1" ht="13.5">
      <c r="A49" s="31"/>
      <c r="B49" s="31" t="s">
        <v>26</v>
      </c>
      <c r="C49" s="31"/>
      <c r="D49" s="36"/>
      <c r="E49" s="34"/>
      <c r="F49" s="145"/>
    </row>
    <row r="50" spans="1:6" s="35" customFormat="1" ht="13.5">
      <c r="A50" s="41"/>
      <c r="B50" s="39" t="s">
        <v>321</v>
      </c>
      <c r="C50" s="34" t="s">
        <v>69</v>
      </c>
      <c r="D50" s="124">
        <v>122</v>
      </c>
      <c r="E50" s="70"/>
      <c r="F50" s="148"/>
    </row>
    <row r="51" spans="1:6" s="52" customFormat="1" ht="14.25">
      <c r="A51" s="49">
        <v>23</v>
      </c>
      <c r="B51" s="69" t="s">
        <v>330</v>
      </c>
      <c r="C51" s="50" t="s">
        <v>109</v>
      </c>
      <c r="D51" s="74">
        <v>1</v>
      </c>
      <c r="E51" s="50"/>
      <c r="F51" s="78"/>
    </row>
    <row r="52" spans="1:6" s="92" customFormat="1" ht="16.5">
      <c r="A52" s="89"/>
      <c r="B52" s="136" t="s">
        <v>365</v>
      </c>
      <c r="C52" s="89"/>
      <c r="D52" s="89"/>
      <c r="E52" s="90"/>
      <c r="F52" s="91"/>
    </row>
    <row r="53" spans="1:6" s="166" customFormat="1" ht="16.5">
      <c r="A53" s="62">
        <v>24</v>
      </c>
      <c r="B53" s="215" t="s">
        <v>336</v>
      </c>
      <c r="C53" s="214" t="s">
        <v>313</v>
      </c>
      <c r="D53" s="72">
        <f>28/100</f>
        <v>0.28</v>
      </c>
      <c r="E53" s="212"/>
      <c r="F53" s="211"/>
    </row>
    <row r="54" spans="1:6" s="35" customFormat="1" ht="14.25">
      <c r="A54" s="62">
        <v>25</v>
      </c>
      <c r="B54" s="69" t="s">
        <v>352</v>
      </c>
      <c r="C54" s="50" t="s">
        <v>27</v>
      </c>
      <c r="D54" s="49">
        <v>18</v>
      </c>
      <c r="E54" s="50"/>
      <c r="F54" s="78"/>
    </row>
    <row r="55" spans="1:6" s="92" customFormat="1" ht="16.5">
      <c r="A55" s="89"/>
      <c r="B55" s="136" t="s">
        <v>364</v>
      </c>
      <c r="C55" s="89"/>
      <c r="D55" s="89"/>
      <c r="E55" s="90"/>
      <c r="F55" s="91"/>
    </row>
    <row r="56" spans="1:6" s="52" customFormat="1" ht="14.25">
      <c r="A56" s="49">
        <v>29</v>
      </c>
      <c r="B56" s="68" t="s">
        <v>346</v>
      </c>
      <c r="C56" s="49" t="s">
        <v>9</v>
      </c>
      <c r="D56" s="49">
        <v>60</v>
      </c>
      <c r="E56" s="49"/>
      <c r="F56" s="49"/>
    </row>
    <row r="57" spans="1:7" s="52" customFormat="1" ht="14.25">
      <c r="A57" s="49">
        <v>2</v>
      </c>
      <c r="B57" s="68" t="s">
        <v>490</v>
      </c>
      <c r="C57" s="49" t="s">
        <v>9</v>
      </c>
      <c r="D57" s="49">
        <v>60</v>
      </c>
      <c r="E57" s="49"/>
      <c r="F57" s="49"/>
      <c r="G57" s="51"/>
    </row>
    <row r="58" spans="1:8" s="63" customFormat="1" ht="16.5">
      <c r="A58" s="130">
        <v>26</v>
      </c>
      <c r="B58" s="68" t="s">
        <v>363</v>
      </c>
      <c r="C58" s="214" t="s">
        <v>313</v>
      </c>
      <c r="D58" s="49">
        <f>280/100</f>
        <v>2.8</v>
      </c>
      <c r="E58" s="101"/>
      <c r="F58" s="102"/>
      <c r="G58" s="103"/>
      <c r="H58" s="103"/>
    </row>
    <row r="59" spans="1:6" s="166" customFormat="1" ht="16.5">
      <c r="A59" s="62">
        <v>27</v>
      </c>
      <c r="B59" s="215" t="s">
        <v>362</v>
      </c>
      <c r="C59" s="214" t="s">
        <v>313</v>
      </c>
      <c r="D59" s="72">
        <f>280/100</f>
        <v>2.8</v>
      </c>
      <c r="E59" s="212"/>
      <c r="F59" s="221"/>
    </row>
    <row r="60" spans="1:6" s="166" customFormat="1" ht="28.5">
      <c r="A60" s="62">
        <v>28</v>
      </c>
      <c r="B60" s="215" t="s">
        <v>361</v>
      </c>
      <c r="C60" s="214" t="s">
        <v>313</v>
      </c>
      <c r="D60" s="72">
        <f>157/100</f>
        <v>1.57</v>
      </c>
      <c r="E60" s="212"/>
      <c r="F60" s="221"/>
    </row>
    <row r="61" spans="1:6" s="166" customFormat="1" ht="28.5">
      <c r="A61" s="62">
        <v>30</v>
      </c>
      <c r="B61" s="215" t="s">
        <v>315</v>
      </c>
      <c r="C61" s="214" t="s">
        <v>313</v>
      </c>
      <c r="D61" s="72">
        <f>181/100</f>
        <v>1.81</v>
      </c>
      <c r="E61" s="212"/>
      <c r="F61" s="211"/>
    </row>
    <row r="62" spans="1:6" s="35" customFormat="1" ht="14.25">
      <c r="A62" s="62">
        <v>31</v>
      </c>
      <c r="B62" s="69" t="s">
        <v>316</v>
      </c>
      <c r="C62" s="50" t="s">
        <v>27</v>
      </c>
      <c r="D62" s="49">
        <v>310</v>
      </c>
      <c r="E62" s="50"/>
      <c r="F62" s="78"/>
    </row>
    <row r="63" spans="1:6" s="166" customFormat="1" ht="16.5">
      <c r="A63" s="62">
        <v>32</v>
      </c>
      <c r="B63" s="215" t="s">
        <v>314</v>
      </c>
      <c r="C63" s="214" t="s">
        <v>313</v>
      </c>
      <c r="D63" s="72">
        <f>316/100</f>
        <v>3.16</v>
      </c>
      <c r="E63" s="212"/>
      <c r="F63" s="211"/>
    </row>
    <row r="64" spans="1:6" s="166" customFormat="1" ht="16.5">
      <c r="A64" s="62">
        <v>33</v>
      </c>
      <c r="B64" s="215" t="s">
        <v>312</v>
      </c>
      <c r="C64" s="214" t="s">
        <v>311</v>
      </c>
      <c r="D64" s="210">
        <v>300</v>
      </c>
      <c r="E64" s="213"/>
      <c r="F64" s="210"/>
    </row>
    <row r="65" spans="1:6" s="92" customFormat="1" ht="16.5">
      <c r="A65" s="89"/>
      <c r="B65" s="136" t="s">
        <v>360</v>
      </c>
      <c r="C65" s="89"/>
      <c r="D65" s="89"/>
      <c r="E65" s="90"/>
      <c r="F65" s="91"/>
    </row>
    <row r="66" spans="1:8" s="63" customFormat="1" ht="14.25">
      <c r="A66" s="130">
        <v>34</v>
      </c>
      <c r="B66" s="68" t="s">
        <v>359</v>
      </c>
      <c r="C66" s="100" t="s">
        <v>190</v>
      </c>
      <c r="D66" s="49">
        <v>54</v>
      </c>
      <c r="E66" s="101"/>
      <c r="F66" s="102"/>
      <c r="G66" s="103"/>
      <c r="H66" s="103"/>
    </row>
    <row r="67" spans="1:6" s="52" customFormat="1" ht="14.25">
      <c r="A67" s="49">
        <v>35</v>
      </c>
      <c r="B67" s="69" t="s">
        <v>330</v>
      </c>
      <c r="C67" s="50" t="s">
        <v>109</v>
      </c>
      <c r="D67" s="74">
        <v>1</v>
      </c>
      <c r="E67" s="50"/>
      <c r="F67" s="78"/>
    </row>
    <row r="68" spans="1:6" s="35" customFormat="1" ht="14.25">
      <c r="A68" s="62">
        <v>36</v>
      </c>
      <c r="B68" s="69" t="s">
        <v>352</v>
      </c>
      <c r="C68" s="50" t="s">
        <v>27</v>
      </c>
      <c r="D68" s="49">
        <v>14</v>
      </c>
      <c r="E68" s="50"/>
      <c r="F68" s="78"/>
    </row>
    <row r="69" spans="1:6" s="166" customFormat="1" ht="16.5">
      <c r="A69" s="62">
        <v>37</v>
      </c>
      <c r="B69" s="215" t="s">
        <v>358</v>
      </c>
      <c r="C69" s="214" t="s">
        <v>318</v>
      </c>
      <c r="D69" s="72">
        <f>3/100</f>
        <v>0.03</v>
      </c>
      <c r="E69" s="212"/>
      <c r="F69" s="221"/>
    </row>
    <row r="70" spans="1:6" s="166" customFormat="1" ht="13.5">
      <c r="A70" s="149"/>
      <c r="B70" s="216" t="s">
        <v>30</v>
      </c>
      <c r="C70" s="220"/>
      <c r="D70" s="216"/>
      <c r="E70" s="216"/>
      <c r="F70" s="216"/>
    </row>
    <row r="71" spans="1:6" s="166" customFormat="1" ht="13.5">
      <c r="A71" s="149"/>
      <c r="B71" s="217" t="s">
        <v>317</v>
      </c>
      <c r="C71" s="218" t="s">
        <v>69</v>
      </c>
      <c r="D71" s="216">
        <v>214</v>
      </c>
      <c r="E71" s="219"/>
      <c r="F71" s="150"/>
    </row>
    <row r="72" spans="1:6" s="92" customFormat="1" ht="16.5">
      <c r="A72" s="89"/>
      <c r="B72" s="136" t="s">
        <v>357</v>
      </c>
      <c r="C72" s="89"/>
      <c r="D72" s="89"/>
      <c r="E72" s="90"/>
      <c r="F72" s="91"/>
    </row>
    <row r="73" spans="1:6" s="166" customFormat="1" ht="16.5">
      <c r="A73" s="62">
        <v>38</v>
      </c>
      <c r="B73" s="215" t="s">
        <v>356</v>
      </c>
      <c r="C73" s="214" t="s">
        <v>341</v>
      </c>
      <c r="D73" s="72">
        <v>0.5</v>
      </c>
      <c r="E73" s="212"/>
      <c r="F73" s="221"/>
    </row>
    <row r="74" spans="1:6" s="166" customFormat="1" ht="16.5">
      <c r="A74" s="62">
        <v>39</v>
      </c>
      <c r="B74" s="215" t="s">
        <v>355</v>
      </c>
      <c r="C74" s="214" t="s">
        <v>311</v>
      </c>
      <c r="D74" s="72">
        <v>12</v>
      </c>
      <c r="E74" s="212"/>
      <c r="F74" s="221"/>
    </row>
    <row r="75" spans="1:6" s="166" customFormat="1" ht="16.5">
      <c r="A75" s="62">
        <v>40</v>
      </c>
      <c r="B75" s="215" t="s">
        <v>354</v>
      </c>
      <c r="C75" s="214" t="s">
        <v>313</v>
      </c>
      <c r="D75" s="72">
        <f>1.5/100</f>
        <v>0.015</v>
      </c>
      <c r="E75" s="212"/>
      <c r="F75" s="221"/>
    </row>
    <row r="76" spans="1:6" s="222" customFormat="1" ht="14.25">
      <c r="A76" s="146">
        <v>41</v>
      </c>
      <c r="B76" s="131" t="s">
        <v>344</v>
      </c>
      <c r="C76" s="119" t="s">
        <v>27</v>
      </c>
      <c r="D76" s="93">
        <v>2.1</v>
      </c>
      <c r="E76" s="119"/>
      <c r="F76" s="93"/>
    </row>
    <row r="77" spans="1:6" s="166" customFormat="1" ht="16.5">
      <c r="A77" s="62">
        <v>42</v>
      </c>
      <c r="B77" s="215" t="s">
        <v>343</v>
      </c>
      <c r="C77" s="214" t="s">
        <v>313</v>
      </c>
      <c r="D77" s="72">
        <f>7/100</f>
        <v>0.07</v>
      </c>
      <c r="E77" s="212"/>
      <c r="F77" s="211"/>
    </row>
    <row r="78" spans="1:6" s="166" customFormat="1" ht="16.5">
      <c r="A78" s="62">
        <v>43</v>
      </c>
      <c r="B78" s="215" t="s">
        <v>338</v>
      </c>
      <c r="C78" s="214" t="s">
        <v>313</v>
      </c>
      <c r="D78" s="72">
        <f>35/100</f>
        <v>0.35</v>
      </c>
      <c r="E78" s="212"/>
      <c r="F78" s="221"/>
    </row>
    <row r="79" spans="1:6" s="166" customFormat="1" ht="16.5">
      <c r="A79" s="62">
        <v>44</v>
      </c>
      <c r="B79" s="215" t="s">
        <v>337</v>
      </c>
      <c r="C79" s="214" t="s">
        <v>313</v>
      </c>
      <c r="D79" s="72">
        <f>87/100</f>
        <v>0.87</v>
      </c>
      <c r="E79" s="212"/>
      <c r="F79" s="211"/>
    </row>
    <row r="80" spans="1:6" s="166" customFormat="1" ht="16.5">
      <c r="A80" s="62">
        <v>45</v>
      </c>
      <c r="B80" s="215" t="s">
        <v>336</v>
      </c>
      <c r="C80" s="214" t="s">
        <v>313</v>
      </c>
      <c r="D80" s="72">
        <f>72/100</f>
        <v>0.72</v>
      </c>
      <c r="E80" s="212"/>
      <c r="F80" s="211"/>
    </row>
    <row r="81" spans="1:6" s="222" customFormat="1" ht="28.5">
      <c r="A81" s="115">
        <v>46</v>
      </c>
      <c r="B81" s="223" t="s">
        <v>351</v>
      </c>
      <c r="C81" s="115" t="s">
        <v>350</v>
      </c>
      <c r="D81" s="94">
        <v>2.5</v>
      </c>
      <c r="E81" s="115"/>
      <c r="F81" s="94"/>
    </row>
    <row r="82" spans="1:6" s="166" customFormat="1" ht="16.5">
      <c r="A82" s="62">
        <v>47</v>
      </c>
      <c r="B82" s="215" t="s">
        <v>335</v>
      </c>
      <c r="C82" s="214" t="s">
        <v>311</v>
      </c>
      <c r="D82" s="210">
        <v>56</v>
      </c>
      <c r="E82" s="213"/>
      <c r="F82" s="210"/>
    </row>
    <row r="83" spans="1:6" s="92" customFormat="1" ht="16.5">
      <c r="A83" s="89"/>
      <c r="B83" s="136" t="s">
        <v>353</v>
      </c>
      <c r="C83" s="89"/>
      <c r="D83" s="89"/>
      <c r="E83" s="90"/>
      <c r="F83" s="91"/>
    </row>
    <row r="84" spans="1:6" s="222" customFormat="1" ht="14.25">
      <c r="A84" s="146">
        <v>48</v>
      </c>
      <c r="B84" s="131" t="s">
        <v>344</v>
      </c>
      <c r="C84" s="119" t="s">
        <v>27</v>
      </c>
      <c r="D84" s="93">
        <v>2.1</v>
      </c>
      <c r="E84" s="119"/>
      <c r="F84" s="93"/>
    </row>
    <row r="85" spans="1:6" s="166" customFormat="1" ht="16.5">
      <c r="A85" s="62">
        <v>49</v>
      </c>
      <c r="B85" s="215" t="s">
        <v>343</v>
      </c>
      <c r="C85" s="214" t="s">
        <v>313</v>
      </c>
      <c r="D85" s="72">
        <f>10.2/100</f>
        <v>0.102</v>
      </c>
      <c r="E85" s="212"/>
      <c r="F85" s="211"/>
    </row>
    <row r="86" spans="1:6" s="166" customFormat="1" ht="16.5">
      <c r="A86" s="62">
        <v>50</v>
      </c>
      <c r="B86" s="215" t="s">
        <v>338</v>
      </c>
      <c r="C86" s="214" t="s">
        <v>313</v>
      </c>
      <c r="D86" s="72">
        <f>25/100</f>
        <v>0.25</v>
      </c>
      <c r="E86" s="212"/>
      <c r="F86" s="221"/>
    </row>
    <row r="87" spans="1:6" s="166" customFormat="1" ht="16.5">
      <c r="A87" s="62">
        <v>51</v>
      </c>
      <c r="B87" s="215" t="s">
        <v>337</v>
      </c>
      <c r="C87" s="214" t="s">
        <v>313</v>
      </c>
      <c r="D87" s="72">
        <f>60/100</f>
        <v>0.6</v>
      </c>
      <c r="E87" s="212"/>
      <c r="F87" s="211"/>
    </row>
    <row r="88" spans="1:6" s="166" customFormat="1" ht="16.5">
      <c r="A88" s="62">
        <v>52</v>
      </c>
      <c r="B88" s="215" t="s">
        <v>336</v>
      </c>
      <c r="C88" s="214" t="s">
        <v>313</v>
      </c>
      <c r="D88" s="72">
        <f>65/100</f>
        <v>0.65</v>
      </c>
      <c r="E88" s="212"/>
      <c r="F88" s="211"/>
    </row>
    <row r="89" spans="1:6" s="35" customFormat="1" ht="14.25">
      <c r="A89" s="62">
        <v>53</v>
      </c>
      <c r="B89" s="69" t="s">
        <v>352</v>
      </c>
      <c r="C89" s="50" t="s">
        <v>27</v>
      </c>
      <c r="D89" s="49">
        <v>42</v>
      </c>
      <c r="E89" s="50"/>
      <c r="F89" s="78"/>
    </row>
    <row r="90" spans="1:6" s="222" customFormat="1" ht="28.5">
      <c r="A90" s="115">
        <v>54</v>
      </c>
      <c r="B90" s="223" t="s">
        <v>351</v>
      </c>
      <c r="C90" s="115" t="s">
        <v>350</v>
      </c>
      <c r="D90" s="94">
        <v>2</v>
      </c>
      <c r="E90" s="115"/>
      <c r="F90" s="94"/>
    </row>
    <row r="91" spans="1:6" s="92" customFormat="1" ht="16.5">
      <c r="A91" s="89"/>
      <c r="B91" s="136" t="s">
        <v>349</v>
      </c>
      <c r="C91" s="89"/>
      <c r="D91" s="89"/>
      <c r="E91" s="90"/>
      <c r="F91" s="91"/>
    </row>
    <row r="92" spans="1:6" s="52" customFormat="1" ht="14.25">
      <c r="A92" s="49">
        <v>55</v>
      </c>
      <c r="B92" s="68" t="s">
        <v>346</v>
      </c>
      <c r="C92" s="49" t="s">
        <v>9</v>
      </c>
      <c r="D92" s="49">
        <v>50</v>
      </c>
      <c r="E92" s="49"/>
      <c r="F92" s="49"/>
    </row>
    <row r="93" spans="1:7" s="52" customFormat="1" ht="14.25">
      <c r="A93" s="49">
        <v>2</v>
      </c>
      <c r="B93" s="68" t="s">
        <v>490</v>
      </c>
      <c r="C93" s="49" t="s">
        <v>9</v>
      </c>
      <c r="D93" s="49">
        <v>50</v>
      </c>
      <c r="E93" s="49"/>
      <c r="F93" s="49"/>
      <c r="G93" s="51"/>
    </row>
    <row r="94" spans="1:6" s="166" customFormat="1" ht="28.5">
      <c r="A94" s="62">
        <v>56</v>
      </c>
      <c r="B94" s="215" t="s">
        <v>315</v>
      </c>
      <c r="C94" s="214" t="s">
        <v>313</v>
      </c>
      <c r="D94" s="72">
        <f>95/100</f>
        <v>0.95</v>
      </c>
      <c r="E94" s="212"/>
      <c r="F94" s="211"/>
    </row>
    <row r="95" spans="1:6" s="35" customFormat="1" ht="14.25">
      <c r="A95" s="62">
        <v>57</v>
      </c>
      <c r="B95" s="69" t="s">
        <v>316</v>
      </c>
      <c r="C95" s="50" t="s">
        <v>27</v>
      </c>
      <c r="D95" s="49">
        <v>250</v>
      </c>
      <c r="E95" s="50"/>
      <c r="F95" s="78"/>
    </row>
    <row r="96" spans="1:6" s="166" customFormat="1" ht="16.5">
      <c r="A96" s="62">
        <v>58</v>
      </c>
      <c r="B96" s="215" t="s">
        <v>314</v>
      </c>
      <c r="C96" s="214" t="s">
        <v>313</v>
      </c>
      <c r="D96" s="72">
        <f>159/100</f>
        <v>1.59</v>
      </c>
      <c r="E96" s="212"/>
      <c r="F96" s="211"/>
    </row>
    <row r="97" spans="1:6" s="166" customFormat="1" ht="16.5">
      <c r="A97" s="62">
        <v>59</v>
      </c>
      <c r="B97" s="215" t="s">
        <v>312</v>
      </c>
      <c r="C97" s="214" t="s">
        <v>311</v>
      </c>
      <c r="D97" s="210">
        <v>165</v>
      </c>
      <c r="E97" s="213"/>
      <c r="F97" s="210"/>
    </row>
    <row r="98" spans="1:6" s="97" customFormat="1" ht="15.75">
      <c r="A98" s="49">
        <v>60</v>
      </c>
      <c r="B98" s="68" t="s">
        <v>348</v>
      </c>
      <c r="C98" s="49" t="s">
        <v>7</v>
      </c>
      <c r="D98" s="49">
        <f>0.5*6</f>
        <v>3</v>
      </c>
      <c r="E98" s="49"/>
      <c r="F98" s="49"/>
    </row>
    <row r="99" spans="1:6" s="92" customFormat="1" ht="16.5">
      <c r="A99" s="89"/>
      <c r="B99" s="136" t="s">
        <v>347</v>
      </c>
      <c r="C99" s="89"/>
      <c r="D99" s="89"/>
      <c r="E99" s="90"/>
      <c r="F99" s="91"/>
    </row>
    <row r="100" spans="1:6" s="52" customFormat="1" ht="14.25">
      <c r="A100" s="49">
        <v>61</v>
      </c>
      <c r="B100" s="68" t="s">
        <v>346</v>
      </c>
      <c r="C100" s="49" t="s">
        <v>9</v>
      </c>
      <c r="D100" s="49">
        <v>20</v>
      </c>
      <c r="E100" s="49"/>
      <c r="F100" s="49"/>
    </row>
    <row r="101" spans="1:7" s="52" customFormat="1" ht="14.25">
      <c r="A101" s="49">
        <v>2</v>
      </c>
      <c r="B101" s="68" t="s">
        <v>490</v>
      </c>
      <c r="C101" s="49" t="s">
        <v>9</v>
      </c>
      <c r="D101" s="49">
        <v>20</v>
      </c>
      <c r="E101" s="49"/>
      <c r="F101" s="49"/>
      <c r="G101" s="51"/>
    </row>
    <row r="102" spans="1:6" s="166" customFormat="1" ht="28.5">
      <c r="A102" s="62">
        <v>62</v>
      </c>
      <c r="B102" s="215" t="s">
        <v>315</v>
      </c>
      <c r="C102" s="214" t="s">
        <v>313</v>
      </c>
      <c r="D102" s="72">
        <f>57/100</f>
        <v>0.57</v>
      </c>
      <c r="E102" s="212"/>
      <c r="F102" s="211"/>
    </row>
    <row r="103" spans="1:6" s="35" customFormat="1" ht="14.25">
      <c r="A103" s="62">
        <v>63</v>
      </c>
      <c r="B103" s="69" t="s">
        <v>316</v>
      </c>
      <c r="C103" s="50" t="s">
        <v>27</v>
      </c>
      <c r="D103" s="49">
        <v>120</v>
      </c>
      <c r="E103" s="50"/>
      <c r="F103" s="78"/>
    </row>
    <row r="104" spans="1:6" s="166" customFormat="1" ht="16.5">
      <c r="A104" s="62">
        <v>64</v>
      </c>
      <c r="B104" s="215" t="s">
        <v>314</v>
      </c>
      <c r="C104" s="214" t="s">
        <v>313</v>
      </c>
      <c r="D104" s="72">
        <f>95/100</f>
        <v>0.95</v>
      </c>
      <c r="E104" s="212"/>
      <c r="F104" s="211"/>
    </row>
    <row r="105" spans="1:6" s="166" customFormat="1" ht="16.5">
      <c r="A105" s="62">
        <v>65</v>
      </c>
      <c r="B105" s="215" t="s">
        <v>312</v>
      </c>
      <c r="C105" s="214" t="s">
        <v>311</v>
      </c>
      <c r="D105" s="210">
        <v>100</v>
      </c>
      <c r="E105" s="213"/>
      <c r="F105" s="210"/>
    </row>
    <row r="106" spans="1:6" s="92" customFormat="1" ht="16.5">
      <c r="A106" s="89"/>
      <c r="B106" s="136" t="s">
        <v>345</v>
      </c>
      <c r="C106" s="89"/>
      <c r="D106" s="89"/>
      <c r="E106" s="90"/>
      <c r="F106" s="91"/>
    </row>
    <row r="107" spans="1:6" s="222" customFormat="1" ht="14.25">
      <c r="A107" s="146">
        <v>66</v>
      </c>
      <c r="B107" s="131" t="s">
        <v>344</v>
      </c>
      <c r="C107" s="119" t="s">
        <v>27</v>
      </c>
      <c r="D107" s="93">
        <v>2.1</v>
      </c>
      <c r="E107" s="119"/>
      <c r="F107" s="93"/>
    </row>
    <row r="108" spans="1:6" s="166" customFormat="1" ht="16.5">
      <c r="A108" s="62">
        <v>67</v>
      </c>
      <c r="B108" s="215" t="s">
        <v>343</v>
      </c>
      <c r="C108" s="214" t="s">
        <v>313</v>
      </c>
      <c r="D108" s="72">
        <f>3.4/100</f>
        <v>0.034</v>
      </c>
      <c r="E108" s="212"/>
      <c r="F108" s="211"/>
    </row>
    <row r="109" spans="1:6" s="166" customFormat="1" ht="16.5">
      <c r="A109" s="62">
        <v>68</v>
      </c>
      <c r="B109" s="215" t="s">
        <v>342</v>
      </c>
      <c r="C109" s="214" t="s">
        <v>341</v>
      </c>
      <c r="D109" s="72">
        <v>1.1</v>
      </c>
      <c r="E109" s="212"/>
      <c r="F109" s="221"/>
    </row>
    <row r="110" spans="1:6" s="166" customFormat="1" ht="16.5">
      <c r="A110" s="62">
        <v>69</v>
      </c>
      <c r="B110" s="215" t="s">
        <v>340</v>
      </c>
      <c r="C110" s="214" t="s">
        <v>318</v>
      </c>
      <c r="D110" s="72">
        <f>1.7/100</f>
        <v>0.017</v>
      </c>
      <c r="E110" s="212"/>
      <c r="F110" s="221"/>
    </row>
    <row r="111" spans="1:6" s="166" customFormat="1" ht="13.5">
      <c r="A111" s="149"/>
      <c r="B111" s="216" t="s">
        <v>30</v>
      </c>
      <c r="C111" s="220"/>
      <c r="D111" s="216"/>
      <c r="E111" s="216"/>
      <c r="F111" s="216"/>
    </row>
    <row r="112" spans="1:6" s="166" customFormat="1" ht="13.5">
      <c r="A112" s="149"/>
      <c r="B112" s="217" t="s">
        <v>317</v>
      </c>
      <c r="C112" s="218" t="s">
        <v>69</v>
      </c>
      <c r="D112" s="216">
        <v>60</v>
      </c>
      <c r="E112" s="219"/>
      <c r="F112" s="150"/>
    </row>
    <row r="113" spans="1:6" s="166" customFormat="1" ht="16.5">
      <c r="A113" s="62">
        <v>70</v>
      </c>
      <c r="B113" s="215" t="s">
        <v>339</v>
      </c>
      <c r="C113" s="214" t="s">
        <v>313</v>
      </c>
      <c r="D113" s="72">
        <f>8/100</f>
        <v>0.08</v>
      </c>
      <c r="E113" s="212"/>
      <c r="F113" s="221"/>
    </row>
    <row r="114" spans="1:6" s="166" customFormat="1" ht="16.5">
      <c r="A114" s="62">
        <v>71</v>
      </c>
      <c r="B114" s="215" t="s">
        <v>338</v>
      </c>
      <c r="C114" s="214" t="s">
        <v>313</v>
      </c>
      <c r="D114" s="72">
        <f>21/100</f>
        <v>0.21</v>
      </c>
      <c r="E114" s="212"/>
      <c r="F114" s="221"/>
    </row>
    <row r="115" spans="1:6" s="166" customFormat="1" ht="16.5">
      <c r="A115" s="62">
        <v>72</v>
      </c>
      <c r="B115" s="215" t="s">
        <v>337</v>
      </c>
      <c r="C115" s="214" t="s">
        <v>313</v>
      </c>
      <c r="D115" s="72">
        <f>50/100</f>
        <v>0.5</v>
      </c>
      <c r="E115" s="212"/>
      <c r="F115" s="211"/>
    </row>
    <row r="116" spans="1:6" s="166" customFormat="1" ht="16.5">
      <c r="A116" s="62">
        <v>73</v>
      </c>
      <c r="B116" s="215" t="s">
        <v>336</v>
      </c>
      <c r="C116" s="214" t="s">
        <v>313</v>
      </c>
      <c r="D116" s="72">
        <f>60/100</f>
        <v>0.6</v>
      </c>
      <c r="E116" s="212"/>
      <c r="F116" s="211"/>
    </row>
    <row r="117" spans="1:6" s="166" customFormat="1" ht="16.5">
      <c r="A117" s="62">
        <v>74</v>
      </c>
      <c r="B117" s="215" t="s">
        <v>335</v>
      </c>
      <c r="C117" s="214" t="s">
        <v>311</v>
      </c>
      <c r="D117" s="210">
        <v>36</v>
      </c>
      <c r="E117" s="213"/>
      <c r="F117" s="210"/>
    </row>
    <row r="118" spans="1:6" s="92" customFormat="1" ht="16.5">
      <c r="A118" s="89"/>
      <c r="B118" s="136" t="s">
        <v>334</v>
      </c>
      <c r="C118" s="89"/>
      <c r="D118" s="89"/>
      <c r="E118" s="90"/>
      <c r="F118" s="91"/>
    </row>
    <row r="119" spans="1:6" s="52" customFormat="1" ht="28.5">
      <c r="A119" s="49">
        <v>75</v>
      </c>
      <c r="B119" s="68" t="s">
        <v>333</v>
      </c>
      <c r="C119" s="49" t="s">
        <v>27</v>
      </c>
      <c r="D119" s="49">
        <v>230</v>
      </c>
      <c r="E119" s="49"/>
      <c r="F119" s="49"/>
    </row>
    <row r="120" spans="1:6" s="52" customFormat="1" ht="14.25">
      <c r="A120" s="49">
        <v>76</v>
      </c>
      <c r="B120" s="68" t="s">
        <v>332</v>
      </c>
      <c r="C120" s="49" t="s">
        <v>9</v>
      </c>
      <c r="D120" s="49">
        <v>40</v>
      </c>
      <c r="E120" s="49"/>
      <c r="F120" s="49"/>
    </row>
    <row r="121" spans="1:6" s="123" customFormat="1" ht="14.25">
      <c r="A121" s="146">
        <v>77</v>
      </c>
      <c r="B121" s="147" t="s">
        <v>331</v>
      </c>
      <c r="C121" s="119" t="s">
        <v>34</v>
      </c>
      <c r="D121" s="132">
        <f>12/100</f>
        <v>0.12</v>
      </c>
      <c r="E121" s="93"/>
      <c r="F121" s="93"/>
    </row>
    <row r="122" spans="1:6" s="47" customFormat="1" ht="13.5">
      <c r="A122" s="31"/>
      <c r="B122" s="31" t="s">
        <v>26</v>
      </c>
      <c r="C122" s="31"/>
      <c r="D122" s="36"/>
      <c r="E122" s="34"/>
      <c r="F122" s="145"/>
    </row>
    <row r="123" spans="1:6" s="35" customFormat="1" ht="13.5">
      <c r="A123" s="41"/>
      <c r="B123" s="39" t="s">
        <v>321</v>
      </c>
      <c r="C123" s="34" t="s">
        <v>69</v>
      </c>
      <c r="D123" s="124">
        <v>1204</v>
      </c>
      <c r="E123" s="70"/>
      <c r="F123" s="148"/>
    </row>
    <row r="124" spans="1:6" s="52" customFormat="1" ht="14.25">
      <c r="A124" s="49">
        <v>78</v>
      </c>
      <c r="B124" s="69" t="s">
        <v>330</v>
      </c>
      <c r="C124" s="50" t="s">
        <v>109</v>
      </c>
      <c r="D124" s="74">
        <v>1</v>
      </c>
      <c r="E124" s="50"/>
      <c r="F124" s="78"/>
    </row>
    <row r="125" spans="1:8" s="63" customFormat="1" ht="14.25">
      <c r="A125" s="130">
        <v>79</v>
      </c>
      <c r="B125" s="68" t="s">
        <v>329</v>
      </c>
      <c r="C125" s="100" t="s">
        <v>190</v>
      </c>
      <c r="D125" s="49">
        <v>280</v>
      </c>
      <c r="E125" s="101"/>
      <c r="F125" s="102"/>
      <c r="G125" s="103"/>
      <c r="H125" s="103"/>
    </row>
    <row r="126" spans="1:6" s="92" customFormat="1" ht="16.5">
      <c r="A126" s="89"/>
      <c r="B126" s="136" t="s">
        <v>328</v>
      </c>
      <c r="C126" s="89"/>
      <c r="D126" s="89"/>
      <c r="E126" s="90"/>
      <c r="F126" s="91"/>
    </row>
    <row r="127" spans="1:6" s="166" customFormat="1" ht="14.25">
      <c r="A127" s="62">
        <v>80</v>
      </c>
      <c r="B127" s="215" t="s">
        <v>327</v>
      </c>
      <c r="C127" s="214" t="s">
        <v>10</v>
      </c>
      <c r="D127" s="72">
        <v>24</v>
      </c>
      <c r="E127" s="212"/>
      <c r="F127" s="221"/>
    </row>
    <row r="128" spans="1:6" s="166" customFormat="1" ht="28.5">
      <c r="A128" s="62">
        <v>81</v>
      </c>
      <c r="B128" s="215" t="s">
        <v>326</v>
      </c>
      <c r="C128" s="214" t="s">
        <v>10</v>
      </c>
      <c r="D128" s="72">
        <v>3</v>
      </c>
      <c r="E128" s="212"/>
      <c r="F128" s="221"/>
    </row>
    <row r="129" spans="1:8" s="63" customFormat="1" ht="28.5">
      <c r="A129" s="130">
        <v>82</v>
      </c>
      <c r="B129" s="68" t="s">
        <v>325</v>
      </c>
      <c r="C129" s="100" t="s">
        <v>9</v>
      </c>
      <c r="D129" s="49">
        <f>6+0.52</f>
        <v>6.52</v>
      </c>
      <c r="E129" s="101"/>
      <c r="F129" s="102"/>
      <c r="G129" s="103"/>
      <c r="H129" s="103"/>
    </row>
    <row r="130" spans="1:8" s="63" customFormat="1" ht="14.25">
      <c r="A130" s="130">
        <v>83</v>
      </c>
      <c r="B130" s="68" t="s">
        <v>324</v>
      </c>
      <c r="C130" s="100" t="s">
        <v>190</v>
      </c>
      <c r="D130" s="49">
        <v>250</v>
      </c>
      <c r="E130" s="101"/>
      <c r="F130" s="102"/>
      <c r="G130" s="103"/>
      <c r="H130" s="103"/>
    </row>
    <row r="131" spans="1:6" s="166" customFormat="1" ht="28.5">
      <c r="A131" s="62">
        <v>84</v>
      </c>
      <c r="B131" s="215" t="s">
        <v>323</v>
      </c>
      <c r="C131" s="214" t="s">
        <v>313</v>
      </c>
      <c r="D131" s="72">
        <f>112/100</f>
        <v>1.12</v>
      </c>
      <c r="E131" s="212"/>
      <c r="F131" s="221"/>
    </row>
    <row r="132" spans="1:6" s="123" customFormat="1" ht="14.25">
      <c r="A132" s="146">
        <v>85</v>
      </c>
      <c r="B132" s="147" t="s">
        <v>322</v>
      </c>
      <c r="C132" s="119" t="s">
        <v>34</v>
      </c>
      <c r="D132" s="132">
        <f>88/100</f>
        <v>0.88</v>
      </c>
      <c r="E132" s="93"/>
      <c r="F132" s="93"/>
    </row>
    <row r="133" spans="1:6" s="47" customFormat="1" ht="13.5">
      <c r="A133" s="31"/>
      <c r="B133" s="31" t="s">
        <v>26</v>
      </c>
      <c r="C133" s="31"/>
      <c r="D133" s="36"/>
      <c r="E133" s="34"/>
      <c r="F133" s="145"/>
    </row>
    <row r="134" spans="1:6" s="35" customFormat="1" ht="13.5">
      <c r="A134" s="41"/>
      <c r="B134" s="39" t="s">
        <v>321</v>
      </c>
      <c r="C134" s="34" t="s">
        <v>69</v>
      </c>
      <c r="D134" s="124">
        <v>9180</v>
      </c>
      <c r="E134" s="70"/>
      <c r="F134" s="148"/>
    </row>
    <row r="135" spans="1:6" s="166" customFormat="1" ht="16.5">
      <c r="A135" s="62">
        <v>86</v>
      </c>
      <c r="B135" s="215" t="s">
        <v>320</v>
      </c>
      <c r="C135" s="214" t="s">
        <v>318</v>
      </c>
      <c r="D135" s="72">
        <f>5.8/100</f>
        <v>0.057999999999999996</v>
      </c>
      <c r="E135" s="212"/>
      <c r="F135" s="221"/>
    </row>
    <row r="136" spans="1:6" s="166" customFormat="1" ht="13.5">
      <c r="A136" s="149"/>
      <c r="B136" s="216" t="s">
        <v>30</v>
      </c>
      <c r="C136" s="220"/>
      <c r="D136" s="216"/>
      <c r="E136" s="216"/>
      <c r="F136" s="216"/>
    </row>
    <row r="137" spans="1:6" s="166" customFormat="1" ht="13.5">
      <c r="A137" s="149"/>
      <c r="B137" s="217" t="s">
        <v>317</v>
      </c>
      <c r="C137" s="218" t="s">
        <v>69</v>
      </c>
      <c r="D137" s="216">
        <v>674</v>
      </c>
      <c r="E137" s="219"/>
      <c r="F137" s="150"/>
    </row>
    <row r="138" spans="1:6" s="166" customFormat="1" ht="16.5">
      <c r="A138" s="62">
        <v>87</v>
      </c>
      <c r="B138" s="215" t="s">
        <v>319</v>
      </c>
      <c r="C138" s="214" t="s">
        <v>318</v>
      </c>
      <c r="D138" s="72">
        <f>47/100</f>
        <v>0.47</v>
      </c>
      <c r="E138" s="212"/>
      <c r="F138" s="221"/>
    </row>
    <row r="139" spans="1:6" s="166" customFormat="1" ht="13.5">
      <c r="A139" s="149"/>
      <c r="B139" s="216" t="s">
        <v>30</v>
      </c>
      <c r="C139" s="220"/>
      <c r="D139" s="216"/>
      <c r="E139" s="216"/>
      <c r="F139" s="216"/>
    </row>
    <row r="140" spans="1:6" s="166" customFormat="1" ht="13.5">
      <c r="A140" s="149"/>
      <c r="B140" s="217" t="s">
        <v>317</v>
      </c>
      <c r="C140" s="218" t="s">
        <v>69</v>
      </c>
      <c r="D140" s="216">
        <v>6773</v>
      </c>
      <c r="E140" s="219"/>
      <c r="F140" s="150"/>
    </row>
    <row r="141" spans="1:6" s="35" customFormat="1" ht="14.25">
      <c r="A141" s="62">
        <v>88</v>
      </c>
      <c r="B141" s="69" t="s">
        <v>316</v>
      </c>
      <c r="C141" s="50" t="s">
        <v>27</v>
      </c>
      <c r="D141" s="49">
        <v>250</v>
      </c>
      <c r="E141" s="50"/>
      <c r="F141" s="78"/>
    </row>
    <row r="142" spans="1:6" s="166" customFormat="1" ht="28.5">
      <c r="A142" s="62">
        <v>89</v>
      </c>
      <c r="B142" s="215" t="s">
        <v>315</v>
      </c>
      <c r="C142" s="214" t="s">
        <v>313</v>
      </c>
      <c r="D142" s="72">
        <f>133/100</f>
        <v>1.33</v>
      </c>
      <c r="E142" s="212"/>
      <c r="F142" s="211"/>
    </row>
    <row r="143" spans="1:6" s="166" customFormat="1" ht="16.5">
      <c r="A143" s="62">
        <v>90</v>
      </c>
      <c r="B143" s="215" t="s">
        <v>314</v>
      </c>
      <c r="C143" s="214" t="s">
        <v>313</v>
      </c>
      <c r="D143" s="72">
        <f>221/100</f>
        <v>2.21</v>
      </c>
      <c r="E143" s="212"/>
      <c r="F143" s="211"/>
    </row>
    <row r="144" spans="1:6" s="166" customFormat="1" ht="16.5">
      <c r="A144" s="62">
        <v>91</v>
      </c>
      <c r="B144" s="215" t="s">
        <v>312</v>
      </c>
      <c r="C144" s="214" t="s">
        <v>311</v>
      </c>
      <c r="D144" s="210">
        <v>235</v>
      </c>
      <c r="E144" s="213"/>
      <c r="F144" s="210"/>
    </row>
    <row r="145" spans="1:6" s="95" customFormat="1" ht="14.25">
      <c r="A145" s="42"/>
      <c r="B145" s="38" t="s">
        <v>5</v>
      </c>
      <c r="C145" s="29"/>
      <c r="D145" s="48"/>
      <c r="E145" s="29"/>
      <c r="F145" s="30"/>
    </row>
    <row r="146" spans="1:6" s="35" customFormat="1" ht="13.5">
      <c r="A146" s="41"/>
      <c r="B146" s="39" t="s">
        <v>29</v>
      </c>
      <c r="C146" s="31"/>
      <c r="D146" s="31" t="s">
        <v>495</v>
      </c>
      <c r="E146" s="31"/>
      <c r="F146" s="31"/>
    </row>
    <row r="147" spans="1:6" s="95" customFormat="1" ht="14.25">
      <c r="A147" s="42"/>
      <c r="B147" s="38" t="s">
        <v>5</v>
      </c>
      <c r="C147" s="29"/>
      <c r="D147" s="48"/>
      <c r="E147" s="29"/>
      <c r="F147" s="43"/>
    </row>
    <row r="148" spans="1:6" s="35" customFormat="1" ht="13.5">
      <c r="A148" s="41"/>
      <c r="B148" s="39" t="s">
        <v>8</v>
      </c>
      <c r="C148" s="31"/>
      <c r="D148" s="37" t="s">
        <v>495</v>
      </c>
      <c r="E148" s="31"/>
      <c r="F148" s="44"/>
    </row>
    <row r="149" spans="1:6" s="95" customFormat="1" ht="14.25">
      <c r="A149" s="42"/>
      <c r="B149" s="38" t="s">
        <v>24</v>
      </c>
      <c r="C149" s="29"/>
      <c r="D149" s="48"/>
      <c r="E149" s="29"/>
      <c r="F149" s="30"/>
    </row>
    <row r="150" s="35" customFormat="1" ht="13.5"/>
    <row r="151" s="35" customFormat="1" ht="13.5"/>
    <row r="152" spans="2:6" s="7" customFormat="1" ht="15.75">
      <c r="B152" s="28"/>
      <c r="F152" s="27"/>
    </row>
    <row r="153" s="35" customFormat="1" ht="13.5">
      <c r="B153" s="28"/>
    </row>
    <row r="154" s="35" customFormat="1" ht="13.5"/>
    <row r="155" s="35" customFormat="1" ht="13.5"/>
    <row r="195" ht="12.75"/>
    <row r="196" ht="12.75"/>
    <row r="197" ht="12.75"/>
    <row r="198" ht="12.75"/>
  </sheetData>
  <sheetProtection/>
  <autoFilter ref="A1:A154"/>
  <mergeCells count="7">
    <mergeCell ref="B1:F1"/>
    <mergeCell ref="A3:A4"/>
    <mergeCell ref="B3:B4"/>
    <mergeCell ref="C3:C4"/>
    <mergeCell ref="B2:F2"/>
    <mergeCell ref="D3:D4"/>
    <mergeCell ref="E3:F3"/>
  </mergeCells>
  <conditionalFormatting sqref="A53:F53 C90:F90 C79:F81 C87:F88 C115:F116">
    <cfRule type="cellIs" priority="61" dxfId="0" operator="equal" stopIfTrue="1">
      <formula>8223.307275</formula>
    </cfRule>
  </conditionalFormatting>
  <conditionalFormatting sqref="A79:B79">
    <cfRule type="cellIs" priority="59" dxfId="0" operator="equal" stopIfTrue="1">
      <formula>8223.307275</formula>
    </cfRule>
  </conditionalFormatting>
  <conditionalFormatting sqref="A80">
    <cfRule type="cellIs" priority="57" dxfId="0" operator="equal" stopIfTrue="1">
      <formula>8223.307275</formula>
    </cfRule>
  </conditionalFormatting>
  <conditionalFormatting sqref="B80">
    <cfRule type="cellIs" priority="54" dxfId="0" operator="equal" stopIfTrue="1">
      <formula>8223.307275</formula>
    </cfRule>
  </conditionalFormatting>
  <conditionalFormatting sqref="A81:B81">
    <cfRule type="cellIs" priority="53" dxfId="0" operator="equal" stopIfTrue="1">
      <formula>8223.307275</formula>
    </cfRule>
  </conditionalFormatting>
  <conditionalFormatting sqref="D81">
    <cfRule type="cellIs" priority="51" dxfId="0" operator="equal" stopIfTrue="1">
      <formula>8223.307275</formula>
    </cfRule>
  </conditionalFormatting>
  <conditionalFormatting sqref="D81">
    <cfRule type="cellIs" priority="50" dxfId="0" operator="equal" stopIfTrue="1">
      <formula>8223.307275</formula>
    </cfRule>
  </conditionalFormatting>
  <conditionalFormatting sqref="D81">
    <cfRule type="cellIs" priority="49" dxfId="0" operator="equal" stopIfTrue="1">
      <formula>8223.307275</formula>
    </cfRule>
  </conditionalFormatting>
  <conditionalFormatting sqref="D81">
    <cfRule type="cellIs" priority="48" dxfId="0" operator="equal" stopIfTrue="1">
      <formula>8223.307275</formula>
    </cfRule>
  </conditionalFormatting>
  <conditionalFormatting sqref="D81">
    <cfRule type="cellIs" priority="47" dxfId="0" operator="equal" stopIfTrue="1">
      <formula>8223.307275</formula>
    </cfRule>
  </conditionalFormatting>
  <conditionalFormatting sqref="A87:B87">
    <cfRule type="cellIs" priority="42" dxfId="0" operator="equal" stopIfTrue="1">
      <formula>8223.307275</formula>
    </cfRule>
  </conditionalFormatting>
  <conditionalFormatting sqref="A88">
    <cfRule type="cellIs" priority="40" dxfId="0" operator="equal" stopIfTrue="1">
      <formula>8223.307275</formula>
    </cfRule>
  </conditionalFormatting>
  <conditionalFormatting sqref="B88">
    <cfRule type="cellIs" priority="37" dxfId="0" operator="equal" stopIfTrue="1">
      <formula>8223.307275</formula>
    </cfRule>
  </conditionalFormatting>
  <conditionalFormatting sqref="A90:B90">
    <cfRule type="cellIs" priority="36" dxfId="0" operator="equal" stopIfTrue="1">
      <formula>8223.307275</formula>
    </cfRule>
  </conditionalFormatting>
  <conditionalFormatting sqref="D90">
    <cfRule type="cellIs" priority="34" dxfId="0" operator="equal" stopIfTrue="1">
      <formula>8223.307275</formula>
    </cfRule>
  </conditionalFormatting>
  <conditionalFormatting sqref="D90">
    <cfRule type="cellIs" priority="33" dxfId="0" operator="equal" stopIfTrue="1">
      <formula>8223.307275</formula>
    </cfRule>
  </conditionalFormatting>
  <conditionalFormatting sqref="D90">
    <cfRule type="cellIs" priority="32" dxfId="0" operator="equal" stopIfTrue="1">
      <formula>8223.307275</formula>
    </cfRule>
  </conditionalFormatting>
  <conditionalFormatting sqref="D90">
    <cfRule type="cellIs" priority="31" dxfId="0" operator="equal" stopIfTrue="1">
      <formula>8223.307275</formula>
    </cfRule>
  </conditionalFormatting>
  <conditionalFormatting sqref="D90">
    <cfRule type="cellIs" priority="30" dxfId="0" operator="equal" stopIfTrue="1">
      <formula>8223.307275</formula>
    </cfRule>
  </conditionalFormatting>
  <conditionalFormatting sqref="A115:B115">
    <cfRule type="cellIs" priority="25" dxfId="0" operator="equal" stopIfTrue="1">
      <formula>8223.307275</formula>
    </cfRule>
  </conditionalFormatting>
  <conditionalFormatting sqref="A116">
    <cfRule type="cellIs" priority="23" dxfId="0" operator="equal" stopIfTrue="1">
      <formula>8223.307275</formula>
    </cfRule>
  </conditionalFormatting>
  <conditionalFormatting sqref="B116">
    <cfRule type="cellIs" priority="20" dxfId="0" operator="equal" stopIfTrue="1">
      <formula>8223.307275</formula>
    </cfRule>
  </conditionalFormatting>
  <printOptions/>
  <pageMargins left="0.64" right="0.45" top="0.27" bottom="0.36" header="0.22" footer="0.16"/>
  <pageSetup orientation="portrait" paperSize="9" scale="83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00"/>
  </sheetPr>
  <dimension ref="A1:J105"/>
  <sheetViews>
    <sheetView tabSelected="1" view="pageBreakPreview" zoomScaleNormal="85" zoomScaleSheetLayoutView="100" workbookViewId="0" topLeftCell="A1">
      <pane xSplit="1" ySplit="5" topLeftCell="B6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K9" sqref="K9"/>
    </sheetView>
  </sheetViews>
  <sheetFormatPr defaultColWidth="9.140625" defaultRowHeight="12.75"/>
  <cols>
    <col min="1" max="1" width="3.57421875" style="25" customWidth="1"/>
    <col min="2" max="2" width="59.421875" style="25" customWidth="1"/>
    <col min="3" max="3" width="8.28125" style="25" customWidth="1"/>
    <col min="4" max="4" width="9.7109375" style="25" customWidth="1"/>
    <col min="5" max="5" width="8.7109375" style="25" customWidth="1"/>
    <col min="6" max="6" width="10.28125" style="25" customWidth="1"/>
    <col min="7" max="16384" width="9.140625" style="26" customWidth="1"/>
  </cols>
  <sheetData>
    <row r="1" spans="1:6" s="45" customFormat="1" ht="16.5" customHeight="1">
      <c r="A1" s="82"/>
      <c r="B1" s="257" t="s">
        <v>508</v>
      </c>
      <c r="C1" s="258"/>
      <c r="D1" s="258"/>
      <c r="E1" s="258"/>
      <c r="F1" s="258"/>
    </row>
    <row r="2" spans="1:6" s="45" customFormat="1" ht="16.5">
      <c r="A2" s="244"/>
      <c r="B2" s="246" t="s">
        <v>507</v>
      </c>
      <c r="C2" s="254"/>
      <c r="D2" s="254"/>
      <c r="E2" s="254"/>
      <c r="F2" s="254"/>
    </row>
    <row r="3" spans="1:6" s="45" customFormat="1" ht="11.25">
      <c r="A3" s="253" t="s">
        <v>0</v>
      </c>
      <c r="B3" s="253" t="s">
        <v>1</v>
      </c>
      <c r="C3" s="253" t="s">
        <v>2</v>
      </c>
      <c r="D3" s="253" t="s">
        <v>3</v>
      </c>
      <c r="E3" s="255" t="s">
        <v>494</v>
      </c>
      <c r="F3" s="255"/>
    </row>
    <row r="4" spans="1:6" s="45" customFormat="1" ht="11.25">
      <c r="A4" s="253"/>
      <c r="B4" s="253"/>
      <c r="C4" s="253"/>
      <c r="D4" s="253"/>
      <c r="E4" s="40" t="s">
        <v>4</v>
      </c>
      <c r="F4" s="46" t="s">
        <v>5</v>
      </c>
    </row>
    <row r="5" spans="1:6" s="4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s="88" customFormat="1" ht="16.5">
      <c r="A6" s="84"/>
      <c r="B6" s="85" t="s">
        <v>11</v>
      </c>
      <c r="C6" s="84"/>
      <c r="D6" s="84"/>
      <c r="E6" s="86"/>
      <c r="F6" s="87"/>
    </row>
    <row r="7" spans="1:6" s="92" customFormat="1" ht="16.5">
      <c r="A7" s="89"/>
      <c r="B7" s="161" t="s">
        <v>462</v>
      </c>
      <c r="C7" s="89"/>
      <c r="D7" s="89"/>
      <c r="E7" s="90"/>
      <c r="F7" s="91"/>
    </row>
    <row r="8" spans="1:8" s="123" customFormat="1" ht="14.25">
      <c r="A8" s="119">
        <v>1</v>
      </c>
      <c r="B8" s="69" t="s">
        <v>489</v>
      </c>
      <c r="C8" s="119" t="s">
        <v>34</v>
      </c>
      <c r="D8" s="93">
        <f>713*0.2/100</f>
        <v>1.426</v>
      </c>
      <c r="E8" s="116"/>
      <c r="F8" s="120"/>
      <c r="G8" s="121"/>
      <c r="H8" s="122"/>
    </row>
    <row r="9" spans="1:7" s="52" customFormat="1" ht="71.25">
      <c r="A9" s="49">
        <v>2</v>
      </c>
      <c r="B9" s="68" t="s">
        <v>496</v>
      </c>
      <c r="C9" s="49" t="s">
        <v>9</v>
      </c>
      <c r="D9" s="49">
        <f>37+90.58+241.42</f>
        <v>369</v>
      </c>
      <c r="E9" s="49"/>
      <c r="F9" s="49"/>
      <c r="G9" s="51"/>
    </row>
    <row r="10" spans="1:7" s="52" customFormat="1" ht="28.5">
      <c r="A10" s="49">
        <v>5</v>
      </c>
      <c r="B10" s="68" t="s">
        <v>461</v>
      </c>
      <c r="C10" s="49" t="s">
        <v>9</v>
      </c>
      <c r="D10" s="49">
        <v>188</v>
      </c>
      <c r="E10" s="49"/>
      <c r="F10" s="49"/>
      <c r="G10" s="51"/>
    </row>
    <row r="11" spans="1:7" s="52" customFormat="1" ht="28.5">
      <c r="A11" s="49">
        <v>6</v>
      </c>
      <c r="B11" s="69" t="s">
        <v>460</v>
      </c>
      <c r="C11" s="50" t="s">
        <v>9</v>
      </c>
      <c r="D11" s="74">
        <v>90.5</v>
      </c>
      <c r="E11" s="50"/>
      <c r="F11" s="78"/>
      <c r="G11" s="51"/>
    </row>
    <row r="12" spans="1:6" s="96" customFormat="1" ht="28.5">
      <c r="A12" s="62">
        <v>7</v>
      </c>
      <c r="B12" s="69" t="s">
        <v>459</v>
      </c>
      <c r="C12" s="49" t="s">
        <v>9</v>
      </c>
      <c r="D12" s="49">
        <v>53.4</v>
      </c>
      <c r="E12" s="49"/>
      <c r="F12" s="49"/>
    </row>
    <row r="13" spans="1:7" s="52" customFormat="1" ht="28.5">
      <c r="A13" s="49">
        <v>8</v>
      </c>
      <c r="B13" s="69" t="s">
        <v>497</v>
      </c>
      <c r="C13" s="49" t="s">
        <v>9</v>
      </c>
      <c r="D13" s="74">
        <v>127.58</v>
      </c>
      <c r="E13" s="50"/>
      <c r="F13" s="78"/>
      <c r="G13" s="51"/>
    </row>
    <row r="14" spans="1:6" s="35" customFormat="1" ht="28.5">
      <c r="A14" s="62">
        <v>9</v>
      </c>
      <c r="B14" s="69" t="s">
        <v>458</v>
      </c>
      <c r="C14" s="49" t="s">
        <v>9</v>
      </c>
      <c r="D14" s="49">
        <v>1.5</v>
      </c>
      <c r="E14" s="49"/>
      <c r="F14" s="49"/>
    </row>
    <row r="15" spans="1:6" s="35" customFormat="1" ht="14.25">
      <c r="A15" s="62">
        <v>10</v>
      </c>
      <c r="B15" s="69" t="s">
        <v>457</v>
      </c>
      <c r="C15" s="49" t="s">
        <v>9</v>
      </c>
      <c r="D15" s="49">
        <v>1.1</v>
      </c>
      <c r="E15" s="49"/>
      <c r="F15" s="49"/>
    </row>
    <row r="16" spans="1:7" s="52" customFormat="1" ht="14.25">
      <c r="A16" s="49">
        <v>11</v>
      </c>
      <c r="B16" s="68" t="s">
        <v>456</v>
      </c>
      <c r="C16" s="49" t="s">
        <v>455</v>
      </c>
      <c r="D16" s="49">
        <v>1</v>
      </c>
      <c r="E16" s="49"/>
      <c r="F16" s="49"/>
      <c r="G16" s="51"/>
    </row>
    <row r="17" spans="1:8" s="63" customFormat="1" ht="28.5">
      <c r="A17" s="130">
        <v>12</v>
      </c>
      <c r="B17" s="68" t="s">
        <v>454</v>
      </c>
      <c r="C17" s="100" t="s">
        <v>9</v>
      </c>
      <c r="D17" s="152">
        <f>0.13+0.07</f>
        <v>0.2</v>
      </c>
      <c r="E17" s="101"/>
      <c r="F17" s="102"/>
      <c r="G17" s="103"/>
      <c r="H17" s="103"/>
    </row>
    <row r="18" spans="1:6" s="106" customFormat="1" ht="14.25">
      <c r="A18" s="130">
        <v>13</v>
      </c>
      <c r="B18" s="99" t="s">
        <v>453</v>
      </c>
      <c r="C18" s="98" t="s">
        <v>10</v>
      </c>
      <c r="D18" s="125">
        <v>6</v>
      </c>
      <c r="E18" s="126"/>
      <c r="F18" s="127"/>
    </row>
    <row r="19" spans="1:6" s="97" customFormat="1" ht="42.75">
      <c r="A19" s="49">
        <v>14</v>
      </c>
      <c r="B19" s="68" t="s">
        <v>452</v>
      </c>
      <c r="C19" s="49" t="s">
        <v>7</v>
      </c>
      <c r="D19" s="49">
        <v>40</v>
      </c>
      <c r="E19" s="49"/>
      <c r="F19" s="49"/>
    </row>
    <row r="20" spans="1:6" s="97" customFormat="1" ht="42.75">
      <c r="A20" s="49">
        <v>16</v>
      </c>
      <c r="B20" s="68" t="s">
        <v>451</v>
      </c>
      <c r="C20" s="49" t="s">
        <v>7</v>
      </c>
      <c r="D20" s="49">
        <v>25</v>
      </c>
      <c r="E20" s="49"/>
      <c r="F20" s="49"/>
    </row>
    <row r="21" spans="1:6" s="97" customFormat="1" ht="42.75">
      <c r="A21" s="49">
        <v>17</v>
      </c>
      <c r="B21" s="68" t="s">
        <v>450</v>
      </c>
      <c r="C21" s="49" t="s">
        <v>7</v>
      </c>
      <c r="D21" s="49">
        <v>7</v>
      </c>
      <c r="E21" s="49"/>
      <c r="F21" s="49"/>
    </row>
    <row r="22" spans="1:6" s="97" customFormat="1" ht="42.75">
      <c r="A22" s="49">
        <v>18</v>
      </c>
      <c r="B22" s="68" t="s">
        <v>449</v>
      </c>
      <c r="C22" s="49" t="s">
        <v>7</v>
      </c>
      <c r="D22" s="49">
        <v>30</v>
      </c>
      <c r="E22" s="49"/>
      <c r="F22" s="49"/>
    </row>
    <row r="23" spans="1:6" s="97" customFormat="1" ht="28.5">
      <c r="A23" s="49">
        <v>19</v>
      </c>
      <c r="B23" s="68" t="s">
        <v>448</v>
      </c>
      <c r="C23" s="49" t="s">
        <v>7</v>
      </c>
      <c r="D23" s="49">
        <v>160</v>
      </c>
      <c r="E23" s="49"/>
      <c r="F23" s="49"/>
    </row>
    <row r="24" spans="1:7" s="52" customFormat="1" ht="14.25">
      <c r="A24" s="49">
        <v>20</v>
      </c>
      <c r="B24" s="68" t="s">
        <v>447</v>
      </c>
      <c r="C24" s="49" t="s">
        <v>7</v>
      </c>
      <c r="D24" s="49">
        <v>25</v>
      </c>
      <c r="E24" s="49"/>
      <c r="F24" s="49"/>
      <c r="G24" s="51"/>
    </row>
    <row r="25" spans="1:7" s="52" customFormat="1" ht="14.25">
      <c r="A25" s="49">
        <v>21</v>
      </c>
      <c r="B25" s="68" t="s">
        <v>446</v>
      </c>
      <c r="C25" s="49" t="s">
        <v>7</v>
      </c>
      <c r="D25" s="49">
        <v>7</v>
      </c>
      <c r="E25" s="49"/>
      <c r="F25" s="49"/>
      <c r="G25" s="51"/>
    </row>
    <row r="26" spans="1:6" s="81" customFormat="1" ht="15.75">
      <c r="A26" s="49">
        <v>22</v>
      </c>
      <c r="B26" s="69" t="s">
        <v>445</v>
      </c>
      <c r="C26" s="49" t="s">
        <v>7</v>
      </c>
      <c r="D26" s="49">
        <v>160</v>
      </c>
      <c r="E26" s="49"/>
      <c r="F26" s="49"/>
    </row>
    <row r="27" spans="1:8" s="129" customFormat="1" ht="14.25">
      <c r="A27" s="98">
        <v>23</v>
      </c>
      <c r="B27" s="99" t="s">
        <v>444</v>
      </c>
      <c r="C27" s="98" t="s">
        <v>10</v>
      </c>
      <c r="D27" s="125">
        <v>2</v>
      </c>
      <c r="E27" s="126"/>
      <c r="F27" s="127"/>
      <c r="G27" s="103" t="s">
        <v>36</v>
      </c>
      <c r="H27" s="128"/>
    </row>
    <row r="28" spans="1:8" s="129" customFormat="1" ht="14.25">
      <c r="A28" s="98">
        <v>24</v>
      </c>
      <c r="B28" s="99" t="s">
        <v>443</v>
      </c>
      <c r="C28" s="98" t="s">
        <v>10</v>
      </c>
      <c r="D28" s="125">
        <v>2</v>
      </c>
      <c r="E28" s="126"/>
      <c r="F28" s="127"/>
      <c r="G28" s="103" t="s">
        <v>36</v>
      </c>
      <c r="H28" s="128"/>
    </row>
    <row r="29" spans="1:8" s="129" customFormat="1" ht="14.25">
      <c r="A29" s="98">
        <v>25</v>
      </c>
      <c r="B29" s="99" t="s">
        <v>442</v>
      </c>
      <c r="C29" s="98" t="s">
        <v>10</v>
      </c>
      <c r="D29" s="125">
        <v>1</v>
      </c>
      <c r="E29" s="126"/>
      <c r="F29" s="127"/>
      <c r="G29" s="103" t="s">
        <v>36</v>
      </c>
      <c r="H29" s="128"/>
    </row>
    <row r="30" spans="1:8" s="129" customFormat="1" ht="27">
      <c r="A30" s="98">
        <v>26</v>
      </c>
      <c r="B30" s="99" t="s">
        <v>441</v>
      </c>
      <c r="C30" s="98" t="s">
        <v>10</v>
      </c>
      <c r="D30" s="125">
        <v>1</v>
      </c>
      <c r="E30" s="126"/>
      <c r="F30" s="127"/>
      <c r="G30" s="103" t="s">
        <v>36</v>
      </c>
      <c r="H30" s="128"/>
    </row>
    <row r="31" spans="1:8" s="129" customFormat="1" ht="27">
      <c r="A31" s="98">
        <v>27</v>
      </c>
      <c r="B31" s="99" t="s">
        <v>440</v>
      </c>
      <c r="C31" s="98" t="s">
        <v>10</v>
      </c>
      <c r="D31" s="125">
        <v>1</v>
      </c>
      <c r="E31" s="126"/>
      <c r="F31" s="127"/>
      <c r="G31" s="103" t="s">
        <v>36</v>
      </c>
      <c r="H31" s="128"/>
    </row>
    <row r="32" spans="1:6" s="81" customFormat="1" ht="15.75">
      <c r="A32" s="49">
        <v>28</v>
      </c>
      <c r="B32" s="138" t="s">
        <v>439</v>
      </c>
      <c r="C32" s="49" t="s">
        <v>68</v>
      </c>
      <c r="D32" s="49">
        <v>2</v>
      </c>
      <c r="E32" s="49"/>
      <c r="F32" s="49"/>
    </row>
    <row r="33" spans="1:6" s="81" customFormat="1" ht="15.75">
      <c r="A33" s="49">
        <v>29</v>
      </c>
      <c r="B33" s="138" t="s">
        <v>438</v>
      </c>
      <c r="C33" s="49" t="s">
        <v>68</v>
      </c>
      <c r="D33" s="49">
        <v>2</v>
      </c>
      <c r="E33" s="49"/>
      <c r="F33" s="49"/>
    </row>
    <row r="34" spans="1:6" s="81" customFormat="1" ht="15.75">
      <c r="A34" s="49">
        <v>30</v>
      </c>
      <c r="B34" s="138" t="s">
        <v>437</v>
      </c>
      <c r="C34" s="49" t="s">
        <v>68</v>
      </c>
      <c r="D34" s="49">
        <v>1</v>
      </c>
      <c r="E34" s="49"/>
      <c r="F34" s="49"/>
    </row>
    <row r="35" spans="1:8" s="63" customFormat="1" ht="14.25">
      <c r="A35" s="130">
        <v>31</v>
      </c>
      <c r="B35" s="68" t="s">
        <v>436</v>
      </c>
      <c r="C35" s="100" t="s">
        <v>10</v>
      </c>
      <c r="D35" s="125">
        <v>16</v>
      </c>
      <c r="E35" s="101"/>
      <c r="F35" s="102"/>
      <c r="G35" s="103"/>
      <c r="H35" s="103"/>
    </row>
    <row r="36" spans="1:8" s="63" customFormat="1" ht="14.25">
      <c r="A36" s="130">
        <v>32</v>
      </c>
      <c r="B36" s="68" t="s">
        <v>435</v>
      </c>
      <c r="C36" s="100" t="s">
        <v>10</v>
      </c>
      <c r="D36" s="125">
        <v>3</v>
      </c>
      <c r="E36" s="101"/>
      <c r="F36" s="102"/>
      <c r="G36" s="103"/>
      <c r="H36" s="103"/>
    </row>
    <row r="37" spans="1:8" s="63" customFormat="1" ht="14.25">
      <c r="A37" s="130">
        <v>33</v>
      </c>
      <c r="B37" s="68" t="s">
        <v>434</v>
      </c>
      <c r="C37" s="100" t="s">
        <v>10</v>
      </c>
      <c r="D37" s="125">
        <v>10</v>
      </c>
      <c r="E37" s="101"/>
      <c r="F37" s="102"/>
      <c r="G37" s="103"/>
      <c r="H37" s="103"/>
    </row>
    <row r="38" spans="1:8" s="63" customFormat="1" ht="14.25">
      <c r="A38" s="130">
        <v>34</v>
      </c>
      <c r="B38" s="68" t="s">
        <v>433</v>
      </c>
      <c r="C38" s="100" t="s">
        <v>10</v>
      </c>
      <c r="D38" s="125">
        <v>1</v>
      </c>
      <c r="E38" s="101"/>
      <c r="F38" s="102"/>
      <c r="G38" s="103"/>
      <c r="H38" s="103"/>
    </row>
    <row r="39" spans="1:8" s="63" customFormat="1" ht="14.25">
      <c r="A39" s="130">
        <v>35</v>
      </c>
      <c r="B39" s="68" t="s">
        <v>432</v>
      </c>
      <c r="C39" s="100" t="s">
        <v>10</v>
      </c>
      <c r="D39" s="125">
        <v>3</v>
      </c>
      <c r="E39" s="101"/>
      <c r="F39" s="102"/>
      <c r="G39" s="103"/>
      <c r="H39" s="103"/>
    </row>
    <row r="40" spans="1:8" s="63" customFormat="1" ht="14.25">
      <c r="A40" s="130">
        <v>36</v>
      </c>
      <c r="B40" s="68" t="s">
        <v>431</v>
      </c>
      <c r="C40" s="100" t="s">
        <v>10</v>
      </c>
      <c r="D40" s="125">
        <v>4</v>
      </c>
      <c r="E40" s="101"/>
      <c r="F40" s="102"/>
      <c r="G40" s="103"/>
      <c r="H40" s="103"/>
    </row>
    <row r="41" spans="1:8" s="63" customFormat="1" ht="14.25">
      <c r="A41" s="130">
        <v>37</v>
      </c>
      <c r="B41" s="68" t="s">
        <v>430</v>
      </c>
      <c r="C41" s="100" t="s">
        <v>10</v>
      </c>
      <c r="D41" s="125">
        <v>5</v>
      </c>
      <c r="E41" s="101"/>
      <c r="F41" s="102"/>
      <c r="G41" s="103"/>
      <c r="H41" s="103"/>
    </row>
    <row r="42" spans="1:8" s="63" customFormat="1" ht="28.5">
      <c r="A42" s="130">
        <v>38</v>
      </c>
      <c r="B42" s="68" t="s">
        <v>429</v>
      </c>
      <c r="C42" s="100" t="s">
        <v>10</v>
      </c>
      <c r="D42" s="125">
        <v>4</v>
      </c>
      <c r="E42" s="101"/>
      <c r="F42" s="102"/>
      <c r="G42" s="103"/>
      <c r="H42" s="103"/>
    </row>
    <row r="43" spans="1:8" s="63" customFormat="1" ht="28.5">
      <c r="A43" s="130">
        <v>39</v>
      </c>
      <c r="B43" s="68" t="s">
        <v>428</v>
      </c>
      <c r="C43" s="100" t="s">
        <v>10</v>
      </c>
      <c r="D43" s="125">
        <v>1</v>
      </c>
      <c r="E43" s="101"/>
      <c r="F43" s="102"/>
      <c r="G43" s="103"/>
      <c r="H43" s="103"/>
    </row>
    <row r="44" spans="1:10" s="240" customFormat="1" ht="28.5">
      <c r="A44" s="62">
        <v>40</v>
      </c>
      <c r="B44" s="68" t="s">
        <v>427</v>
      </c>
      <c r="C44" s="49" t="s">
        <v>25</v>
      </c>
      <c r="D44" s="224">
        <f>SUM(D46:D57)</f>
        <v>0.9460999999999999</v>
      </c>
      <c r="E44" s="49"/>
      <c r="F44" s="49"/>
      <c r="G44" s="109"/>
      <c r="H44" s="110"/>
      <c r="I44" s="110"/>
      <c r="J44" s="110"/>
    </row>
    <row r="45" spans="1:9" s="106" customFormat="1" ht="14.25">
      <c r="A45" s="42"/>
      <c r="B45" s="59" t="s">
        <v>6</v>
      </c>
      <c r="C45" s="59"/>
      <c r="D45" s="65"/>
      <c r="E45" s="59"/>
      <c r="F45" s="65"/>
      <c r="G45" s="75"/>
      <c r="H45" s="105"/>
      <c r="I45" s="105"/>
    </row>
    <row r="46" spans="1:9" s="106" customFormat="1" ht="14.25">
      <c r="A46" s="140"/>
      <c r="B46" s="141" t="s">
        <v>426</v>
      </c>
      <c r="C46" s="142" t="s">
        <v>25</v>
      </c>
      <c r="D46" s="143">
        <f>52/1000*2</f>
        <v>0.104</v>
      </c>
      <c r="E46" s="135"/>
      <c r="F46" s="135"/>
      <c r="G46" s="75"/>
      <c r="H46" s="105"/>
      <c r="I46" s="105"/>
    </row>
    <row r="47" spans="1:9" s="106" customFormat="1" ht="14.25">
      <c r="A47" s="140"/>
      <c r="B47" s="141" t="s">
        <v>425</v>
      </c>
      <c r="C47" s="142" t="s">
        <v>25</v>
      </c>
      <c r="D47" s="143">
        <f>77/1000</f>
        <v>0.077</v>
      </c>
      <c r="E47" s="135"/>
      <c r="F47" s="135"/>
      <c r="G47" s="75"/>
      <c r="H47" s="105"/>
      <c r="I47" s="105"/>
    </row>
    <row r="48" spans="1:9" s="106" customFormat="1" ht="14.25">
      <c r="A48" s="140"/>
      <c r="B48" s="141" t="s">
        <v>424</v>
      </c>
      <c r="C48" s="142" t="s">
        <v>25</v>
      </c>
      <c r="D48" s="143">
        <f>56/1000*2</f>
        <v>0.112</v>
      </c>
      <c r="E48" s="135"/>
      <c r="F48" s="135"/>
      <c r="G48" s="75"/>
      <c r="H48" s="105"/>
      <c r="I48" s="105"/>
    </row>
    <row r="49" spans="1:9" s="106" customFormat="1" ht="14.25">
      <c r="A49" s="140"/>
      <c r="B49" s="141" t="s">
        <v>423</v>
      </c>
      <c r="C49" s="142" t="s">
        <v>25</v>
      </c>
      <c r="D49" s="143">
        <f>15/1000*1</f>
        <v>0.015</v>
      </c>
      <c r="E49" s="135"/>
      <c r="F49" s="135"/>
      <c r="G49" s="75"/>
      <c r="H49" s="105"/>
      <c r="I49" s="105"/>
    </row>
    <row r="50" spans="1:9" s="106" customFormat="1" ht="14.25">
      <c r="A50" s="140"/>
      <c r="B50" s="141" t="s">
        <v>422</v>
      </c>
      <c r="C50" s="142" t="s">
        <v>25</v>
      </c>
      <c r="D50" s="143">
        <f>28/1000*7</f>
        <v>0.196</v>
      </c>
      <c r="E50" s="135"/>
      <c r="F50" s="135"/>
      <c r="G50" s="75"/>
      <c r="H50" s="105"/>
      <c r="I50" s="105"/>
    </row>
    <row r="51" spans="1:9" s="106" customFormat="1" ht="14.25">
      <c r="A51" s="140"/>
      <c r="B51" s="141" t="s">
        <v>421</v>
      </c>
      <c r="C51" s="142" t="s">
        <v>25</v>
      </c>
      <c r="D51" s="143">
        <f>7.7/1000*2</f>
        <v>0.0154</v>
      </c>
      <c r="E51" s="135"/>
      <c r="F51" s="135"/>
      <c r="G51" s="75"/>
      <c r="H51" s="105"/>
      <c r="I51" s="105"/>
    </row>
    <row r="52" spans="1:9" s="106" customFormat="1" ht="14.25">
      <c r="A52" s="140"/>
      <c r="B52" s="141" t="s">
        <v>420</v>
      </c>
      <c r="C52" s="142" t="s">
        <v>25</v>
      </c>
      <c r="D52" s="143">
        <f>35/1000*2</f>
        <v>0.07</v>
      </c>
      <c r="E52" s="135"/>
      <c r="F52" s="135"/>
      <c r="G52" s="75"/>
      <c r="H52" s="105"/>
      <c r="I52" s="105"/>
    </row>
    <row r="53" spans="1:9" s="106" customFormat="1" ht="14.25">
      <c r="A53" s="140"/>
      <c r="B53" s="141" t="s">
        <v>419</v>
      </c>
      <c r="C53" s="142" t="s">
        <v>25</v>
      </c>
      <c r="D53" s="143">
        <f>56/1000</f>
        <v>0.056</v>
      </c>
      <c r="E53" s="135"/>
      <c r="F53" s="135"/>
      <c r="G53" s="75"/>
      <c r="H53" s="105"/>
      <c r="I53" s="105"/>
    </row>
    <row r="54" spans="1:9" s="106" customFormat="1" ht="14.25">
      <c r="A54" s="140"/>
      <c r="B54" s="141" t="s">
        <v>418</v>
      </c>
      <c r="C54" s="142" t="s">
        <v>25</v>
      </c>
      <c r="D54" s="143">
        <f>56/1000*2</f>
        <v>0.112</v>
      </c>
      <c r="E54" s="135"/>
      <c r="F54" s="135"/>
      <c r="G54" s="75"/>
      <c r="H54" s="105"/>
      <c r="I54" s="105"/>
    </row>
    <row r="55" spans="1:9" s="106" customFormat="1" ht="14.25">
      <c r="A55" s="140"/>
      <c r="B55" s="141" t="s">
        <v>417</v>
      </c>
      <c r="C55" s="142" t="s">
        <v>25</v>
      </c>
      <c r="D55" s="143">
        <f>33.9/1000*2</f>
        <v>0.0678</v>
      </c>
      <c r="E55" s="135"/>
      <c r="F55" s="135"/>
      <c r="G55" s="75"/>
      <c r="H55" s="105"/>
      <c r="I55" s="105"/>
    </row>
    <row r="56" spans="1:9" s="106" customFormat="1" ht="14.25">
      <c r="A56" s="140"/>
      <c r="B56" s="141" t="s">
        <v>416</v>
      </c>
      <c r="C56" s="142" t="s">
        <v>25</v>
      </c>
      <c r="D56" s="143">
        <f>33.3/1000*3</f>
        <v>0.09989999999999999</v>
      </c>
      <c r="E56" s="135"/>
      <c r="F56" s="135"/>
      <c r="G56" s="75"/>
      <c r="H56" s="105"/>
      <c r="I56" s="105"/>
    </row>
    <row r="57" spans="1:9" s="106" customFormat="1" ht="14.25">
      <c r="A57" s="140"/>
      <c r="B57" s="141" t="s">
        <v>415</v>
      </c>
      <c r="C57" s="142" t="s">
        <v>25</v>
      </c>
      <c r="D57" s="143">
        <f>3/1000*7</f>
        <v>0.021</v>
      </c>
      <c r="E57" s="135"/>
      <c r="F57" s="135"/>
      <c r="G57" s="75"/>
      <c r="H57" s="105"/>
      <c r="I57" s="105"/>
    </row>
    <row r="58" spans="1:6" s="106" customFormat="1" ht="28.5">
      <c r="A58" s="130">
        <v>41</v>
      </c>
      <c r="B58" s="99" t="s">
        <v>414</v>
      </c>
      <c r="C58" s="98" t="s">
        <v>10</v>
      </c>
      <c r="D58" s="125">
        <v>5</v>
      </c>
      <c r="E58" s="126"/>
      <c r="F58" s="127"/>
    </row>
    <row r="59" spans="1:6" s="106" customFormat="1" ht="28.5">
      <c r="A59" s="130">
        <v>42</v>
      </c>
      <c r="B59" s="99" t="s">
        <v>413</v>
      </c>
      <c r="C59" s="98" t="s">
        <v>10</v>
      </c>
      <c r="D59" s="125">
        <v>3</v>
      </c>
      <c r="E59" s="126"/>
      <c r="F59" s="127"/>
    </row>
    <row r="60" spans="1:10" s="240" customFormat="1" ht="14.25">
      <c r="A60" s="62">
        <v>43</v>
      </c>
      <c r="B60" s="68" t="s">
        <v>412</v>
      </c>
      <c r="C60" s="49" t="s">
        <v>10</v>
      </c>
      <c r="D60" s="108">
        <f>SUM(D62:D63)</f>
        <v>4</v>
      </c>
      <c r="E60" s="49"/>
      <c r="F60" s="49"/>
      <c r="G60" s="109"/>
      <c r="H60" s="110"/>
      <c r="I60" s="110"/>
      <c r="J60" s="110"/>
    </row>
    <row r="61" spans="1:6" s="106" customFormat="1" ht="14.25">
      <c r="A61" s="111"/>
      <c r="B61" s="59" t="s">
        <v>6</v>
      </c>
      <c r="C61" s="112"/>
      <c r="D61" s="112"/>
      <c r="E61" s="112"/>
      <c r="F61" s="113"/>
    </row>
    <row r="62" spans="1:6" s="114" customFormat="1" ht="14.25">
      <c r="A62" s="42"/>
      <c r="B62" s="32" t="s">
        <v>411</v>
      </c>
      <c r="C62" s="59" t="s">
        <v>10</v>
      </c>
      <c r="D62" s="65">
        <v>1</v>
      </c>
      <c r="E62" s="67"/>
      <c r="F62" s="65"/>
    </row>
    <row r="63" spans="1:6" s="114" customFormat="1" ht="14.25">
      <c r="A63" s="42"/>
      <c r="B63" s="32" t="s">
        <v>410</v>
      </c>
      <c r="C63" s="59" t="s">
        <v>10</v>
      </c>
      <c r="D63" s="65">
        <v>3</v>
      </c>
      <c r="E63" s="67"/>
      <c r="F63" s="65"/>
    </row>
    <row r="64" spans="1:7" s="52" customFormat="1" ht="14.25">
      <c r="A64" s="49">
        <v>44</v>
      </c>
      <c r="B64" s="69" t="s">
        <v>409</v>
      </c>
      <c r="C64" s="50" t="s">
        <v>10</v>
      </c>
      <c r="D64" s="74" t="e">
        <f>#REF!*D66</f>
        <v>#REF!</v>
      </c>
      <c r="E64" s="50"/>
      <c r="F64" s="167"/>
      <c r="G64" s="51"/>
    </row>
    <row r="65" spans="1:6" s="7" customFormat="1" ht="15.75">
      <c r="A65" s="42"/>
      <c r="B65" s="31" t="s">
        <v>6</v>
      </c>
      <c r="C65" s="31"/>
      <c r="D65" s="36"/>
      <c r="E65" s="31"/>
      <c r="F65" s="36"/>
    </row>
    <row r="66" spans="1:6" s="7" customFormat="1" ht="15.75">
      <c r="A66" s="42"/>
      <c r="B66" s="32" t="s">
        <v>408</v>
      </c>
      <c r="C66" s="31" t="s">
        <v>10</v>
      </c>
      <c r="D66" s="36">
        <v>1</v>
      </c>
      <c r="E66" s="67"/>
      <c r="F66" s="36"/>
    </row>
    <row r="67" spans="1:7" s="52" customFormat="1" ht="14.25">
      <c r="A67" s="49">
        <v>45</v>
      </c>
      <c r="B67" s="69" t="s">
        <v>407</v>
      </c>
      <c r="C67" s="50" t="s">
        <v>25</v>
      </c>
      <c r="D67" s="74">
        <f>(D69+D72+D73)/1000</f>
        <v>0.29641999999999996</v>
      </c>
      <c r="E67" s="50"/>
      <c r="F67" s="167"/>
      <c r="G67" s="51"/>
    </row>
    <row r="68" spans="1:6" s="47" customFormat="1" ht="13.5">
      <c r="A68" s="31"/>
      <c r="B68" s="31" t="s">
        <v>26</v>
      </c>
      <c r="C68" s="31"/>
      <c r="D68" s="36"/>
      <c r="E68" s="34"/>
      <c r="F68" s="145"/>
    </row>
    <row r="69" spans="1:6" s="47" customFormat="1" ht="13.5">
      <c r="A69" s="66"/>
      <c r="B69" s="39" t="s">
        <v>406</v>
      </c>
      <c r="C69" s="31" t="s">
        <v>69</v>
      </c>
      <c r="D69" s="36">
        <f>22*13</f>
        <v>286</v>
      </c>
      <c r="E69" s="70"/>
      <c r="F69" s="148"/>
    </row>
    <row r="70" spans="1:6" s="47" customFormat="1" ht="13.5">
      <c r="A70" s="66"/>
      <c r="B70" s="39" t="s">
        <v>405</v>
      </c>
      <c r="C70" s="31" t="s">
        <v>10</v>
      </c>
      <c r="D70" s="36">
        <v>4</v>
      </c>
      <c r="E70" s="70"/>
      <c r="F70" s="148"/>
    </row>
    <row r="71" spans="1:6" s="47" customFormat="1" ht="13.5">
      <c r="A71" s="66"/>
      <c r="B71" s="39" t="s">
        <v>404</v>
      </c>
      <c r="C71" s="31" t="s">
        <v>10</v>
      </c>
      <c r="D71" s="36">
        <v>4</v>
      </c>
      <c r="E71" s="70"/>
      <c r="F71" s="148"/>
    </row>
    <row r="72" spans="1:6" s="47" customFormat="1" ht="13.5">
      <c r="A72" s="66"/>
      <c r="B72" s="39" t="s">
        <v>403</v>
      </c>
      <c r="C72" s="31" t="s">
        <v>69</v>
      </c>
      <c r="D72" s="36">
        <v>0.2</v>
      </c>
      <c r="E72" s="70"/>
      <c r="F72" s="148"/>
    </row>
    <row r="73" spans="1:6" s="47" customFormat="1" ht="13.5">
      <c r="A73" s="66"/>
      <c r="B73" s="39" t="s">
        <v>402</v>
      </c>
      <c r="C73" s="31" t="s">
        <v>69</v>
      </c>
      <c r="D73" s="36">
        <f>1.46*7</f>
        <v>10.219999999999999</v>
      </c>
      <c r="E73" s="70"/>
      <c r="F73" s="148"/>
    </row>
    <row r="74" spans="1:7" s="52" customFormat="1" ht="28.5">
      <c r="A74" s="49">
        <v>46</v>
      </c>
      <c r="B74" s="69" t="s">
        <v>401</v>
      </c>
      <c r="C74" s="50" t="s">
        <v>25</v>
      </c>
      <c r="D74" s="74">
        <f>SUM(D76:D78)/1000</f>
        <v>0.03016</v>
      </c>
      <c r="E74" s="50"/>
      <c r="F74" s="167"/>
      <c r="G74" s="51"/>
    </row>
    <row r="75" spans="1:6" s="47" customFormat="1" ht="13.5">
      <c r="A75" s="31"/>
      <c r="B75" s="31" t="s">
        <v>26</v>
      </c>
      <c r="C75" s="31"/>
      <c r="D75" s="36"/>
      <c r="E75" s="34"/>
      <c r="F75" s="145"/>
    </row>
    <row r="76" spans="1:6" s="47" customFormat="1" ht="13.5">
      <c r="A76" s="66"/>
      <c r="B76" s="39" t="s">
        <v>400</v>
      </c>
      <c r="C76" s="31" t="s">
        <v>69</v>
      </c>
      <c r="D76" s="36">
        <f>1.36*1.5*4</f>
        <v>8.16</v>
      </c>
      <c r="E76" s="70"/>
      <c r="F76" s="148"/>
    </row>
    <row r="77" spans="1:6" s="47" customFormat="1" ht="13.5">
      <c r="A77" s="66"/>
      <c r="B77" s="39" t="s">
        <v>399</v>
      </c>
      <c r="C77" s="31" t="s">
        <v>69</v>
      </c>
      <c r="D77" s="36">
        <f>2*4</f>
        <v>8</v>
      </c>
      <c r="E77" s="70"/>
      <c r="F77" s="148"/>
    </row>
    <row r="78" spans="1:6" s="47" customFormat="1" ht="13.5">
      <c r="A78" s="66"/>
      <c r="B78" s="39" t="s">
        <v>398</v>
      </c>
      <c r="C78" s="31" t="s">
        <v>69</v>
      </c>
      <c r="D78" s="36">
        <f>3.5*4</f>
        <v>14</v>
      </c>
      <c r="E78" s="70"/>
      <c r="F78" s="148"/>
    </row>
    <row r="79" spans="1:6" s="47" customFormat="1" ht="13.5">
      <c r="A79" s="66"/>
      <c r="B79" s="39" t="s">
        <v>397</v>
      </c>
      <c r="C79" s="31" t="s">
        <v>10</v>
      </c>
      <c r="D79" s="36">
        <v>8</v>
      </c>
      <c r="E79" s="70"/>
      <c r="F79" s="148"/>
    </row>
    <row r="80" spans="1:6" s="47" customFormat="1" ht="13.5">
      <c r="A80" s="66"/>
      <c r="B80" s="39" t="s">
        <v>396</v>
      </c>
      <c r="C80" s="31" t="s">
        <v>10</v>
      </c>
      <c r="D80" s="36">
        <v>8</v>
      </c>
      <c r="E80" s="70"/>
      <c r="F80" s="148"/>
    </row>
    <row r="81" spans="1:6" s="47" customFormat="1" ht="13.5">
      <c r="A81" s="66"/>
      <c r="B81" s="39" t="s">
        <v>395</v>
      </c>
      <c r="C81" s="31" t="s">
        <v>10</v>
      </c>
      <c r="D81" s="36">
        <v>16</v>
      </c>
      <c r="E81" s="70"/>
      <c r="F81" s="148"/>
    </row>
    <row r="82" spans="1:6" s="106" customFormat="1" ht="42.75">
      <c r="A82" s="62">
        <v>47</v>
      </c>
      <c r="B82" s="69" t="s">
        <v>394</v>
      </c>
      <c r="C82" s="49" t="s">
        <v>230</v>
      </c>
      <c r="D82" s="152">
        <f>(0.35*2*2+0.45+0.45)/10</f>
        <v>0.22999999999999998</v>
      </c>
      <c r="E82" s="49"/>
      <c r="F82" s="49"/>
    </row>
    <row r="83" spans="1:6" s="35" customFormat="1" ht="28.5">
      <c r="A83" s="62">
        <v>48</v>
      </c>
      <c r="B83" s="69" t="s">
        <v>393</v>
      </c>
      <c r="C83" s="50" t="s">
        <v>27</v>
      </c>
      <c r="D83" s="49">
        <v>69</v>
      </c>
      <c r="E83" s="50"/>
      <c r="F83" s="78"/>
    </row>
    <row r="84" spans="1:7" s="52" customFormat="1" ht="28.5">
      <c r="A84" s="49">
        <v>49</v>
      </c>
      <c r="B84" s="69" t="s">
        <v>392</v>
      </c>
      <c r="C84" s="50" t="s">
        <v>27</v>
      </c>
      <c r="D84" s="74">
        <v>6</v>
      </c>
      <c r="E84" s="50"/>
      <c r="F84" s="78"/>
      <c r="G84" s="51"/>
    </row>
    <row r="85" spans="1:7" s="52" customFormat="1" ht="14.25">
      <c r="A85" s="49">
        <v>50</v>
      </c>
      <c r="B85" s="69" t="s">
        <v>391</v>
      </c>
      <c r="C85" s="50" t="s">
        <v>9</v>
      </c>
      <c r="D85" s="74">
        <v>800</v>
      </c>
      <c r="E85" s="50"/>
      <c r="F85" s="78"/>
      <c r="G85" s="51"/>
    </row>
    <row r="86" spans="1:7" s="52" customFormat="1" ht="14.25">
      <c r="A86" s="49">
        <v>51</v>
      </c>
      <c r="B86" s="69" t="s">
        <v>390</v>
      </c>
      <c r="C86" s="50" t="s">
        <v>9</v>
      </c>
      <c r="D86" s="74">
        <v>800</v>
      </c>
      <c r="E86" s="50"/>
      <c r="F86" s="78"/>
      <c r="G86" s="51"/>
    </row>
    <row r="87" spans="1:6" s="92" customFormat="1" ht="16.5">
      <c r="A87" s="89"/>
      <c r="B87" s="161" t="s">
        <v>389</v>
      </c>
      <c r="C87" s="89"/>
      <c r="D87" s="89"/>
      <c r="E87" s="90"/>
      <c r="F87" s="91"/>
    </row>
    <row r="88" spans="1:6" s="51" customFormat="1" ht="14.25">
      <c r="A88" s="119">
        <v>52</v>
      </c>
      <c r="B88" s="131" t="s">
        <v>388</v>
      </c>
      <c r="C88" s="115" t="s">
        <v>34</v>
      </c>
      <c r="D88" s="132">
        <f>1.5/100</f>
        <v>0.015</v>
      </c>
      <c r="E88" s="116"/>
      <c r="F88" s="94"/>
    </row>
    <row r="89" spans="1:6" s="123" customFormat="1" ht="28.5">
      <c r="A89" s="146">
        <v>53</v>
      </c>
      <c r="B89" s="147" t="s">
        <v>387</v>
      </c>
      <c r="C89" s="119" t="s">
        <v>34</v>
      </c>
      <c r="D89" s="132">
        <f>3/100</f>
        <v>0.03</v>
      </c>
      <c r="E89" s="93"/>
      <c r="F89" s="93"/>
    </row>
    <row r="90" spans="1:6" s="47" customFormat="1" ht="13.5">
      <c r="A90" s="31"/>
      <c r="B90" s="31" t="s">
        <v>26</v>
      </c>
      <c r="C90" s="31"/>
      <c r="D90" s="36"/>
      <c r="E90" s="34"/>
      <c r="F90" s="145"/>
    </row>
    <row r="91" spans="1:6" s="47" customFormat="1" ht="13.5">
      <c r="A91" s="66"/>
      <c r="B91" s="39" t="s">
        <v>386</v>
      </c>
      <c r="C91" s="31" t="s">
        <v>69</v>
      </c>
      <c r="D91" s="144">
        <v>12.6</v>
      </c>
      <c r="E91" s="70"/>
      <c r="F91" s="148"/>
    </row>
    <row r="92" spans="1:6" s="35" customFormat="1" ht="13.5">
      <c r="A92" s="41"/>
      <c r="B92" s="39" t="s">
        <v>385</v>
      </c>
      <c r="C92" s="34" t="s">
        <v>69</v>
      </c>
      <c r="D92" s="124">
        <v>840.1</v>
      </c>
      <c r="E92" s="70"/>
      <c r="F92" s="148"/>
    </row>
    <row r="93" spans="1:6" s="35" customFormat="1" ht="13.5">
      <c r="A93" s="41"/>
      <c r="B93" s="39" t="s">
        <v>384</v>
      </c>
      <c r="C93" s="34" t="s">
        <v>69</v>
      </c>
      <c r="D93" s="124">
        <v>6.1</v>
      </c>
      <c r="E93" s="70"/>
      <c r="F93" s="148"/>
    </row>
    <row r="94" spans="1:7" s="52" customFormat="1" ht="28.5">
      <c r="A94" s="49">
        <v>54</v>
      </c>
      <c r="B94" s="69" t="s">
        <v>383</v>
      </c>
      <c r="C94" s="50" t="s">
        <v>25</v>
      </c>
      <c r="D94" s="50">
        <v>0.06</v>
      </c>
      <c r="E94" s="50"/>
      <c r="F94" s="167"/>
      <c r="G94" s="51"/>
    </row>
    <row r="95" spans="1:6" s="52" customFormat="1" ht="14.25">
      <c r="A95" s="49">
        <v>55</v>
      </c>
      <c r="B95" s="69" t="s">
        <v>382</v>
      </c>
      <c r="C95" s="50" t="s">
        <v>109</v>
      </c>
      <c r="D95" s="74">
        <v>1</v>
      </c>
      <c r="E95" s="50"/>
      <c r="F95" s="167"/>
    </row>
    <row r="96" spans="1:6" s="52" customFormat="1" ht="14.25">
      <c r="A96" s="49">
        <v>56</v>
      </c>
      <c r="B96" s="69" t="s">
        <v>381</v>
      </c>
      <c r="C96" s="50" t="s">
        <v>109</v>
      </c>
      <c r="D96" s="74">
        <v>1</v>
      </c>
      <c r="E96" s="50"/>
      <c r="F96" s="167"/>
    </row>
    <row r="97" spans="1:6" s="95" customFormat="1" ht="14.25">
      <c r="A97" s="42"/>
      <c r="B97" s="38" t="s">
        <v>5</v>
      </c>
      <c r="C97" s="29"/>
      <c r="D97" s="48"/>
      <c r="E97" s="29"/>
      <c r="F97" s="30"/>
    </row>
    <row r="98" spans="1:6" s="35" customFormat="1" ht="13.5">
      <c r="A98" s="41"/>
      <c r="B98" s="39" t="s">
        <v>29</v>
      </c>
      <c r="C98" s="31"/>
      <c r="D98" s="31"/>
      <c r="E98" s="31"/>
      <c r="F98" s="31"/>
    </row>
    <row r="99" spans="1:6" s="95" customFormat="1" ht="14.25">
      <c r="A99" s="42"/>
      <c r="B99" s="38" t="s">
        <v>5</v>
      </c>
      <c r="C99" s="29"/>
      <c r="D99" s="48"/>
      <c r="E99" s="29"/>
      <c r="F99" s="43"/>
    </row>
    <row r="100" spans="1:6" s="35" customFormat="1" ht="13.5">
      <c r="A100" s="41"/>
      <c r="B100" s="39" t="s">
        <v>8</v>
      </c>
      <c r="C100" s="31"/>
      <c r="D100" s="37"/>
      <c r="E100" s="31"/>
      <c r="F100" s="44"/>
    </row>
    <row r="101" spans="1:6" s="95" customFormat="1" ht="14.25">
      <c r="A101" s="42"/>
      <c r="B101" s="38" t="s">
        <v>24</v>
      </c>
      <c r="C101" s="29"/>
      <c r="D101" s="48"/>
      <c r="E101" s="29"/>
      <c r="F101" s="30"/>
    </row>
    <row r="102" s="35" customFormat="1" ht="13.5"/>
    <row r="103" s="35" customFormat="1" ht="13.5"/>
    <row r="104" spans="2:6" s="7" customFormat="1" ht="15.75">
      <c r="B104" s="28"/>
      <c r="F104" s="27"/>
    </row>
    <row r="105" s="35" customFormat="1" ht="13.5">
      <c r="B105" s="28"/>
    </row>
    <row r="106" s="35" customFormat="1" ht="13.5"/>
    <row r="107" s="35" customFormat="1" ht="13.5"/>
  </sheetData>
  <sheetProtection/>
  <autoFilter ref="A1:A106"/>
  <mergeCells count="7">
    <mergeCell ref="B1:F1"/>
    <mergeCell ref="A3:A4"/>
    <mergeCell ref="B3:B4"/>
    <mergeCell ref="C3:C4"/>
    <mergeCell ref="B2:F2"/>
    <mergeCell ref="D3:D4"/>
    <mergeCell ref="E3:F3"/>
  </mergeCells>
  <printOptions/>
  <pageMargins left="0.64" right="0.45" top="0.27" bottom="0.36" header="0.22" footer="0.16"/>
  <pageSetup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Beka Narimanidze</cp:lastModifiedBy>
  <cp:lastPrinted>2020-05-22T07:09:04Z</cp:lastPrinted>
  <dcterms:created xsi:type="dcterms:W3CDTF">1996-10-14T23:33:28Z</dcterms:created>
  <dcterms:modified xsi:type="dcterms:W3CDTF">2020-05-22T08:30:39Z</dcterms:modified>
  <cp:category/>
  <cp:version/>
  <cp:contentType/>
  <cp:contentStatus/>
</cp:coreProperties>
</file>