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adeishvili\Desktop\23-03-2020_21-09-05\"/>
    </mc:Choice>
  </mc:AlternateContent>
  <bookViews>
    <workbookView xWindow="0" yWindow="0" windowWidth="28800" windowHeight="12228" tabRatio="942" firstSheet="4" activeTab="8"/>
  </bookViews>
  <sheets>
    <sheet name="ხე-მცენ. გაწმენ. მოც. უწყისი" sheetId="41" state="hidden" r:id="rId1"/>
    <sheet name="მიერთებების მოც.უწყისი" sheetId="14" state="hidden" r:id="rId2"/>
    <sheet name="ე.შ.მოც.უწყისი" sheetId="30" state="hidden" r:id="rId3"/>
    <sheet name="მიწის სამუშაოების უწყისი " sheetId="61" r:id="rId4"/>
    <sheet name="არსებული ჭები" sheetId="74" r:id="rId5"/>
    <sheet name="დახურული სანიაღვრე არხი" sheetId="79" r:id="rId6"/>
    <sheet name="მიერთებები" sheetId="80" r:id="rId7"/>
    <sheet name="საგზაო სამოსის მოწყობის უწყისი" sheetId="77" r:id="rId8"/>
    <sheet name="კრებსითი მოცულობები" sheetId="60" r:id="rId9"/>
  </sheets>
  <definedNames>
    <definedName name="_xlnm.Print_Area" localSheetId="4">'არსებული ჭები'!$A$1:$J$32</definedName>
    <definedName name="_xlnm.Print_Area" localSheetId="5">'დახურული სანიაღვრე არხი'!$A$1:$AE$34</definedName>
    <definedName name="_xlnm.Print_Area" localSheetId="2">ე.შ.მოც.უწყისი!$A$1:$N$37</definedName>
    <definedName name="_xlnm.Print_Area" localSheetId="8">'კრებსითი მოცულობები'!$A$1:$D$81</definedName>
    <definedName name="_xlnm.Print_Area" localSheetId="1">'მიერთებების მოც.უწყისი'!$A$1:$P$19</definedName>
    <definedName name="_xlnm.Print_Area" localSheetId="3">'მიწის სამუშაოების უწყისი '!$A$1:$E$65</definedName>
    <definedName name="_xlnm.Print_Area" localSheetId="7">'საგზაო სამოსის მოწყობის უწყისი'!$A$1:$W$19</definedName>
  </definedNames>
  <calcPr calcId="191029"/>
</workbook>
</file>

<file path=xl/calcChain.xml><?xml version="1.0" encoding="utf-8"?>
<calcChain xmlns="http://schemas.openxmlformats.org/spreadsheetml/2006/main">
  <c r="AA26" i="79" l="1"/>
  <c r="AA27" i="79"/>
  <c r="AA28" i="79"/>
  <c r="Z26" i="79"/>
  <c r="Z27" i="79"/>
  <c r="Z28" i="79"/>
  <c r="W26" i="79"/>
  <c r="W27" i="79"/>
  <c r="W28" i="79"/>
  <c r="V26" i="79"/>
  <c r="V27" i="79"/>
  <c r="V28" i="79"/>
  <c r="U26" i="79"/>
  <c r="U27" i="79"/>
  <c r="U28" i="79"/>
  <c r="T26" i="79"/>
  <c r="T27" i="79"/>
  <c r="T28" i="79"/>
  <c r="R26" i="79"/>
  <c r="R27" i="79"/>
  <c r="R28" i="79"/>
  <c r="Q26" i="79"/>
  <c r="Q27" i="79"/>
  <c r="Q28" i="79"/>
  <c r="P26" i="79"/>
  <c r="P27" i="79"/>
  <c r="P28" i="79"/>
  <c r="O26" i="79"/>
  <c r="O27" i="79"/>
  <c r="O28" i="79"/>
  <c r="N26" i="79"/>
  <c r="N27" i="79"/>
  <c r="N28" i="79"/>
  <c r="M26" i="79"/>
  <c r="M27" i="79"/>
  <c r="M28" i="79"/>
  <c r="L26" i="79"/>
  <c r="L27" i="79"/>
  <c r="L28" i="79"/>
  <c r="Z25" i="79"/>
  <c r="W25" i="79"/>
  <c r="V25" i="79"/>
  <c r="U25" i="79"/>
  <c r="T25" i="79"/>
  <c r="S25" i="79"/>
  <c r="R25" i="79"/>
  <c r="Q25" i="79"/>
  <c r="P25" i="79"/>
  <c r="N25" i="79"/>
  <c r="O25" i="79" s="1"/>
  <c r="M25" i="79"/>
  <c r="L25" i="79"/>
  <c r="AA25" i="79" s="1"/>
  <c r="Z11" i="79"/>
  <c r="Z9" i="79"/>
  <c r="Z10" i="79"/>
  <c r="Z12" i="79"/>
  <c r="Z13" i="79"/>
  <c r="Z14" i="79"/>
  <c r="Z15" i="79"/>
  <c r="Z16" i="79"/>
  <c r="Z17" i="79"/>
  <c r="Z18" i="79"/>
  <c r="Z19" i="79"/>
  <c r="Z20" i="79"/>
  <c r="Z21" i="79"/>
  <c r="Z22" i="79"/>
  <c r="Z8" i="79"/>
  <c r="U9" i="79"/>
  <c r="U10" i="79"/>
  <c r="U11" i="79"/>
  <c r="U12" i="79"/>
  <c r="U13" i="79"/>
  <c r="U14" i="79"/>
  <c r="U15" i="79"/>
  <c r="U16" i="79"/>
  <c r="U17" i="79"/>
  <c r="U18" i="79"/>
  <c r="U19" i="79"/>
  <c r="U20" i="79"/>
  <c r="U21" i="79"/>
  <c r="U22" i="79"/>
  <c r="U8" i="79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L21" i="79"/>
  <c r="L22" i="79"/>
  <c r="L20" i="79"/>
  <c r="M21" i="79"/>
  <c r="M22" i="79"/>
  <c r="M20" i="79"/>
  <c r="M16" i="79"/>
  <c r="M17" i="79"/>
  <c r="M18" i="79"/>
  <c r="M19" i="79"/>
  <c r="M15" i="79"/>
  <c r="L16" i="79"/>
  <c r="L17" i="79"/>
  <c r="L18" i="79"/>
  <c r="L19" i="79"/>
  <c r="L9" i="79"/>
  <c r="L10" i="79"/>
  <c r="L11" i="79"/>
  <c r="L12" i="79"/>
  <c r="L13" i="79"/>
  <c r="L14" i="79"/>
  <c r="L8" i="79"/>
  <c r="L15" i="79"/>
  <c r="T9" i="79"/>
  <c r="T10" i="79"/>
  <c r="T11" i="79"/>
  <c r="T12" i="79"/>
  <c r="T13" i="79"/>
  <c r="T14" i="79"/>
  <c r="T15" i="79"/>
  <c r="T16" i="79"/>
  <c r="T17" i="79"/>
  <c r="T18" i="79"/>
  <c r="T19" i="79"/>
  <c r="T20" i="79"/>
  <c r="T21" i="79"/>
  <c r="T22" i="79"/>
  <c r="Q9" i="79" l="1"/>
  <c r="R9" i="79"/>
  <c r="R10" i="79"/>
  <c r="R11" i="79"/>
  <c r="R12" i="79"/>
  <c r="R13" i="79"/>
  <c r="R14" i="79"/>
  <c r="R15" i="79"/>
  <c r="R16" i="79"/>
  <c r="R17" i="79"/>
  <c r="R18" i="79"/>
  <c r="R19" i="79"/>
  <c r="R20" i="79"/>
  <c r="R21" i="79"/>
  <c r="R22" i="79"/>
  <c r="R8" i="79"/>
  <c r="M9" i="79"/>
  <c r="M10" i="79"/>
  <c r="M11" i="79"/>
  <c r="M12" i="79"/>
  <c r="M13" i="79"/>
  <c r="M14" i="79"/>
  <c r="M8" i="79"/>
  <c r="S29" i="79" l="1"/>
  <c r="S30" i="79" s="1"/>
  <c r="S26" i="79"/>
  <c r="S27" i="79"/>
  <c r="S28" i="79"/>
  <c r="S23" i="79"/>
  <c r="S9" i="79"/>
  <c r="S10" i="79"/>
  <c r="S11" i="79"/>
  <c r="S12" i="79"/>
  <c r="S13" i="79"/>
  <c r="S14" i="79"/>
  <c r="S15" i="79"/>
  <c r="S16" i="79"/>
  <c r="S17" i="79"/>
  <c r="S18" i="79"/>
  <c r="S19" i="79"/>
  <c r="S20" i="79"/>
  <c r="S21" i="79"/>
  <c r="S22" i="79"/>
  <c r="S8" i="79"/>
  <c r="S7" i="79"/>
  <c r="T7" i="79"/>
  <c r="D62" i="60" l="1"/>
  <c r="K8" i="80"/>
  <c r="L8" i="80" s="1"/>
  <c r="L10" i="80" s="1"/>
  <c r="L7" i="80"/>
  <c r="M7" i="80"/>
  <c r="D11" i="60"/>
  <c r="M7" i="77" l="1"/>
  <c r="G7" i="77"/>
  <c r="S9" i="80"/>
  <c r="S8" i="80"/>
  <c r="I22" i="79" l="1"/>
  <c r="J22" i="79" s="1"/>
  <c r="K22" i="79" s="1"/>
  <c r="K23" i="79" s="1"/>
  <c r="K30" i="79" s="1"/>
  <c r="D54" i="60" l="1"/>
  <c r="AD22" i="79"/>
  <c r="AD23" i="79" s="1"/>
  <c r="AD30" i="79" s="1"/>
  <c r="AE22" i="79"/>
  <c r="AE23" i="79" s="1"/>
  <c r="AE30" i="79" s="1"/>
  <c r="J23" i="79"/>
  <c r="J30" i="79" s="1"/>
  <c r="I23" i="79"/>
  <c r="I30" i="79" s="1"/>
  <c r="AB22" i="79"/>
  <c r="AB23" i="79" s="1"/>
  <c r="AB30" i="79" s="1"/>
  <c r="AC22" i="79"/>
  <c r="AC23" i="79" s="1"/>
  <c r="AC30" i="79" s="1"/>
  <c r="D73" i="60" l="1"/>
  <c r="D52" i="60"/>
  <c r="D53" i="60" s="1"/>
  <c r="D72" i="60"/>
  <c r="D74" i="60"/>
  <c r="D71" i="60"/>
  <c r="A53" i="60"/>
  <c r="A54" i="60" s="1"/>
  <c r="A55" i="60" s="1"/>
  <c r="D10" i="77" l="1"/>
  <c r="E29" i="61" l="1"/>
  <c r="E37" i="61"/>
  <c r="A32" i="60" l="1"/>
  <c r="X29" i="79" l="1"/>
  <c r="Y29" i="79"/>
  <c r="D29" i="79"/>
  <c r="E29" i="79"/>
  <c r="F29" i="79"/>
  <c r="G29" i="79"/>
  <c r="H29" i="79"/>
  <c r="C29" i="79"/>
  <c r="A26" i="79"/>
  <c r="A27" i="79" s="1"/>
  <c r="A28" i="79" s="1"/>
  <c r="T29" i="79"/>
  <c r="E15" i="77"/>
  <c r="F13" i="77"/>
  <c r="G13" i="77" s="1"/>
  <c r="H13" i="77" s="1"/>
  <c r="F10" i="77"/>
  <c r="G10" i="77" s="1"/>
  <c r="H10" i="77" s="1"/>
  <c r="A10" i="77"/>
  <c r="Y21" i="79"/>
  <c r="Y22" i="79"/>
  <c r="Y23" i="79" s="1"/>
  <c r="Y20" i="79"/>
  <c r="X16" i="79"/>
  <c r="X17" i="79"/>
  <c r="X18" i="79"/>
  <c r="X19" i="79"/>
  <c r="X15" i="79"/>
  <c r="V22" i="79"/>
  <c r="V8" i="79"/>
  <c r="T8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8" i="79"/>
  <c r="P9" i="79"/>
  <c r="P10" i="79"/>
  <c r="P11" i="79"/>
  <c r="P12" i="79"/>
  <c r="P13" i="79"/>
  <c r="P14" i="79"/>
  <c r="P15" i="79"/>
  <c r="P16" i="79"/>
  <c r="P17" i="79"/>
  <c r="P18" i="79"/>
  <c r="P19" i="79"/>
  <c r="P20" i="79"/>
  <c r="P21" i="79"/>
  <c r="P22" i="79"/>
  <c r="P8" i="79"/>
  <c r="D23" i="79"/>
  <c r="C23" i="79"/>
  <c r="G23" i="79"/>
  <c r="G30" i="79" s="1"/>
  <c r="H23" i="79"/>
  <c r="F23" i="79"/>
  <c r="E16" i="79"/>
  <c r="E17" i="79"/>
  <c r="E19" i="79"/>
  <c r="E20" i="79"/>
  <c r="E21" i="79"/>
  <c r="V15" i="79"/>
  <c r="E9" i="79"/>
  <c r="E10" i="79"/>
  <c r="V10" i="79" s="1"/>
  <c r="E11" i="79"/>
  <c r="V11" i="79" s="1"/>
  <c r="E12" i="79"/>
  <c r="E13" i="79"/>
  <c r="E14" i="79"/>
  <c r="E8" i="79"/>
  <c r="D30" i="79" l="1"/>
  <c r="AA22" i="79"/>
  <c r="Y30" i="79"/>
  <c r="H30" i="79"/>
  <c r="V14" i="79"/>
  <c r="X23" i="79"/>
  <c r="Q29" i="79"/>
  <c r="C30" i="79"/>
  <c r="X30" i="79"/>
  <c r="AA9" i="79"/>
  <c r="V13" i="79"/>
  <c r="AA12" i="79"/>
  <c r="AA10" i="79"/>
  <c r="V9" i="79"/>
  <c r="R29" i="79"/>
  <c r="AA8" i="79"/>
  <c r="AA13" i="79"/>
  <c r="V12" i="79"/>
  <c r="P29" i="79"/>
  <c r="AA14" i="79"/>
  <c r="AA11" i="79"/>
  <c r="V19" i="79"/>
  <c r="Z23" i="79"/>
  <c r="F30" i="79"/>
  <c r="Q23" i="79"/>
  <c r="P23" i="79"/>
  <c r="V18" i="79"/>
  <c r="AA15" i="79"/>
  <c r="U29" i="79"/>
  <c r="Z29" i="79"/>
  <c r="W29" i="79"/>
  <c r="V29" i="79"/>
  <c r="M29" i="79"/>
  <c r="V21" i="79"/>
  <c r="V17" i="79"/>
  <c r="U23" i="79"/>
  <c r="V20" i="79"/>
  <c r="V16" i="79"/>
  <c r="I10" i="77"/>
  <c r="I13" i="77"/>
  <c r="J13" i="77"/>
  <c r="J10" i="77"/>
  <c r="K10" i="77" s="1"/>
  <c r="AA21" i="79"/>
  <c r="AA19" i="79"/>
  <c r="E23" i="79"/>
  <c r="E30" i="79" s="1"/>
  <c r="AA16" i="79"/>
  <c r="AA17" i="79"/>
  <c r="AA20" i="79"/>
  <c r="T23" i="79"/>
  <c r="T30" i="79" s="1"/>
  <c r="R23" i="79"/>
  <c r="O22" i="79"/>
  <c r="Y8" i="80"/>
  <c r="G10" i="80"/>
  <c r="H9" i="80"/>
  <c r="N9" i="80" s="1"/>
  <c r="J8" i="80"/>
  <c r="J10" i="80" s="1"/>
  <c r="AD8" i="80"/>
  <c r="AC8" i="80" s="1"/>
  <c r="AC10" i="80" s="1"/>
  <c r="I8" i="80"/>
  <c r="Z8" i="80" s="1"/>
  <c r="Z10" i="80" s="1"/>
  <c r="H8" i="80"/>
  <c r="R8" i="80" s="1"/>
  <c r="B7" i="80"/>
  <c r="C7" i="80" s="1"/>
  <c r="D7" i="80" s="1"/>
  <c r="E7" i="80" s="1"/>
  <c r="F7" i="80" s="1"/>
  <c r="G7" i="80" s="1"/>
  <c r="H7" i="80" s="1"/>
  <c r="I7" i="80" s="1"/>
  <c r="J7" i="80" s="1"/>
  <c r="K7" i="80" s="1"/>
  <c r="N7" i="80" s="1"/>
  <c r="O7" i="80" s="1"/>
  <c r="P7" i="80" s="1"/>
  <c r="Q7" i="80" s="1"/>
  <c r="R30" i="79" l="1"/>
  <c r="D68" i="60"/>
  <c r="Q30" i="79"/>
  <c r="U30" i="79"/>
  <c r="P30" i="79"/>
  <c r="R7" i="80"/>
  <c r="S7" i="80" s="1"/>
  <c r="T7" i="80" s="1"/>
  <c r="U7" i="80" s="1"/>
  <c r="V7" i="80" s="1"/>
  <c r="W7" i="80" s="1"/>
  <c r="X7" i="80" s="1"/>
  <c r="Y7" i="80" s="1"/>
  <c r="Z7" i="80" s="1"/>
  <c r="AA7" i="80" s="1"/>
  <c r="AB7" i="80" s="1"/>
  <c r="AC7" i="80" s="1"/>
  <c r="AD7" i="80" s="1"/>
  <c r="N10" i="80"/>
  <c r="D46" i="60"/>
  <c r="D48" i="60"/>
  <c r="U9" i="80"/>
  <c r="M9" i="80"/>
  <c r="N8" i="80"/>
  <c r="D31" i="60"/>
  <c r="D32" i="60" s="1"/>
  <c r="D33" i="60" s="1"/>
  <c r="K10" i="80"/>
  <c r="I10" i="80"/>
  <c r="AD10" i="80"/>
  <c r="M8" i="80"/>
  <c r="Q9" i="80"/>
  <c r="H10" i="80"/>
  <c r="D67" i="60"/>
  <c r="Z30" i="79"/>
  <c r="M23" i="79"/>
  <c r="M30" i="79" s="1"/>
  <c r="N8" i="79"/>
  <c r="D61" i="60"/>
  <c r="D63" i="60"/>
  <c r="L10" i="77"/>
  <c r="AA29" i="79"/>
  <c r="L29" i="79"/>
  <c r="AA18" i="79"/>
  <c r="O21" i="79"/>
  <c r="O19" i="79"/>
  <c r="O20" i="79"/>
  <c r="V23" i="79"/>
  <c r="V30" i="79" s="1"/>
  <c r="L13" i="77"/>
  <c r="K13" i="77"/>
  <c r="L23" i="79"/>
  <c r="Y10" i="80"/>
  <c r="M10" i="80"/>
  <c r="W9" i="80"/>
  <c r="V9" i="80"/>
  <c r="R9" i="80"/>
  <c r="R10" i="80" s="1"/>
  <c r="X8" i="80"/>
  <c r="X10" i="80" s="1"/>
  <c r="T8" i="80"/>
  <c r="AA8" i="80"/>
  <c r="AA10" i="80" s="1"/>
  <c r="U8" i="80"/>
  <c r="U10" i="80" s="1"/>
  <c r="Q8" i="80"/>
  <c r="D60" i="60" l="1"/>
  <c r="D59" i="60"/>
  <c r="D64" i="60"/>
  <c r="D39" i="60"/>
  <c r="D41" i="60"/>
  <c r="D49" i="60"/>
  <c r="D35" i="60"/>
  <c r="D34" i="60"/>
  <c r="D44" i="60"/>
  <c r="D45" i="60"/>
  <c r="Q10" i="80"/>
  <c r="D47" i="60"/>
  <c r="D69" i="60"/>
  <c r="L30" i="79"/>
  <c r="D65" i="60"/>
  <c r="D56" i="60"/>
  <c r="O29" i="79"/>
  <c r="N29" i="79"/>
  <c r="AA23" i="79"/>
  <c r="AA30" i="79" s="1"/>
  <c r="O9" i="80"/>
  <c r="P9" i="80" s="1"/>
  <c r="T9" i="80"/>
  <c r="T10" i="80" s="1"/>
  <c r="S10" i="80"/>
  <c r="O8" i="80"/>
  <c r="O10" i="80" s="1"/>
  <c r="V8" i="80"/>
  <c r="V10" i="80" s="1"/>
  <c r="W8" i="80"/>
  <c r="W10" i="80" s="1"/>
  <c r="AB8" i="80"/>
  <c r="AB10" i="80" s="1"/>
  <c r="D40" i="60" l="1"/>
  <c r="D36" i="60"/>
  <c r="D43" i="60"/>
  <c r="D38" i="60"/>
  <c r="D42" i="60"/>
  <c r="D55" i="60"/>
  <c r="D70" i="60"/>
  <c r="P8" i="80"/>
  <c r="P10" i="80" s="1"/>
  <c r="D37" i="60" l="1"/>
  <c r="A28" i="74"/>
  <c r="A29" i="74" s="1"/>
  <c r="A30" i="74" s="1"/>
  <c r="A8" i="74" l="1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D76" i="60" l="1"/>
  <c r="C37" i="61"/>
  <c r="C29" i="61"/>
  <c r="D29" i="61"/>
  <c r="D78" i="60" l="1"/>
  <c r="D77" i="60"/>
  <c r="A25" i="60"/>
  <c r="A26" i="60" s="1"/>
  <c r="A27" i="60" s="1"/>
  <c r="A28" i="60" s="1"/>
  <c r="A29" i="60" s="1"/>
  <c r="A56" i="60" l="1"/>
  <c r="A57" i="60" s="1"/>
  <c r="A58" i="60" s="1"/>
  <c r="A59" i="60" s="1"/>
  <c r="A60" i="60" s="1"/>
  <c r="A61" i="60" s="1"/>
  <c r="A62" i="60" s="1"/>
  <c r="A63" i="60" s="1"/>
  <c r="A64" i="60" l="1"/>
  <c r="A65" i="60" s="1"/>
  <c r="A66" i="60" s="1"/>
  <c r="A67" i="60" s="1"/>
  <c r="A68" i="60" s="1"/>
  <c r="A69" i="60" s="1"/>
  <c r="A70" i="60" s="1"/>
  <c r="A71" i="60" s="1"/>
  <c r="A72" i="60" s="1"/>
  <c r="A73" i="60" s="1"/>
  <c r="A74" i="60" s="1"/>
  <c r="W14" i="79"/>
  <c r="W13" i="79"/>
  <c r="W12" i="79"/>
  <c r="A9" i="79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W11" i="79"/>
  <c r="W10" i="79"/>
  <c r="W9" i="79"/>
  <c r="W8" i="79"/>
  <c r="W23" i="79" l="1"/>
  <c r="W30" i="79" s="1"/>
  <c r="O11" i="79"/>
  <c r="O14" i="79"/>
  <c r="O12" i="79"/>
  <c r="O18" i="79"/>
  <c r="O17" i="79"/>
  <c r="O16" i="79"/>
  <c r="O15" i="79"/>
  <c r="O10" i="79"/>
  <c r="D66" i="60" l="1"/>
  <c r="O13" i="79"/>
  <c r="O9" i="79"/>
  <c r="N23" i="79"/>
  <c r="O8" i="79"/>
  <c r="B7" i="79"/>
  <c r="C7" i="79" s="1"/>
  <c r="D7" i="79" s="1"/>
  <c r="E7" i="79" s="1"/>
  <c r="F7" i="79" s="1"/>
  <c r="G7" i="79" s="1"/>
  <c r="H7" i="79" s="1"/>
  <c r="I7" i="79" s="1"/>
  <c r="J7" i="79" s="1"/>
  <c r="K7" i="79" s="1"/>
  <c r="L7" i="79" s="1"/>
  <c r="M7" i="79" s="1"/>
  <c r="N7" i="79" s="1"/>
  <c r="O7" i="79" s="1"/>
  <c r="P7" i="79" s="1"/>
  <c r="Q7" i="79" s="1"/>
  <c r="R7" i="79" s="1"/>
  <c r="U7" i="79" l="1"/>
  <c r="V7" i="79" s="1"/>
  <c r="W7" i="79" s="1"/>
  <c r="X7" i="79" s="1"/>
  <c r="Y7" i="79" s="1"/>
  <c r="Z7" i="79" s="1"/>
  <c r="AA7" i="79" s="1"/>
  <c r="AB7" i="79" s="1"/>
  <c r="AC7" i="79" s="1"/>
  <c r="AD7" i="79" s="1"/>
  <c r="AE7" i="79" s="1"/>
  <c r="N30" i="79"/>
  <c r="O23" i="79"/>
  <c r="O30" i="79" s="1"/>
  <c r="N14" i="77"/>
  <c r="N15" i="77" s="1"/>
  <c r="O14" i="77"/>
  <c r="O15" i="77" s="1"/>
  <c r="N11" i="77"/>
  <c r="O11" i="77"/>
  <c r="F9" i="77"/>
  <c r="D58" i="60" l="1"/>
  <c r="D57" i="60"/>
  <c r="D14" i="77"/>
  <c r="M9" i="77"/>
  <c r="F14" i="77"/>
  <c r="D11" i="77"/>
  <c r="F11" i="77"/>
  <c r="F15" i="77" l="1"/>
  <c r="P9" i="77"/>
  <c r="S9" i="77" s="1"/>
  <c r="R9" i="77"/>
  <c r="D15" i="77"/>
  <c r="M14" i="77"/>
  <c r="M11" i="77"/>
  <c r="P14" i="77"/>
  <c r="M15" i="77" l="1"/>
  <c r="T9" i="77"/>
  <c r="W9" i="77"/>
  <c r="D8" i="60"/>
  <c r="R14" i="77"/>
  <c r="L14" i="77"/>
  <c r="H14" i="77"/>
  <c r="J14" i="77"/>
  <c r="P11" i="77"/>
  <c r="P15" i="77" s="1"/>
  <c r="S11" i="77"/>
  <c r="Q14" i="77"/>
  <c r="S14" i="77"/>
  <c r="U14" i="77"/>
  <c r="R11" i="77"/>
  <c r="K14" i="77"/>
  <c r="G14" i="77"/>
  <c r="I14" i="77"/>
  <c r="S15" i="77" l="1"/>
  <c r="D26" i="60"/>
  <c r="R15" i="77"/>
  <c r="D16" i="60" s="1"/>
  <c r="T11" i="77"/>
  <c r="T14" i="77"/>
  <c r="T15" i="77" s="1"/>
  <c r="V14" i="77"/>
  <c r="W14" i="77"/>
  <c r="W15" i="77" s="1"/>
  <c r="W11" i="77"/>
  <c r="B7" i="77"/>
  <c r="C7" i="77" s="1"/>
  <c r="D7" i="77" s="1"/>
  <c r="E7" i="77" s="1"/>
  <c r="F7" i="77" s="1"/>
  <c r="H7" i="77" s="1"/>
  <c r="I7" i="77" s="1"/>
  <c r="J7" i="77" s="1"/>
  <c r="K7" i="77" s="1"/>
  <c r="L7" i="77" s="1"/>
  <c r="N7" i="77" s="1"/>
  <c r="O7" i="77" s="1"/>
  <c r="P7" i="77" s="1"/>
  <c r="Q7" i="77" s="1"/>
  <c r="R7" i="77" s="1"/>
  <c r="S7" i="77" s="1"/>
  <c r="T7" i="77" s="1"/>
  <c r="U7" i="77" s="1"/>
  <c r="V7" i="77" s="1"/>
  <c r="W7" i="77" s="1"/>
  <c r="D29" i="60" l="1"/>
  <c r="D25" i="60"/>
  <c r="D27" i="60"/>
  <c r="Q9" i="77"/>
  <c r="Q11" i="77" s="1"/>
  <c r="G9" i="77"/>
  <c r="J9" i="77"/>
  <c r="J11" i="77" s="1"/>
  <c r="J15" i="77" s="1"/>
  <c r="V9" i="77"/>
  <c r="V11" i="77" s="1"/>
  <c r="V15" i="77" s="1"/>
  <c r="G11" i="77" l="1"/>
  <c r="G15" i="77" s="1"/>
  <c r="H9" i="77"/>
  <c r="D28" i="60"/>
  <c r="D20" i="60"/>
  <c r="D18" i="60"/>
  <c r="Q15" i="77"/>
  <c r="H11" i="77"/>
  <c r="H15" i="77" s="1"/>
  <c r="I9" i="77"/>
  <c r="I11" i="77" s="1"/>
  <c r="I15" i="77" s="1"/>
  <c r="U9" i="77"/>
  <c r="U11" i="77" s="1"/>
  <c r="U15" i="77" s="1"/>
  <c r="K9" i="77"/>
  <c r="K11" i="77" s="1"/>
  <c r="K15" i="77" s="1"/>
  <c r="L9" i="77"/>
  <c r="L11" i="77" s="1"/>
  <c r="L15" i="77" s="1"/>
  <c r="D19" i="60" l="1"/>
  <c r="D22" i="60"/>
  <c r="D21" i="60"/>
  <c r="D24" i="60"/>
  <c r="D37" i="61"/>
  <c r="A32" i="61"/>
  <c r="A33" i="61" s="1"/>
  <c r="A34" i="61" s="1"/>
  <c r="A35" i="61" s="1"/>
  <c r="A36" i="61" s="1"/>
  <c r="C38" i="61" l="1"/>
  <c r="D12" i="60" l="1"/>
  <c r="D13" i="60"/>
  <c r="C6" i="74"/>
  <c r="D6" i="74" s="1"/>
  <c r="E6" i="74" s="1"/>
  <c r="F6" i="74" s="1"/>
  <c r="H6" i="74" s="1"/>
  <c r="I6" i="74" s="1"/>
  <c r="J6" i="74" s="1"/>
  <c r="D14" i="60" l="1"/>
  <c r="D15" i="60" s="1"/>
  <c r="A35" i="60"/>
  <c r="A36" i="60" s="1"/>
  <c r="A37" i="60" s="1"/>
  <c r="A38" i="60" s="1"/>
  <c r="A19" i="60"/>
  <c r="A20" i="60" s="1"/>
  <c r="A21" i="60" s="1"/>
  <c r="A22" i="60" s="1"/>
  <c r="A39" i="60" l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D38" i="61" l="1"/>
  <c r="E38" i="61"/>
  <c r="A10" i="61" l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13" i="60" l="1"/>
  <c r="A14" i="60" s="1"/>
  <c r="A15" i="60" s="1"/>
  <c r="A16" i="60" s="1"/>
  <c r="G9" i="14" l="1"/>
  <c r="H8" i="14" l="1"/>
  <c r="H9" i="41"/>
  <c r="F9" i="41"/>
  <c r="I9" i="41" s="1"/>
  <c r="F8" i="41"/>
  <c r="H8" i="41" s="1"/>
  <c r="H10" i="41" s="1"/>
  <c r="G10" i="41"/>
  <c r="A9" i="41"/>
  <c r="B7" i="41"/>
  <c r="C7" i="41" s="1"/>
  <c r="D7" i="41" s="1"/>
  <c r="E7" i="41" s="1"/>
  <c r="F7" i="41" s="1"/>
  <c r="G7" i="41" s="1"/>
  <c r="H7" i="41" s="1"/>
  <c r="I7" i="41" s="1"/>
  <c r="I8" i="41" l="1"/>
  <c r="I10" i="41"/>
  <c r="F10" i="41"/>
  <c r="F8" i="14"/>
  <c r="I8" i="14" l="1"/>
  <c r="F9" i="14"/>
  <c r="J8" i="14"/>
  <c r="E28" i="30"/>
  <c r="E9" i="14"/>
  <c r="A9" i="30" l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N8" i="30"/>
  <c r="N28" i="30" s="1"/>
  <c r="M8" i="30"/>
  <c r="M28" i="30" s="1"/>
  <c r="F8" i="30"/>
  <c r="J8" i="30" s="1"/>
  <c r="B7" i="30"/>
  <c r="C7" i="30" s="1"/>
  <c r="D7" i="30" s="1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P8" i="14"/>
  <c r="P9" i="14" s="1"/>
  <c r="O8" i="14"/>
  <c r="O9" i="14" s="1"/>
  <c r="L8" i="14"/>
  <c r="B7" i="14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J28" i="30" l="1"/>
  <c r="K8" i="30"/>
  <c r="K28" i="30" s="1"/>
  <c r="H8" i="30"/>
  <c r="H28" i="30" s="1"/>
  <c r="L8" i="30"/>
  <c r="L28" i="30" s="1"/>
  <c r="L9" i="14"/>
  <c r="M8" i="14"/>
  <c r="G8" i="30"/>
  <c r="F28" i="30"/>
  <c r="N8" i="14"/>
  <c r="N9" i="14" s="1"/>
  <c r="M9" i="14"/>
  <c r="J9" i="14"/>
  <c r="I9" i="14"/>
  <c r="I8" i="30" l="1"/>
  <c r="I28" i="30" s="1"/>
  <c r="G28" i="30"/>
  <c r="K8" i="14"/>
  <c r="K9" i="14" s="1"/>
</calcChain>
</file>

<file path=xl/sharedStrings.xml><?xml version="1.0" encoding="utf-8"?>
<sst xmlns="http://schemas.openxmlformats.org/spreadsheetml/2006/main" count="616" uniqueCount="260">
  <si>
    <t>სამუშაოების დასახელება</t>
  </si>
  <si>
    <t>განზ</t>
  </si>
  <si>
    <t>რაოდ</t>
  </si>
  <si>
    <t>№</t>
  </si>
  <si>
    <t>ტნ</t>
  </si>
  <si>
    <t>იგივეს დამუშავება ხელით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</si>
  <si>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</si>
  <si>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გ.ნატრიაშვილი</t>
  </si>
  <si>
    <t>თავი I.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</si>
  <si>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</si>
  <si>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</si>
  <si>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იგივეს დამუშავება ხელით მიუდგომელ ადგილებში</t>
  </si>
  <si>
    <t>საფუძვლის მოსწორება დაპროფილება</t>
  </si>
  <si>
    <t>საფუძვლის ზედა ფენის მოწყობა ფრაქციული ღორღით 0-40 სისქით 15 სმ. კ=1,26</t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</si>
  <si>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</si>
  <si>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6 სმ.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</si>
  <si>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</si>
  <si>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შენიშვნა</t>
  </si>
  <si>
    <t xml:space="preserve">პკ + </t>
  </si>
  <si>
    <t>მარცხნივ</t>
  </si>
  <si>
    <t>მარჯვნივ</t>
  </si>
  <si>
    <t>სიგრძე</t>
  </si>
  <si>
    <t>მ</t>
  </si>
  <si>
    <r>
      <t>მ</t>
    </r>
    <r>
      <rPr>
        <vertAlign val="superscript"/>
        <sz val="10"/>
        <rFont val="Arial Cyr"/>
        <charset val="204"/>
      </rPr>
      <t>2</t>
    </r>
  </si>
  <si>
    <t>ადგილმდებარეობა</t>
  </si>
  <si>
    <t>1+00</t>
  </si>
  <si>
    <t>III კატეგორიის გრუნტის მოხსნა მექანიზმებით საგზაო სამოსის მოსაწყობად</t>
  </si>
  <si>
    <t>დატვირთვა ა/თვითმცლელებზე და ტრანსპორტირება 3 კმ. მანძილზე</t>
  </si>
  <si>
    <t>მიწის სამუშაოები</t>
  </si>
  <si>
    <t>საგზაო სამოსი</t>
  </si>
  <si>
    <t xml:space="preserve">გვერდულების მოწყობა ფრაქციული ღორღით 0-40 მმ. სიგანით 50 სმ. სისქით 6 სმ. </t>
  </si>
  <si>
    <t>სიგანე (გვერდულების ჩათვლით)</t>
  </si>
  <si>
    <t>ფართობი (გვერდულების ჩათვლით)</t>
  </si>
  <si>
    <t>0+00</t>
  </si>
  <si>
    <t>ჯამი:</t>
  </si>
  <si>
    <t>პკ + დან</t>
  </si>
  <si>
    <t>პკ + მდე</t>
  </si>
  <si>
    <t>ქ. ხონში გურამიშვილის ქუჩის დარჩენილი მონაკვეთის გზის რეაბილიტაცია</t>
  </si>
  <si>
    <t>სიგანე</t>
  </si>
  <si>
    <r>
      <t>(მ</t>
    </r>
    <r>
      <rPr>
        <vertAlign val="superscript"/>
        <sz val="10"/>
        <rFont val="Arial Cyr"/>
      </rPr>
      <t>3</t>
    </r>
    <r>
      <rPr>
        <sz val="10"/>
        <rFont val="Arial Cyr"/>
        <charset val="204"/>
      </rPr>
      <t>)</t>
    </r>
  </si>
  <si>
    <t>სულ ჯამი:</t>
  </si>
  <si>
    <t>2+00</t>
  </si>
  <si>
    <t>ჯამი</t>
  </si>
  <si>
    <t>ეზოებში შესასვლელების ადგილმდებარეობის და საგზაო სამოსის მოწყობის სამუშაოთა მოცულობების უწყისი</t>
  </si>
  <si>
    <t>საფუძვლის ზედა ფენის მოწყობა ფრაქციული ღორღით 0-40 მმ. სისქით 15 სმ. კ=1,26</t>
  </si>
  <si>
    <t>პკ+დან</t>
  </si>
  <si>
    <t>პკ+მდე</t>
  </si>
  <si>
    <t>გ. ნატრიაშილი</t>
  </si>
  <si>
    <t>3+40</t>
  </si>
  <si>
    <t>მიერთებების ადგილმდებარეობის და საგზაო სამოსის მოწყობის მოცულობების უწყისი</t>
  </si>
  <si>
    <t>III კატეგორიის გრუნტის მოჭრა მექანიზმებით საგზაო სამოსის მოსაწყობად</t>
  </si>
  <si>
    <t xml:space="preserve">III კატეგორიის გრუნტის მოჭრა მექანიზმებით საგზაო სამოსის მოსაწყობად </t>
  </si>
  <si>
    <t>საშ. სიგანე</t>
  </si>
  <si>
    <t>ფართობი</t>
  </si>
  <si>
    <t>4+80</t>
  </si>
  <si>
    <t>4+70</t>
  </si>
  <si>
    <t xml:space="preserve">არსებული ხე–მცენერეების ამოძირკვა, დატვირთვა ა/თვითმცლელზე და გატანა სამშენებლო ტერიტორიიდან </t>
  </si>
  <si>
    <t>ტერიტორიის ხე-მცენარეებისაგან გაწმენდის სამუშაოების მოცულობათა უწყისი</t>
  </si>
  <si>
    <t>ქ. ხონში ჩოლოყაშვილის ქუჩის გზის რეაბილიტაცია</t>
  </si>
  <si>
    <t>დემონტაჟი</t>
  </si>
  <si>
    <t>დატვირთვა ა/თვითმცლელებზე და ტრანსპორტირება 3 კმ</t>
  </si>
  <si>
    <r>
      <t>მ</t>
    </r>
    <r>
      <rPr>
        <vertAlign val="superscript"/>
        <sz val="12"/>
        <color theme="1"/>
        <rFont val="Sylfaen"/>
        <family val="1"/>
        <charset val="204"/>
      </rPr>
      <t>3</t>
    </r>
  </si>
  <si>
    <r>
      <t>მ</t>
    </r>
    <r>
      <rPr>
        <vertAlign val="superscript"/>
        <sz val="12"/>
        <color theme="1"/>
        <rFont val="Sylfaen"/>
        <family val="1"/>
        <charset val="204"/>
      </rPr>
      <t>2</t>
    </r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</si>
  <si>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</si>
  <si>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არსებული დაზიანებული ა/ბეტონის საფარის დემონტაჟი სანგრევი ჩაქუჩებით საშ.სისქით 6 სმ</t>
  </si>
  <si>
    <t>0+040.000</t>
  </si>
  <si>
    <t>0+060.000</t>
  </si>
  <si>
    <t>0+080.000</t>
  </si>
  <si>
    <t>0+100.000</t>
  </si>
  <si>
    <t>0+120.000</t>
  </si>
  <si>
    <t>0+140.000</t>
  </si>
  <si>
    <t>0+160.000</t>
  </si>
  <si>
    <t>0+180.000</t>
  </si>
  <si>
    <t>0+200.000</t>
  </si>
  <si>
    <t>0+220.000</t>
  </si>
  <si>
    <t>0+240.000</t>
  </si>
  <si>
    <t>0+260.000</t>
  </si>
  <si>
    <t>0+280.000</t>
  </si>
  <si>
    <t>0+300.000</t>
  </si>
  <si>
    <t>0+320.000</t>
  </si>
  <si>
    <t>0+340.000</t>
  </si>
  <si>
    <t>0+360.000</t>
  </si>
  <si>
    <t>0+020.000</t>
  </si>
  <si>
    <t xml:space="preserve">კილომეტრი / პიკტი </t>
  </si>
  <si>
    <t xml:space="preserve">თავი III. საგზაო სამოსის მოწყობა </t>
  </si>
  <si>
    <t>თავი II. მიწის ვაკისი</t>
  </si>
  <si>
    <t>გრუნტის დამუშავება და დატვირთვა ა/თვითმცლელებზე</t>
  </si>
  <si>
    <t>მიწის ვაკისის მოსწორება დაპროფილება</t>
  </si>
  <si>
    <t>ტ</t>
  </si>
  <si>
    <r>
      <t>თხევადი ბიტუმის მოსხმა 1მ</t>
    </r>
    <r>
      <rPr>
        <vertAlign val="superscript"/>
        <sz val="11"/>
        <rFont val="Arial Cyr"/>
        <charset val="1"/>
      </rPr>
      <t>2</t>
    </r>
    <r>
      <rPr>
        <sz val="11"/>
        <rFont val="Arial Cyr"/>
        <charset val="204"/>
      </rPr>
      <t xml:space="preserve"> 600გრ</t>
    </r>
  </si>
  <si>
    <r>
      <t>მ</t>
    </r>
    <r>
      <rPr>
        <vertAlign val="superscript"/>
        <sz val="11"/>
        <rFont val="Arial Cyr"/>
        <charset val="204"/>
      </rPr>
      <t>2</t>
    </r>
  </si>
  <si>
    <t>დამუშავება და დატვირთვა ა/თვითმცლელებზე</t>
  </si>
  <si>
    <t>ტრანსპორტირება 10 კმ მანძილზე</t>
  </si>
  <si>
    <t xml:space="preserve">ტ </t>
  </si>
  <si>
    <t>საგზაო სამოსის ქვედა ფენის მოწყობა მსხვილმარცვლოვანი ფოროვან ღორღოვანი  ა/ბეტონის ცხელი ნარევით მარკა II სისქით 5 სმ.</t>
  </si>
  <si>
    <r>
      <t>თხევადი ბიტუმის მოსხმა 1მ</t>
    </r>
    <r>
      <rPr>
        <vertAlign val="superscript"/>
        <sz val="11"/>
        <rFont val="Arial Cyr"/>
        <charset val="1"/>
      </rPr>
      <t>2</t>
    </r>
    <r>
      <rPr>
        <sz val="11"/>
        <rFont val="Arial Cyr"/>
        <charset val="204"/>
      </rPr>
      <t xml:space="preserve"> 300გრ</t>
    </r>
  </si>
  <si>
    <t>გრუნტის ტრანსპორტირება 10 კმ. მანძილზე</t>
  </si>
  <si>
    <r>
      <t>თხევადი ბიტუმის მოსხმა 1მ</t>
    </r>
    <r>
      <rPr>
        <vertAlign val="superscript"/>
        <sz val="12"/>
        <rFont val="Sylfaen"/>
        <family val="1"/>
        <charset val="204"/>
      </rPr>
      <t>2</t>
    </r>
    <r>
      <rPr>
        <sz val="12"/>
        <rFont val="Sylfaen"/>
        <family val="1"/>
        <charset val="204"/>
      </rPr>
      <t xml:space="preserve"> 600 გრ</t>
    </r>
  </si>
  <si>
    <t>საფარის ქვედა ფენის მოწყობა მსხვილმარცვლოვანი ფოროვან ღორღოვანი  ა/ბეტონის ცხელი ნარევით მარკა II სისქით 5 სმ</t>
  </si>
  <si>
    <r>
      <t>თხევადი ბიტუმის მოსხმა 1მ</t>
    </r>
    <r>
      <rPr>
        <vertAlign val="superscript"/>
        <sz val="12"/>
        <rFont val="Sylfaen"/>
        <family val="1"/>
        <charset val="204"/>
      </rPr>
      <t>2</t>
    </r>
    <r>
      <rPr>
        <sz val="12"/>
        <rFont val="Sylfaen"/>
        <family val="1"/>
        <charset val="204"/>
      </rPr>
      <t xml:space="preserve"> 300 გრ</t>
    </r>
  </si>
  <si>
    <t>საფარის ზედა ფენის მოწყობა წვრილმარცვლოვანი მკვრივი ღორღოვანი  ა/ბეტონის ცხელი ნარევით ტიპი "Б" მარკა II სისქით 3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</si>
  <si>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3</t>
  </si>
  <si>
    <t>საგზაო სამოსის ქვედა ფენის მოწყობა მსხვილმარცვლოვანი ფოროვან ღორღოვანი ა/ბეტონის ცხელი ნარევით მარკა II სისქით 5სმ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</si>
  <si>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3 სმ.</t>
  </si>
  <si>
    <t>ბეტონი B25; F200; W6</t>
  </si>
  <si>
    <t>დასახელება</t>
  </si>
  <si>
    <t>მდგომარეობა</t>
  </si>
  <si>
    <t>საპროექტო გადაწყვეტა</t>
  </si>
  <si>
    <t>არს. ნიშნული</t>
  </si>
  <si>
    <t>საპრ. ნიშნული</t>
  </si>
  <si>
    <t>დამაკმაყოფილებელი</t>
  </si>
  <si>
    <t>კანალიზაციის ჭა</t>
  </si>
  <si>
    <t>ჭის №</t>
  </si>
  <si>
    <t>№1</t>
  </si>
  <si>
    <r>
      <t>ბეტონი B25 კლასის  (მ</t>
    </r>
    <r>
      <rPr>
        <vertAlign val="superscript"/>
        <sz val="10"/>
        <rFont val="Arial Cyr"/>
      </rPr>
      <t>3</t>
    </r>
    <r>
      <rPr>
        <sz val="10"/>
        <rFont val="Arial Cyr"/>
        <charset val="204"/>
      </rPr>
      <t>)</t>
    </r>
  </si>
  <si>
    <t>არსებული ჭის თავის დემონტაჟი, ბეტონის მონგრება სანგრევი ჩაქუჩებით, ჭის თავის მონტაჟი და გასწორება საპროექტო ნიშნულზე მონოლითური B25 კლასის ბეტონით</t>
  </si>
  <si>
    <t>ც</t>
  </si>
  <si>
    <t>არსებული სათვალთვალო ჭების ადგილმდებარეობის უწყისი</t>
  </si>
  <si>
    <t>0+46</t>
  </si>
  <si>
    <t>ტროტუარების მოწყობა</t>
  </si>
  <si>
    <t xml:space="preserve">საფუძვლის მოწყობა ფრაქციული ღორღით 0-40მმ. სისქით 10 სმ. </t>
  </si>
  <si>
    <t>ქვიშა–ხრეშოვანი ფენის მოწყობა სისქით 10 სმ. ბორდიურების ბეტონის მომზადების ქვეშ</t>
  </si>
  <si>
    <r>
      <t>შემასწორებელი ფენის მოწყობა ქვიშა-ხრეშოვანი ნარევით სისქით H</t>
    </r>
    <r>
      <rPr>
        <sz val="10"/>
        <rFont val="Arial Cyr"/>
      </rPr>
      <t>საშ</t>
    </r>
    <r>
      <rPr>
        <sz val="11"/>
        <rFont val="Arial Cyr"/>
        <charset val="204"/>
      </rPr>
      <t xml:space="preserve">= 30 სმ </t>
    </r>
  </si>
  <si>
    <t>ტროტუარზე სავალი ნაწილის მოწყობა ქვიშოვანი  ა/ბეტონის ცხელი ნარევით  სისქით 3 სმ.</t>
  </si>
  <si>
    <t>III კატეგორიის გრუნტის მოჭრა მექანიზმებით</t>
  </si>
  <si>
    <t>0+81</t>
  </si>
  <si>
    <t>0+35</t>
  </si>
  <si>
    <t>0+76</t>
  </si>
  <si>
    <t xml:space="preserve"> გრუნტის ტრანსპორტირება 10 კმ. მანძილზე</t>
  </si>
  <si>
    <t>0+04</t>
  </si>
  <si>
    <t>ტროტუარის სავალი ნაწილის ფართობი</t>
  </si>
  <si>
    <t>საგზაო სამოსის ფართობი</t>
  </si>
  <si>
    <t>მარცხენა ტროტუარის საშუალო სიგანე</t>
  </si>
  <si>
    <t>მარჯვენა ტროტუარის საშუალო სიგანე</t>
  </si>
  <si>
    <t>ცალი</t>
  </si>
  <si>
    <t>პკ +</t>
  </si>
  <si>
    <t>III კატეგორიის გრუნტის დამუშავება ექსკავატორით ნიაღვარმიღების ჭების და მილების მოსაწყობად</t>
  </si>
  <si>
    <t>ქვიშა-ხრეშოვანი  ფენის მოწყობა ნიაღვარმიღები ჭების ქვეშ სისქით 10 სმ</t>
  </si>
  <si>
    <t>ქვიშის საფუძვლის მოწყობა მილების ქვეშ სისქით 10 სმ</t>
  </si>
  <si>
    <t>მილების დაფარვა ქვიშით სისქით 10 სმ</t>
  </si>
  <si>
    <t>ნიაღვარმიმღები ჭების და მილების ქვაბულის შევსება ქვიშა–ხრეშოვანი ნარევით</t>
  </si>
  <si>
    <t>1+34</t>
  </si>
  <si>
    <t>3+50</t>
  </si>
  <si>
    <t>საპროექტო მონაცემები</t>
  </si>
  <si>
    <t>ნიაღვარმიმღები ჭების კედლების მოწყობა მონოლითური ბეტონით B25; F200;W6</t>
  </si>
  <si>
    <t>ნიაღვარმიმღები ჭების ძირის მოწყობა მონოლითური ბეტონით B25; F200;W6</t>
  </si>
  <si>
    <t>თავი IV. ტროტუარების მოწყობა</t>
  </si>
  <si>
    <t xml:space="preserve">ქვიშა–ხრეშოვანი ფენის მოწყობა ბორდიურების ბეტონის მომზადების ქვეშ სისქით 10 სმ. </t>
  </si>
  <si>
    <t>შემასწორებელი ფენის მოწყობა ქვიშა-ხრეშოვანი ნარევით სისქით Hსაშ= 30 სმ</t>
  </si>
  <si>
    <t>თავი V. მიერთებების მოწყობა</t>
  </si>
  <si>
    <t>1. დახურული ტიპის სანიაღვრე არხის მოწყობა</t>
  </si>
  <si>
    <r>
      <t>შემასწორებელი ფენის მოწყობა ქვიშა-ხრეშოვანი ნარევით სისქით H</t>
    </r>
    <r>
      <rPr>
        <vertAlign val="subscript"/>
        <sz val="12"/>
        <rFont val="Sylfaen"/>
        <family val="1"/>
        <charset val="204"/>
      </rPr>
      <t>საშ</t>
    </r>
    <r>
      <rPr>
        <sz val="12"/>
        <rFont val="Sylfaen"/>
        <family val="1"/>
        <charset val="204"/>
      </rPr>
      <t>= 30 სმ</t>
    </r>
  </si>
  <si>
    <t>ტროტუარის სავალი ნაწილის მოწყობა ქვიშოვანი  ა/ბეტონის ცხელი ნარევით  სისქით 3 სმ.</t>
  </si>
  <si>
    <t>პლასტმასის გოფრირებული მილების მოწყობა  დ=300მმ</t>
  </si>
  <si>
    <t>პლასტმასის გოფრირებული მილი დ=300მმ</t>
  </si>
  <si>
    <t>q. quTaisSi mamia asaTianis quCis s/gzis reabilitacia</t>
  </si>
  <si>
    <t>miwis samuSaoebis uwyisi</t>
  </si>
  <si>
    <t>0+000.000</t>
  </si>
  <si>
    <r>
      <t>ჭრილი (მ</t>
    </r>
    <r>
      <rPr>
        <vertAlign val="superscript"/>
        <sz val="11"/>
        <rFont val="Arial Cyr"/>
        <charset val="204"/>
      </rPr>
      <t>3</t>
    </r>
    <r>
      <rPr>
        <sz val="11"/>
        <rFont val="Arial Cyr"/>
        <charset val="204"/>
      </rPr>
      <t>)</t>
    </r>
  </si>
  <si>
    <r>
      <t>ყრილი  (მ</t>
    </r>
    <r>
      <rPr>
        <vertAlign val="superscript"/>
        <sz val="11"/>
        <rFont val="Arial Cyr"/>
        <charset val="204"/>
      </rPr>
      <t>3</t>
    </r>
    <r>
      <rPr>
        <sz val="11"/>
        <rFont val="Arial Cyr"/>
        <charset val="204"/>
      </rPr>
      <t>)</t>
    </r>
  </si>
  <si>
    <t>ჩიხი პკ 3+25 მარცხნივ</t>
  </si>
  <si>
    <t>პკ 0+00 - პკ 3+78</t>
  </si>
  <si>
    <t>0+378.000</t>
  </si>
  <si>
    <t>0+082.000</t>
  </si>
  <si>
    <t>სულ ჯამი:  I+II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</si>
  <si>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</si>
  <si>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</si>
  <si>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</si>
  <si>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</si>
  <si>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</si>
  <si>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</si>
  <si>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</si>
  <si>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</si>
  <si>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</si>
  <si>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</si>
  <si>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</si>
  <si>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</si>
  <si>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</si>
  <si>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</si>
  <si>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</si>
  <si>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0+61</t>
  </si>
  <si>
    <t>0+91</t>
  </si>
  <si>
    <t>1+07</t>
  </si>
  <si>
    <t>1+43</t>
  </si>
  <si>
    <t>1+55</t>
  </si>
  <si>
    <t>1+71</t>
  </si>
  <si>
    <t>1+84</t>
  </si>
  <si>
    <t>1+95</t>
  </si>
  <si>
    <t>2+14</t>
  </si>
  <si>
    <t>2+42</t>
  </si>
  <si>
    <t>2+71</t>
  </si>
  <si>
    <t>2+88</t>
  </si>
  <si>
    <t>№17</t>
  </si>
  <si>
    <t>3+24</t>
  </si>
  <si>
    <t>3+26</t>
  </si>
  <si>
    <t>№18</t>
  </si>
  <si>
    <t>№19</t>
  </si>
  <si>
    <t>3+53</t>
  </si>
  <si>
    <t>0+30</t>
  </si>
  <si>
    <t>0+38</t>
  </si>
  <si>
    <t>0+78</t>
  </si>
  <si>
    <t xml:space="preserve">სავალი ნაწილის სიგანე </t>
  </si>
  <si>
    <t>ტროტუარის სიგანე მარჯვნივ</t>
  </si>
  <si>
    <t>სავალი ნაწილის ფართობი</t>
  </si>
  <si>
    <t>ტროტუარების სავალი  ნაწილის ფართობი</t>
  </si>
  <si>
    <t>ტროტუარის სიგანე მარცხნივ</t>
  </si>
  <si>
    <t>საფარის ქვედა ფენის მოწყობა მსხვილმარცვლოვანი ფოროვან ღორღოვანი  ა/ბეტონის ცხელი ნარევით მარკა II სისქით 5 სმ.</t>
  </si>
  <si>
    <t>საფარის ზედა ფენის მოწყობა წვრილმარცვლოვანი მკვრივი ღორღოვანი  ა/ბეტონის ცხელი ნარევით ტიპი "Б" მარკა II სისქით 3 სმ.</t>
  </si>
  <si>
    <t>1+03</t>
  </si>
  <si>
    <t>2+43</t>
  </si>
  <si>
    <t>არსებული ა/ბეტონის საფარის დემონტაჟი</t>
  </si>
  <si>
    <r>
      <t>მ</t>
    </r>
    <r>
      <rPr>
        <vertAlign val="superscript"/>
        <sz val="11"/>
        <rFont val="Arial Cyr"/>
      </rPr>
      <t>2</t>
    </r>
  </si>
  <si>
    <t>mierTebebis adgilmdebareobis da samosis mowyobis moculobaTa uwyisi</t>
  </si>
  <si>
    <r>
      <t xml:space="preserve"> </t>
    </r>
    <r>
      <rPr>
        <sz val="11"/>
        <color theme="1"/>
        <rFont val="AcadMtavr"/>
      </rPr>
      <t>daxuruli tipis saniaRvre arxis mowyobis adgilmdebareobis da samuSaoTa moculobebis uwyisi</t>
    </r>
  </si>
  <si>
    <r>
      <t>ნიაღვარმიმღები</t>
    </r>
    <r>
      <rPr>
        <sz val="10"/>
        <rFont val="Sylfaen"/>
        <family val="1"/>
      </rPr>
      <t xml:space="preserve"> ჭა ცხაურით 70x70სმ</t>
    </r>
  </si>
  <si>
    <r>
      <t xml:space="preserve">ნიაღვარმიმღები ჭა </t>
    </r>
    <r>
      <rPr>
        <sz val="10"/>
        <rFont val="Sylfaen"/>
        <family val="1"/>
      </rPr>
      <t>თუჯის ლუქით დ=73სმ</t>
    </r>
  </si>
  <si>
    <t>პლასტმასის გოფრირებული მილი დ=400მმ</t>
  </si>
  <si>
    <t>პლასტმასის გოფრირებული მილი დ=500მმ</t>
  </si>
  <si>
    <t>პლასტმასის გოფრირებული მილი დ=250მმ</t>
  </si>
  <si>
    <t>0+51</t>
  </si>
  <si>
    <t>1+09</t>
  </si>
  <si>
    <t>1+39</t>
  </si>
  <si>
    <t>1+69</t>
  </si>
  <si>
    <t>1+99</t>
  </si>
  <si>
    <t>2+30</t>
  </si>
  <si>
    <t>2+41</t>
  </si>
  <si>
    <t>2+49</t>
  </si>
  <si>
    <t>2+65</t>
  </si>
  <si>
    <t>2+99</t>
  </si>
  <si>
    <t>3+27</t>
  </si>
  <si>
    <t>3+58</t>
  </si>
  <si>
    <t>3+78</t>
  </si>
  <si>
    <t>პლასტმასის გოფრირებული მილების მოწყობა  დ=250მმ</t>
  </si>
  <si>
    <t>პლასტმასის გოფრირებული მილების მოწყობა  დ=400მმ</t>
  </si>
  <si>
    <t>პლასტმასის გოფრირებული მილების მოწყობა  დ=500მმ</t>
  </si>
  <si>
    <t>sagzao samosis mowyobis moculobebis uwyisi</t>
  </si>
  <si>
    <t>2+39</t>
  </si>
  <si>
    <t>0+82</t>
  </si>
  <si>
    <t>0+05</t>
  </si>
  <si>
    <t>0+63</t>
  </si>
  <si>
    <t>samuSaoTa moculobebis krebsiTi uwyisi</t>
  </si>
  <si>
    <r>
      <t>მ</t>
    </r>
    <r>
      <rPr>
        <vertAlign val="superscript"/>
        <sz val="12"/>
        <color rgb="FF000000"/>
        <rFont val="Sylfaen"/>
        <family val="1"/>
      </rPr>
      <t>3</t>
    </r>
  </si>
  <si>
    <t>შენიშვნა: არსებული საფარის მოხსნისას გათვალისწინებული იქნას არსებული დაზიანებული ა/ბეტონის საფარის სისქით 8 სმ. ფენის მოხსნა დაახლოებით 1920 კვ.მ.</t>
  </si>
  <si>
    <t>2. სათვალთვალო ჭების გასწორება</t>
  </si>
  <si>
    <t>III კატეგორიის გრუნტის დამუშავება ექსკავატორით ნიაღვარმიმღების ჭების და მილების მოსაწყობად</t>
  </si>
  <si>
    <t>არსებული ა/ბეტონის საფარის ჩაჭრა და დემონტაჟი</t>
  </si>
  <si>
    <t>დატვირთვა ა/თვითმცლელებზე</t>
  </si>
  <si>
    <t>ტრანსპორტირება 10 კმ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</si>
  <si>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</si>
  <si>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300გრ</t>
    </r>
  </si>
  <si>
    <t xml:space="preserve">საფუძვლის მოწყობა ფრაქციული ღორღით 0-40მმ. სისქით 12 სმ. </t>
  </si>
  <si>
    <t>არსებული ა/ბეტონის საფარის მოხსნა ფრეზირებით და დატვირთვა ა/თვითმცლელებზე</t>
  </si>
  <si>
    <t>საფუძვლის მოწყობა ფრაქციული ღორღით 0-40 სისქით 12 სმ</t>
  </si>
  <si>
    <t>თავი VI. ხელოვნური ნაგებობების მოწყობა</t>
  </si>
  <si>
    <t>ანაკრები ბეტონის ბორდიურების მოწყობა 30x15სმ. ბეტონის საგებზე</t>
  </si>
  <si>
    <t>ნიაღვარმიმღები ჭის გადახურვის მოწყობა  თუჯის ცხაურით 70x70x5სმ. თუჯის ჩარჩოთი</t>
  </si>
  <si>
    <t>ანაკრები რკ/ბეტონის გადახურვის ფილის მოწყობა 1.2x1.2x0.22მ. თუჯის მრგვალი ხუფით დ=73სმ</t>
  </si>
  <si>
    <t>არსებული ჭის თავის დემონტაჟი, ბეტონის მონგრება სანგრევი ჩაქუჩებით, ჭის თავის დემონტაჟი, დასაწყობება მითითებულ ადგილზე. ანაკრები რკ/ბეტონის გადახურვის ფილის 1.2x1.2x0.22მ მონტაჟი თუჯის მრგვალი ხუფით დ=73სმ. და გასწორება საპროექტო ნიშნულზე მონოლითური B25 კლასის ბეტონით</t>
  </si>
  <si>
    <t>ანაკრები რკ/ბეტონის გადახურვის ფილა 1.2x1.2x0.22მ. თუჯის მრგვალი ხუფით დ=73სმ</t>
  </si>
  <si>
    <t>საკომუნიკაციო ჭა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</si>
</sst>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42"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0"/>
      <name val="Arial Cyr"/>
      <charset val="1"/>
    </font>
    <font>
      <vertAlign val="superscript"/>
      <sz val="10"/>
      <name val="Arial Cyr"/>
    </font>
    <font>
      <b/>
      <sz val="11"/>
      <name val="Arial Cyr"/>
    </font>
    <font>
      <b/>
      <sz val="12"/>
      <name val="Arial Cyr"/>
    </font>
    <font>
      <sz val="11"/>
      <color theme="1"/>
      <name val="Calibri"/>
      <family val="2"/>
      <charset val="204"/>
      <scheme val="minor"/>
    </font>
    <font>
      <vertAlign val="superscript"/>
      <sz val="10"/>
      <name val="Arial Cyr"/>
      <charset val="204"/>
    </font>
    <font>
      <sz val="12"/>
      <name val="Arial Cyr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vertAlign val="superscript"/>
      <sz val="12"/>
      <color theme="1"/>
      <name val="Sylfaen"/>
      <family val="1"/>
      <charset val="204"/>
    </font>
    <font>
      <vertAlign val="superscript"/>
      <sz val="12"/>
      <name val="Sylfae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vertAlign val="superscript"/>
      <sz val="11"/>
      <name val="Arial Cyr"/>
      <charset val="1"/>
    </font>
    <font>
      <vertAlign val="superscript"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Verdana"/>
      <family val="2"/>
      <charset val="204"/>
    </font>
    <font>
      <sz val="10"/>
      <name val="Arial Cyr"/>
    </font>
    <font>
      <b/>
      <sz val="10"/>
      <name val="Arial Cyr"/>
    </font>
    <font>
      <b/>
      <sz val="11"/>
      <name val="Arial"/>
      <family val="2"/>
      <charset val="204"/>
    </font>
    <font>
      <b/>
      <sz val="12"/>
      <name val="Arial Cyr"/>
      <charset val="204"/>
    </font>
    <font>
      <vertAlign val="subscript"/>
      <sz val="12"/>
      <name val="Sylfaen"/>
      <family val="1"/>
      <charset val="204"/>
    </font>
    <font>
      <b/>
      <sz val="12"/>
      <name val="AcadMtavr"/>
    </font>
    <font>
      <sz val="10"/>
      <name val="Verdana"/>
      <family val="2"/>
    </font>
    <font>
      <sz val="10"/>
      <name val="Verdana"/>
      <family val="2"/>
      <charset val="204"/>
    </font>
    <font>
      <b/>
      <sz val="10"/>
      <name val="Arial Cyr"/>
      <charset val="204"/>
    </font>
    <font>
      <b/>
      <sz val="10"/>
      <name val="Verdana"/>
      <family val="2"/>
      <charset val="204"/>
    </font>
    <font>
      <b/>
      <sz val="11"/>
      <color theme="1"/>
      <name val="AcadMtavr"/>
    </font>
    <font>
      <b/>
      <sz val="11"/>
      <color theme="1"/>
      <name val="Arial"/>
      <family val="2"/>
    </font>
    <font>
      <sz val="11"/>
      <color theme="1"/>
      <name val="AcadMtavr"/>
    </font>
    <font>
      <sz val="12"/>
      <color theme="1"/>
      <name val="AcadMtavr"/>
    </font>
    <font>
      <sz val="11"/>
      <name val="Sylfaen"/>
      <family val="1"/>
    </font>
    <font>
      <vertAlign val="superscript"/>
      <sz val="11"/>
      <name val="Arial Cyr"/>
    </font>
    <font>
      <sz val="10"/>
      <name val="Sylfaen"/>
      <family val="1"/>
    </font>
    <font>
      <b/>
      <sz val="12"/>
      <color theme="1"/>
      <name val="AcadMtavr"/>
    </font>
    <font>
      <sz val="12"/>
      <name val="Sylfaen"/>
      <family val="1"/>
    </font>
    <font>
      <vertAlign val="superscript"/>
      <sz val="12"/>
      <color rgb="FF000000"/>
      <name val="Sylfaen"/>
      <family val="1"/>
    </font>
    <font>
      <vertAlign val="superscript"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justify"/>
    </xf>
    <xf numFmtId="0" fontId="0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ill="1" applyBorder="1" applyAlignment="1">
      <alignment vertical="justify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2" fontId="0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textRotation="90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Fill="1"/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justify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vertical="justify"/>
    </xf>
    <xf numFmtId="0" fontId="14" fillId="0" borderId="0" xfId="0" applyFont="1"/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2" fillId="0" borderId="0" xfId="0" applyFont="1"/>
    <xf numFmtId="0" fontId="5" fillId="0" borderId="0" xfId="0" applyFont="1"/>
    <xf numFmtId="0" fontId="24" fillId="0" borderId="0" xfId="0" applyFont="1" applyAlignment="1">
      <alignment horizontal="center"/>
    </xf>
    <xf numFmtId="166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textRotation="90" wrapText="1"/>
    </xf>
    <xf numFmtId="2" fontId="0" fillId="0" borderId="1" xfId="0" applyNumberForma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 wrapText="1"/>
    </xf>
    <xf numFmtId="0" fontId="27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right" wrapText="1"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justify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/>
    </xf>
    <xf numFmtId="2" fontId="39" fillId="0" borderId="1" xfId="0" applyNumberFormat="1" applyFont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justify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22" fillId="0" borderId="1" xfId="0" applyNumberFormat="1" applyFont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textRotation="90"/>
    </xf>
    <xf numFmtId="164" fontId="1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10</xdr:row>
      <xdr:rowOff>152400</xdr:rowOff>
    </xdr:from>
    <xdr:to>
      <xdr:col>6</xdr:col>
      <xdr:colOff>0</xdr:colOff>
      <xdr:row>19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66103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9</xdr:row>
      <xdr:rowOff>142875</xdr:rowOff>
    </xdr:from>
    <xdr:to>
      <xdr:col>10</xdr:col>
      <xdr:colOff>76200</xdr:colOff>
      <xdr:row>17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5148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28</xdr:row>
      <xdr:rowOff>123825</xdr:rowOff>
    </xdr:from>
    <xdr:to>
      <xdr:col>7</xdr:col>
      <xdr:colOff>504825</xdr:colOff>
      <xdr:row>35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7534275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74</xdr:row>
      <xdr:rowOff>0</xdr:rowOff>
    </xdr:from>
    <xdr:ext cx="0" cy="95698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497" y="13110882"/>
          <a:ext cx="0" cy="95698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1276350</xdr:colOff>
      <xdr:row>77</xdr:row>
      <xdr:rowOff>0</xdr:rowOff>
    </xdr:from>
    <xdr:ext cx="0" cy="956980"/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32356425"/>
          <a:ext cx="0" cy="95698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1276350</xdr:colOff>
      <xdr:row>77</xdr:row>
      <xdr:rowOff>0</xdr:rowOff>
    </xdr:from>
    <xdr:ext cx="0" cy="956980"/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32356425"/>
          <a:ext cx="0" cy="95698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SheetLayoutView="100" workbookViewId="0">
      <selection activeCell="E5" sqref="E5"/>
    </sheetView>
  </sheetViews>
  <sheetFormatPr defaultColWidth="9.109375" defaultRowHeight="13.2"/>
  <cols>
    <col min="1" max="1" width="5.44140625" style="1" customWidth="1"/>
    <col min="2" max="2" width="8.33203125" style="1" bestFit="1" customWidth="1"/>
    <col min="3" max="3" width="8.44140625" style="1" bestFit="1" customWidth="1"/>
    <col min="4" max="4" width="8.33203125" style="1" bestFit="1" customWidth="1"/>
    <col min="5" max="5" width="9.6640625" style="1" customWidth="1"/>
    <col min="6" max="8" width="9" style="1" customWidth="1"/>
    <col min="9" max="9" width="11.88671875" style="1" customWidth="1"/>
    <col min="10" max="16384" width="9.109375" style="1"/>
  </cols>
  <sheetData>
    <row r="1" spans="1:9" ht="21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9" ht="36" customHeight="1">
      <c r="A2" s="206" t="s">
        <v>57</v>
      </c>
      <c r="B2" s="206"/>
      <c r="C2" s="206"/>
      <c r="D2" s="206"/>
      <c r="E2" s="206"/>
      <c r="F2" s="206"/>
      <c r="G2" s="206"/>
      <c r="H2" s="206"/>
      <c r="I2" s="206"/>
    </row>
    <row r="3" spans="1:9" ht="14.4">
      <c r="A3" s="45"/>
      <c r="B3" s="45"/>
      <c r="C3" s="45"/>
      <c r="D3" s="45"/>
      <c r="E3" s="45"/>
      <c r="F3" s="45"/>
      <c r="G3" s="45"/>
      <c r="H3" s="45"/>
      <c r="I3" s="45"/>
    </row>
    <row r="4" spans="1:9" ht="21.75" customHeight="1">
      <c r="A4" s="207" t="s">
        <v>3</v>
      </c>
      <c r="B4" s="208" t="s">
        <v>24</v>
      </c>
      <c r="C4" s="208"/>
      <c r="D4" s="208"/>
      <c r="E4" s="208"/>
      <c r="F4" s="203" t="s">
        <v>21</v>
      </c>
      <c r="G4" s="203" t="s">
        <v>52</v>
      </c>
      <c r="H4" s="203" t="s">
        <v>53</v>
      </c>
      <c r="I4" s="205" t="s">
        <v>56</v>
      </c>
    </row>
    <row r="5" spans="1:9" ht="219" customHeight="1">
      <c r="A5" s="207"/>
      <c r="B5" s="42" t="s">
        <v>35</v>
      </c>
      <c r="C5" s="42" t="s">
        <v>36</v>
      </c>
      <c r="D5" s="42" t="s">
        <v>35</v>
      </c>
      <c r="E5" s="42" t="s">
        <v>36</v>
      </c>
      <c r="F5" s="204"/>
      <c r="G5" s="204"/>
      <c r="H5" s="204"/>
      <c r="I5" s="205"/>
    </row>
    <row r="6" spans="1:9" s="9" customFormat="1" ht="31.5" customHeight="1">
      <c r="A6" s="207"/>
      <c r="B6" s="209" t="s">
        <v>19</v>
      </c>
      <c r="C6" s="210"/>
      <c r="D6" s="199" t="s">
        <v>20</v>
      </c>
      <c r="E6" s="200"/>
      <c r="F6" s="31" t="s">
        <v>22</v>
      </c>
      <c r="G6" s="42" t="s">
        <v>22</v>
      </c>
      <c r="H6" s="49" t="s">
        <v>16</v>
      </c>
      <c r="I6" s="49" t="s">
        <v>16</v>
      </c>
    </row>
    <row r="7" spans="1:9" s="9" customFormat="1">
      <c r="A7" s="46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</row>
    <row r="8" spans="1:9" s="2" customFormat="1" ht="20.25" customHeight="1">
      <c r="A8" s="47">
        <v>1</v>
      </c>
      <c r="B8" s="27"/>
      <c r="C8" s="27"/>
      <c r="D8" s="27" t="s">
        <v>48</v>
      </c>
      <c r="E8" s="48" t="s">
        <v>54</v>
      </c>
      <c r="F8" s="43">
        <f>480-340</f>
        <v>140</v>
      </c>
      <c r="G8" s="43">
        <v>2</v>
      </c>
      <c r="H8" s="43">
        <f>F8*G8</f>
        <v>280</v>
      </c>
      <c r="I8" s="29">
        <f>F8*G8</f>
        <v>280</v>
      </c>
    </row>
    <row r="9" spans="1:9" s="2" customFormat="1">
      <c r="A9" s="47">
        <f>A8+1</f>
        <v>2</v>
      </c>
      <c r="B9" s="22" t="s">
        <v>48</v>
      </c>
      <c r="C9" s="22" t="s">
        <v>55</v>
      </c>
      <c r="D9" s="22"/>
      <c r="E9" s="49"/>
      <c r="F9" s="37">
        <f>470-340</f>
        <v>130</v>
      </c>
      <c r="G9" s="37">
        <v>1.5</v>
      </c>
      <c r="H9" s="43">
        <f>F9*G9</f>
        <v>195</v>
      </c>
      <c r="I9" s="29">
        <f>F9*G9</f>
        <v>195</v>
      </c>
    </row>
    <row r="10" spans="1:9" s="2" customFormat="1">
      <c r="A10" s="201" t="s">
        <v>34</v>
      </c>
      <c r="B10" s="202"/>
      <c r="C10" s="202"/>
      <c r="D10" s="202"/>
      <c r="E10" s="202"/>
      <c r="F10" s="3">
        <f>SUM(F8:F9)</f>
        <v>270</v>
      </c>
      <c r="G10" s="3">
        <f>SUM(G8:G9)</f>
        <v>3.5</v>
      </c>
      <c r="H10" s="3">
        <f>H8+H9</f>
        <v>475</v>
      </c>
      <c r="I10" s="3">
        <f>SUM(I8:I9)</f>
        <v>475</v>
      </c>
    </row>
    <row r="11" spans="1:9" s="2" customForma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>
      <c r="A13" s="1"/>
      <c r="B13" s="1"/>
      <c r="C13" s="1"/>
      <c r="D13" s="1"/>
      <c r="E13" s="1"/>
      <c r="F13" s="1"/>
      <c r="G13" t="s">
        <v>47</v>
      </c>
      <c r="H13"/>
      <c r="I13" s="1"/>
    </row>
    <row r="18" spans="11:12">
      <c r="K18" s="44"/>
    </row>
    <row r="20" spans="11:12">
      <c r="L20" s="44"/>
    </row>
    <row r="21" spans="11:12">
      <c r="L21" s="44"/>
    </row>
  </sheetData>
  <mergeCells count="11">
    <mergeCell ref="D6:E6"/>
    <mergeCell ref="A10:E10"/>
    <mergeCell ref="H4:H5"/>
    <mergeCell ref="I4:I5"/>
    <mergeCell ref="A1:I1"/>
    <mergeCell ref="A2:I2"/>
    <mergeCell ref="A4:A6"/>
    <mergeCell ref="B4:E4"/>
    <mergeCell ref="F4:F5"/>
    <mergeCell ref="G4:G5"/>
    <mergeCell ref="B6:C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SheetLayoutView="100" workbookViewId="0">
      <selection activeCell="L7" sqref="L7"/>
    </sheetView>
  </sheetViews>
  <sheetFormatPr defaultColWidth="9.109375" defaultRowHeight="13.2"/>
  <cols>
    <col min="1" max="1" width="4.109375" style="1" customWidth="1"/>
    <col min="2" max="3" width="11" style="1" customWidth="1"/>
    <col min="4" max="6" width="5.5546875" style="1" customWidth="1"/>
    <col min="7" max="7" width="7.33203125" style="1" customWidth="1"/>
    <col min="8" max="8" width="8" style="1" customWidth="1"/>
    <col min="9" max="14" width="8.6640625" style="1" customWidth="1"/>
    <col min="15" max="15" width="10.5546875" style="1" customWidth="1"/>
    <col min="16" max="16" width="8.6640625" style="1" customWidth="1"/>
    <col min="17" max="16384" width="9.109375" style="1"/>
  </cols>
  <sheetData>
    <row r="1" spans="1:16" ht="15.75" customHeight="1">
      <c r="A1" s="206" t="s">
        <v>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4.4">
      <c r="A2" s="206" t="s">
        <v>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4.4">
      <c r="A3" s="34"/>
      <c r="B3" s="34"/>
      <c r="C3" s="34"/>
      <c r="D3" s="34"/>
      <c r="E3" s="34"/>
      <c r="F3" s="34"/>
      <c r="G3" s="51"/>
      <c r="H3" s="51"/>
      <c r="I3" s="34"/>
      <c r="J3" s="34"/>
      <c r="K3" s="34"/>
      <c r="L3" s="34"/>
      <c r="M3" s="34"/>
      <c r="N3" s="34"/>
      <c r="O3" s="34"/>
      <c r="P3" s="34"/>
    </row>
    <row r="4" spans="1:16" s="2" customFormat="1" ht="21.75" customHeight="1">
      <c r="A4" s="207" t="s">
        <v>3</v>
      </c>
      <c r="B4" s="208" t="s">
        <v>24</v>
      </c>
      <c r="C4" s="208"/>
      <c r="D4" s="203" t="s">
        <v>31</v>
      </c>
      <c r="E4" s="203" t="s">
        <v>21</v>
      </c>
      <c r="F4" s="203" t="s">
        <v>32</v>
      </c>
      <c r="G4" s="212" t="s">
        <v>59</v>
      </c>
      <c r="H4" s="213"/>
      <c r="I4" s="209" t="s">
        <v>28</v>
      </c>
      <c r="J4" s="211"/>
      <c r="K4" s="211"/>
      <c r="L4" s="210"/>
      <c r="M4" s="209" t="s">
        <v>29</v>
      </c>
      <c r="N4" s="211"/>
      <c r="O4" s="211"/>
      <c r="P4" s="210"/>
    </row>
    <row r="5" spans="1:16" ht="218.25" customHeight="1">
      <c r="A5" s="207"/>
      <c r="B5" s="33" t="s">
        <v>18</v>
      </c>
      <c r="C5" s="13" t="s">
        <v>18</v>
      </c>
      <c r="D5" s="204"/>
      <c r="E5" s="204"/>
      <c r="F5" s="204"/>
      <c r="G5" s="50" t="s">
        <v>64</v>
      </c>
      <c r="H5" s="50" t="s">
        <v>60</v>
      </c>
      <c r="I5" s="26" t="s">
        <v>50</v>
      </c>
      <c r="J5" s="24" t="s">
        <v>5</v>
      </c>
      <c r="K5" s="26" t="s">
        <v>27</v>
      </c>
      <c r="L5" s="25" t="s">
        <v>12</v>
      </c>
      <c r="M5" s="26" t="s">
        <v>13</v>
      </c>
      <c r="N5" s="23" t="s">
        <v>14</v>
      </c>
      <c r="O5" s="35" t="s">
        <v>15</v>
      </c>
      <c r="P5" s="26" t="s">
        <v>30</v>
      </c>
    </row>
    <row r="6" spans="1:16" s="9" customFormat="1" ht="20.25" customHeight="1">
      <c r="A6" s="207"/>
      <c r="B6" s="22" t="s">
        <v>19</v>
      </c>
      <c r="C6" s="12" t="s">
        <v>20</v>
      </c>
      <c r="D6" s="31" t="s">
        <v>22</v>
      </c>
      <c r="E6" s="31" t="s">
        <v>22</v>
      </c>
      <c r="F6" s="31" t="s">
        <v>23</v>
      </c>
      <c r="G6" s="53" t="s">
        <v>16</v>
      </c>
      <c r="H6" s="53" t="s">
        <v>4</v>
      </c>
      <c r="I6" s="18" t="s">
        <v>6</v>
      </c>
      <c r="J6" s="18" t="s">
        <v>6</v>
      </c>
      <c r="K6" s="12" t="s">
        <v>4</v>
      </c>
      <c r="L6" s="12" t="s">
        <v>16</v>
      </c>
      <c r="M6" s="53" t="s">
        <v>16</v>
      </c>
      <c r="N6" s="12" t="s">
        <v>16</v>
      </c>
      <c r="O6" s="18" t="s">
        <v>6</v>
      </c>
      <c r="P6" s="18" t="s">
        <v>6</v>
      </c>
    </row>
    <row r="7" spans="1:16" s="9" customFormat="1">
      <c r="A7" s="13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  <c r="J7" s="27">
        <f t="shared" ref="J7" si="4">I7+1</f>
        <v>10</v>
      </c>
      <c r="K7" s="27">
        <f t="shared" ref="K7" si="5">J7+1</f>
        <v>11</v>
      </c>
      <c r="L7" s="27">
        <f t="shared" ref="L7" si="6">K7+1</f>
        <v>12</v>
      </c>
      <c r="M7" s="27">
        <f t="shared" ref="M7" si="7">L7+1</f>
        <v>13</v>
      </c>
      <c r="N7" s="27">
        <f t="shared" ref="N7" si="8">M7+1</f>
        <v>14</v>
      </c>
      <c r="O7" s="27">
        <f t="shared" ref="O7" si="9">N7+1</f>
        <v>15</v>
      </c>
      <c r="P7" s="27">
        <f t="shared" ref="P7" si="10">O7+1</f>
        <v>16</v>
      </c>
    </row>
    <row r="8" spans="1:16" s="2" customFormat="1">
      <c r="A8" s="17">
        <v>1</v>
      </c>
      <c r="B8" s="27"/>
      <c r="C8" s="52" t="s">
        <v>41</v>
      </c>
      <c r="D8" s="36">
        <v>5.5</v>
      </c>
      <c r="E8" s="4">
        <v>10</v>
      </c>
      <c r="F8" s="4">
        <f>E8*D8</f>
        <v>55</v>
      </c>
      <c r="G8" s="4">
        <v>35</v>
      </c>
      <c r="H8" s="4">
        <f>G8*0.06*2.2</f>
        <v>4.620000000000001</v>
      </c>
      <c r="I8" s="29">
        <f>F8*0.15*0.9</f>
        <v>7.4249999999999998</v>
      </c>
      <c r="J8" s="29">
        <f>F8*0.15*0.1</f>
        <v>0.82500000000000007</v>
      </c>
      <c r="K8" s="32">
        <f>(I8+J8)*1.8</f>
        <v>14.85</v>
      </c>
      <c r="L8" s="29">
        <f>F8</f>
        <v>55</v>
      </c>
      <c r="M8" s="32">
        <f>L8</f>
        <v>55</v>
      </c>
      <c r="N8" s="30">
        <f>O8*0.0006</f>
        <v>2.6999999999999996E-2</v>
      </c>
      <c r="O8" s="32">
        <f>(D8-1)*E8</f>
        <v>45</v>
      </c>
      <c r="P8" s="32">
        <f>E8*1*0.06*1.26</f>
        <v>0.75600000000000001</v>
      </c>
    </row>
    <row r="9" spans="1:16" s="2" customFormat="1">
      <c r="A9" s="201" t="s">
        <v>34</v>
      </c>
      <c r="B9" s="201"/>
      <c r="C9" s="201"/>
      <c r="D9" s="38"/>
      <c r="E9" s="3">
        <f>SUM(E8:E8)</f>
        <v>10</v>
      </c>
      <c r="F9" s="3">
        <f>SUM(F8:F8)</f>
        <v>55</v>
      </c>
      <c r="G9" s="3">
        <f>SUM(G8:G8)</f>
        <v>35</v>
      </c>
      <c r="H9" s="3"/>
      <c r="I9" s="3">
        <f t="shared" ref="I9:P9" si="11">SUM(I8:I8)</f>
        <v>7.4249999999999998</v>
      </c>
      <c r="J9" s="3">
        <f t="shared" si="11"/>
        <v>0.82500000000000007</v>
      </c>
      <c r="K9" s="3">
        <f t="shared" si="11"/>
        <v>14.85</v>
      </c>
      <c r="L9" s="3">
        <f t="shared" si="11"/>
        <v>55</v>
      </c>
      <c r="M9" s="3">
        <f t="shared" si="11"/>
        <v>55</v>
      </c>
      <c r="N9" s="54">
        <f t="shared" si="11"/>
        <v>2.6999999999999996E-2</v>
      </c>
      <c r="O9" s="3">
        <f t="shared" si="11"/>
        <v>45</v>
      </c>
      <c r="P9" s="3">
        <f t="shared" si="11"/>
        <v>0.75600000000000001</v>
      </c>
    </row>
    <row r="10" spans="1:16">
      <c r="A10" s="39"/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55"/>
      <c r="O10" s="41"/>
      <c r="P10" s="41"/>
    </row>
    <row r="12" spans="1:16">
      <c r="L12" s="10" t="s">
        <v>7</v>
      </c>
    </row>
  </sheetData>
  <mergeCells count="11">
    <mergeCell ref="A9:C9"/>
    <mergeCell ref="A1:P1"/>
    <mergeCell ref="A2:P2"/>
    <mergeCell ref="A4:A6"/>
    <mergeCell ref="B4:C4"/>
    <mergeCell ref="D4:D5"/>
    <mergeCell ref="E4:E5"/>
    <mergeCell ref="F4:F5"/>
    <mergeCell ref="I4:L4"/>
    <mergeCell ref="M4:P4"/>
    <mergeCell ref="G4:H4"/>
  </mergeCells>
  <pageMargins left="0.7" right="0.7" top="0.75" bottom="0.75" header="0.3" footer="0.3"/>
  <pageSetup paperSize="9" scale="8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SheetLayoutView="100" workbookViewId="0">
      <selection activeCell="H5" sqref="H5"/>
    </sheetView>
  </sheetViews>
  <sheetFormatPr defaultColWidth="9.109375" defaultRowHeight="13.2"/>
  <cols>
    <col min="1" max="1" width="4.109375" style="1" customWidth="1"/>
    <col min="2" max="3" width="11" style="1" customWidth="1"/>
    <col min="4" max="6" width="5.5546875" style="1" customWidth="1"/>
    <col min="7" max="7" width="8.5546875" style="1" customWidth="1"/>
    <col min="8" max="12" width="7.88671875" style="1" customWidth="1"/>
    <col min="13" max="13" width="10.5546875" style="1" bestFit="1" customWidth="1"/>
    <col min="14" max="14" width="7.88671875" style="1" customWidth="1"/>
    <col min="15" max="16384" width="9.109375" style="1"/>
  </cols>
  <sheetData>
    <row r="1" spans="1:14" ht="15.75" customHeight="1">
      <c r="A1" s="206" t="s">
        <v>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30" customHeight="1">
      <c r="A2" s="206" t="s">
        <v>43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4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.75" customHeight="1">
      <c r="A4" s="207" t="s">
        <v>3</v>
      </c>
      <c r="B4" s="208" t="s">
        <v>24</v>
      </c>
      <c r="C4" s="208"/>
      <c r="D4" s="203" t="s">
        <v>31</v>
      </c>
      <c r="E4" s="203" t="s">
        <v>21</v>
      </c>
      <c r="F4" s="203" t="s">
        <v>32</v>
      </c>
      <c r="G4" s="209" t="s">
        <v>28</v>
      </c>
      <c r="H4" s="211"/>
      <c r="I4" s="211"/>
      <c r="J4" s="210"/>
      <c r="K4" s="209" t="s">
        <v>29</v>
      </c>
      <c r="L4" s="211"/>
      <c r="M4" s="211"/>
      <c r="N4" s="210"/>
    </row>
    <row r="5" spans="1:14" ht="216.75" customHeight="1">
      <c r="A5" s="207"/>
      <c r="B5" s="33" t="s">
        <v>18</v>
      </c>
      <c r="C5" s="13" t="s">
        <v>18</v>
      </c>
      <c r="D5" s="204"/>
      <c r="E5" s="204"/>
      <c r="F5" s="204"/>
      <c r="G5" s="26" t="s">
        <v>26</v>
      </c>
      <c r="H5" s="24" t="s">
        <v>5</v>
      </c>
      <c r="I5" s="26" t="s">
        <v>27</v>
      </c>
      <c r="J5" s="25" t="s">
        <v>12</v>
      </c>
      <c r="K5" s="26" t="s">
        <v>44</v>
      </c>
      <c r="L5" s="23" t="s">
        <v>14</v>
      </c>
      <c r="M5" s="35" t="s">
        <v>15</v>
      </c>
      <c r="N5" s="26" t="s">
        <v>30</v>
      </c>
    </row>
    <row r="6" spans="1:14" s="9" customFormat="1" ht="20.25" customHeight="1">
      <c r="A6" s="207"/>
      <c r="B6" s="22" t="s">
        <v>19</v>
      </c>
      <c r="C6" s="12" t="s">
        <v>20</v>
      </c>
      <c r="D6" s="31" t="s">
        <v>22</v>
      </c>
      <c r="E6" s="31" t="s">
        <v>22</v>
      </c>
      <c r="F6" s="31" t="s">
        <v>23</v>
      </c>
      <c r="G6" s="18" t="s">
        <v>6</v>
      </c>
      <c r="H6" s="18" t="s">
        <v>6</v>
      </c>
      <c r="I6" s="12" t="s">
        <v>4</v>
      </c>
      <c r="J6" s="12" t="s">
        <v>16</v>
      </c>
      <c r="K6" s="18" t="s">
        <v>6</v>
      </c>
      <c r="L6" s="12" t="s">
        <v>16</v>
      </c>
      <c r="M6" s="18" t="s">
        <v>6</v>
      </c>
      <c r="N6" s="18" t="s">
        <v>6</v>
      </c>
    </row>
    <row r="7" spans="1:14" s="9" customFormat="1">
      <c r="A7" s="13">
        <v>1</v>
      </c>
      <c r="B7" s="27">
        <f>A7+1</f>
        <v>2</v>
      </c>
      <c r="C7" s="27">
        <f t="shared" ref="C7:N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si="0"/>
        <v>7</v>
      </c>
      <c r="H7" s="27">
        <f t="shared" si="0"/>
        <v>8</v>
      </c>
      <c r="I7" s="27">
        <f t="shared" si="0"/>
        <v>9</v>
      </c>
      <c r="J7" s="27">
        <f t="shared" si="0"/>
        <v>10</v>
      </c>
      <c r="K7" s="27">
        <f>J7+1</f>
        <v>11</v>
      </c>
      <c r="L7" s="27">
        <f t="shared" si="0"/>
        <v>12</v>
      </c>
      <c r="M7" s="27">
        <f t="shared" si="0"/>
        <v>13</v>
      </c>
      <c r="N7" s="27">
        <f t="shared" si="0"/>
        <v>14</v>
      </c>
    </row>
    <row r="8" spans="1:14" s="2" customFormat="1">
      <c r="A8" s="17">
        <v>1</v>
      </c>
      <c r="B8" s="27"/>
      <c r="C8" s="28" t="s">
        <v>25</v>
      </c>
      <c r="D8" s="36">
        <v>5.5</v>
      </c>
      <c r="E8" s="4">
        <v>10</v>
      </c>
      <c r="F8" s="4">
        <f>E8*D8</f>
        <v>55</v>
      </c>
      <c r="G8" s="29">
        <f>F8*0.15*0.9</f>
        <v>7.4249999999999998</v>
      </c>
      <c r="H8" s="29">
        <f>F8*0.15*0.1</f>
        <v>0.82500000000000007</v>
      </c>
      <c r="I8" s="32">
        <f>(G8+H8)*1.8</f>
        <v>14.85</v>
      </c>
      <c r="J8" s="29">
        <f>F8</f>
        <v>55</v>
      </c>
      <c r="K8" s="32">
        <f>J8*0.15*1.26</f>
        <v>10.395</v>
      </c>
      <c r="L8" s="30">
        <f>M8*0.0006</f>
        <v>2.6999999999999996E-2</v>
      </c>
      <c r="M8" s="32">
        <f>(D8-1)*E8</f>
        <v>45</v>
      </c>
      <c r="N8" s="32">
        <f>E8*1*0.06*1.26</f>
        <v>0.75600000000000001</v>
      </c>
    </row>
    <row r="9" spans="1:14" s="2" customFormat="1">
      <c r="A9" s="17">
        <f>A8+1</f>
        <v>2</v>
      </c>
      <c r="B9" s="8"/>
      <c r="C9" s="12"/>
      <c r="D9" s="12"/>
      <c r="E9" s="4"/>
      <c r="F9" s="4"/>
      <c r="G9" s="29"/>
      <c r="H9" s="29"/>
      <c r="I9" s="32"/>
      <c r="J9" s="29"/>
      <c r="K9" s="32"/>
      <c r="L9" s="32"/>
      <c r="M9" s="32"/>
      <c r="N9" s="32"/>
    </row>
    <row r="10" spans="1:14" s="2" customFormat="1">
      <c r="A10" s="17">
        <f t="shared" ref="A10:A27" si="1">A9+1</f>
        <v>3</v>
      </c>
      <c r="B10" s="8"/>
      <c r="C10" s="12"/>
      <c r="D10" s="12"/>
      <c r="E10" s="16"/>
      <c r="F10" s="16"/>
      <c r="G10" s="32"/>
      <c r="H10" s="32"/>
      <c r="I10" s="32"/>
      <c r="J10" s="32"/>
      <c r="K10" s="32"/>
      <c r="L10" s="32"/>
      <c r="M10" s="32"/>
      <c r="N10" s="32"/>
    </row>
    <row r="11" spans="1:14" s="2" customFormat="1">
      <c r="A11" s="17">
        <f t="shared" si="1"/>
        <v>4</v>
      </c>
      <c r="B11" s="8"/>
      <c r="C11" s="12"/>
      <c r="D11" s="12"/>
      <c r="E11" s="16"/>
      <c r="F11" s="16"/>
      <c r="G11" s="32"/>
      <c r="H11" s="32"/>
      <c r="I11" s="32"/>
      <c r="J11" s="32"/>
      <c r="K11" s="32"/>
      <c r="L11" s="32"/>
      <c r="M11" s="32"/>
      <c r="N11" s="32"/>
    </row>
    <row r="12" spans="1:14" s="2" customFormat="1">
      <c r="A12" s="17">
        <f t="shared" si="1"/>
        <v>5</v>
      </c>
      <c r="B12" s="15"/>
      <c r="C12" s="13"/>
      <c r="D12" s="13"/>
      <c r="E12" s="16"/>
      <c r="F12" s="16"/>
      <c r="G12" s="32"/>
      <c r="H12" s="32"/>
      <c r="I12" s="32"/>
      <c r="J12" s="32"/>
      <c r="K12" s="32"/>
      <c r="L12" s="32"/>
      <c r="M12" s="32"/>
      <c r="N12" s="32"/>
    </row>
    <row r="13" spans="1:14" s="2" customFormat="1">
      <c r="A13" s="17">
        <f t="shared" si="1"/>
        <v>6</v>
      </c>
      <c r="B13" s="15"/>
      <c r="C13" s="13"/>
      <c r="D13" s="13"/>
      <c r="E13" s="16"/>
      <c r="F13" s="16"/>
      <c r="G13" s="32"/>
      <c r="H13" s="32"/>
      <c r="I13" s="32"/>
      <c r="J13" s="32"/>
      <c r="K13" s="32"/>
      <c r="L13" s="32"/>
      <c r="M13" s="32"/>
      <c r="N13" s="32"/>
    </row>
    <row r="14" spans="1:14" s="2" customFormat="1">
      <c r="A14" s="17">
        <f t="shared" si="1"/>
        <v>7</v>
      </c>
      <c r="B14" s="15"/>
      <c r="C14" s="13"/>
      <c r="D14" s="13"/>
      <c r="E14" s="16"/>
      <c r="F14" s="16"/>
      <c r="G14" s="32"/>
      <c r="H14" s="32"/>
      <c r="I14" s="32"/>
      <c r="J14" s="32"/>
      <c r="K14" s="32"/>
      <c r="L14" s="32"/>
      <c r="M14" s="32"/>
      <c r="N14" s="32"/>
    </row>
    <row r="15" spans="1:14" s="2" customFormat="1">
      <c r="A15" s="17">
        <f t="shared" si="1"/>
        <v>8</v>
      </c>
      <c r="B15" s="8"/>
      <c r="C15" s="13"/>
      <c r="D15" s="13"/>
      <c r="E15" s="16"/>
      <c r="F15" s="16"/>
      <c r="G15" s="32"/>
      <c r="H15" s="32"/>
      <c r="I15" s="32"/>
      <c r="J15" s="32"/>
      <c r="K15" s="32"/>
      <c r="L15" s="32"/>
      <c r="M15" s="32"/>
      <c r="N15" s="32"/>
    </row>
    <row r="16" spans="1:14" s="2" customFormat="1">
      <c r="A16" s="17">
        <f t="shared" si="1"/>
        <v>9</v>
      </c>
      <c r="B16" s="15"/>
      <c r="C16" s="13"/>
      <c r="D16" s="13"/>
      <c r="E16" s="16"/>
      <c r="F16" s="16"/>
      <c r="G16" s="19"/>
      <c r="H16" s="19"/>
      <c r="I16" s="19"/>
      <c r="J16" s="19"/>
      <c r="K16" s="19"/>
      <c r="L16" s="19"/>
      <c r="M16" s="19"/>
      <c r="N16" s="19"/>
    </row>
    <row r="17" spans="1:14" s="2" customFormat="1">
      <c r="A17" s="17">
        <f t="shared" si="1"/>
        <v>10</v>
      </c>
      <c r="B17" s="14"/>
      <c r="C17" s="13"/>
      <c r="D17" s="13"/>
      <c r="E17" s="3"/>
      <c r="F17" s="3"/>
      <c r="G17" s="19"/>
      <c r="H17" s="19"/>
      <c r="I17" s="19"/>
      <c r="J17" s="19"/>
      <c r="K17" s="19"/>
      <c r="L17" s="19"/>
      <c r="M17" s="19"/>
      <c r="N17" s="19"/>
    </row>
    <row r="18" spans="1:14">
      <c r="A18" s="17">
        <f t="shared" si="1"/>
        <v>11</v>
      </c>
      <c r="B18" s="8"/>
      <c r="C18" s="18"/>
      <c r="D18" s="18"/>
      <c r="E18" s="4"/>
      <c r="F18" s="4"/>
      <c r="G18" s="20"/>
      <c r="H18" s="20"/>
      <c r="I18" s="20"/>
      <c r="J18" s="20"/>
      <c r="K18" s="20"/>
      <c r="L18" s="20"/>
      <c r="M18" s="20"/>
      <c r="N18" s="20"/>
    </row>
    <row r="19" spans="1:14">
      <c r="A19" s="17">
        <f t="shared" si="1"/>
        <v>12</v>
      </c>
      <c r="B19" s="7"/>
      <c r="C19" s="18"/>
      <c r="D19" s="18"/>
      <c r="E19" s="4"/>
      <c r="F19" s="4"/>
      <c r="G19" s="20"/>
      <c r="H19" s="20"/>
      <c r="I19" s="20"/>
      <c r="J19" s="20"/>
      <c r="K19" s="20"/>
      <c r="L19" s="20"/>
      <c r="M19" s="20"/>
      <c r="N19" s="20"/>
    </row>
    <row r="20" spans="1:14">
      <c r="A20" s="17">
        <f t="shared" si="1"/>
        <v>13</v>
      </c>
      <c r="B20" s="8"/>
      <c r="C20" s="18"/>
      <c r="D20" s="18"/>
      <c r="E20" s="4"/>
      <c r="F20" s="4"/>
      <c r="G20" s="20"/>
      <c r="H20" s="20"/>
      <c r="I20" s="20"/>
      <c r="J20" s="20"/>
      <c r="K20" s="20"/>
      <c r="L20" s="20"/>
      <c r="M20" s="20"/>
      <c r="N20" s="20"/>
    </row>
    <row r="21" spans="1:14">
      <c r="A21" s="17">
        <f t="shared" si="1"/>
        <v>14</v>
      </c>
      <c r="B21" s="11"/>
      <c r="C21" s="18"/>
      <c r="D21" s="18"/>
      <c r="E21" s="4"/>
      <c r="F21" s="4"/>
      <c r="G21" s="21"/>
      <c r="H21" s="20"/>
      <c r="I21" s="20"/>
      <c r="J21" s="20"/>
      <c r="K21" s="20"/>
      <c r="L21" s="20"/>
      <c r="M21" s="20"/>
      <c r="N21" s="20"/>
    </row>
    <row r="22" spans="1:14">
      <c r="A22" s="17">
        <f t="shared" si="1"/>
        <v>15</v>
      </c>
      <c r="B22" s="6"/>
      <c r="C22" s="18"/>
      <c r="D22" s="18"/>
      <c r="E22" s="4"/>
      <c r="F22" s="4"/>
      <c r="G22" s="20"/>
      <c r="H22" s="20"/>
      <c r="I22" s="20"/>
      <c r="J22" s="20"/>
      <c r="K22" s="20"/>
      <c r="L22" s="20"/>
      <c r="M22" s="20"/>
      <c r="N22" s="20"/>
    </row>
    <row r="23" spans="1:14">
      <c r="A23" s="17">
        <f t="shared" si="1"/>
        <v>16</v>
      </c>
      <c r="B23" s="6"/>
      <c r="C23" s="18"/>
      <c r="D23" s="18"/>
      <c r="E23" s="4"/>
      <c r="F23" s="4"/>
      <c r="G23" s="20"/>
      <c r="H23" s="20"/>
      <c r="I23" s="20"/>
      <c r="J23" s="20"/>
      <c r="K23" s="20"/>
      <c r="L23" s="20"/>
      <c r="M23" s="20"/>
      <c r="N23" s="20"/>
    </row>
    <row r="24" spans="1:14">
      <c r="A24" s="17">
        <f t="shared" si="1"/>
        <v>17</v>
      </c>
      <c r="B24" s="6"/>
      <c r="C24" s="12"/>
      <c r="D24" s="12"/>
      <c r="E24" s="4"/>
      <c r="F24" s="4"/>
      <c r="G24" s="20"/>
      <c r="H24" s="20"/>
      <c r="I24" s="20"/>
      <c r="J24" s="20"/>
      <c r="K24" s="20"/>
      <c r="L24" s="20"/>
      <c r="M24" s="20"/>
      <c r="N24" s="20"/>
    </row>
    <row r="25" spans="1:14">
      <c r="A25" s="17">
        <f t="shared" si="1"/>
        <v>18</v>
      </c>
      <c r="B25" s="5"/>
      <c r="C25" s="17"/>
      <c r="D25" s="17"/>
      <c r="E25" s="4"/>
      <c r="F25" s="4"/>
      <c r="G25" s="20"/>
      <c r="H25" s="20"/>
      <c r="I25" s="20"/>
      <c r="J25" s="20"/>
      <c r="K25" s="20"/>
      <c r="L25" s="20"/>
      <c r="M25" s="20"/>
      <c r="N25" s="20"/>
    </row>
    <row r="26" spans="1:14">
      <c r="A26" s="17">
        <f t="shared" si="1"/>
        <v>19</v>
      </c>
      <c r="B26" s="7"/>
      <c r="C26" s="18"/>
      <c r="D26" s="18"/>
      <c r="E26" s="4"/>
      <c r="F26" s="4"/>
      <c r="G26" s="20"/>
      <c r="H26" s="20"/>
      <c r="I26" s="20"/>
      <c r="J26" s="20"/>
      <c r="K26" s="20"/>
      <c r="L26" s="20"/>
      <c r="M26" s="20"/>
      <c r="N26" s="20"/>
    </row>
    <row r="27" spans="1:14">
      <c r="A27" s="17">
        <f t="shared" si="1"/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201" t="s">
        <v>34</v>
      </c>
      <c r="B28" s="201"/>
      <c r="C28" s="201"/>
      <c r="D28" s="38"/>
      <c r="E28" s="3">
        <f t="shared" ref="E28:N28" si="2">SUM(E8:E27)</f>
        <v>10</v>
      </c>
      <c r="F28" s="3">
        <f t="shared" si="2"/>
        <v>55</v>
      </c>
      <c r="G28" s="3">
        <f t="shared" si="2"/>
        <v>7.4249999999999998</v>
      </c>
      <c r="H28" s="3">
        <f t="shared" si="2"/>
        <v>0.82500000000000007</v>
      </c>
      <c r="I28" s="3">
        <f t="shared" si="2"/>
        <v>14.85</v>
      </c>
      <c r="J28" s="3">
        <f t="shared" si="2"/>
        <v>55</v>
      </c>
      <c r="K28" s="3">
        <f t="shared" si="2"/>
        <v>10.395</v>
      </c>
      <c r="L28" s="3">
        <f t="shared" si="2"/>
        <v>2.6999999999999996E-2</v>
      </c>
      <c r="M28" s="3">
        <f t="shared" si="2"/>
        <v>45</v>
      </c>
      <c r="N28" s="3">
        <f t="shared" si="2"/>
        <v>0.75600000000000001</v>
      </c>
    </row>
    <row r="29" spans="1:14">
      <c r="A29" s="39"/>
      <c r="B29" s="39"/>
      <c r="C29" s="39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1" spans="1:14">
      <c r="J31" s="10" t="s">
        <v>7</v>
      </c>
    </row>
    <row r="33" ht="25.5" customHeight="1"/>
  </sheetData>
  <mergeCells count="10">
    <mergeCell ref="A28:C28"/>
    <mergeCell ref="K4:N4"/>
    <mergeCell ref="A1:N1"/>
    <mergeCell ref="A2:N2"/>
    <mergeCell ref="A4:A6"/>
    <mergeCell ref="B4:C4"/>
    <mergeCell ref="D4:D5"/>
    <mergeCell ref="E4:E5"/>
    <mergeCell ref="F4:F5"/>
    <mergeCell ref="G4:J4"/>
  </mergeCells>
  <pageMargins left="0.7" right="0.7" top="0.75" bottom="0.75" header="0.3" footer="0.3"/>
  <pageSetup paperSize="9" scale="8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4" zoomScale="85" zoomScaleNormal="85" zoomScaleSheetLayoutView="100" zoomScalePageLayoutView="85" workbookViewId="0">
      <selection activeCell="C37" sqref="C37"/>
    </sheetView>
  </sheetViews>
  <sheetFormatPr defaultColWidth="9.109375" defaultRowHeight="15"/>
  <cols>
    <col min="1" max="1" width="8.33203125" style="58" customWidth="1"/>
    <col min="2" max="2" width="30.109375" style="77" customWidth="1"/>
    <col min="3" max="3" width="26" style="81" customWidth="1"/>
    <col min="4" max="4" width="26.6640625" style="57" customWidth="1"/>
    <col min="5" max="5" width="25.5546875" style="81" customWidth="1"/>
    <col min="6" max="16384" width="9.109375" style="56"/>
  </cols>
  <sheetData>
    <row r="1" spans="1:5" ht="32.25" customHeight="1">
      <c r="A1" s="219" t="s">
        <v>155</v>
      </c>
      <c r="B1" s="219"/>
      <c r="C1" s="219"/>
      <c r="D1" s="219"/>
      <c r="E1" s="219"/>
    </row>
    <row r="2" spans="1:5" ht="15.75" customHeight="1">
      <c r="A2" s="219" t="s">
        <v>156</v>
      </c>
      <c r="B2" s="219"/>
      <c r="C2" s="219"/>
      <c r="D2" s="219"/>
      <c r="E2" s="219"/>
    </row>
    <row r="3" spans="1:5" ht="15" customHeight="1">
      <c r="A3" s="220"/>
      <c r="B3" s="220"/>
      <c r="C3" s="220"/>
      <c r="D3" s="220"/>
      <c r="E3" s="220"/>
    </row>
    <row r="4" spans="1:5" ht="15.6">
      <c r="A4" s="71"/>
      <c r="B4" s="76"/>
      <c r="C4" s="71"/>
      <c r="D4" s="71"/>
      <c r="E4" s="71"/>
    </row>
    <row r="5" spans="1:5" ht="22.5" customHeight="1">
      <c r="A5" s="221" t="s">
        <v>3</v>
      </c>
      <c r="B5" s="221" t="s">
        <v>83</v>
      </c>
      <c r="C5" s="221" t="s">
        <v>158</v>
      </c>
      <c r="D5" s="222" t="s">
        <v>159</v>
      </c>
      <c r="E5" s="221" t="s">
        <v>17</v>
      </c>
    </row>
    <row r="6" spans="1:5" ht="10.5" customHeight="1">
      <c r="A6" s="221"/>
      <c r="B6" s="221"/>
      <c r="C6" s="221"/>
      <c r="D6" s="222"/>
      <c r="E6" s="221"/>
    </row>
    <row r="7" spans="1:5" s="57" customFormat="1">
      <c r="A7" s="116">
        <v>1</v>
      </c>
      <c r="B7" s="116">
        <v>2</v>
      </c>
      <c r="C7" s="116">
        <v>4</v>
      </c>
      <c r="D7" s="116">
        <v>5</v>
      </c>
      <c r="E7" s="116">
        <v>6</v>
      </c>
    </row>
    <row r="8" spans="1:5" s="57" customFormat="1">
      <c r="A8" s="215" t="s">
        <v>161</v>
      </c>
      <c r="B8" s="216"/>
      <c r="C8" s="216"/>
      <c r="D8" s="216"/>
      <c r="E8" s="217"/>
    </row>
    <row r="9" spans="1:5">
      <c r="A9" s="114">
        <v>1</v>
      </c>
      <c r="B9" s="172" t="s">
        <v>157</v>
      </c>
      <c r="C9" s="132">
        <v>0</v>
      </c>
      <c r="D9" s="175"/>
      <c r="E9" s="154"/>
    </row>
    <row r="10" spans="1:5">
      <c r="A10" s="114">
        <f t="shared" ref="A10:A28" si="0">A9+1</f>
        <v>2</v>
      </c>
      <c r="B10" s="172" t="s">
        <v>82</v>
      </c>
      <c r="C10" s="133">
        <v>51.34</v>
      </c>
      <c r="D10" s="175"/>
      <c r="E10" s="154"/>
    </row>
    <row r="11" spans="1:5">
      <c r="A11" s="114">
        <f t="shared" si="0"/>
        <v>3</v>
      </c>
      <c r="B11" s="172" t="s">
        <v>65</v>
      </c>
      <c r="C11" s="133">
        <v>27.01</v>
      </c>
      <c r="D11" s="175"/>
      <c r="E11" s="96"/>
    </row>
    <row r="12" spans="1:5">
      <c r="A12" s="114">
        <f t="shared" si="0"/>
        <v>4</v>
      </c>
      <c r="B12" s="172" t="s">
        <v>66</v>
      </c>
      <c r="C12" s="133">
        <v>35.29</v>
      </c>
      <c r="D12" s="175"/>
      <c r="E12" s="96"/>
    </row>
    <row r="13" spans="1:5">
      <c r="A13" s="114">
        <f t="shared" si="0"/>
        <v>5</v>
      </c>
      <c r="B13" s="172" t="s">
        <v>67</v>
      </c>
      <c r="C13" s="133">
        <v>52.73</v>
      </c>
      <c r="D13" s="175"/>
      <c r="E13" s="96"/>
    </row>
    <row r="14" spans="1:5">
      <c r="A14" s="114">
        <f t="shared" si="0"/>
        <v>6</v>
      </c>
      <c r="B14" s="172" t="s">
        <v>68</v>
      </c>
      <c r="C14" s="133">
        <v>55.96</v>
      </c>
      <c r="D14" s="175"/>
      <c r="E14" s="96"/>
    </row>
    <row r="15" spans="1:5">
      <c r="A15" s="114">
        <f t="shared" si="0"/>
        <v>7</v>
      </c>
      <c r="B15" s="172" t="s">
        <v>69</v>
      </c>
      <c r="C15" s="133">
        <v>56.62</v>
      </c>
      <c r="D15" s="175"/>
      <c r="E15" s="96"/>
    </row>
    <row r="16" spans="1:5">
      <c r="A16" s="114">
        <f t="shared" si="0"/>
        <v>8</v>
      </c>
      <c r="B16" s="172" t="s">
        <v>70</v>
      </c>
      <c r="C16" s="133">
        <v>59.3</v>
      </c>
      <c r="D16" s="175"/>
      <c r="E16" s="96"/>
    </row>
    <row r="17" spans="1:5">
      <c r="A17" s="114">
        <f t="shared" si="0"/>
        <v>9</v>
      </c>
      <c r="B17" s="172" t="s">
        <v>71</v>
      </c>
      <c r="C17" s="133">
        <v>60.27</v>
      </c>
      <c r="D17" s="175"/>
      <c r="E17" s="96"/>
    </row>
    <row r="18" spans="1:5">
      <c r="A18" s="114">
        <f t="shared" si="0"/>
        <v>10</v>
      </c>
      <c r="B18" s="172" t="s">
        <v>72</v>
      </c>
      <c r="C18" s="133">
        <v>59.9</v>
      </c>
      <c r="D18" s="175"/>
      <c r="E18" s="96"/>
    </row>
    <row r="19" spans="1:5">
      <c r="A19" s="114">
        <f t="shared" si="0"/>
        <v>11</v>
      </c>
      <c r="B19" s="173" t="s">
        <v>73</v>
      </c>
      <c r="C19" s="133">
        <v>62.84</v>
      </c>
      <c r="D19" s="176"/>
      <c r="E19" s="131"/>
    </row>
    <row r="20" spans="1:5">
      <c r="A20" s="114">
        <f t="shared" si="0"/>
        <v>12</v>
      </c>
      <c r="B20" s="174" t="s">
        <v>74</v>
      </c>
      <c r="C20" s="133">
        <v>60.14</v>
      </c>
      <c r="D20" s="177"/>
      <c r="E20" s="96"/>
    </row>
    <row r="21" spans="1:5">
      <c r="A21" s="114">
        <f t="shared" si="0"/>
        <v>13</v>
      </c>
      <c r="B21" s="174" t="s">
        <v>75</v>
      </c>
      <c r="C21" s="133">
        <v>49.6</v>
      </c>
      <c r="D21" s="177"/>
      <c r="E21" s="96"/>
    </row>
    <row r="22" spans="1:5">
      <c r="A22" s="114">
        <f t="shared" si="0"/>
        <v>14</v>
      </c>
      <c r="B22" s="174" t="s">
        <v>76</v>
      </c>
      <c r="C22" s="133">
        <v>32.6</v>
      </c>
      <c r="D22" s="177"/>
      <c r="E22" s="96"/>
    </row>
    <row r="23" spans="1:5">
      <c r="A23" s="114">
        <f t="shared" si="0"/>
        <v>15</v>
      </c>
      <c r="B23" s="174" t="s">
        <v>77</v>
      </c>
      <c r="C23" s="133">
        <v>10.76</v>
      </c>
      <c r="D23" s="177"/>
      <c r="E23" s="96"/>
    </row>
    <row r="24" spans="1:5">
      <c r="A24" s="114">
        <f t="shared" si="0"/>
        <v>16</v>
      </c>
      <c r="B24" s="117" t="s">
        <v>78</v>
      </c>
      <c r="C24" s="130">
        <v>15.41</v>
      </c>
      <c r="D24" s="118"/>
      <c r="E24" s="96"/>
    </row>
    <row r="25" spans="1:5">
      <c r="A25" s="114">
        <f t="shared" si="0"/>
        <v>17</v>
      </c>
      <c r="B25" s="117" t="s">
        <v>79</v>
      </c>
      <c r="C25" s="118">
        <v>20.7</v>
      </c>
      <c r="D25" s="118"/>
      <c r="E25" s="96"/>
    </row>
    <row r="26" spans="1:5">
      <c r="A26" s="114">
        <f t="shared" si="0"/>
        <v>18</v>
      </c>
      <c r="B26" s="117" t="s">
        <v>80</v>
      </c>
      <c r="C26" s="118">
        <v>30.98</v>
      </c>
      <c r="D26" s="118"/>
      <c r="E26" s="96"/>
    </row>
    <row r="27" spans="1:5">
      <c r="A27" s="135">
        <f t="shared" si="0"/>
        <v>19</v>
      </c>
      <c r="B27" s="136" t="s">
        <v>81</v>
      </c>
      <c r="C27" s="137">
        <v>20.03</v>
      </c>
      <c r="D27" s="137"/>
      <c r="E27" s="138"/>
    </row>
    <row r="28" spans="1:5">
      <c r="A28" s="114">
        <f t="shared" si="0"/>
        <v>20</v>
      </c>
      <c r="B28" s="132" t="s">
        <v>162</v>
      </c>
      <c r="C28" s="133">
        <v>22.15</v>
      </c>
      <c r="D28" s="133"/>
      <c r="E28" s="96"/>
    </row>
    <row r="29" spans="1:5" s="134" customFormat="1" ht="13.2">
      <c r="A29" s="120"/>
      <c r="B29" s="121" t="s">
        <v>42</v>
      </c>
      <c r="C29" s="123">
        <f>SUM(C9:C28)</f>
        <v>783.63</v>
      </c>
      <c r="D29" s="123">
        <f>SUM(D9:D14)</f>
        <v>0</v>
      </c>
      <c r="E29" s="123">
        <f>SUM(E9:E14)</f>
        <v>0</v>
      </c>
    </row>
    <row r="30" spans="1:5" s="77" customFormat="1">
      <c r="A30" s="218" t="s">
        <v>160</v>
      </c>
      <c r="B30" s="218"/>
      <c r="C30" s="218"/>
      <c r="D30" s="218"/>
      <c r="E30" s="218"/>
    </row>
    <row r="31" spans="1:5" s="77" customFormat="1">
      <c r="A31" s="114">
        <v>1</v>
      </c>
      <c r="B31" s="117" t="s">
        <v>157</v>
      </c>
      <c r="C31" s="117">
        <v>16.5</v>
      </c>
      <c r="D31" s="119"/>
      <c r="E31" s="119"/>
    </row>
    <row r="32" spans="1:5" s="77" customFormat="1">
      <c r="A32" s="115">
        <f t="shared" ref="A32:A36" si="1">A31+1</f>
        <v>2</v>
      </c>
      <c r="B32" s="117" t="s">
        <v>82</v>
      </c>
      <c r="C32" s="117">
        <v>18.8</v>
      </c>
      <c r="D32" s="125"/>
      <c r="E32" s="126"/>
    </row>
    <row r="33" spans="1:5" s="77" customFormat="1">
      <c r="A33" s="114">
        <f t="shared" si="1"/>
        <v>3</v>
      </c>
      <c r="B33" s="117" t="s">
        <v>65</v>
      </c>
      <c r="C33" s="117">
        <v>22.2</v>
      </c>
      <c r="D33" s="127"/>
      <c r="E33" s="128"/>
    </row>
    <row r="34" spans="1:5" s="77" customFormat="1">
      <c r="A34" s="114">
        <f t="shared" si="1"/>
        <v>4</v>
      </c>
      <c r="B34" s="117" t="s">
        <v>66</v>
      </c>
      <c r="C34" s="117">
        <v>25.1</v>
      </c>
      <c r="D34" s="127"/>
      <c r="E34" s="128"/>
    </row>
    <row r="35" spans="1:5" s="77" customFormat="1">
      <c r="A35" s="114">
        <f t="shared" si="1"/>
        <v>5</v>
      </c>
      <c r="B35" s="117" t="s">
        <v>67</v>
      </c>
      <c r="C35" s="117">
        <v>13.2</v>
      </c>
      <c r="D35" s="127"/>
      <c r="E35" s="128"/>
    </row>
    <row r="36" spans="1:5" s="77" customFormat="1">
      <c r="A36" s="114">
        <f t="shared" si="1"/>
        <v>6</v>
      </c>
      <c r="B36" s="117" t="s">
        <v>163</v>
      </c>
      <c r="C36" s="117">
        <v>10.9</v>
      </c>
      <c r="D36" s="139"/>
      <c r="E36" s="139"/>
    </row>
    <row r="37" spans="1:5" s="104" customFormat="1" ht="15.6">
      <c r="A37" s="120"/>
      <c r="B37" s="121" t="s">
        <v>42</v>
      </c>
      <c r="C37" s="122">
        <f>SUM(C31:C36)</f>
        <v>106.7</v>
      </c>
      <c r="D37" s="123">
        <f>SUM(D31:D35)</f>
        <v>0</v>
      </c>
      <c r="E37" s="123">
        <f>SUM(E31:E35)</f>
        <v>0</v>
      </c>
    </row>
    <row r="38" spans="1:5" s="104" customFormat="1" ht="15.6">
      <c r="A38" s="120"/>
      <c r="B38" s="129" t="s">
        <v>164</v>
      </c>
      <c r="C38" s="124">
        <f>C37+C29</f>
        <v>890.33</v>
      </c>
      <c r="D38" s="124">
        <f>D37+D29</f>
        <v>0</v>
      </c>
      <c r="E38" s="124">
        <f>E29</f>
        <v>0</v>
      </c>
    </row>
    <row r="39" spans="1:5" s="77" customFormat="1">
      <c r="A39" s="78"/>
      <c r="B39" s="79"/>
      <c r="C39" s="80"/>
      <c r="D39" s="80"/>
      <c r="E39" s="80"/>
    </row>
    <row r="40" spans="1:5" s="77" customFormat="1" ht="28.5" customHeight="1">
      <c r="A40" s="214" t="s">
        <v>242</v>
      </c>
      <c r="B40" s="214"/>
      <c r="C40" s="214"/>
      <c r="D40" s="214"/>
      <c r="E40" s="214"/>
    </row>
    <row r="41" spans="1:5" s="77" customFormat="1">
      <c r="A41" s="78"/>
      <c r="B41" s="79"/>
      <c r="C41" s="80"/>
      <c r="D41" s="80"/>
      <c r="E41" s="80"/>
    </row>
    <row r="42" spans="1:5" s="77" customFormat="1">
      <c r="A42" s="78"/>
      <c r="B42" s="79"/>
      <c r="C42" s="80"/>
      <c r="D42" s="80"/>
      <c r="E42" s="80"/>
    </row>
    <row r="43" spans="1:5" s="77" customFormat="1">
      <c r="A43" s="78"/>
      <c r="B43" s="79"/>
      <c r="C43" s="80"/>
      <c r="D43" s="80"/>
      <c r="E43" s="80"/>
    </row>
    <row r="44" spans="1:5" s="77" customFormat="1">
      <c r="A44" s="78"/>
      <c r="B44" s="79"/>
      <c r="C44" s="80"/>
      <c r="D44" s="80"/>
      <c r="E44" s="80"/>
    </row>
    <row r="45" spans="1:5" s="77" customFormat="1">
      <c r="A45" s="78"/>
      <c r="B45" s="79"/>
      <c r="C45" s="80"/>
      <c r="D45" s="80"/>
      <c r="E45" s="80"/>
    </row>
    <row r="46" spans="1:5" s="77" customFormat="1">
      <c r="A46" s="78"/>
      <c r="B46" s="79"/>
      <c r="C46" s="80"/>
      <c r="D46" s="80"/>
      <c r="E46" s="80"/>
    </row>
    <row r="47" spans="1:5" s="77" customFormat="1">
      <c r="A47" s="78"/>
      <c r="B47" s="79"/>
      <c r="C47" s="80"/>
      <c r="D47" s="80"/>
      <c r="E47" s="80"/>
    </row>
    <row r="48" spans="1:5" s="77" customFormat="1">
      <c r="A48" s="78"/>
      <c r="B48" s="79"/>
      <c r="C48" s="80"/>
      <c r="D48" s="80"/>
      <c r="E48" s="80"/>
    </row>
    <row r="49" spans="1:5" s="77" customFormat="1">
      <c r="A49" s="78"/>
      <c r="B49" s="79"/>
      <c r="C49" s="80"/>
      <c r="D49" s="80"/>
      <c r="E49" s="80"/>
    </row>
  </sheetData>
  <mergeCells count="11">
    <mergeCell ref="A40:E40"/>
    <mergeCell ref="A8:E8"/>
    <mergeCell ref="A30:E30"/>
    <mergeCell ref="A1:E1"/>
    <mergeCell ref="A3:E3"/>
    <mergeCell ref="A5:A6"/>
    <mergeCell ref="B5:B6"/>
    <mergeCell ref="C5:C6"/>
    <mergeCell ref="D5:D6"/>
    <mergeCell ref="E5:E6"/>
    <mergeCell ref="A2:E2"/>
  </mergeCells>
  <pageMargins left="0.7" right="0.7634803921568627" top="0.40318627450980393" bottom="0.75" header="0.3" footer="0.3"/>
  <pageSetup paperSize="9" scale="7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zoomScaleNormal="100" zoomScaleSheetLayoutView="115" workbookViewId="0">
      <selection activeCell="F7" sqref="F7"/>
    </sheetView>
  </sheetViews>
  <sheetFormatPr defaultColWidth="9.109375" defaultRowHeight="13.2"/>
  <cols>
    <col min="1" max="1" width="3.5546875" style="1" customWidth="1"/>
    <col min="2" max="2" width="5" style="1" customWidth="1"/>
    <col min="3" max="3" width="10.5546875" style="1" customWidth="1"/>
    <col min="4" max="4" width="11.44140625" style="1" customWidth="1"/>
    <col min="5" max="5" width="12.109375" style="1" customWidth="1"/>
    <col min="6" max="6" width="43.109375" style="1" customWidth="1"/>
    <col min="7" max="7" width="11.6640625" style="1" customWidth="1"/>
    <col min="8" max="8" width="8.88671875" style="1" customWidth="1"/>
    <col min="9" max="9" width="9.5546875" style="1" customWidth="1"/>
    <col min="10" max="10" width="12.6640625" style="1" customWidth="1"/>
    <col min="11" max="16384" width="9.109375" style="1"/>
  </cols>
  <sheetData>
    <row r="1" spans="1:10" ht="18.75" customHeight="1">
      <c r="A1" s="226" t="s">
        <v>155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3.8">
      <c r="A2" s="227" t="s">
        <v>117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4.4">
      <c r="A3" s="88"/>
      <c r="B3" s="88"/>
      <c r="C3" s="88"/>
      <c r="D3" s="88"/>
      <c r="E3" s="88"/>
      <c r="F3" s="88"/>
      <c r="G3" s="88"/>
      <c r="H3" s="88"/>
      <c r="I3" s="88"/>
    </row>
    <row r="4" spans="1:10" ht="26.4">
      <c r="A4" s="207" t="s">
        <v>3</v>
      </c>
      <c r="B4" s="224" t="s">
        <v>112</v>
      </c>
      <c r="C4" s="31" t="s">
        <v>24</v>
      </c>
      <c r="D4" s="228" t="s">
        <v>105</v>
      </c>
      <c r="E4" s="228" t="s">
        <v>106</v>
      </c>
      <c r="F4" s="228" t="s">
        <v>107</v>
      </c>
      <c r="G4" s="228" t="s">
        <v>114</v>
      </c>
      <c r="H4" s="228" t="s">
        <v>108</v>
      </c>
      <c r="I4" s="228" t="s">
        <v>109</v>
      </c>
      <c r="J4" s="230" t="s">
        <v>17</v>
      </c>
    </row>
    <row r="5" spans="1:10" ht="21.75" customHeight="1">
      <c r="A5" s="207"/>
      <c r="B5" s="225"/>
      <c r="C5" s="42" t="s">
        <v>18</v>
      </c>
      <c r="D5" s="229"/>
      <c r="E5" s="229"/>
      <c r="F5" s="229"/>
      <c r="G5" s="229"/>
      <c r="H5" s="229"/>
      <c r="I5" s="229"/>
      <c r="J5" s="231"/>
    </row>
    <row r="6" spans="1:10" s="9" customFormat="1">
      <c r="A6" s="89">
        <v>1</v>
      </c>
      <c r="B6" s="91"/>
      <c r="C6" s="27">
        <f>A6+1</f>
        <v>2</v>
      </c>
      <c r="D6" s="27">
        <f t="shared" ref="D6:F6" si="0">C6+1</f>
        <v>3</v>
      </c>
      <c r="E6" s="27">
        <f t="shared" si="0"/>
        <v>4</v>
      </c>
      <c r="F6" s="27">
        <f t="shared" si="0"/>
        <v>5</v>
      </c>
      <c r="G6" s="27"/>
      <c r="H6" s="27">
        <f t="shared" ref="H6" si="1">F6+1</f>
        <v>6</v>
      </c>
      <c r="I6" s="27">
        <f t="shared" ref="I6:J6" si="2">H6+1</f>
        <v>7</v>
      </c>
      <c r="J6" s="27">
        <f t="shared" si="2"/>
        <v>8</v>
      </c>
    </row>
    <row r="7" spans="1:10" s="2" customFormat="1" ht="105.6">
      <c r="A7" s="161">
        <v>1</v>
      </c>
      <c r="B7" s="161" t="s">
        <v>113</v>
      </c>
      <c r="C7" s="162" t="s">
        <v>129</v>
      </c>
      <c r="D7" s="90" t="s">
        <v>259</v>
      </c>
      <c r="E7" s="90" t="s">
        <v>110</v>
      </c>
      <c r="F7" s="90" t="s">
        <v>257</v>
      </c>
      <c r="G7" s="90">
        <v>0.2</v>
      </c>
      <c r="H7" s="90">
        <v>136.63999999999999</v>
      </c>
      <c r="I7" s="90">
        <v>136.66999999999999</v>
      </c>
      <c r="J7" s="19"/>
    </row>
    <row r="8" spans="1:10" s="2" customFormat="1" ht="105.6">
      <c r="A8" s="161">
        <f>A7+1</f>
        <v>2</v>
      </c>
      <c r="B8" s="161" t="s">
        <v>165</v>
      </c>
      <c r="C8" s="162" t="s">
        <v>180</v>
      </c>
      <c r="D8" s="90" t="s">
        <v>259</v>
      </c>
      <c r="E8" s="90" t="s">
        <v>110</v>
      </c>
      <c r="F8" s="90" t="s">
        <v>257</v>
      </c>
      <c r="G8" s="90">
        <v>0.2</v>
      </c>
      <c r="H8" s="90">
        <v>136.41999999999999</v>
      </c>
      <c r="I8" s="90">
        <v>136.37</v>
      </c>
      <c r="J8" s="19"/>
    </row>
    <row r="9" spans="1:10" s="2" customFormat="1" ht="105.6">
      <c r="A9" s="161">
        <f t="shared" ref="A9:A25" si="3">A8+1</f>
        <v>3</v>
      </c>
      <c r="B9" s="161" t="s">
        <v>166</v>
      </c>
      <c r="C9" s="162" t="s">
        <v>127</v>
      </c>
      <c r="D9" s="90" t="s">
        <v>259</v>
      </c>
      <c r="E9" s="90" t="s">
        <v>110</v>
      </c>
      <c r="F9" s="90" t="s">
        <v>257</v>
      </c>
      <c r="G9" s="90">
        <v>0.2</v>
      </c>
      <c r="H9" s="90">
        <v>136.37</v>
      </c>
      <c r="I9" s="90">
        <v>136.32</v>
      </c>
      <c r="J9" s="19"/>
    </row>
    <row r="10" spans="1:10" s="2" customFormat="1" ht="105.6">
      <c r="A10" s="161">
        <f t="shared" si="3"/>
        <v>4</v>
      </c>
      <c r="B10" s="161" t="s">
        <v>167</v>
      </c>
      <c r="C10" s="162" t="s">
        <v>181</v>
      </c>
      <c r="D10" s="90" t="s">
        <v>259</v>
      </c>
      <c r="E10" s="90" t="s">
        <v>110</v>
      </c>
      <c r="F10" s="90" t="s">
        <v>257</v>
      </c>
      <c r="G10" s="90">
        <v>0.2</v>
      </c>
      <c r="H10" s="90">
        <v>136.4</v>
      </c>
      <c r="I10" s="90">
        <v>136.30000000000001</v>
      </c>
      <c r="J10" s="19"/>
    </row>
    <row r="11" spans="1:10" s="2" customFormat="1" ht="105.6">
      <c r="A11" s="161">
        <f t="shared" si="3"/>
        <v>5</v>
      </c>
      <c r="B11" s="161" t="s">
        <v>168</v>
      </c>
      <c r="C11" s="162" t="s">
        <v>182</v>
      </c>
      <c r="D11" s="90" t="s">
        <v>111</v>
      </c>
      <c r="E11" s="90" t="s">
        <v>110</v>
      </c>
      <c r="F11" s="90" t="s">
        <v>257</v>
      </c>
      <c r="G11" s="90">
        <v>0.2</v>
      </c>
      <c r="H11" s="90">
        <v>136.34</v>
      </c>
      <c r="I11" s="90">
        <v>136.19999999999999</v>
      </c>
      <c r="J11" s="19"/>
    </row>
    <row r="12" spans="1:10" s="2" customFormat="1" ht="105.6">
      <c r="A12" s="161">
        <f t="shared" si="3"/>
        <v>6</v>
      </c>
      <c r="B12" s="161" t="s">
        <v>169</v>
      </c>
      <c r="C12" s="162" t="s">
        <v>141</v>
      </c>
      <c r="D12" s="90" t="s">
        <v>259</v>
      </c>
      <c r="E12" s="90" t="s">
        <v>110</v>
      </c>
      <c r="F12" s="90" t="s">
        <v>257</v>
      </c>
      <c r="G12" s="90">
        <v>0.2</v>
      </c>
      <c r="H12" s="90">
        <v>136.07</v>
      </c>
      <c r="I12" s="90">
        <v>135.97</v>
      </c>
      <c r="J12" s="19"/>
    </row>
    <row r="13" spans="1:10" s="2" customFormat="1" ht="105.6">
      <c r="A13" s="161">
        <f t="shared" si="3"/>
        <v>7</v>
      </c>
      <c r="B13" s="161" t="s">
        <v>170</v>
      </c>
      <c r="C13" s="162" t="s">
        <v>183</v>
      </c>
      <c r="D13" s="90" t="s">
        <v>259</v>
      </c>
      <c r="E13" s="90" t="s">
        <v>110</v>
      </c>
      <c r="F13" s="90" t="s">
        <v>257</v>
      </c>
      <c r="G13" s="90">
        <v>0.2</v>
      </c>
      <c r="H13" s="90">
        <v>136.01</v>
      </c>
      <c r="I13" s="90">
        <v>135.93</v>
      </c>
      <c r="J13" s="19"/>
    </row>
    <row r="14" spans="1:10" s="2" customFormat="1" ht="52.8">
      <c r="A14" s="161">
        <f t="shared" si="3"/>
        <v>8</v>
      </c>
      <c r="B14" s="161" t="s">
        <v>171</v>
      </c>
      <c r="C14" s="162" t="s">
        <v>184</v>
      </c>
      <c r="D14" s="90" t="s">
        <v>259</v>
      </c>
      <c r="E14" s="90" t="s">
        <v>110</v>
      </c>
      <c r="F14" s="90" t="s">
        <v>115</v>
      </c>
      <c r="G14" s="90">
        <v>0.2</v>
      </c>
      <c r="H14" s="90">
        <v>135.94</v>
      </c>
      <c r="I14" s="90">
        <v>135.9</v>
      </c>
      <c r="J14" s="19"/>
    </row>
    <row r="15" spans="1:10" s="2" customFormat="1" ht="52.8">
      <c r="A15" s="161">
        <f t="shared" si="3"/>
        <v>9</v>
      </c>
      <c r="B15" s="161" t="s">
        <v>172</v>
      </c>
      <c r="C15" s="162" t="s">
        <v>185</v>
      </c>
      <c r="D15" s="90" t="s">
        <v>259</v>
      </c>
      <c r="E15" s="90" t="s">
        <v>110</v>
      </c>
      <c r="F15" s="90" t="s">
        <v>115</v>
      </c>
      <c r="G15" s="90">
        <v>0.2</v>
      </c>
      <c r="H15" s="90">
        <v>135.91</v>
      </c>
      <c r="I15" s="90">
        <v>135.84</v>
      </c>
      <c r="J15" s="19"/>
    </row>
    <row r="16" spans="1:10" ht="52.8">
      <c r="A16" s="161">
        <f t="shared" si="3"/>
        <v>10</v>
      </c>
      <c r="B16" s="161" t="s">
        <v>173</v>
      </c>
      <c r="C16" s="162" t="s">
        <v>186</v>
      </c>
      <c r="D16" s="90" t="s">
        <v>259</v>
      </c>
      <c r="E16" s="90" t="s">
        <v>110</v>
      </c>
      <c r="F16" s="90" t="s">
        <v>115</v>
      </c>
      <c r="G16" s="90">
        <v>0.2</v>
      </c>
      <c r="H16" s="90">
        <v>135.91</v>
      </c>
      <c r="I16" s="90">
        <v>135.79</v>
      </c>
      <c r="J16" s="19"/>
    </row>
    <row r="17" spans="1:10" ht="52.8">
      <c r="A17" s="161">
        <f t="shared" si="3"/>
        <v>11</v>
      </c>
      <c r="B17" s="161" t="s">
        <v>174</v>
      </c>
      <c r="C17" s="162" t="s">
        <v>187</v>
      </c>
      <c r="D17" s="90" t="s">
        <v>259</v>
      </c>
      <c r="E17" s="90" t="s">
        <v>110</v>
      </c>
      <c r="F17" s="90" t="s">
        <v>115</v>
      </c>
      <c r="G17" s="90">
        <v>0.2</v>
      </c>
      <c r="H17" s="90">
        <v>135.85</v>
      </c>
      <c r="I17" s="90">
        <v>135.75</v>
      </c>
      <c r="J17" s="19"/>
    </row>
    <row r="18" spans="1:10" ht="52.8">
      <c r="A18" s="161">
        <f t="shared" si="3"/>
        <v>12</v>
      </c>
      <c r="B18" s="161" t="s">
        <v>175</v>
      </c>
      <c r="C18" s="162" t="s">
        <v>188</v>
      </c>
      <c r="D18" s="90" t="s">
        <v>259</v>
      </c>
      <c r="E18" s="90" t="s">
        <v>110</v>
      </c>
      <c r="F18" s="90" t="s">
        <v>115</v>
      </c>
      <c r="G18" s="90">
        <v>0.2</v>
      </c>
      <c r="H18" s="90">
        <v>135.76</v>
      </c>
      <c r="I18" s="90">
        <v>135.69</v>
      </c>
      <c r="J18" s="19"/>
    </row>
    <row r="19" spans="1:10" ht="105.6">
      <c r="A19" s="161">
        <f t="shared" si="3"/>
        <v>13</v>
      </c>
      <c r="B19" s="161" t="s">
        <v>176</v>
      </c>
      <c r="C19" s="162" t="s">
        <v>189</v>
      </c>
      <c r="D19" s="90" t="s">
        <v>259</v>
      </c>
      <c r="E19" s="90" t="s">
        <v>110</v>
      </c>
      <c r="F19" s="90" t="s">
        <v>257</v>
      </c>
      <c r="G19" s="90">
        <v>0.2</v>
      </c>
      <c r="H19" s="90">
        <v>135.74</v>
      </c>
      <c r="I19" s="90">
        <v>135.59</v>
      </c>
      <c r="J19" s="19"/>
    </row>
    <row r="20" spans="1:10" ht="105.6">
      <c r="A20" s="161">
        <f t="shared" si="3"/>
        <v>14</v>
      </c>
      <c r="B20" s="161" t="s">
        <v>177</v>
      </c>
      <c r="C20" s="162" t="s">
        <v>190</v>
      </c>
      <c r="D20" s="90" t="s">
        <v>259</v>
      </c>
      <c r="E20" s="90" t="s">
        <v>110</v>
      </c>
      <c r="F20" s="90" t="s">
        <v>257</v>
      </c>
      <c r="G20" s="90">
        <v>0.2</v>
      </c>
      <c r="H20" s="90">
        <v>135.54</v>
      </c>
      <c r="I20" s="90">
        <v>135.55000000000001</v>
      </c>
      <c r="J20" s="19"/>
    </row>
    <row r="21" spans="1:10" ht="105.6">
      <c r="A21" s="161">
        <f t="shared" si="3"/>
        <v>15</v>
      </c>
      <c r="B21" s="161" t="s">
        <v>178</v>
      </c>
      <c r="C21" s="162" t="s">
        <v>191</v>
      </c>
      <c r="D21" s="90" t="s">
        <v>259</v>
      </c>
      <c r="E21" s="90" t="s">
        <v>110</v>
      </c>
      <c r="F21" s="90" t="s">
        <v>257</v>
      </c>
      <c r="G21" s="90">
        <v>0.2</v>
      </c>
      <c r="H21" s="90">
        <v>135.54</v>
      </c>
      <c r="I21" s="90">
        <v>135.49</v>
      </c>
      <c r="J21" s="19"/>
    </row>
    <row r="22" spans="1:10" ht="105.6">
      <c r="A22" s="161">
        <f t="shared" si="3"/>
        <v>16</v>
      </c>
      <c r="B22" s="161" t="s">
        <v>179</v>
      </c>
      <c r="C22" s="162" t="s">
        <v>193</v>
      </c>
      <c r="D22" s="90" t="s">
        <v>259</v>
      </c>
      <c r="E22" s="90" t="s">
        <v>110</v>
      </c>
      <c r="F22" s="90" t="s">
        <v>257</v>
      </c>
      <c r="G22" s="90">
        <v>0.2</v>
      </c>
      <c r="H22" s="90">
        <v>135.41999999999999</v>
      </c>
      <c r="I22" s="90">
        <v>135.4</v>
      </c>
      <c r="J22" s="19"/>
    </row>
    <row r="23" spans="1:10" ht="105.6">
      <c r="A23" s="161">
        <f t="shared" si="3"/>
        <v>17</v>
      </c>
      <c r="B23" s="161" t="s">
        <v>192</v>
      </c>
      <c r="C23" s="162" t="s">
        <v>194</v>
      </c>
      <c r="D23" s="90" t="s">
        <v>259</v>
      </c>
      <c r="E23" s="90" t="s">
        <v>110</v>
      </c>
      <c r="F23" s="90" t="s">
        <v>257</v>
      </c>
      <c r="G23" s="90">
        <v>0.2</v>
      </c>
      <c r="H23" s="90">
        <v>135.43</v>
      </c>
      <c r="I23" s="90">
        <v>135.38999999999999</v>
      </c>
      <c r="J23" s="19"/>
    </row>
    <row r="24" spans="1:10" ht="105.6">
      <c r="A24" s="161">
        <f t="shared" si="3"/>
        <v>18</v>
      </c>
      <c r="B24" s="161" t="s">
        <v>195</v>
      </c>
      <c r="C24" s="162" t="s">
        <v>142</v>
      </c>
      <c r="D24" s="90" t="s">
        <v>259</v>
      </c>
      <c r="E24" s="90" t="s">
        <v>110</v>
      </c>
      <c r="F24" s="90" t="s">
        <v>257</v>
      </c>
      <c r="G24" s="90">
        <v>0.2</v>
      </c>
      <c r="H24" s="90">
        <v>135.15</v>
      </c>
      <c r="I24" s="161">
        <v>135.22999999999999</v>
      </c>
      <c r="J24" s="20"/>
    </row>
    <row r="25" spans="1:10" ht="105.6">
      <c r="A25" s="161">
        <f t="shared" si="3"/>
        <v>19</v>
      </c>
      <c r="B25" s="161" t="s">
        <v>196</v>
      </c>
      <c r="C25" s="162" t="s">
        <v>197</v>
      </c>
      <c r="D25" s="90" t="s">
        <v>259</v>
      </c>
      <c r="E25" s="90" t="s">
        <v>110</v>
      </c>
      <c r="F25" s="90" t="s">
        <v>257</v>
      </c>
      <c r="G25" s="90">
        <v>0.2</v>
      </c>
      <c r="H25" s="90">
        <v>135.15</v>
      </c>
      <c r="I25" s="161">
        <v>135.16999999999999</v>
      </c>
      <c r="J25" s="20"/>
    </row>
    <row r="26" spans="1:10">
      <c r="A26" s="223" t="s">
        <v>160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05.6">
      <c r="A27" s="161">
        <v>1</v>
      </c>
      <c r="B27" s="161" t="s">
        <v>113</v>
      </c>
      <c r="C27" s="162" t="s">
        <v>198</v>
      </c>
      <c r="D27" s="90" t="s">
        <v>259</v>
      </c>
      <c r="E27" s="90" t="s">
        <v>110</v>
      </c>
      <c r="F27" s="90" t="s">
        <v>257</v>
      </c>
      <c r="G27" s="90">
        <v>0.2</v>
      </c>
      <c r="H27" s="90">
        <v>135.76</v>
      </c>
      <c r="I27" s="90"/>
      <c r="J27" s="19"/>
    </row>
    <row r="28" spans="1:10" ht="105.6">
      <c r="A28" s="161">
        <f>A27+1</f>
        <v>2</v>
      </c>
      <c r="B28" s="161" t="s">
        <v>165</v>
      </c>
      <c r="C28" s="162" t="s">
        <v>199</v>
      </c>
      <c r="D28" s="90" t="s">
        <v>111</v>
      </c>
      <c r="E28" s="90" t="s">
        <v>110</v>
      </c>
      <c r="F28" s="90" t="s">
        <v>257</v>
      </c>
      <c r="G28" s="90">
        <v>0.2</v>
      </c>
      <c r="H28" s="90">
        <v>135.81</v>
      </c>
      <c r="I28" s="90"/>
      <c r="J28" s="19"/>
    </row>
    <row r="29" spans="1:10" ht="105.6">
      <c r="A29" s="161">
        <f t="shared" ref="A29:A30" si="4">A28+1</f>
        <v>3</v>
      </c>
      <c r="B29" s="161" t="s">
        <v>166</v>
      </c>
      <c r="C29" s="162" t="s">
        <v>118</v>
      </c>
      <c r="D29" s="90" t="s">
        <v>259</v>
      </c>
      <c r="E29" s="90" t="s">
        <v>110</v>
      </c>
      <c r="F29" s="90" t="s">
        <v>257</v>
      </c>
      <c r="G29" s="90">
        <v>0.2</v>
      </c>
      <c r="H29" s="90">
        <v>135.9</v>
      </c>
      <c r="I29" s="90"/>
      <c r="J29" s="19"/>
    </row>
    <row r="30" spans="1:10" ht="105.6">
      <c r="A30" s="161">
        <f t="shared" si="4"/>
        <v>4</v>
      </c>
      <c r="B30" s="161" t="s">
        <v>167</v>
      </c>
      <c r="C30" s="162" t="s">
        <v>200</v>
      </c>
      <c r="D30" s="90" t="s">
        <v>259</v>
      </c>
      <c r="E30" s="90" t="s">
        <v>110</v>
      </c>
      <c r="F30" s="90" t="s">
        <v>257</v>
      </c>
      <c r="G30" s="90">
        <v>0.2</v>
      </c>
      <c r="H30" s="90">
        <v>136.02000000000001</v>
      </c>
      <c r="I30" s="90"/>
      <c r="J30" s="19"/>
    </row>
  </sheetData>
  <mergeCells count="12">
    <mergeCell ref="A26:J26"/>
    <mergeCell ref="B4:B5"/>
    <mergeCell ref="A1:J1"/>
    <mergeCell ref="A2:J2"/>
    <mergeCell ref="A4:A5"/>
    <mergeCell ref="D4:D5"/>
    <mergeCell ref="E4:E5"/>
    <mergeCell ref="F4:F5"/>
    <mergeCell ref="G4:G5"/>
    <mergeCell ref="H4:H5"/>
    <mergeCell ref="I4:I5"/>
    <mergeCell ref="J4:J5"/>
  </mergeCells>
  <pageMargins left="0.5625" right="0.39583333333333331" top="0.44791666666666669" bottom="0.218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30"/>
  <sheetViews>
    <sheetView topLeftCell="A16" zoomScaleNormal="100" zoomScaleSheetLayoutView="85" workbookViewId="0">
      <selection activeCell="T5" sqref="T5"/>
    </sheetView>
  </sheetViews>
  <sheetFormatPr defaultRowHeight="13.2"/>
  <cols>
    <col min="1" max="1" width="4.88671875" customWidth="1"/>
    <col min="2" max="11" width="6" customWidth="1"/>
    <col min="12" max="12" width="8.109375" bestFit="1" customWidth="1"/>
    <col min="13" max="13" width="5.109375" customWidth="1"/>
    <col min="14" max="14" width="6.33203125" bestFit="1" customWidth="1"/>
    <col min="15" max="15" width="5.44140625" customWidth="1"/>
    <col min="16" max="16" width="6.109375" bestFit="1" customWidth="1"/>
    <col min="17" max="17" width="5.88671875" bestFit="1" customWidth="1"/>
    <col min="18" max="18" width="6.44140625" customWidth="1"/>
    <col min="19" max="19" width="8.109375" bestFit="1" customWidth="1"/>
    <col min="20" max="20" width="7.88671875" customWidth="1"/>
    <col min="21" max="22" width="5" customWidth="1"/>
    <col min="23" max="25" width="5.5546875" customWidth="1"/>
    <col min="26" max="26" width="5" customWidth="1"/>
    <col min="27" max="27" width="7" customWidth="1"/>
    <col min="28" max="28" width="5.6640625" bestFit="1" customWidth="1"/>
    <col min="29" max="29" width="10.5546875" bestFit="1" customWidth="1"/>
    <col min="30" max="30" width="5.6640625" bestFit="1" customWidth="1"/>
    <col min="31" max="31" width="10.5546875" bestFit="1" customWidth="1"/>
  </cols>
  <sheetData>
    <row r="1" spans="1:31" ht="23.25" customHeight="1">
      <c r="A1" s="232" t="s">
        <v>155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27.75" customHeight="1">
      <c r="A2" s="206" t="s">
        <v>213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</row>
    <row r="3" spans="1:31" ht="14.4">
      <c r="A3" s="108"/>
      <c r="B3" s="108"/>
      <c r="C3" s="109"/>
      <c r="D3" s="140"/>
      <c r="E3" s="140"/>
      <c r="F3" s="109"/>
      <c r="G3" s="140"/>
      <c r="H3" s="140"/>
      <c r="I3" s="156"/>
      <c r="J3" s="156"/>
      <c r="K3" s="156"/>
      <c r="L3" s="108"/>
      <c r="M3" s="108"/>
      <c r="N3" s="108"/>
      <c r="O3" s="108"/>
      <c r="P3" s="1"/>
      <c r="Q3" s="1"/>
      <c r="R3" s="1"/>
      <c r="S3" s="1"/>
      <c r="T3" s="1"/>
    </row>
    <row r="4" spans="1:31" ht="24.75" customHeight="1">
      <c r="A4" s="234" t="s">
        <v>3</v>
      </c>
      <c r="B4" s="234" t="s">
        <v>135</v>
      </c>
      <c r="C4" s="233" t="s">
        <v>143</v>
      </c>
      <c r="D4" s="233"/>
      <c r="E4" s="233"/>
      <c r="F4" s="233"/>
      <c r="G4" s="233"/>
      <c r="H4" s="233"/>
      <c r="I4" s="233" t="s">
        <v>0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31" ht="239.25" customHeight="1">
      <c r="A5" s="234"/>
      <c r="B5" s="234"/>
      <c r="C5" s="100" t="s">
        <v>215</v>
      </c>
      <c r="D5" s="100" t="s">
        <v>214</v>
      </c>
      <c r="E5" s="100" t="s">
        <v>218</v>
      </c>
      <c r="F5" s="100" t="s">
        <v>154</v>
      </c>
      <c r="G5" s="100" t="s">
        <v>216</v>
      </c>
      <c r="H5" s="100" t="s">
        <v>217</v>
      </c>
      <c r="I5" s="100" t="s">
        <v>245</v>
      </c>
      <c r="J5" s="100" t="s">
        <v>246</v>
      </c>
      <c r="K5" s="100" t="s">
        <v>247</v>
      </c>
      <c r="L5" s="155" t="s">
        <v>244</v>
      </c>
      <c r="M5" s="155" t="s">
        <v>5</v>
      </c>
      <c r="N5" s="155" t="s">
        <v>86</v>
      </c>
      <c r="O5" s="155" t="s">
        <v>128</v>
      </c>
      <c r="P5" s="155" t="s">
        <v>137</v>
      </c>
      <c r="Q5" s="110" t="s">
        <v>145</v>
      </c>
      <c r="R5" s="100" t="s">
        <v>144</v>
      </c>
      <c r="S5" s="100" t="s">
        <v>256</v>
      </c>
      <c r="T5" s="100" t="s">
        <v>255</v>
      </c>
      <c r="U5" s="100" t="s">
        <v>138</v>
      </c>
      <c r="V5" s="100" t="s">
        <v>232</v>
      </c>
      <c r="W5" s="100" t="s">
        <v>153</v>
      </c>
      <c r="X5" s="100" t="s">
        <v>233</v>
      </c>
      <c r="Y5" s="100" t="s">
        <v>234</v>
      </c>
      <c r="Z5" s="100" t="s">
        <v>139</v>
      </c>
      <c r="AA5" s="100" t="s">
        <v>140</v>
      </c>
      <c r="AB5" s="23" t="s">
        <v>14</v>
      </c>
      <c r="AC5" s="25" t="s">
        <v>94</v>
      </c>
      <c r="AD5" s="23" t="s">
        <v>249</v>
      </c>
      <c r="AE5" s="25" t="s">
        <v>103</v>
      </c>
    </row>
    <row r="6" spans="1:31" ht="25.5" customHeight="1">
      <c r="A6" s="234"/>
      <c r="B6" s="234"/>
      <c r="C6" s="160" t="s">
        <v>134</v>
      </c>
      <c r="D6" s="160" t="s">
        <v>134</v>
      </c>
      <c r="E6" s="160" t="s">
        <v>22</v>
      </c>
      <c r="F6" s="160" t="s">
        <v>22</v>
      </c>
      <c r="G6" s="160" t="s">
        <v>22</v>
      </c>
      <c r="H6" s="160" t="s">
        <v>22</v>
      </c>
      <c r="I6" s="18" t="s">
        <v>248</v>
      </c>
      <c r="J6" s="83" t="s">
        <v>6</v>
      </c>
      <c r="K6" s="160" t="s">
        <v>93</v>
      </c>
      <c r="L6" s="83" t="s">
        <v>6</v>
      </c>
      <c r="M6" s="83" t="s">
        <v>6</v>
      </c>
      <c r="N6" s="83" t="s">
        <v>6</v>
      </c>
      <c r="O6" s="101" t="s">
        <v>88</v>
      </c>
      <c r="P6" s="101" t="s">
        <v>6</v>
      </c>
      <c r="Q6" s="101" t="s">
        <v>6</v>
      </c>
      <c r="R6" s="101" t="s">
        <v>6</v>
      </c>
      <c r="S6" s="83" t="s">
        <v>134</v>
      </c>
      <c r="T6" s="83" t="s">
        <v>134</v>
      </c>
      <c r="U6" s="83" t="s">
        <v>6</v>
      </c>
      <c r="V6" s="146" t="s">
        <v>22</v>
      </c>
      <c r="W6" s="147" t="s">
        <v>22</v>
      </c>
      <c r="X6" s="147" t="s">
        <v>22</v>
      </c>
      <c r="Y6" s="147" t="s">
        <v>22</v>
      </c>
      <c r="Z6" s="83" t="s">
        <v>6</v>
      </c>
      <c r="AA6" s="83" t="s">
        <v>6</v>
      </c>
      <c r="AB6" s="18" t="s">
        <v>88</v>
      </c>
      <c r="AC6" s="18" t="s">
        <v>248</v>
      </c>
      <c r="AD6" s="18" t="s">
        <v>88</v>
      </c>
      <c r="AE6" s="18" t="s">
        <v>248</v>
      </c>
    </row>
    <row r="7" spans="1:31">
      <c r="A7" s="157">
        <v>1</v>
      </c>
      <c r="B7" s="159">
        <f>A7+1</f>
        <v>2</v>
      </c>
      <c r="C7" s="159">
        <f t="shared" ref="C7" si="0">B7+1</f>
        <v>3</v>
      </c>
      <c r="D7" s="159">
        <f t="shared" ref="D7" si="1">C7+1</f>
        <v>4</v>
      </c>
      <c r="E7" s="159">
        <f t="shared" ref="E7" si="2">D7+1</f>
        <v>5</v>
      </c>
      <c r="F7" s="159">
        <f t="shared" ref="F7" si="3">E7+1</f>
        <v>6</v>
      </c>
      <c r="G7" s="159">
        <f t="shared" ref="G7" si="4">F7+1</f>
        <v>7</v>
      </c>
      <c r="H7" s="159">
        <f t="shared" ref="H7:K7" si="5">G7+1</f>
        <v>8</v>
      </c>
      <c r="I7" s="159">
        <f t="shared" si="5"/>
        <v>9</v>
      </c>
      <c r="J7" s="159">
        <f t="shared" si="5"/>
        <v>10</v>
      </c>
      <c r="K7" s="159">
        <f t="shared" si="5"/>
        <v>11</v>
      </c>
      <c r="L7" s="159">
        <f t="shared" ref="L7" si="6">K7+1</f>
        <v>12</v>
      </c>
      <c r="M7" s="159">
        <f t="shared" ref="M7" si="7">L7+1</f>
        <v>13</v>
      </c>
      <c r="N7" s="159">
        <f t="shared" ref="N7" si="8">M7+1</f>
        <v>14</v>
      </c>
      <c r="O7" s="159">
        <f t="shared" ref="O7" si="9">N7+1</f>
        <v>15</v>
      </c>
      <c r="P7" s="159">
        <f t="shared" ref="P7" si="10">O7+1</f>
        <v>16</v>
      </c>
      <c r="Q7" s="159">
        <f t="shared" ref="Q7" si="11">P7+1</f>
        <v>17</v>
      </c>
      <c r="R7" s="159">
        <f t="shared" ref="R7" si="12">Q7+1</f>
        <v>18</v>
      </c>
      <c r="S7" s="192">
        <f t="shared" ref="S7" si="13">R7+1</f>
        <v>19</v>
      </c>
      <c r="T7" s="192">
        <f t="shared" ref="T7" si="14">S7+1</f>
        <v>20</v>
      </c>
      <c r="U7" s="159">
        <f t="shared" ref="U7" si="15">T7+1</f>
        <v>21</v>
      </c>
      <c r="V7" s="159">
        <f t="shared" ref="V7" si="16">U7+1</f>
        <v>22</v>
      </c>
      <c r="W7" s="159">
        <f t="shared" ref="W7" si="17">V7+1</f>
        <v>23</v>
      </c>
      <c r="X7" s="159">
        <f t="shared" ref="X7" si="18">W7+1</f>
        <v>24</v>
      </c>
      <c r="Y7" s="159">
        <f t="shared" ref="Y7" si="19">X7+1</f>
        <v>25</v>
      </c>
      <c r="Z7" s="159">
        <f t="shared" ref="Z7" si="20">Y7+1</f>
        <v>26</v>
      </c>
      <c r="AA7" s="159">
        <f t="shared" ref="AA7" si="21">Z7+1</f>
        <v>27</v>
      </c>
      <c r="AB7" s="159">
        <f t="shared" ref="AB7" si="22">AA7+1</f>
        <v>28</v>
      </c>
      <c r="AC7" s="159">
        <f t="shared" ref="AC7" si="23">AB7+1</f>
        <v>29</v>
      </c>
      <c r="AD7" s="159">
        <f t="shared" ref="AD7" si="24">AC7+1</f>
        <v>30</v>
      </c>
      <c r="AE7" s="159">
        <f t="shared" ref="AE7" si="25">AD7+1</f>
        <v>31</v>
      </c>
    </row>
    <row r="8" spans="1:31">
      <c r="A8" s="158">
        <v>1</v>
      </c>
      <c r="B8" s="157" t="s">
        <v>219</v>
      </c>
      <c r="C8" s="157">
        <v>1</v>
      </c>
      <c r="D8" s="157">
        <v>2</v>
      </c>
      <c r="E8" s="145">
        <f>D8*2</f>
        <v>4</v>
      </c>
      <c r="F8" s="145">
        <v>29</v>
      </c>
      <c r="G8" s="157"/>
      <c r="H8" s="157"/>
      <c r="I8" s="157"/>
      <c r="J8" s="157"/>
      <c r="K8" s="157"/>
      <c r="L8" s="98">
        <f>(C8*1.5*1.5*1.5+D8*1.5*1.5*1.5+E8*0.6*1.2+F8*1.5*0.8)*0.8</f>
        <v>38.244000000000007</v>
      </c>
      <c r="M8" s="98">
        <f>(C8*1.5*1.5*1.5+D8*1.5*1.5*1.5+E8*0.6*1.2+F8*1.5*0.8)*0.2</f>
        <v>9.5610000000000017</v>
      </c>
      <c r="N8" s="98">
        <f>M8+L8</f>
        <v>47.805000000000007</v>
      </c>
      <c r="O8" s="99">
        <f t="shared" ref="O8:O22" si="26">N8*1.85</f>
        <v>88.439250000000015</v>
      </c>
      <c r="P8" s="3">
        <f>C8*0.9*0.9*0.1+D8*0.9*0.9*0.1</f>
        <v>0.24300000000000005</v>
      </c>
      <c r="Q8" s="3">
        <f>C8*0.2*0.9*0.9+D8*0.2*0.9*0.9</f>
        <v>0.4860000000000001</v>
      </c>
      <c r="R8" s="3">
        <f>C8*1.5*0.45+D8*0.8*0.45</f>
        <v>1.395</v>
      </c>
      <c r="S8" s="3">
        <f>C8</f>
        <v>1</v>
      </c>
      <c r="T8" s="3">
        <f t="shared" ref="T8:T22" si="27">D8</f>
        <v>2</v>
      </c>
      <c r="U8" s="111">
        <f>(F8+G8+H8)*0.8*0.1</f>
        <v>2.3200000000000003</v>
      </c>
      <c r="V8" s="111">
        <f t="shared" ref="V8:W14" si="28">E8</f>
        <v>4</v>
      </c>
      <c r="W8" s="111">
        <f t="shared" si="28"/>
        <v>29</v>
      </c>
      <c r="X8" s="111"/>
      <c r="Y8" s="111"/>
      <c r="Z8" s="111">
        <f>(F8+G8+H8)*0.8*0.3</f>
        <v>6.9600000000000009</v>
      </c>
      <c r="AA8" s="111">
        <f t="shared" ref="AA8:AA14" si="29">(L8+M8)-(U8+Z8)-C8*1.3*0.9*0.9-D8*0.9*0.9*0.9-P8-E8*0.125*0.125*3.14-F8*0.15*0.15*3.14-Q8</f>
        <v>33.03990000000001</v>
      </c>
      <c r="AB8" s="113"/>
      <c r="AC8" s="113"/>
      <c r="AD8" s="113"/>
      <c r="AE8" s="113"/>
    </row>
    <row r="9" spans="1:31">
      <c r="A9" s="158">
        <f>A8+1</f>
        <v>2</v>
      </c>
      <c r="B9" s="157" t="s">
        <v>125</v>
      </c>
      <c r="C9" s="157">
        <v>1</v>
      </c>
      <c r="D9" s="157">
        <v>2</v>
      </c>
      <c r="E9" s="145">
        <f t="shared" ref="E9:E14" si="30">D9*2</f>
        <v>4</v>
      </c>
      <c r="F9" s="145">
        <v>27</v>
      </c>
      <c r="G9" s="157"/>
      <c r="H9" s="157"/>
      <c r="I9" s="157"/>
      <c r="J9" s="157"/>
      <c r="K9" s="157"/>
      <c r="L9" s="98">
        <f t="shared" ref="L9:L14" si="31">(C9*1.5*1.5*1.5+D9*1.5*1.5*1.5+E9*0.6*1.2+F9*1.5*0.8)*0.8</f>
        <v>36.324000000000005</v>
      </c>
      <c r="M9" s="98">
        <f t="shared" ref="M9:M14" si="32">(C9*1.5*1.5*1.5+D9*1.5*1.5*1.5+E9*0.6*1.2+F9*1.5*0.8)*0.2</f>
        <v>9.0810000000000013</v>
      </c>
      <c r="N9" s="98">
        <f t="shared" ref="N9:N22" si="33">M9+L9</f>
        <v>45.405000000000008</v>
      </c>
      <c r="O9" s="99">
        <f t="shared" si="26"/>
        <v>83.999250000000018</v>
      </c>
      <c r="P9" s="3">
        <f t="shared" ref="P9:P22" si="34">C9*0.9*0.9*0.1+D9*0.9*0.9*0.1</f>
        <v>0.24300000000000005</v>
      </c>
      <c r="Q9" s="3">
        <f>C9*0.2*0.9*0.9+D9*0.2*0.9*0.9</f>
        <v>0.4860000000000001</v>
      </c>
      <c r="R9" s="3">
        <f t="shared" ref="R9:R22" si="35">C9*1.5*0.45+D9*0.8*0.45</f>
        <v>1.395</v>
      </c>
      <c r="S9" s="3">
        <f t="shared" ref="S9:S22" si="36">C9</f>
        <v>1</v>
      </c>
      <c r="T9" s="3">
        <f t="shared" si="27"/>
        <v>2</v>
      </c>
      <c r="U9" s="111">
        <f t="shared" ref="U9:U22" si="37">(F9+G9+H9)*0.8*0.1</f>
        <v>2.16</v>
      </c>
      <c r="V9" s="111">
        <f t="shared" si="28"/>
        <v>4</v>
      </c>
      <c r="W9" s="111">
        <f t="shared" si="28"/>
        <v>27</v>
      </c>
      <c r="X9" s="111"/>
      <c r="Y9" s="111"/>
      <c r="Z9" s="111">
        <f t="shared" ref="Z9:Z22" si="38">(F9+G9+H9)*0.8*0.3</f>
        <v>6.48</v>
      </c>
      <c r="AA9" s="111">
        <f t="shared" si="29"/>
        <v>31.42120000000001</v>
      </c>
      <c r="AB9" s="113"/>
      <c r="AC9" s="113"/>
      <c r="AD9" s="113"/>
      <c r="AE9" s="113"/>
    </row>
    <row r="10" spans="1:31">
      <c r="A10" s="158">
        <f t="shared" ref="A10:A11" si="39">A9+1</f>
        <v>3</v>
      </c>
      <c r="B10" s="157" t="s">
        <v>220</v>
      </c>
      <c r="C10" s="157">
        <v>1</v>
      </c>
      <c r="D10" s="157">
        <v>2</v>
      </c>
      <c r="E10" s="145">
        <f t="shared" si="30"/>
        <v>4</v>
      </c>
      <c r="F10" s="145">
        <v>29</v>
      </c>
      <c r="G10" s="157"/>
      <c r="H10" s="157"/>
      <c r="I10" s="157"/>
      <c r="J10" s="157"/>
      <c r="K10" s="157"/>
      <c r="L10" s="98">
        <f t="shared" si="31"/>
        <v>38.244000000000007</v>
      </c>
      <c r="M10" s="98">
        <f t="shared" si="32"/>
        <v>9.5610000000000017</v>
      </c>
      <c r="N10" s="98">
        <f t="shared" si="33"/>
        <v>47.805000000000007</v>
      </c>
      <c r="O10" s="99">
        <f t="shared" si="26"/>
        <v>88.439250000000015</v>
      </c>
      <c r="P10" s="3">
        <f t="shared" si="34"/>
        <v>0.24300000000000005</v>
      </c>
      <c r="Q10" s="3">
        <f t="shared" ref="Q10:Q22" si="40">C10*0.2*0.9*0.9+D10*0.2*0.9*0.9</f>
        <v>0.4860000000000001</v>
      </c>
      <c r="R10" s="3">
        <f t="shared" si="35"/>
        <v>1.395</v>
      </c>
      <c r="S10" s="3">
        <f t="shared" si="36"/>
        <v>1</v>
      </c>
      <c r="T10" s="3">
        <f t="shared" si="27"/>
        <v>2</v>
      </c>
      <c r="U10" s="111">
        <f t="shared" si="37"/>
        <v>2.3200000000000003</v>
      </c>
      <c r="V10" s="111">
        <f t="shared" si="28"/>
        <v>4</v>
      </c>
      <c r="W10" s="111">
        <f t="shared" si="28"/>
        <v>29</v>
      </c>
      <c r="X10" s="111"/>
      <c r="Y10" s="111"/>
      <c r="Z10" s="111">
        <f t="shared" si="38"/>
        <v>6.9600000000000009</v>
      </c>
      <c r="AA10" s="111">
        <f t="shared" si="29"/>
        <v>33.03990000000001</v>
      </c>
      <c r="AB10" s="113"/>
      <c r="AC10" s="113"/>
      <c r="AD10" s="113"/>
      <c r="AE10" s="113"/>
    </row>
    <row r="11" spans="1:31">
      <c r="A11" s="158">
        <f t="shared" si="39"/>
        <v>4</v>
      </c>
      <c r="B11" s="157" t="s">
        <v>221</v>
      </c>
      <c r="C11" s="157">
        <v>1</v>
      </c>
      <c r="D11" s="157">
        <v>2</v>
      </c>
      <c r="E11" s="145">
        <f t="shared" si="30"/>
        <v>4</v>
      </c>
      <c r="F11" s="145">
        <v>28</v>
      </c>
      <c r="G11" s="157"/>
      <c r="H11" s="157"/>
      <c r="I11" s="157"/>
      <c r="J11" s="157"/>
      <c r="K11" s="157"/>
      <c r="L11" s="98">
        <f t="shared" si="31"/>
        <v>37.284000000000006</v>
      </c>
      <c r="M11" s="98">
        <f t="shared" si="32"/>
        <v>9.3210000000000015</v>
      </c>
      <c r="N11" s="98">
        <f t="shared" si="33"/>
        <v>46.605000000000004</v>
      </c>
      <c r="O11" s="99">
        <f t="shared" si="26"/>
        <v>86.219250000000017</v>
      </c>
      <c r="P11" s="3">
        <f t="shared" si="34"/>
        <v>0.24300000000000005</v>
      </c>
      <c r="Q11" s="3">
        <f t="shared" si="40"/>
        <v>0.4860000000000001</v>
      </c>
      <c r="R11" s="3">
        <f t="shared" si="35"/>
        <v>1.395</v>
      </c>
      <c r="S11" s="3">
        <f t="shared" si="36"/>
        <v>1</v>
      </c>
      <c r="T11" s="3">
        <f t="shared" si="27"/>
        <v>2</v>
      </c>
      <c r="U11" s="111">
        <f t="shared" si="37"/>
        <v>2.2400000000000002</v>
      </c>
      <c r="V11" s="111">
        <f t="shared" si="28"/>
        <v>4</v>
      </c>
      <c r="W11" s="111">
        <f t="shared" si="28"/>
        <v>28</v>
      </c>
      <c r="X11" s="111"/>
      <c r="Y11" s="111"/>
      <c r="Z11" s="111">
        <f t="shared" si="38"/>
        <v>6.7200000000000006</v>
      </c>
      <c r="AA11" s="111">
        <f t="shared" si="29"/>
        <v>32.230550000000008</v>
      </c>
      <c r="AB11" s="113"/>
      <c r="AC11" s="113"/>
      <c r="AD11" s="113"/>
      <c r="AE11" s="113"/>
    </row>
    <row r="12" spans="1:31">
      <c r="A12" s="158">
        <f t="shared" ref="A12" si="41">A11+1</f>
        <v>5</v>
      </c>
      <c r="B12" s="157" t="s">
        <v>222</v>
      </c>
      <c r="C12" s="157">
        <v>1</v>
      </c>
      <c r="D12" s="157">
        <v>2</v>
      </c>
      <c r="E12" s="145">
        <f t="shared" si="30"/>
        <v>4</v>
      </c>
      <c r="F12" s="145">
        <v>29</v>
      </c>
      <c r="G12" s="157"/>
      <c r="H12" s="157"/>
      <c r="I12" s="157"/>
      <c r="J12" s="157"/>
      <c r="K12" s="157"/>
      <c r="L12" s="98">
        <f t="shared" si="31"/>
        <v>38.244000000000007</v>
      </c>
      <c r="M12" s="98">
        <f t="shared" si="32"/>
        <v>9.5610000000000017</v>
      </c>
      <c r="N12" s="98">
        <f t="shared" si="33"/>
        <v>47.805000000000007</v>
      </c>
      <c r="O12" s="99">
        <f t="shared" si="26"/>
        <v>88.439250000000015</v>
      </c>
      <c r="P12" s="3">
        <f t="shared" si="34"/>
        <v>0.24300000000000005</v>
      </c>
      <c r="Q12" s="3">
        <f t="shared" si="40"/>
        <v>0.4860000000000001</v>
      </c>
      <c r="R12" s="3">
        <f t="shared" si="35"/>
        <v>1.395</v>
      </c>
      <c r="S12" s="3">
        <f t="shared" si="36"/>
        <v>1</v>
      </c>
      <c r="T12" s="3">
        <f t="shared" si="27"/>
        <v>2</v>
      </c>
      <c r="U12" s="111">
        <f t="shared" si="37"/>
        <v>2.3200000000000003</v>
      </c>
      <c r="V12" s="111">
        <f t="shared" si="28"/>
        <v>4</v>
      </c>
      <c r="W12" s="111">
        <f t="shared" si="28"/>
        <v>29</v>
      </c>
      <c r="X12" s="111"/>
      <c r="Y12" s="111"/>
      <c r="Z12" s="111">
        <f t="shared" si="38"/>
        <v>6.9600000000000009</v>
      </c>
      <c r="AA12" s="111">
        <f t="shared" si="29"/>
        <v>33.03990000000001</v>
      </c>
      <c r="AB12" s="113"/>
      <c r="AC12" s="113"/>
      <c r="AD12" s="113"/>
      <c r="AE12" s="113"/>
    </row>
    <row r="13" spans="1:31">
      <c r="A13" s="158">
        <f t="shared" ref="A13" si="42">A12+1</f>
        <v>6</v>
      </c>
      <c r="B13" s="157" t="s">
        <v>223</v>
      </c>
      <c r="C13" s="157">
        <v>1</v>
      </c>
      <c r="D13" s="157">
        <v>2</v>
      </c>
      <c r="E13" s="145">
        <f t="shared" si="30"/>
        <v>4</v>
      </c>
      <c r="F13" s="145">
        <v>29</v>
      </c>
      <c r="G13" s="157"/>
      <c r="H13" s="157"/>
      <c r="I13" s="157"/>
      <c r="J13" s="157"/>
      <c r="K13" s="157"/>
      <c r="L13" s="98">
        <f t="shared" si="31"/>
        <v>38.244000000000007</v>
      </c>
      <c r="M13" s="98">
        <f t="shared" si="32"/>
        <v>9.5610000000000017</v>
      </c>
      <c r="N13" s="98">
        <f t="shared" si="33"/>
        <v>47.805000000000007</v>
      </c>
      <c r="O13" s="99">
        <f t="shared" si="26"/>
        <v>88.439250000000015</v>
      </c>
      <c r="P13" s="3">
        <f t="shared" si="34"/>
        <v>0.24300000000000005</v>
      </c>
      <c r="Q13" s="3">
        <f t="shared" si="40"/>
        <v>0.4860000000000001</v>
      </c>
      <c r="R13" s="3">
        <f t="shared" si="35"/>
        <v>1.395</v>
      </c>
      <c r="S13" s="3">
        <f t="shared" si="36"/>
        <v>1</v>
      </c>
      <c r="T13" s="3">
        <f t="shared" si="27"/>
        <v>2</v>
      </c>
      <c r="U13" s="111">
        <f t="shared" si="37"/>
        <v>2.3200000000000003</v>
      </c>
      <c r="V13" s="111">
        <f t="shared" si="28"/>
        <v>4</v>
      </c>
      <c r="W13" s="111">
        <f t="shared" si="28"/>
        <v>29</v>
      </c>
      <c r="X13" s="111"/>
      <c r="Y13" s="111"/>
      <c r="Z13" s="111">
        <f t="shared" si="38"/>
        <v>6.9600000000000009</v>
      </c>
      <c r="AA13" s="111">
        <f t="shared" si="29"/>
        <v>33.03990000000001</v>
      </c>
      <c r="AB13" s="113"/>
      <c r="AC13" s="113"/>
      <c r="AD13" s="113"/>
      <c r="AE13" s="113"/>
    </row>
    <row r="14" spans="1:31">
      <c r="A14" s="158">
        <f t="shared" ref="A14" si="43">A13+1</f>
        <v>7</v>
      </c>
      <c r="B14" s="157" t="s">
        <v>224</v>
      </c>
      <c r="C14" s="157">
        <v>1</v>
      </c>
      <c r="D14" s="157">
        <v>2</v>
      </c>
      <c r="E14" s="145">
        <f t="shared" si="30"/>
        <v>4</v>
      </c>
      <c r="F14" s="145">
        <v>10</v>
      </c>
      <c r="G14" s="157"/>
      <c r="H14" s="157"/>
      <c r="I14" s="157"/>
      <c r="J14" s="157"/>
      <c r="K14" s="157"/>
      <c r="L14" s="98">
        <f t="shared" si="31"/>
        <v>20.004000000000001</v>
      </c>
      <c r="M14" s="98">
        <f t="shared" si="32"/>
        <v>5.0010000000000003</v>
      </c>
      <c r="N14" s="98">
        <f t="shared" si="33"/>
        <v>25.005000000000003</v>
      </c>
      <c r="O14" s="99">
        <f t="shared" si="26"/>
        <v>46.259250000000009</v>
      </c>
      <c r="P14" s="3">
        <f t="shared" si="34"/>
        <v>0.24300000000000005</v>
      </c>
      <c r="Q14" s="3">
        <f t="shared" si="40"/>
        <v>0.4860000000000001</v>
      </c>
      <c r="R14" s="3">
        <f t="shared" si="35"/>
        <v>1.395</v>
      </c>
      <c r="S14" s="3">
        <f t="shared" si="36"/>
        <v>1</v>
      </c>
      <c r="T14" s="3">
        <f t="shared" si="27"/>
        <v>2</v>
      </c>
      <c r="U14" s="111">
        <f t="shared" si="37"/>
        <v>0.8</v>
      </c>
      <c r="V14" s="111">
        <f t="shared" si="28"/>
        <v>4</v>
      </c>
      <c r="W14" s="111">
        <f t="shared" si="28"/>
        <v>10</v>
      </c>
      <c r="X14" s="111"/>
      <c r="Y14" s="111"/>
      <c r="Z14" s="111">
        <f t="shared" si="38"/>
        <v>2.4</v>
      </c>
      <c r="AA14" s="111">
        <f t="shared" si="29"/>
        <v>17.662250000000007</v>
      </c>
      <c r="AB14" s="113"/>
      <c r="AC14" s="113"/>
      <c r="AD14" s="113"/>
      <c r="AE14" s="113"/>
    </row>
    <row r="15" spans="1:31">
      <c r="A15" s="158">
        <f t="shared" ref="A15" si="44">A14+1</f>
        <v>8</v>
      </c>
      <c r="B15" s="157" t="s">
        <v>225</v>
      </c>
      <c r="C15" s="157">
        <v>1</v>
      </c>
      <c r="D15" s="157"/>
      <c r="E15" s="145"/>
      <c r="F15" s="113"/>
      <c r="G15" s="145">
        <v>6</v>
      </c>
      <c r="H15" s="157"/>
      <c r="I15" s="157"/>
      <c r="J15" s="157"/>
      <c r="K15" s="157"/>
      <c r="L15" s="98">
        <f>(C15*1.5*1.5*1.5+D15*1.5*1.5*1.5+E15*0.6*1.2+F15*1.5*1.2+G15*0.8*1.5)*0.8</f>
        <v>8.4600000000000009</v>
      </c>
      <c r="M15" s="98">
        <f>(C15*1.5*1.5*1.5+D15*1.5*1.5*1.5+E15*0.6*1.2+F15*1.5*0.8+G15*1.5*0.8)*0.2</f>
        <v>2.1149999999999998</v>
      </c>
      <c r="N15" s="98">
        <f t="shared" si="33"/>
        <v>10.575000000000001</v>
      </c>
      <c r="O15" s="99">
        <f t="shared" si="26"/>
        <v>19.563750000000002</v>
      </c>
      <c r="P15" s="3">
        <f t="shared" si="34"/>
        <v>8.1000000000000016E-2</v>
      </c>
      <c r="Q15" s="3">
        <f t="shared" si="40"/>
        <v>0.16200000000000003</v>
      </c>
      <c r="R15" s="3">
        <f t="shared" si="35"/>
        <v>0.67500000000000004</v>
      </c>
      <c r="S15" s="3">
        <f t="shared" si="36"/>
        <v>1</v>
      </c>
      <c r="T15" s="3">
        <f t="shared" si="27"/>
        <v>0</v>
      </c>
      <c r="U15" s="111">
        <f t="shared" si="37"/>
        <v>0.48000000000000009</v>
      </c>
      <c r="V15" s="111">
        <f t="shared" ref="V15:V22" si="45">E15</f>
        <v>0</v>
      </c>
      <c r="W15" s="111"/>
      <c r="X15" s="111">
        <f>G15</f>
        <v>6</v>
      </c>
      <c r="Y15" s="111"/>
      <c r="Z15" s="111">
        <f t="shared" si="38"/>
        <v>1.4400000000000002</v>
      </c>
      <c r="AA15" s="111">
        <f>(L15+M15)-(U15+Z15)-C15*1.3*0.9*0.9-D15*0.9*0.9*0.9-P15-E15*0.125*0.125*3.14-G15*0.2*0.2*3.14-Q15</f>
        <v>6.6054000000000004</v>
      </c>
      <c r="AB15" s="113"/>
      <c r="AC15" s="113"/>
      <c r="AD15" s="113"/>
      <c r="AE15" s="113"/>
    </row>
    <row r="16" spans="1:31">
      <c r="A16" s="158">
        <f t="shared" ref="A16" si="46">A15+1</f>
        <v>9</v>
      </c>
      <c r="B16" s="157" t="s">
        <v>226</v>
      </c>
      <c r="C16" s="157">
        <v>1</v>
      </c>
      <c r="D16" s="157">
        <v>2</v>
      </c>
      <c r="E16" s="145">
        <f t="shared" ref="E16:E21" si="47">D16*1.5</f>
        <v>3</v>
      </c>
      <c r="F16" s="113"/>
      <c r="G16" s="145">
        <v>16</v>
      </c>
      <c r="H16" s="157"/>
      <c r="I16" s="157"/>
      <c r="J16" s="157"/>
      <c r="K16" s="157"/>
      <c r="L16" s="98">
        <f t="shared" ref="L16:L19" si="48">(C16*1.5*1.5*1.5+D16*1.5*1.5*1.5+E16*0.6*1.2+F16*1.5*1.2+G16*0.8*1.5)*0.8</f>
        <v>25.188000000000002</v>
      </c>
      <c r="M16" s="98">
        <f t="shared" ref="M16:M19" si="49">(C16*1.5*1.5*1.5+D16*1.5*1.5*1.5+E16*0.6*1.2+F16*1.5*0.8+G16*1.5*0.8)*0.2</f>
        <v>6.2970000000000006</v>
      </c>
      <c r="N16" s="98">
        <f t="shared" si="33"/>
        <v>31.485000000000003</v>
      </c>
      <c r="O16" s="99">
        <f t="shared" si="26"/>
        <v>58.247250000000008</v>
      </c>
      <c r="P16" s="3">
        <f t="shared" si="34"/>
        <v>0.24300000000000005</v>
      </c>
      <c r="Q16" s="3">
        <f t="shared" si="40"/>
        <v>0.4860000000000001</v>
      </c>
      <c r="R16" s="3">
        <f t="shared" si="35"/>
        <v>1.395</v>
      </c>
      <c r="S16" s="3">
        <f t="shared" si="36"/>
        <v>1</v>
      </c>
      <c r="T16" s="3">
        <f t="shared" si="27"/>
        <v>2</v>
      </c>
      <c r="U16" s="111">
        <f t="shared" si="37"/>
        <v>1.2800000000000002</v>
      </c>
      <c r="V16" s="111">
        <f t="shared" si="45"/>
        <v>3</v>
      </c>
      <c r="W16" s="111"/>
      <c r="X16" s="111">
        <f>G16</f>
        <v>16</v>
      </c>
      <c r="Y16" s="111"/>
      <c r="Z16" s="111">
        <f t="shared" si="38"/>
        <v>3.84</v>
      </c>
      <c r="AA16" s="111">
        <f>(L16+M16)-(U16+Z16)-C16*1.3*0.9*0.9-D16*0.9*0.9*0.9-P16-E16*0.125*0.125*3.14-G16*0.2*0.2*3.14-Q16</f>
        <v>20.9682125</v>
      </c>
      <c r="AB16" s="113"/>
      <c r="AC16" s="113"/>
      <c r="AD16" s="113"/>
      <c r="AE16" s="113"/>
    </row>
    <row r="17" spans="1:31">
      <c r="A17" s="158">
        <f t="shared" ref="A17" si="50">A16+1</f>
        <v>10</v>
      </c>
      <c r="B17" s="157" t="s">
        <v>227</v>
      </c>
      <c r="C17" s="157">
        <v>1</v>
      </c>
      <c r="D17" s="157">
        <v>2</v>
      </c>
      <c r="E17" s="145">
        <f t="shared" si="47"/>
        <v>3</v>
      </c>
      <c r="F17" s="113"/>
      <c r="G17" s="145">
        <v>6</v>
      </c>
      <c r="H17" s="157"/>
      <c r="I17" s="157"/>
      <c r="J17" s="157"/>
      <c r="K17" s="157"/>
      <c r="L17" s="98">
        <f t="shared" si="48"/>
        <v>15.588000000000001</v>
      </c>
      <c r="M17" s="98">
        <f t="shared" si="49"/>
        <v>3.8970000000000002</v>
      </c>
      <c r="N17" s="98">
        <f t="shared" si="33"/>
        <v>19.484999999999999</v>
      </c>
      <c r="O17" s="99">
        <f t="shared" si="26"/>
        <v>36.047249999999998</v>
      </c>
      <c r="P17" s="3">
        <f t="shared" si="34"/>
        <v>0.24300000000000005</v>
      </c>
      <c r="Q17" s="3">
        <f t="shared" si="40"/>
        <v>0.4860000000000001</v>
      </c>
      <c r="R17" s="3">
        <f t="shared" si="35"/>
        <v>1.395</v>
      </c>
      <c r="S17" s="3">
        <f t="shared" si="36"/>
        <v>1</v>
      </c>
      <c r="T17" s="3">
        <f t="shared" si="27"/>
        <v>2</v>
      </c>
      <c r="U17" s="111">
        <f t="shared" si="37"/>
        <v>0.48000000000000009</v>
      </c>
      <c r="V17" s="111">
        <f t="shared" si="45"/>
        <v>3</v>
      </c>
      <c r="W17" s="111"/>
      <c r="X17" s="111">
        <f>G17</f>
        <v>6</v>
      </c>
      <c r="Y17" s="111"/>
      <c r="Z17" s="111">
        <f t="shared" si="38"/>
        <v>1.4400000000000002</v>
      </c>
      <c r="AA17" s="111">
        <f>(L17+M17)-(U17+Z17)-C17*1.3*0.9*0.9-D17*0.9*0.9*0.9-P17-E17*0.125*0.125*3.14-G17*0.2*0.2*3.14-Q17</f>
        <v>13.424212499999996</v>
      </c>
      <c r="AB17" s="113"/>
      <c r="AC17" s="113"/>
      <c r="AD17" s="113"/>
      <c r="AE17" s="113"/>
    </row>
    <row r="18" spans="1:31">
      <c r="A18" s="158">
        <f>A17+1</f>
        <v>11</v>
      </c>
      <c r="B18" s="157" t="s">
        <v>190</v>
      </c>
      <c r="C18" s="157">
        <v>1</v>
      </c>
      <c r="D18" s="157"/>
      <c r="E18" s="145"/>
      <c r="F18" s="113"/>
      <c r="G18" s="145">
        <v>28</v>
      </c>
      <c r="H18" s="157"/>
      <c r="I18" s="157"/>
      <c r="J18" s="157"/>
      <c r="K18" s="157"/>
      <c r="L18" s="98">
        <f t="shared" si="48"/>
        <v>29.580000000000002</v>
      </c>
      <c r="M18" s="98">
        <f t="shared" si="49"/>
        <v>7.3950000000000005</v>
      </c>
      <c r="N18" s="98">
        <f t="shared" si="33"/>
        <v>36.975000000000001</v>
      </c>
      <c r="O18" s="99">
        <f t="shared" si="26"/>
        <v>68.403750000000002</v>
      </c>
      <c r="P18" s="3">
        <f t="shared" si="34"/>
        <v>8.1000000000000016E-2</v>
      </c>
      <c r="Q18" s="3">
        <f t="shared" si="40"/>
        <v>0.16200000000000003</v>
      </c>
      <c r="R18" s="3">
        <f t="shared" si="35"/>
        <v>0.67500000000000004</v>
      </c>
      <c r="S18" s="3">
        <f t="shared" si="36"/>
        <v>1</v>
      </c>
      <c r="T18" s="3">
        <f t="shared" si="27"/>
        <v>0</v>
      </c>
      <c r="U18" s="111">
        <f t="shared" si="37"/>
        <v>2.2400000000000002</v>
      </c>
      <c r="V18" s="111">
        <f t="shared" si="45"/>
        <v>0</v>
      </c>
      <c r="W18" s="111"/>
      <c r="X18" s="111">
        <f>G18</f>
        <v>28</v>
      </c>
      <c r="Y18" s="111"/>
      <c r="Z18" s="111">
        <f t="shared" si="38"/>
        <v>6.7200000000000006</v>
      </c>
      <c r="AA18" s="111">
        <f>(L18+M18)-(U18+Z18)-C18*1.3*0.9*0.9-D18*0.9*0.9*0.9-P18-E18*0.125*0.125*3.14-G18*0.2*0.2*3.14-Q18</f>
        <v>23.202200000000001</v>
      </c>
      <c r="AB18" s="113"/>
      <c r="AC18" s="113"/>
      <c r="AD18" s="113"/>
      <c r="AE18" s="113"/>
    </row>
    <row r="19" spans="1:31">
      <c r="A19" s="158">
        <f t="shared" ref="A19:A22" si="51">A18+1</f>
        <v>12</v>
      </c>
      <c r="B19" s="157" t="s">
        <v>228</v>
      </c>
      <c r="C19" s="157">
        <v>1</v>
      </c>
      <c r="D19" s="157">
        <v>2</v>
      </c>
      <c r="E19" s="145">
        <f t="shared" si="47"/>
        <v>3</v>
      </c>
      <c r="F19" s="113"/>
      <c r="G19" s="145">
        <v>27</v>
      </c>
      <c r="H19" s="157"/>
      <c r="I19" s="157"/>
      <c r="J19" s="157"/>
      <c r="K19" s="157"/>
      <c r="L19" s="98">
        <f t="shared" si="48"/>
        <v>35.748000000000005</v>
      </c>
      <c r="M19" s="98">
        <f t="shared" si="49"/>
        <v>8.9370000000000012</v>
      </c>
      <c r="N19" s="98">
        <f t="shared" si="33"/>
        <v>44.685000000000002</v>
      </c>
      <c r="O19" s="99">
        <f t="shared" si="26"/>
        <v>82.66725000000001</v>
      </c>
      <c r="P19" s="3">
        <f t="shared" si="34"/>
        <v>0.24300000000000005</v>
      </c>
      <c r="Q19" s="3">
        <f t="shared" si="40"/>
        <v>0.4860000000000001</v>
      </c>
      <c r="R19" s="3">
        <f t="shared" si="35"/>
        <v>1.395</v>
      </c>
      <c r="S19" s="3">
        <f t="shared" si="36"/>
        <v>1</v>
      </c>
      <c r="T19" s="3">
        <f t="shared" si="27"/>
        <v>2</v>
      </c>
      <c r="U19" s="111">
        <f t="shared" si="37"/>
        <v>2.16</v>
      </c>
      <c r="V19" s="111">
        <f t="shared" si="45"/>
        <v>3</v>
      </c>
      <c r="W19" s="111"/>
      <c r="X19" s="111">
        <f>G19</f>
        <v>27</v>
      </c>
      <c r="Y19" s="111"/>
      <c r="Z19" s="111">
        <f t="shared" si="38"/>
        <v>6.48</v>
      </c>
      <c r="AA19" s="111">
        <f>(L19+M19)-(U19+Z19)-C19*1.3*0.9*0.9-D19*0.9*0.9*0.9-P19-E19*0.125*0.125*3.14-G19*0.2*0.2*3.14-Q19</f>
        <v>29.266612500000001</v>
      </c>
      <c r="AB19" s="113"/>
      <c r="AC19" s="113"/>
      <c r="AD19" s="113"/>
      <c r="AE19" s="113"/>
    </row>
    <row r="20" spans="1:31">
      <c r="A20" s="158">
        <f t="shared" si="51"/>
        <v>13</v>
      </c>
      <c r="B20" s="157" t="s">
        <v>229</v>
      </c>
      <c r="C20" s="157">
        <v>1</v>
      </c>
      <c r="D20" s="157">
        <v>2</v>
      </c>
      <c r="E20" s="145">
        <f t="shared" si="47"/>
        <v>3</v>
      </c>
      <c r="F20" s="113"/>
      <c r="G20" s="157"/>
      <c r="H20" s="145">
        <v>29</v>
      </c>
      <c r="I20" s="145"/>
      <c r="J20" s="145"/>
      <c r="K20" s="145"/>
      <c r="L20" s="98">
        <f>(C20*1.5*1.5*1.5+D20*1.5*1.5*1.5+E20*0.6*1.2+F20*1.5*1.2+H20*1.5*0.8)*0.8</f>
        <v>37.668000000000006</v>
      </c>
      <c r="M20" s="98">
        <f>(C20*1.5*1.5*1.5+D20*1.5*1.5*1.5+E20*0.6*1.2+F20*1.5*0.8+H20*1.5*0.5)*0.2</f>
        <v>6.8069999999999995</v>
      </c>
      <c r="N20" s="98">
        <f t="shared" si="33"/>
        <v>44.475000000000009</v>
      </c>
      <c r="O20" s="99">
        <f t="shared" si="26"/>
        <v>82.278750000000016</v>
      </c>
      <c r="P20" s="3">
        <f t="shared" si="34"/>
        <v>0.24300000000000005</v>
      </c>
      <c r="Q20" s="3">
        <f t="shared" si="40"/>
        <v>0.4860000000000001</v>
      </c>
      <c r="R20" s="3">
        <f t="shared" si="35"/>
        <v>1.395</v>
      </c>
      <c r="S20" s="3">
        <f t="shared" si="36"/>
        <v>1</v>
      </c>
      <c r="T20" s="3">
        <f t="shared" si="27"/>
        <v>2</v>
      </c>
      <c r="U20" s="111">
        <f t="shared" si="37"/>
        <v>2.3200000000000003</v>
      </c>
      <c r="V20" s="111">
        <f t="shared" si="45"/>
        <v>3</v>
      </c>
      <c r="W20" s="111"/>
      <c r="X20" s="111"/>
      <c r="Y20" s="111">
        <f>H20</f>
        <v>29</v>
      </c>
      <c r="Z20" s="111">
        <f t="shared" si="38"/>
        <v>6.9600000000000009</v>
      </c>
      <c r="AA20" s="111">
        <f>(L20+M20)-(U20+Z20)-C20*1.3*0.9*0.9-D20*0.9*0.9*0.9-P20-E20*0.125*0.125*3.14-H20*0.25*0.25*3.14-Q20</f>
        <v>26.116562500000008</v>
      </c>
      <c r="AB20" s="113"/>
      <c r="AC20" s="113"/>
      <c r="AD20" s="113"/>
      <c r="AE20" s="113"/>
    </row>
    <row r="21" spans="1:31">
      <c r="A21" s="158">
        <f t="shared" si="51"/>
        <v>14</v>
      </c>
      <c r="B21" s="157" t="s">
        <v>230</v>
      </c>
      <c r="C21" s="157">
        <v>1</v>
      </c>
      <c r="D21" s="157">
        <v>2</v>
      </c>
      <c r="E21" s="145">
        <f t="shared" si="47"/>
        <v>3</v>
      </c>
      <c r="F21" s="113"/>
      <c r="G21" s="157"/>
      <c r="H21" s="145">
        <v>19</v>
      </c>
      <c r="I21" s="145"/>
      <c r="J21" s="145"/>
      <c r="K21" s="145"/>
      <c r="L21" s="98">
        <f t="shared" ref="L21:L22" si="52">(C21*1.5*1.5*1.5+D21*1.5*1.5*1.5+E21*0.6*1.2+F21*1.5*1.2+H21*1.5*0.8)*0.8</f>
        <v>28.068000000000001</v>
      </c>
      <c r="M21" s="98">
        <f t="shared" ref="M21:M22" si="53">(C21*1.5*1.5*1.5+D21*1.5*1.5*1.5+E21*0.6*1.2+F21*1.5*0.8+H21*1.5*0.5)*0.2</f>
        <v>5.3070000000000004</v>
      </c>
      <c r="N21" s="98">
        <f t="shared" si="33"/>
        <v>33.375</v>
      </c>
      <c r="O21" s="99">
        <f t="shared" si="26"/>
        <v>61.743750000000006</v>
      </c>
      <c r="P21" s="3">
        <f t="shared" si="34"/>
        <v>0.24300000000000005</v>
      </c>
      <c r="Q21" s="3">
        <f t="shared" si="40"/>
        <v>0.4860000000000001</v>
      </c>
      <c r="R21" s="3">
        <f t="shared" si="35"/>
        <v>1.395</v>
      </c>
      <c r="S21" s="3">
        <f t="shared" si="36"/>
        <v>1</v>
      </c>
      <c r="T21" s="3">
        <f t="shared" si="27"/>
        <v>2</v>
      </c>
      <c r="U21" s="111">
        <f t="shared" si="37"/>
        <v>1.5200000000000002</v>
      </c>
      <c r="V21" s="111">
        <f t="shared" si="45"/>
        <v>3</v>
      </c>
      <c r="W21" s="111"/>
      <c r="X21" s="111"/>
      <c r="Y21" s="111">
        <f>H21</f>
        <v>19</v>
      </c>
      <c r="Z21" s="111">
        <f t="shared" si="38"/>
        <v>4.5600000000000005</v>
      </c>
      <c r="AA21" s="111">
        <f>(L21+M21)-(U21+Z21)-C21*1.3*0.9*0.9-D21*0.9*0.9*0.9-P21-E21*0.125*0.125*3.14-H21*0.25*0.25*3.14-Q21</f>
        <v>20.179062499999997</v>
      </c>
      <c r="AB21" s="113"/>
      <c r="AC21" s="113"/>
      <c r="AD21" s="113"/>
      <c r="AE21" s="113"/>
    </row>
    <row r="22" spans="1:31">
      <c r="A22" s="158">
        <f t="shared" si="51"/>
        <v>15</v>
      </c>
      <c r="B22" s="157" t="s">
        <v>231</v>
      </c>
      <c r="C22" s="157">
        <v>1</v>
      </c>
      <c r="D22" s="157"/>
      <c r="E22" s="145"/>
      <c r="F22" s="113"/>
      <c r="G22" s="157"/>
      <c r="H22" s="145">
        <v>3</v>
      </c>
      <c r="I22" s="145">
        <f>4*0.6</f>
        <v>2.4</v>
      </c>
      <c r="J22" s="145">
        <f>I22*0.09</f>
        <v>0.216</v>
      </c>
      <c r="K22" s="145">
        <f>J22*2.4</f>
        <v>0.51839999999999997</v>
      </c>
      <c r="L22" s="98">
        <f t="shared" si="52"/>
        <v>5.58</v>
      </c>
      <c r="M22" s="98">
        <f t="shared" si="53"/>
        <v>1.125</v>
      </c>
      <c r="N22" s="98">
        <f t="shared" si="33"/>
        <v>6.7050000000000001</v>
      </c>
      <c r="O22" s="99">
        <f t="shared" si="26"/>
        <v>12.404250000000001</v>
      </c>
      <c r="P22" s="3">
        <f t="shared" si="34"/>
        <v>8.1000000000000016E-2</v>
      </c>
      <c r="Q22" s="3">
        <f t="shared" si="40"/>
        <v>0.16200000000000003</v>
      </c>
      <c r="R22" s="3">
        <f t="shared" si="35"/>
        <v>0.67500000000000004</v>
      </c>
      <c r="S22" s="3">
        <f t="shared" si="36"/>
        <v>1</v>
      </c>
      <c r="T22" s="3">
        <f t="shared" si="27"/>
        <v>0</v>
      </c>
      <c r="U22" s="111">
        <f t="shared" si="37"/>
        <v>0.24000000000000005</v>
      </c>
      <c r="V22" s="111">
        <f t="shared" si="45"/>
        <v>0</v>
      </c>
      <c r="W22" s="111"/>
      <c r="X22" s="111"/>
      <c r="Y22" s="111">
        <f>H22</f>
        <v>3</v>
      </c>
      <c r="Z22" s="111">
        <f t="shared" si="38"/>
        <v>0.72000000000000008</v>
      </c>
      <c r="AA22" s="111">
        <f>(L22+M22)-(U22+Z22)-C22*1.3*0.9*0.9-D22*0.9*0.9*0.9-P22-E22*0.125*0.125*3.14-H22*0.25*0.25*3.14-Q22</f>
        <v>3.8602499999999997</v>
      </c>
      <c r="AB22" s="164">
        <f>I22*0.0006</f>
        <v>1.4399999999999999E-3</v>
      </c>
      <c r="AC22" s="111">
        <f>I22</f>
        <v>2.4</v>
      </c>
      <c r="AD22" s="165">
        <f>I22*0.0003</f>
        <v>7.1999999999999994E-4</v>
      </c>
      <c r="AE22" s="166">
        <f>I22</f>
        <v>2.4</v>
      </c>
    </row>
    <row r="23" spans="1:31" s="102" customFormat="1">
      <c r="A23" s="223" t="s">
        <v>34</v>
      </c>
      <c r="B23" s="223"/>
      <c r="C23" s="105">
        <f>SUM(C8:C22)</f>
        <v>15</v>
      </c>
      <c r="D23" s="105">
        <f>SUM(D8:D22)</f>
        <v>24</v>
      </c>
      <c r="E23" s="105">
        <f>SUM(E8:E22)</f>
        <v>43</v>
      </c>
      <c r="F23" s="105">
        <f>SUM(F8:F22)</f>
        <v>181</v>
      </c>
      <c r="G23" s="105">
        <f t="shared" ref="G23:K23" si="54">SUM(G8:G22)</f>
        <v>83</v>
      </c>
      <c r="H23" s="105">
        <f t="shared" si="54"/>
        <v>51</v>
      </c>
      <c r="I23" s="105">
        <f t="shared" si="54"/>
        <v>2.4</v>
      </c>
      <c r="J23" s="105">
        <f t="shared" si="54"/>
        <v>0.216</v>
      </c>
      <c r="K23" s="105">
        <f t="shared" si="54"/>
        <v>0.51839999999999997</v>
      </c>
      <c r="L23" s="106">
        <f>SUM(L8:L22)</f>
        <v>432.46799999999996</v>
      </c>
      <c r="M23" s="106">
        <f t="shared" ref="M23:O23" si="55">SUM(M8:M22)</f>
        <v>103.527</v>
      </c>
      <c r="N23" s="106">
        <f t="shared" si="55"/>
        <v>535.99500000000012</v>
      </c>
      <c r="O23" s="106">
        <f t="shared" si="55"/>
        <v>991.59075000000007</v>
      </c>
      <c r="P23" s="105">
        <f>SUM(P8:P22)</f>
        <v>3.1589999999999998</v>
      </c>
      <c r="Q23" s="105">
        <f>SUM(Q8:Q22)</f>
        <v>6.3179999999999996</v>
      </c>
      <c r="R23" s="105">
        <f t="shared" ref="R23:S23" si="56">SUM(R8:R22)</f>
        <v>18.765000000000001</v>
      </c>
      <c r="S23" s="105">
        <f t="shared" si="56"/>
        <v>15</v>
      </c>
      <c r="T23" s="105">
        <f t="shared" ref="T23" si="57">SUM(T8:T22)</f>
        <v>24</v>
      </c>
      <c r="U23" s="105">
        <f t="shared" ref="U23" si="58">SUM(U8:U22)</f>
        <v>25.2</v>
      </c>
      <c r="V23" s="105">
        <f t="shared" ref="V23" si="59">SUM(V8:V22)</f>
        <v>43</v>
      </c>
      <c r="W23" s="105">
        <f t="shared" ref="W23" si="60">SUM(W8:W22)</f>
        <v>181</v>
      </c>
      <c r="X23" s="105">
        <f t="shared" ref="X23" si="61">SUM(X8:X22)</f>
        <v>83</v>
      </c>
      <c r="Y23" s="105">
        <f t="shared" ref="Y23" si="62">SUM(Y8:Y22)</f>
        <v>51</v>
      </c>
      <c r="Z23" s="105">
        <f t="shared" ref="Z23" si="63">SUM(Z8:Z22)</f>
        <v>75.599999999999994</v>
      </c>
      <c r="AA23" s="105">
        <f t="shared" ref="AA23:AE23" si="64">SUM(AA8:AA22)</f>
        <v>357.09611250000006</v>
      </c>
      <c r="AB23" s="167">
        <f t="shared" si="64"/>
        <v>1.4399999999999999E-3</v>
      </c>
      <c r="AC23" s="105">
        <f t="shared" si="64"/>
        <v>2.4</v>
      </c>
      <c r="AD23" s="167">
        <f t="shared" si="64"/>
        <v>7.1999999999999994E-4</v>
      </c>
      <c r="AE23" s="105">
        <f t="shared" si="64"/>
        <v>2.4</v>
      </c>
    </row>
    <row r="24" spans="1:31" s="102" customFormat="1">
      <c r="A24" s="223" t="s">
        <v>160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163"/>
      <c r="AC24" s="163"/>
      <c r="AD24" s="163"/>
      <c r="AE24" s="163"/>
    </row>
    <row r="25" spans="1:31">
      <c r="A25" s="158">
        <v>1</v>
      </c>
      <c r="B25" s="157" t="s">
        <v>238</v>
      </c>
      <c r="C25" s="157"/>
      <c r="D25" s="157">
        <v>2</v>
      </c>
      <c r="E25" s="145">
        <v>2.5</v>
      </c>
      <c r="F25" s="145">
        <v>6</v>
      </c>
      <c r="G25" s="157"/>
      <c r="H25" s="157"/>
      <c r="I25" s="157"/>
      <c r="J25" s="157"/>
      <c r="K25" s="157"/>
      <c r="L25" s="98">
        <f>(C25*1.5*1.5*1.5+D25*1.5*1.5*1.5+E25*0.6*1.2+F25*1.5*0.8)*0.8</f>
        <v>12.600000000000001</v>
      </c>
      <c r="M25" s="98">
        <f>(C25*1.5*1.5*1.5+D25*1.5*1.5*1.5+E25*0.6*1.2+F25*1.5*0.8)*0.2</f>
        <v>3.1500000000000004</v>
      </c>
      <c r="N25" s="98">
        <f>M25+L25</f>
        <v>15.750000000000002</v>
      </c>
      <c r="O25" s="99">
        <f t="shared" ref="O25:O28" si="65">N25*1.85</f>
        <v>29.137500000000006</v>
      </c>
      <c r="P25" s="3">
        <f>C25*0.9*0.9*0.1+D25*0.9*0.9*0.1</f>
        <v>0.16200000000000003</v>
      </c>
      <c r="Q25" s="3">
        <f>C25*0.2*0.9*0.9+D25*0.2*0.9*0.9</f>
        <v>0.32400000000000007</v>
      </c>
      <c r="R25" s="3">
        <f>C25*1.5*0.45+D25*0.8*0.45</f>
        <v>0.72000000000000008</v>
      </c>
      <c r="S25" s="3">
        <f>C25</f>
        <v>0</v>
      </c>
      <c r="T25" s="3">
        <f t="shared" ref="T25:T28" si="66">D25</f>
        <v>2</v>
      </c>
      <c r="U25" s="111">
        <f>(F25+G25+H25)*0.8*0.1</f>
        <v>0.48000000000000009</v>
      </c>
      <c r="V25" s="111">
        <f t="shared" ref="V25:V28" si="67">E25</f>
        <v>2.5</v>
      </c>
      <c r="W25" s="111">
        <f t="shared" ref="W25:W28" si="68">F25</f>
        <v>6</v>
      </c>
      <c r="X25" s="111"/>
      <c r="Y25" s="111"/>
      <c r="Z25" s="111">
        <f>(F25+G25+H25)*0.8*0.3</f>
        <v>1.4400000000000002</v>
      </c>
      <c r="AA25" s="111">
        <f t="shared" ref="AA25:AA28" si="69">(L25+M25)-(U25+Z25)-C25*1.3*0.9*0.9-D25*0.9*0.9*0.9-P25-E25*0.125*0.125*3.14-F25*0.15*0.15*3.14-Q25</f>
        <v>11.339443750000001</v>
      </c>
      <c r="AB25" s="113"/>
      <c r="AC25" s="113"/>
      <c r="AD25" s="113"/>
      <c r="AE25" s="113"/>
    </row>
    <row r="26" spans="1:31">
      <c r="A26" s="158">
        <f>A25+1</f>
        <v>2</v>
      </c>
      <c r="B26" s="157" t="s">
        <v>126</v>
      </c>
      <c r="C26" s="157"/>
      <c r="D26" s="157">
        <v>2</v>
      </c>
      <c r="E26" s="145">
        <v>2.5</v>
      </c>
      <c r="F26" s="145">
        <v>19</v>
      </c>
      <c r="G26" s="157"/>
      <c r="H26" s="157"/>
      <c r="I26" s="157"/>
      <c r="J26" s="157"/>
      <c r="K26" s="157"/>
      <c r="L26" s="98">
        <f t="shared" ref="L26:L28" si="70">(C26*1.5*1.5*1.5+D26*1.5*1.5*1.5+E26*0.6*1.2+F26*1.5*0.8)*0.8</f>
        <v>25.080000000000002</v>
      </c>
      <c r="M26" s="98">
        <f t="shared" ref="M26:M28" si="71">(C26*1.5*1.5*1.5+D26*1.5*1.5*1.5+E26*0.6*1.2+F26*1.5*0.8)*0.2</f>
        <v>6.2700000000000005</v>
      </c>
      <c r="N26" s="98">
        <f t="shared" ref="N26:N28" si="72">M26+L26</f>
        <v>31.35</v>
      </c>
      <c r="O26" s="99">
        <f t="shared" si="65"/>
        <v>57.997500000000002</v>
      </c>
      <c r="P26" s="3">
        <f t="shared" ref="P26:P28" si="73">C26*0.9*0.9*0.1+D26*0.9*0.9*0.1</f>
        <v>0.16200000000000003</v>
      </c>
      <c r="Q26" s="3">
        <f t="shared" ref="Q26:Q28" si="74">C26*0.2*0.9*0.9+D26*0.2*0.9*0.9</f>
        <v>0.32400000000000007</v>
      </c>
      <c r="R26" s="3">
        <f t="shared" ref="R26:R28" si="75">C26*1.5*0.45+D26*0.8*0.45</f>
        <v>0.72000000000000008</v>
      </c>
      <c r="S26" s="3">
        <f t="shared" ref="S26:S28" si="76">C26</f>
        <v>0</v>
      </c>
      <c r="T26" s="3">
        <f t="shared" si="66"/>
        <v>2</v>
      </c>
      <c r="U26" s="111">
        <f t="shared" ref="U26:U28" si="77">(F26+G26+H26)*0.8*0.1</f>
        <v>1.5200000000000002</v>
      </c>
      <c r="V26" s="111">
        <f t="shared" si="67"/>
        <v>2.5</v>
      </c>
      <c r="W26" s="111">
        <f t="shared" si="68"/>
        <v>19</v>
      </c>
      <c r="X26" s="111"/>
      <c r="Y26" s="111"/>
      <c r="Z26" s="111">
        <f t="shared" ref="Z26:Z28" si="78">(F26+G26+H26)*0.8*0.3</f>
        <v>4.5600000000000005</v>
      </c>
      <c r="AA26" s="111">
        <f t="shared" si="69"/>
        <v>21.860993749999999</v>
      </c>
      <c r="AB26" s="113"/>
      <c r="AC26" s="113"/>
      <c r="AD26" s="113"/>
      <c r="AE26" s="113"/>
    </row>
    <row r="27" spans="1:31">
      <c r="A27" s="158">
        <f t="shared" ref="A27:A28" si="79">A26+1</f>
        <v>3</v>
      </c>
      <c r="B27" s="157" t="s">
        <v>239</v>
      </c>
      <c r="C27" s="157"/>
      <c r="D27" s="157">
        <v>2</v>
      </c>
      <c r="E27" s="145">
        <v>3.5</v>
      </c>
      <c r="F27" s="145">
        <v>30</v>
      </c>
      <c r="G27" s="157"/>
      <c r="H27" s="157"/>
      <c r="I27" s="157"/>
      <c r="J27" s="157"/>
      <c r="K27" s="157"/>
      <c r="L27" s="98">
        <f t="shared" si="70"/>
        <v>36.216000000000001</v>
      </c>
      <c r="M27" s="98">
        <f t="shared" si="71"/>
        <v>9.0540000000000003</v>
      </c>
      <c r="N27" s="98">
        <f t="shared" si="72"/>
        <v>45.27</v>
      </c>
      <c r="O27" s="99">
        <f t="shared" si="65"/>
        <v>83.749500000000012</v>
      </c>
      <c r="P27" s="3">
        <f t="shared" si="73"/>
        <v>0.16200000000000003</v>
      </c>
      <c r="Q27" s="3">
        <f t="shared" si="74"/>
        <v>0.32400000000000007</v>
      </c>
      <c r="R27" s="3">
        <f t="shared" si="75"/>
        <v>0.72000000000000008</v>
      </c>
      <c r="S27" s="3">
        <f t="shared" si="76"/>
        <v>0</v>
      </c>
      <c r="T27" s="3">
        <f t="shared" si="66"/>
        <v>2</v>
      </c>
      <c r="U27" s="111">
        <f t="shared" si="77"/>
        <v>2.4000000000000004</v>
      </c>
      <c r="V27" s="111">
        <f t="shared" si="67"/>
        <v>3.5</v>
      </c>
      <c r="W27" s="111">
        <f t="shared" si="68"/>
        <v>30</v>
      </c>
      <c r="X27" s="111"/>
      <c r="Y27" s="111"/>
      <c r="Z27" s="111">
        <f t="shared" si="78"/>
        <v>7.1999999999999993</v>
      </c>
      <c r="AA27" s="111">
        <f t="shared" si="69"/>
        <v>31.434781250000007</v>
      </c>
      <c r="AB27" s="113"/>
      <c r="AC27" s="113"/>
      <c r="AD27" s="113"/>
      <c r="AE27" s="113"/>
    </row>
    <row r="28" spans="1:31">
      <c r="A28" s="158">
        <f t="shared" si="79"/>
        <v>4</v>
      </c>
      <c r="B28" s="157" t="s">
        <v>237</v>
      </c>
      <c r="C28" s="157"/>
      <c r="D28" s="157">
        <v>2</v>
      </c>
      <c r="E28" s="145">
        <v>4.5</v>
      </c>
      <c r="F28" s="145">
        <v>21</v>
      </c>
      <c r="G28" s="157"/>
      <c r="H28" s="157"/>
      <c r="I28" s="157"/>
      <c r="J28" s="157"/>
      <c r="K28" s="157"/>
      <c r="L28" s="98">
        <f t="shared" si="70"/>
        <v>28.152000000000005</v>
      </c>
      <c r="M28" s="98">
        <f t="shared" si="71"/>
        <v>7.0380000000000011</v>
      </c>
      <c r="N28" s="98">
        <f t="shared" si="72"/>
        <v>35.190000000000005</v>
      </c>
      <c r="O28" s="99">
        <f t="shared" si="65"/>
        <v>65.101500000000016</v>
      </c>
      <c r="P28" s="3">
        <f t="shared" si="73"/>
        <v>0.16200000000000003</v>
      </c>
      <c r="Q28" s="3">
        <f t="shared" si="74"/>
        <v>0.32400000000000007</v>
      </c>
      <c r="R28" s="3">
        <f t="shared" si="75"/>
        <v>0.72000000000000008</v>
      </c>
      <c r="S28" s="3">
        <f t="shared" si="76"/>
        <v>0</v>
      </c>
      <c r="T28" s="3">
        <f t="shared" si="66"/>
        <v>2</v>
      </c>
      <c r="U28" s="111">
        <f t="shared" si="77"/>
        <v>1.6800000000000002</v>
      </c>
      <c r="V28" s="111">
        <f t="shared" si="67"/>
        <v>4.5</v>
      </c>
      <c r="W28" s="111">
        <f t="shared" si="68"/>
        <v>21</v>
      </c>
      <c r="X28" s="111"/>
      <c r="Y28" s="111"/>
      <c r="Z28" s="111">
        <f t="shared" si="78"/>
        <v>5.04</v>
      </c>
      <c r="AA28" s="111">
        <f t="shared" si="69"/>
        <v>24.821568750000004</v>
      </c>
      <c r="AB28" s="113"/>
      <c r="AC28" s="113"/>
      <c r="AD28" s="113"/>
      <c r="AE28" s="113"/>
    </row>
    <row r="29" spans="1:31">
      <c r="A29" s="223" t="s">
        <v>34</v>
      </c>
      <c r="B29" s="223"/>
      <c r="C29" s="105">
        <f>SUM(C25:C28)</f>
        <v>0</v>
      </c>
      <c r="D29" s="105">
        <f t="shared" ref="D29:H29" si="80">SUM(D25:D28)</f>
        <v>8</v>
      </c>
      <c r="E29" s="105">
        <f t="shared" si="80"/>
        <v>13</v>
      </c>
      <c r="F29" s="105">
        <f t="shared" si="80"/>
        <v>76</v>
      </c>
      <c r="G29" s="105">
        <f t="shared" si="80"/>
        <v>0</v>
      </c>
      <c r="H29" s="105">
        <f t="shared" si="80"/>
        <v>0</v>
      </c>
      <c r="I29" s="105"/>
      <c r="J29" s="105"/>
      <c r="K29" s="105"/>
      <c r="L29" s="106">
        <f>SUM(L25:L28)</f>
        <v>102.04800000000002</v>
      </c>
      <c r="M29" s="106">
        <f t="shared" ref="M29:Z29" si="81">SUM(M25:M28)</f>
        <v>25.512000000000004</v>
      </c>
      <c r="N29" s="106">
        <f t="shared" si="81"/>
        <v>127.56</v>
      </c>
      <c r="O29" s="106">
        <f t="shared" si="81"/>
        <v>235.98600000000002</v>
      </c>
      <c r="P29" s="105">
        <f t="shared" si="81"/>
        <v>0.64800000000000013</v>
      </c>
      <c r="Q29" s="105">
        <f t="shared" si="81"/>
        <v>1.2960000000000003</v>
      </c>
      <c r="R29" s="105">
        <f t="shared" si="81"/>
        <v>2.8800000000000003</v>
      </c>
      <c r="S29" s="105">
        <f t="shared" si="81"/>
        <v>0</v>
      </c>
      <c r="T29" s="105">
        <f t="shared" si="81"/>
        <v>8</v>
      </c>
      <c r="U29" s="105">
        <f t="shared" si="81"/>
        <v>6.08</v>
      </c>
      <c r="V29" s="105">
        <f t="shared" si="81"/>
        <v>13</v>
      </c>
      <c r="W29" s="105">
        <f t="shared" si="81"/>
        <v>76</v>
      </c>
      <c r="X29" s="105">
        <f t="shared" si="81"/>
        <v>0</v>
      </c>
      <c r="Y29" s="105">
        <f t="shared" si="81"/>
        <v>0</v>
      </c>
      <c r="Z29" s="105">
        <f t="shared" si="81"/>
        <v>18.239999999999998</v>
      </c>
      <c r="AA29" s="105">
        <f>SUM(AA25:AA28)</f>
        <v>89.456787500000019</v>
      </c>
      <c r="AB29" s="113"/>
      <c r="AC29" s="113"/>
      <c r="AD29" s="113"/>
      <c r="AE29" s="113"/>
    </row>
    <row r="30" spans="1:31">
      <c r="A30" s="223" t="s">
        <v>40</v>
      </c>
      <c r="B30" s="223"/>
      <c r="C30" s="105">
        <f>C29+C23</f>
        <v>15</v>
      </c>
      <c r="D30" s="105">
        <f t="shared" ref="D30:AE30" si="82">D29+D23</f>
        <v>32</v>
      </c>
      <c r="E30" s="105">
        <f t="shared" si="82"/>
        <v>56</v>
      </c>
      <c r="F30" s="105">
        <f t="shared" si="82"/>
        <v>257</v>
      </c>
      <c r="G30" s="105">
        <f t="shared" si="82"/>
        <v>83</v>
      </c>
      <c r="H30" s="105">
        <f t="shared" si="82"/>
        <v>51</v>
      </c>
      <c r="I30" s="105">
        <f t="shared" si="82"/>
        <v>2.4</v>
      </c>
      <c r="J30" s="105">
        <f t="shared" si="82"/>
        <v>0.216</v>
      </c>
      <c r="K30" s="105">
        <f t="shared" si="82"/>
        <v>0.51839999999999997</v>
      </c>
      <c r="L30" s="106">
        <f t="shared" si="82"/>
        <v>534.51599999999996</v>
      </c>
      <c r="M30" s="106">
        <f t="shared" si="82"/>
        <v>129.03900000000002</v>
      </c>
      <c r="N30" s="106">
        <f t="shared" si="82"/>
        <v>663.55500000000006</v>
      </c>
      <c r="O30" s="106">
        <f t="shared" si="82"/>
        <v>1227.5767500000002</v>
      </c>
      <c r="P30" s="106">
        <f t="shared" si="82"/>
        <v>3.8069999999999999</v>
      </c>
      <c r="Q30" s="105">
        <f t="shared" si="82"/>
        <v>7.6139999999999999</v>
      </c>
      <c r="R30" s="105">
        <f t="shared" si="82"/>
        <v>21.645</v>
      </c>
      <c r="S30" s="105">
        <f t="shared" si="82"/>
        <v>15</v>
      </c>
      <c r="T30" s="105">
        <f t="shared" si="82"/>
        <v>32</v>
      </c>
      <c r="U30" s="105">
        <f t="shared" si="82"/>
        <v>31.28</v>
      </c>
      <c r="V30" s="105">
        <f t="shared" si="82"/>
        <v>56</v>
      </c>
      <c r="W30" s="105">
        <f t="shared" si="82"/>
        <v>257</v>
      </c>
      <c r="X30" s="105">
        <f t="shared" si="82"/>
        <v>83</v>
      </c>
      <c r="Y30" s="105">
        <f t="shared" si="82"/>
        <v>51</v>
      </c>
      <c r="Z30" s="105">
        <f t="shared" si="82"/>
        <v>93.839999999999989</v>
      </c>
      <c r="AA30" s="105">
        <f t="shared" si="82"/>
        <v>446.55290000000008</v>
      </c>
      <c r="AB30" s="167">
        <f t="shared" si="82"/>
        <v>1.4399999999999999E-3</v>
      </c>
      <c r="AC30" s="105">
        <f t="shared" si="82"/>
        <v>2.4</v>
      </c>
      <c r="AD30" s="167">
        <f t="shared" si="82"/>
        <v>7.1999999999999994E-4</v>
      </c>
      <c r="AE30" s="105">
        <f t="shared" si="82"/>
        <v>2.4</v>
      </c>
    </row>
  </sheetData>
  <mergeCells count="10">
    <mergeCell ref="A2:AE2"/>
    <mergeCell ref="A1:AE1"/>
    <mergeCell ref="A29:B29"/>
    <mergeCell ref="A24:AA24"/>
    <mergeCell ref="A30:B30"/>
    <mergeCell ref="A23:B23"/>
    <mergeCell ref="C4:H4"/>
    <mergeCell ref="I4:AE4"/>
    <mergeCell ref="A4:A6"/>
    <mergeCell ref="B4:B6"/>
  </mergeCells>
  <pageMargins left="0.28093750000000001" right="4.1666666666666664E-2" top="0.75" bottom="0.75" header="0.3" footer="0.3"/>
  <pageSetup scale="7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12"/>
  <sheetViews>
    <sheetView view="pageLayout" topLeftCell="A22" zoomScale="85" zoomScaleNormal="85" zoomScalePageLayoutView="85" workbookViewId="0">
      <selection activeCell="AD5" sqref="AD5"/>
    </sheetView>
  </sheetViews>
  <sheetFormatPr defaultColWidth="9.109375" defaultRowHeight="13.8"/>
  <cols>
    <col min="1" max="1" width="3.6640625" style="86" customWidth="1"/>
    <col min="2" max="2" width="10.33203125" style="86" bestFit="1" customWidth="1"/>
    <col min="3" max="3" width="10.44140625" style="86" bestFit="1" customWidth="1"/>
    <col min="4" max="7" width="6" style="86" customWidth="1"/>
    <col min="8" max="8" width="7" style="86" customWidth="1"/>
    <col min="9" max="10" width="6" style="86" customWidth="1"/>
    <col min="11" max="12" width="7.44140625" style="86" customWidth="1"/>
    <col min="13" max="13" width="7.109375" style="86" customWidth="1"/>
    <col min="14" max="15" width="7" style="86" customWidth="1"/>
    <col min="16" max="16" width="7.33203125" style="86" customWidth="1"/>
    <col min="17" max="17" width="7.109375" style="86" customWidth="1"/>
    <col min="18" max="19" width="6.44140625" style="86" customWidth="1"/>
    <col min="20" max="20" width="7.5546875" style="86" customWidth="1"/>
    <col min="21" max="21" width="8.6640625" style="86" customWidth="1"/>
    <col min="22" max="22" width="7" style="86" customWidth="1"/>
    <col min="23" max="23" width="9.109375" style="86"/>
    <col min="24" max="25" width="5.88671875" style="86" customWidth="1"/>
    <col min="26" max="26" width="6.6640625" style="86" customWidth="1"/>
    <col min="27" max="28" width="5.88671875" style="86" customWidth="1"/>
    <col min="29" max="29" width="7.33203125" style="86" customWidth="1"/>
    <col min="30" max="16384" width="9.109375" style="86"/>
  </cols>
  <sheetData>
    <row r="1" spans="1:30" ht="16.2">
      <c r="A1" s="238" t="s">
        <v>155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0" ht="15.6">
      <c r="A2" s="238" t="s">
        <v>212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0" ht="14.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7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30" ht="14.25" customHeight="1">
      <c r="A4" s="240" t="s">
        <v>3</v>
      </c>
      <c r="B4" s="240" t="s">
        <v>24</v>
      </c>
      <c r="C4" s="240"/>
      <c r="D4" s="237" t="s">
        <v>201</v>
      </c>
      <c r="E4" s="237" t="s">
        <v>205</v>
      </c>
      <c r="F4" s="237" t="s">
        <v>202</v>
      </c>
      <c r="G4" s="237" t="s">
        <v>21</v>
      </c>
      <c r="H4" s="237" t="s">
        <v>203</v>
      </c>
      <c r="I4" s="237" t="s">
        <v>204</v>
      </c>
      <c r="J4" s="236" t="s">
        <v>28</v>
      </c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 t="s">
        <v>119</v>
      </c>
      <c r="Y4" s="236"/>
      <c r="Z4" s="236"/>
      <c r="AA4" s="236"/>
      <c r="AB4" s="236"/>
      <c r="AC4" s="236"/>
      <c r="AD4" s="236"/>
    </row>
    <row r="5" spans="1:30" ht="408">
      <c r="A5" s="240"/>
      <c r="B5" s="179" t="s">
        <v>18</v>
      </c>
      <c r="C5" s="142" t="s">
        <v>18</v>
      </c>
      <c r="D5" s="237"/>
      <c r="E5" s="237"/>
      <c r="F5" s="237"/>
      <c r="G5" s="237"/>
      <c r="H5" s="237"/>
      <c r="I5" s="237"/>
      <c r="J5" s="180" t="s">
        <v>210</v>
      </c>
      <c r="K5" s="180" t="s">
        <v>246</v>
      </c>
      <c r="L5" s="180" t="s">
        <v>92</v>
      </c>
      <c r="M5" s="181" t="s">
        <v>124</v>
      </c>
      <c r="N5" s="182" t="s">
        <v>5</v>
      </c>
      <c r="O5" s="180" t="s">
        <v>91</v>
      </c>
      <c r="P5" s="180" t="s">
        <v>92</v>
      </c>
      <c r="Q5" s="180" t="s">
        <v>87</v>
      </c>
      <c r="R5" s="237" t="s">
        <v>250</v>
      </c>
      <c r="S5" s="237"/>
      <c r="T5" s="182" t="s">
        <v>89</v>
      </c>
      <c r="U5" s="180" t="s">
        <v>206</v>
      </c>
      <c r="V5" s="182" t="s">
        <v>95</v>
      </c>
      <c r="W5" s="180" t="s">
        <v>207</v>
      </c>
      <c r="X5" s="180" t="s">
        <v>121</v>
      </c>
      <c r="Y5" s="180" t="s">
        <v>254</v>
      </c>
      <c r="Z5" s="180" t="s">
        <v>122</v>
      </c>
      <c r="AA5" s="237" t="s">
        <v>120</v>
      </c>
      <c r="AB5" s="237"/>
      <c r="AC5" s="182" t="s">
        <v>89</v>
      </c>
      <c r="AD5" s="180" t="s">
        <v>123</v>
      </c>
    </row>
    <row r="6" spans="1:30" ht="16.2">
      <c r="A6" s="240"/>
      <c r="B6" s="141" t="s">
        <v>19</v>
      </c>
      <c r="C6" s="142" t="s">
        <v>20</v>
      </c>
      <c r="D6" s="179" t="s">
        <v>22</v>
      </c>
      <c r="E6" s="179"/>
      <c r="F6" s="179" t="s">
        <v>22</v>
      </c>
      <c r="G6" s="179" t="s">
        <v>22</v>
      </c>
      <c r="H6" s="179" t="s">
        <v>90</v>
      </c>
      <c r="I6" s="179" t="s">
        <v>90</v>
      </c>
      <c r="J6" s="179" t="s">
        <v>211</v>
      </c>
      <c r="K6" s="179" t="s">
        <v>88</v>
      </c>
      <c r="L6" s="179" t="s">
        <v>88</v>
      </c>
      <c r="M6" s="142" t="s">
        <v>6</v>
      </c>
      <c r="N6" s="142" t="s">
        <v>6</v>
      </c>
      <c r="O6" s="142" t="s">
        <v>6</v>
      </c>
      <c r="P6" s="142" t="s">
        <v>93</v>
      </c>
      <c r="Q6" s="142" t="s">
        <v>16</v>
      </c>
      <c r="R6" s="142" t="s">
        <v>16</v>
      </c>
      <c r="S6" s="142" t="s">
        <v>6</v>
      </c>
      <c r="T6" s="142" t="s">
        <v>88</v>
      </c>
      <c r="U6" s="142" t="s">
        <v>16</v>
      </c>
      <c r="V6" s="142" t="s">
        <v>88</v>
      </c>
      <c r="W6" s="142" t="s">
        <v>16</v>
      </c>
      <c r="X6" s="142" t="s">
        <v>6</v>
      </c>
      <c r="Y6" s="142" t="s">
        <v>22</v>
      </c>
      <c r="Z6" s="37" t="s">
        <v>39</v>
      </c>
      <c r="AA6" s="142" t="s">
        <v>16</v>
      </c>
      <c r="AB6" s="142" t="s">
        <v>6</v>
      </c>
      <c r="AC6" s="142" t="s">
        <v>88</v>
      </c>
      <c r="AD6" s="142" t="s">
        <v>16</v>
      </c>
    </row>
    <row r="7" spans="1:30">
      <c r="A7" s="142">
        <v>1</v>
      </c>
      <c r="B7" s="107">
        <f>A7+1</f>
        <v>2</v>
      </c>
      <c r="C7" s="107">
        <f t="shared" ref="C7:I7" si="0">B7+1</f>
        <v>3</v>
      </c>
      <c r="D7" s="107">
        <f t="shared" si="0"/>
        <v>4</v>
      </c>
      <c r="E7" s="107">
        <f t="shared" si="0"/>
        <v>5</v>
      </c>
      <c r="F7" s="107">
        <f t="shared" si="0"/>
        <v>6</v>
      </c>
      <c r="G7" s="107">
        <f t="shared" si="0"/>
        <v>7</v>
      </c>
      <c r="H7" s="107">
        <f t="shared" si="0"/>
        <v>8</v>
      </c>
      <c r="I7" s="107">
        <f t="shared" si="0"/>
        <v>9</v>
      </c>
      <c r="J7" s="107">
        <f>I7+1</f>
        <v>10</v>
      </c>
      <c r="K7" s="107">
        <f t="shared" ref="K7" si="1">J7+1</f>
        <v>11</v>
      </c>
      <c r="L7" s="178">
        <f t="shared" ref="L7" si="2">K7+1</f>
        <v>12</v>
      </c>
      <c r="M7" s="178">
        <f t="shared" ref="M7" si="3">L7+1</f>
        <v>13</v>
      </c>
      <c r="N7" s="107">
        <f t="shared" ref="N7:W7" si="4">M7+1</f>
        <v>14</v>
      </c>
      <c r="O7" s="107">
        <f t="shared" si="4"/>
        <v>15</v>
      </c>
      <c r="P7" s="107">
        <f t="shared" si="4"/>
        <v>16</v>
      </c>
      <c r="Q7" s="107">
        <f t="shared" si="4"/>
        <v>17</v>
      </c>
      <c r="R7" s="107">
        <f>Q7+1</f>
        <v>18</v>
      </c>
      <c r="S7" s="107">
        <f t="shared" si="4"/>
        <v>19</v>
      </c>
      <c r="T7" s="107">
        <f t="shared" si="4"/>
        <v>20</v>
      </c>
      <c r="U7" s="107">
        <f t="shared" si="4"/>
        <v>21</v>
      </c>
      <c r="V7" s="107">
        <f t="shared" si="4"/>
        <v>22</v>
      </c>
      <c r="W7" s="107">
        <f t="shared" si="4"/>
        <v>23</v>
      </c>
      <c r="X7" s="107">
        <f>W7+1</f>
        <v>24</v>
      </c>
      <c r="Y7" s="107">
        <f t="shared" ref="Y7:AD7" si="5">X7+1</f>
        <v>25</v>
      </c>
      <c r="Z7" s="107">
        <f t="shared" si="5"/>
        <v>26</v>
      </c>
      <c r="AA7" s="107">
        <f t="shared" si="5"/>
        <v>27</v>
      </c>
      <c r="AB7" s="107">
        <f t="shared" si="5"/>
        <v>28</v>
      </c>
      <c r="AC7" s="107">
        <f t="shared" si="5"/>
        <v>29</v>
      </c>
      <c r="AD7" s="107">
        <f t="shared" si="5"/>
        <v>30</v>
      </c>
    </row>
    <row r="8" spans="1:30">
      <c r="A8" s="142">
        <v>1</v>
      </c>
      <c r="B8" s="107" t="s">
        <v>208</v>
      </c>
      <c r="C8" s="107"/>
      <c r="D8" s="143">
        <v>6</v>
      </c>
      <c r="E8" s="143">
        <v>1.5</v>
      </c>
      <c r="F8" s="143">
        <v>1.5</v>
      </c>
      <c r="G8" s="144">
        <v>10</v>
      </c>
      <c r="H8" s="143">
        <f>G8*D8</f>
        <v>60</v>
      </c>
      <c r="I8" s="143">
        <f>G8*E8+G8*F8</f>
        <v>30</v>
      </c>
      <c r="J8" s="143">
        <f>90</f>
        <v>90</v>
      </c>
      <c r="K8" s="196">
        <f>J8*0.09*2.35</f>
        <v>19.035</v>
      </c>
      <c r="L8" s="196">
        <f>K8</f>
        <v>19.035</v>
      </c>
      <c r="M8" s="144">
        <f>(H8+I8+Y8*0.15)*0.35*0.95</f>
        <v>30.922499999999996</v>
      </c>
      <c r="N8" s="144">
        <f>(H8+I8+Y8*0.15)*0.35*0.05</f>
        <v>1.6274999999999999</v>
      </c>
      <c r="O8" s="144">
        <f t="shared" ref="O8" si="6">(M8+N8)</f>
        <v>32.549999999999997</v>
      </c>
      <c r="P8" s="144">
        <f t="shared" ref="P8" si="7">O8*1.8</f>
        <v>58.589999999999996</v>
      </c>
      <c r="Q8" s="144">
        <f>I8+H8+Y8*0.15</f>
        <v>93</v>
      </c>
      <c r="R8" s="144">
        <f>H8</f>
        <v>60</v>
      </c>
      <c r="S8" s="144">
        <f>R8*0.12</f>
        <v>7.1999999999999993</v>
      </c>
      <c r="T8" s="183">
        <f>R8*0.0006</f>
        <v>3.5999999999999997E-2</v>
      </c>
      <c r="U8" s="144">
        <f>H8</f>
        <v>60</v>
      </c>
      <c r="V8" s="183">
        <f>U8*0.0003</f>
        <v>1.7999999999999999E-2</v>
      </c>
      <c r="W8" s="144">
        <f t="shared" ref="W8" si="8">U8</f>
        <v>60</v>
      </c>
      <c r="X8" s="144">
        <f>Y8*0.25*0.1</f>
        <v>0.5</v>
      </c>
      <c r="Y8" s="144">
        <f>G8*2</f>
        <v>20</v>
      </c>
      <c r="Z8" s="144">
        <f>I8*0.3</f>
        <v>9</v>
      </c>
      <c r="AA8" s="144">
        <f>I8</f>
        <v>30</v>
      </c>
      <c r="AB8" s="144">
        <f>AA8*0.1</f>
        <v>3</v>
      </c>
      <c r="AC8" s="183">
        <f>AD8*0.0006</f>
        <v>1.7999999999999999E-2</v>
      </c>
      <c r="AD8" s="144">
        <f>G8*F8*2</f>
        <v>30</v>
      </c>
    </row>
    <row r="9" spans="1:30">
      <c r="A9" s="142"/>
      <c r="B9" s="107" t="s">
        <v>209</v>
      </c>
      <c r="C9" s="107"/>
      <c r="D9" s="143">
        <v>7.5</v>
      </c>
      <c r="E9" s="143"/>
      <c r="F9" s="143"/>
      <c r="G9" s="144">
        <v>10</v>
      </c>
      <c r="H9" s="143">
        <f>G9*D9</f>
        <v>75</v>
      </c>
      <c r="I9" s="143"/>
      <c r="J9" s="143"/>
      <c r="K9" s="143"/>
      <c r="L9" s="143"/>
      <c r="M9" s="144">
        <f>(H9+I9+Y9*0.15)*0.35*0.95</f>
        <v>24.9375</v>
      </c>
      <c r="N9" s="144">
        <f>(H9+I9+Y9*0.15)*0.35*0.05</f>
        <v>1.3125</v>
      </c>
      <c r="O9" s="144">
        <f t="shared" ref="O9" si="9">(M9+N9)</f>
        <v>26.25</v>
      </c>
      <c r="P9" s="144">
        <f t="shared" ref="P9" si="10">O9*1.8</f>
        <v>47.25</v>
      </c>
      <c r="Q9" s="144">
        <f>I9+H9+Y9*0.15</f>
        <v>75</v>
      </c>
      <c r="R9" s="144">
        <f>H9</f>
        <v>75</v>
      </c>
      <c r="S9" s="144">
        <f>R9*0.12</f>
        <v>9</v>
      </c>
      <c r="T9" s="183">
        <f>R9*0.0006</f>
        <v>4.4999999999999998E-2</v>
      </c>
      <c r="U9" s="144">
        <f>H9</f>
        <v>75</v>
      </c>
      <c r="V9" s="183">
        <f>U9*0.0003</f>
        <v>2.2499999999999999E-2</v>
      </c>
      <c r="W9" s="144">
        <f t="shared" ref="W9" si="11">U9</f>
        <v>75</v>
      </c>
      <c r="X9" s="144"/>
      <c r="Y9" s="144"/>
      <c r="Z9" s="144"/>
      <c r="AA9" s="144"/>
      <c r="AB9" s="144"/>
      <c r="AC9" s="144"/>
      <c r="AD9" s="144"/>
    </row>
    <row r="10" spans="1:30" s="103" customFormat="1">
      <c r="A10" s="235" t="s">
        <v>34</v>
      </c>
      <c r="B10" s="235"/>
      <c r="C10" s="235"/>
      <c r="D10" s="184"/>
      <c r="E10" s="184"/>
      <c r="F10" s="184"/>
      <c r="G10" s="185">
        <f>SUM(G8:G9)</f>
        <v>20</v>
      </c>
      <c r="H10" s="185">
        <f t="shared" ref="H10:L10" si="12">SUM(H8:H9)</f>
        <v>135</v>
      </c>
      <c r="I10" s="185">
        <f t="shared" si="12"/>
        <v>30</v>
      </c>
      <c r="J10" s="185">
        <f t="shared" si="12"/>
        <v>90</v>
      </c>
      <c r="K10" s="195">
        <f t="shared" si="12"/>
        <v>19.035</v>
      </c>
      <c r="L10" s="195">
        <f t="shared" si="12"/>
        <v>19.035</v>
      </c>
      <c r="M10" s="186">
        <f>SUM(M8:M9)</f>
        <v>55.86</v>
      </c>
      <c r="N10" s="186">
        <f t="shared" ref="N10:Q10" si="13">SUM(N8:N9)</f>
        <v>2.94</v>
      </c>
      <c r="O10" s="186">
        <f t="shared" si="13"/>
        <v>58.8</v>
      </c>
      <c r="P10" s="186">
        <f t="shared" si="13"/>
        <v>105.84</v>
      </c>
      <c r="Q10" s="186">
        <f t="shared" si="13"/>
        <v>168</v>
      </c>
      <c r="R10" s="185">
        <f t="shared" ref="R10:W10" si="14">SUM(R8:R9)</f>
        <v>135</v>
      </c>
      <c r="S10" s="185">
        <f t="shared" si="14"/>
        <v>16.2</v>
      </c>
      <c r="T10" s="187">
        <f t="shared" si="14"/>
        <v>8.0999999999999989E-2</v>
      </c>
      <c r="U10" s="185">
        <f t="shared" si="14"/>
        <v>135</v>
      </c>
      <c r="V10" s="187">
        <f t="shared" si="14"/>
        <v>4.0499999999999994E-2</v>
      </c>
      <c r="W10" s="185">
        <f t="shared" si="14"/>
        <v>135</v>
      </c>
      <c r="X10" s="185">
        <f>SUM(X8:X9)</f>
        <v>0.5</v>
      </c>
      <c r="Y10" s="185">
        <f t="shared" ref="Y10:AD10" si="15">SUM(Y8:Y9)</f>
        <v>20</v>
      </c>
      <c r="Z10" s="185">
        <f t="shared" si="15"/>
        <v>9</v>
      </c>
      <c r="AA10" s="185">
        <f t="shared" si="15"/>
        <v>30</v>
      </c>
      <c r="AB10" s="185">
        <f t="shared" si="15"/>
        <v>3</v>
      </c>
      <c r="AC10" s="187">
        <f t="shared" si="15"/>
        <v>1.7999999999999999E-2</v>
      </c>
      <c r="AD10" s="185">
        <f t="shared" si="15"/>
        <v>30</v>
      </c>
    </row>
    <row r="12" spans="1:30">
      <c r="O12" s="87"/>
      <c r="P12" s="87"/>
      <c r="Q12" s="87"/>
      <c r="R12" s="87"/>
      <c r="S12" s="87"/>
    </row>
  </sheetData>
  <mergeCells count="16">
    <mergeCell ref="A1:AD1"/>
    <mergeCell ref="A2:AD2"/>
    <mergeCell ref="A4:A6"/>
    <mergeCell ref="B4:C4"/>
    <mergeCell ref="D4:D5"/>
    <mergeCell ref="F4:F5"/>
    <mergeCell ref="G4:G5"/>
    <mergeCell ref="H4:H5"/>
    <mergeCell ref="I4:I5"/>
    <mergeCell ref="E4:E5"/>
    <mergeCell ref="A10:C10"/>
    <mergeCell ref="J4:Q4"/>
    <mergeCell ref="R4:W4"/>
    <mergeCell ref="X4:AD4"/>
    <mergeCell ref="R5:S5"/>
    <mergeCell ref="AA5:AB5"/>
  </mergeCells>
  <pageMargins left="0.60992647058823535" right="0.34387254901960784" top="0.41115196078431371" bottom="0.75" header="0.3" footer="0.3"/>
  <pageSetup scale="6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16"/>
  <sheetViews>
    <sheetView view="pageBreakPreview" topLeftCell="A4" zoomScale="85" zoomScaleNormal="100" zoomScaleSheetLayoutView="85" zoomScalePageLayoutView="70" workbookViewId="0">
      <selection activeCell="T5" sqref="T5:U5"/>
    </sheetView>
  </sheetViews>
  <sheetFormatPr defaultColWidth="9.109375" defaultRowHeight="13.8"/>
  <cols>
    <col min="1" max="1" width="3.6640625" style="86" customWidth="1"/>
    <col min="2" max="2" width="10.33203125" style="86" bestFit="1" customWidth="1"/>
    <col min="3" max="3" width="10.44140625" style="86" bestFit="1" customWidth="1"/>
    <col min="4" max="4" width="8.109375" style="86" customWidth="1"/>
    <col min="5" max="5" width="6" style="86" customWidth="1"/>
    <col min="6" max="6" width="7.88671875" style="86" customWidth="1"/>
    <col min="7" max="7" width="7.109375" style="86" customWidth="1"/>
    <col min="8" max="8" width="7.6640625" style="86" customWidth="1"/>
    <col min="9" max="9" width="7.5546875" style="86" customWidth="1"/>
    <col min="10" max="10" width="8.6640625" style="86" customWidth="1"/>
    <col min="11" max="11" width="7.33203125" style="86" customWidth="1"/>
    <col min="12" max="12" width="9.109375" style="86" customWidth="1"/>
    <col min="13" max="16" width="7.5546875" style="86" customWidth="1"/>
    <col min="17" max="18" width="7.33203125" style="86" customWidth="1"/>
    <col min="19" max="19" width="7" style="86" customWidth="1"/>
    <col min="20" max="20" width="7.6640625" style="86" customWidth="1"/>
    <col min="21" max="21" width="6.109375" style="86" customWidth="1"/>
    <col min="22" max="22" width="7.88671875" style="86" customWidth="1"/>
    <col min="23" max="16384" width="9.109375" style="86"/>
  </cols>
  <sheetData>
    <row r="1" spans="1:23" ht="16.2">
      <c r="A1" s="238" t="s">
        <v>155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6.2">
      <c r="A2" s="238" t="s">
        <v>235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14.4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23" ht="18" customHeight="1">
      <c r="A4" s="240" t="s">
        <v>3</v>
      </c>
      <c r="B4" s="240" t="s">
        <v>24</v>
      </c>
      <c r="C4" s="240"/>
      <c r="D4" s="236" t="s">
        <v>29</v>
      </c>
      <c r="E4" s="236"/>
      <c r="F4" s="236"/>
      <c r="G4" s="236"/>
      <c r="H4" s="236"/>
      <c r="I4" s="236"/>
      <c r="J4" s="236"/>
      <c r="K4" s="236"/>
      <c r="L4" s="236"/>
      <c r="M4" s="236" t="s">
        <v>119</v>
      </c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3" ht="298.5" customHeight="1">
      <c r="A5" s="240"/>
      <c r="B5" s="241" t="s">
        <v>45</v>
      </c>
      <c r="C5" s="241" t="s">
        <v>46</v>
      </c>
      <c r="D5" s="180" t="s">
        <v>21</v>
      </c>
      <c r="E5" s="180" t="s">
        <v>38</v>
      </c>
      <c r="F5" s="180" t="s">
        <v>131</v>
      </c>
      <c r="G5" s="237" t="s">
        <v>250</v>
      </c>
      <c r="H5" s="237"/>
      <c r="I5" s="182" t="s">
        <v>89</v>
      </c>
      <c r="J5" s="180" t="s">
        <v>94</v>
      </c>
      <c r="K5" s="182" t="s">
        <v>95</v>
      </c>
      <c r="L5" s="180" t="s">
        <v>103</v>
      </c>
      <c r="M5" s="180" t="s">
        <v>21</v>
      </c>
      <c r="N5" s="180" t="s">
        <v>132</v>
      </c>
      <c r="O5" s="180" t="s">
        <v>133</v>
      </c>
      <c r="P5" s="180" t="s">
        <v>130</v>
      </c>
      <c r="Q5" s="180" t="s">
        <v>121</v>
      </c>
      <c r="R5" s="180" t="s">
        <v>254</v>
      </c>
      <c r="S5" s="180" t="s">
        <v>122</v>
      </c>
      <c r="T5" s="237" t="s">
        <v>120</v>
      </c>
      <c r="U5" s="237"/>
      <c r="V5" s="182" t="s">
        <v>89</v>
      </c>
      <c r="W5" s="180" t="s">
        <v>123</v>
      </c>
    </row>
    <row r="6" spans="1:23" ht="16.2">
      <c r="A6" s="240"/>
      <c r="B6" s="241"/>
      <c r="C6" s="241"/>
      <c r="D6" s="179" t="s">
        <v>22</v>
      </c>
      <c r="E6" s="179" t="s">
        <v>22</v>
      </c>
      <c r="F6" s="179" t="s">
        <v>90</v>
      </c>
      <c r="G6" s="142" t="s">
        <v>16</v>
      </c>
      <c r="H6" s="142" t="s">
        <v>6</v>
      </c>
      <c r="I6" s="142" t="s">
        <v>88</v>
      </c>
      <c r="J6" s="142" t="s">
        <v>16</v>
      </c>
      <c r="K6" s="142" t="s">
        <v>88</v>
      </c>
      <c r="L6" s="142" t="s">
        <v>16</v>
      </c>
      <c r="M6" s="142" t="s">
        <v>22</v>
      </c>
      <c r="N6" s="142" t="s">
        <v>22</v>
      </c>
      <c r="O6" s="142" t="s">
        <v>22</v>
      </c>
      <c r="P6" s="142" t="s">
        <v>22</v>
      </c>
      <c r="Q6" s="142" t="s">
        <v>6</v>
      </c>
      <c r="R6" s="142" t="s">
        <v>22</v>
      </c>
      <c r="S6" s="37" t="s">
        <v>39</v>
      </c>
      <c r="T6" s="142" t="s">
        <v>16</v>
      </c>
      <c r="U6" s="142" t="s">
        <v>6</v>
      </c>
      <c r="V6" s="142" t="s">
        <v>88</v>
      </c>
      <c r="W6" s="142" t="s">
        <v>16</v>
      </c>
    </row>
    <row r="7" spans="1:23">
      <c r="A7" s="142">
        <v>1</v>
      </c>
      <c r="B7" s="107">
        <f>A7+1</f>
        <v>2</v>
      </c>
      <c r="C7" s="107">
        <f t="shared" ref="C7:D7" si="0">B7+1</f>
        <v>3</v>
      </c>
      <c r="D7" s="107">
        <f t="shared" si="0"/>
        <v>4</v>
      </c>
      <c r="E7" s="107">
        <f t="shared" ref="E7" si="1">D7+1</f>
        <v>5</v>
      </c>
      <c r="F7" s="107">
        <f t="shared" ref="F7:G7" si="2">E7+1</f>
        <v>6</v>
      </c>
      <c r="G7" s="107">
        <f t="shared" si="2"/>
        <v>7</v>
      </c>
      <c r="H7" s="107">
        <f t="shared" ref="H7" si="3">G7+1</f>
        <v>8</v>
      </c>
      <c r="I7" s="107">
        <f t="shared" ref="I7" si="4">H7+1</f>
        <v>9</v>
      </c>
      <c r="J7" s="107">
        <f t="shared" ref="J7" si="5">I7+1</f>
        <v>10</v>
      </c>
      <c r="K7" s="107">
        <f t="shared" ref="K7" si="6">J7+1</f>
        <v>11</v>
      </c>
      <c r="L7" s="107">
        <f t="shared" ref="L7" si="7">K7+1</f>
        <v>12</v>
      </c>
      <c r="M7" s="107">
        <f>L7+1</f>
        <v>13</v>
      </c>
      <c r="N7" s="107">
        <f t="shared" ref="N7:Q7" si="8">M7+1</f>
        <v>14</v>
      </c>
      <c r="O7" s="107">
        <f t="shared" si="8"/>
        <v>15</v>
      </c>
      <c r="P7" s="107">
        <f t="shared" si="8"/>
        <v>16</v>
      </c>
      <c r="Q7" s="107">
        <f t="shared" si="8"/>
        <v>17</v>
      </c>
      <c r="R7" s="107">
        <f t="shared" ref="R7" si="9">Q7+1</f>
        <v>18</v>
      </c>
      <c r="S7" s="107">
        <f t="shared" ref="S7" si="10">R7+1</f>
        <v>19</v>
      </c>
      <c r="T7" s="107">
        <f t="shared" ref="T7" si="11">S7+1</f>
        <v>20</v>
      </c>
      <c r="U7" s="107">
        <f t="shared" ref="U7" si="12">T7+1</f>
        <v>21</v>
      </c>
      <c r="V7" s="107">
        <f t="shared" ref="V7" si="13">U7+1</f>
        <v>22</v>
      </c>
      <c r="W7" s="107">
        <f t="shared" ref="W7" si="14">V7+1</f>
        <v>23</v>
      </c>
    </row>
    <row r="8" spans="1:23">
      <c r="A8" s="242" t="s">
        <v>161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</row>
    <row r="9" spans="1:23">
      <c r="A9" s="142">
        <v>1</v>
      </c>
      <c r="B9" s="107" t="s">
        <v>33</v>
      </c>
      <c r="C9" s="107" t="s">
        <v>236</v>
      </c>
      <c r="D9" s="143">
        <v>239</v>
      </c>
      <c r="E9" s="143">
        <v>6</v>
      </c>
      <c r="F9" s="143">
        <f>E9*D9</f>
        <v>1434</v>
      </c>
      <c r="G9" s="144">
        <f>F9</f>
        <v>1434</v>
      </c>
      <c r="H9" s="144">
        <f>G9*0.12</f>
        <v>172.07999999999998</v>
      </c>
      <c r="I9" s="183">
        <f>G9*0.0006</f>
        <v>0.86039999999999994</v>
      </c>
      <c r="J9" s="144">
        <f>F9</f>
        <v>1434</v>
      </c>
      <c r="K9" s="183">
        <f>J9*0.0003</f>
        <v>0.43019999999999997</v>
      </c>
      <c r="L9" s="144">
        <f t="shared" ref="L9:L10" si="15">J9</f>
        <v>1434</v>
      </c>
      <c r="M9" s="143">
        <f>D9</f>
        <v>239</v>
      </c>
      <c r="N9" s="142">
        <v>1.91</v>
      </c>
      <c r="O9" s="142">
        <v>2.11</v>
      </c>
      <c r="P9" s="143">
        <f>M9*(N9+O9)-26*1.5</f>
        <v>921.77999999999986</v>
      </c>
      <c r="Q9" s="144">
        <f>R9*0.25*0.1</f>
        <v>11.8</v>
      </c>
      <c r="R9" s="144">
        <f>M9*2-6</f>
        <v>472</v>
      </c>
      <c r="S9" s="144">
        <f>P9*0.3</f>
        <v>276.53399999999993</v>
      </c>
      <c r="T9" s="144">
        <f>P9</f>
        <v>921.77999999999986</v>
      </c>
      <c r="U9" s="144">
        <f>T9*0.1</f>
        <v>92.177999999999997</v>
      </c>
      <c r="V9" s="183">
        <f>W9*0.0006</f>
        <v>0.55306799999999989</v>
      </c>
      <c r="W9" s="144">
        <f>P9</f>
        <v>921.77999999999986</v>
      </c>
    </row>
    <row r="10" spans="1:23">
      <c r="A10" s="142">
        <f>A9+1</f>
        <v>2</v>
      </c>
      <c r="B10" s="107" t="s">
        <v>236</v>
      </c>
      <c r="C10" s="107" t="s">
        <v>231</v>
      </c>
      <c r="D10" s="143">
        <f>378-239</f>
        <v>139</v>
      </c>
      <c r="E10" s="143">
        <v>6.4</v>
      </c>
      <c r="F10" s="143">
        <f t="shared" ref="F10" si="16">E10*D10</f>
        <v>889.6</v>
      </c>
      <c r="G10" s="144">
        <f>F10</f>
        <v>889.6</v>
      </c>
      <c r="H10" s="144">
        <f>G10*0.12</f>
        <v>106.752</v>
      </c>
      <c r="I10" s="183">
        <f t="shared" ref="I10" si="17">G10*0.0006</f>
        <v>0.53376000000000001</v>
      </c>
      <c r="J10" s="144">
        <f>F10</f>
        <v>889.6</v>
      </c>
      <c r="K10" s="183">
        <f t="shared" ref="K10" si="18">J10*0.0003</f>
        <v>0.26688000000000001</v>
      </c>
      <c r="L10" s="144">
        <f t="shared" si="15"/>
        <v>889.6</v>
      </c>
      <c r="M10" s="188"/>
      <c r="N10" s="188"/>
      <c r="O10" s="188"/>
      <c r="P10" s="188"/>
      <c r="Q10" s="144"/>
      <c r="R10" s="144"/>
      <c r="S10" s="144"/>
      <c r="T10" s="144"/>
      <c r="U10" s="144"/>
      <c r="V10" s="183"/>
      <c r="W10" s="144"/>
    </row>
    <row r="11" spans="1:23" s="103" customFormat="1">
      <c r="A11" s="235" t="s">
        <v>34</v>
      </c>
      <c r="B11" s="235"/>
      <c r="C11" s="235"/>
      <c r="D11" s="185">
        <f>SUM(D9:D10)</f>
        <v>378</v>
      </c>
      <c r="E11" s="185"/>
      <c r="F11" s="185">
        <f t="shared" ref="F11:W11" si="19">SUM(F9:F10)</f>
        <v>2323.6</v>
      </c>
      <c r="G11" s="185">
        <f t="shared" si="19"/>
        <v>2323.6</v>
      </c>
      <c r="H11" s="185">
        <f t="shared" si="19"/>
        <v>278.83199999999999</v>
      </c>
      <c r="I11" s="187">
        <f t="shared" si="19"/>
        <v>1.3941599999999998</v>
      </c>
      <c r="J11" s="185">
        <f t="shared" si="19"/>
        <v>2323.6</v>
      </c>
      <c r="K11" s="187">
        <f t="shared" si="19"/>
        <v>0.69707999999999992</v>
      </c>
      <c r="L11" s="185">
        <f t="shared" si="19"/>
        <v>2323.6</v>
      </c>
      <c r="M11" s="189">
        <f t="shared" si="19"/>
        <v>239</v>
      </c>
      <c r="N11" s="189">
        <f t="shared" si="19"/>
        <v>1.91</v>
      </c>
      <c r="O11" s="189">
        <f t="shared" si="19"/>
        <v>2.11</v>
      </c>
      <c r="P11" s="189">
        <f t="shared" si="19"/>
        <v>921.77999999999986</v>
      </c>
      <c r="Q11" s="185">
        <f t="shared" si="19"/>
        <v>11.8</v>
      </c>
      <c r="R11" s="185">
        <f t="shared" si="19"/>
        <v>472</v>
      </c>
      <c r="S11" s="185">
        <f t="shared" si="19"/>
        <v>276.53399999999993</v>
      </c>
      <c r="T11" s="185">
        <f t="shared" si="19"/>
        <v>921.77999999999986</v>
      </c>
      <c r="U11" s="185">
        <f t="shared" si="19"/>
        <v>92.177999999999997</v>
      </c>
      <c r="V11" s="187">
        <f t="shared" si="19"/>
        <v>0.55306799999999989</v>
      </c>
      <c r="W11" s="185">
        <f t="shared" si="19"/>
        <v>921.77999999999986</v>
      </c>
    </row>
    <row r="12" spans="1:23">
      <c r="A12" s="242" t="s">
        <v>160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23" ht="18" customHeight="1">
      <c r="A13" s="142">
        <v>1</v>
      </c>
      <c r="B13" s="107" t="s">
        <v>33</v>
      </c>
      <c r="C13" s="107" t="s">
        <v>237</v>
      </c>
      <c r="D13" s="143">
        <v>82</v>
      </c>
      <c r="E13" s="143">
        <v>4.5</v>
      </c>
      <c r="F13" s="143">
        <f t="shared" ref="F13" si="20">E13*D13</f>
        <v>369</v>
      </c>
      <c r="G13" s="144">
        <f>F13</f>
        <v>369</v>
      </c>
      <c r="H13" s="144">
        <f>G13*0.12</f>
        <v>44.28</v>
      </c>
      <c r="I13" s="183">
        <f t="shared" ref="I13" si="21">G13*0.0006</f>
        <v>0.22139999999999999</v>
      </c>
      <c r="J13" s="144">
        <f>F13</f>
        <v>369</v>
      </c>
      <c r="K13" s="183">
        <f t="shared" ref="K13" si="22">J13*0.0003</f>
        <v>0.11069999999999999</v>
      </c>
      <c r="L13" s="144">
        <f t="shared" ref="L13" si="23">J13</f>
        <v>369</v>
      </c>
      <c r="M13" s="143"/>
      <c r="N13" s="142"/>
      <c r="O13" s="142"/>
      <c r="P13" s="143"/>
      <c r="Q13" s="144"/>
      <c r="R13" s="144"/>
      <c r="S13" s="144"/>
      <c r="T13" s="144"/>
      <c r="U13" s="144"/>
      <c r="V13" s="183"/>
      <c r="W13" s="144"/>
    </row>
    <row r="14" spans="1:23" s="103" customFormat="1">
      <c r="A14" s="235" t="s">
        <v>34</v>
      </c>
      <c r="B14" s="235"/>
      <c r="C14" s="235"/>
      <c r="D14" s="185">
        <f>SUM(D13:D13)</f>
        <v>82</v>
      </c>
      <c r="E14" s="185"/>
      <c r="F14" s="185">
        <f t="shared" ref="F14:W14" si="24">SUM(F13:F13)</f>
        <v>369</v>
      </c>
      <c r="G14" s="185">
        <f t="shared" si="24"/>
        <v>369</v>
      </c>
      <c r="H14" s="185">
        <f t="shared" si="24"/>
        <v>44.28</v>
      </c>
      <c r="I14" s="187">
        <f t="shared" si="24"/>
        <v>0.22139999999999999</v>
      </c>
      <c r="J14" s="185">
        <f t="shared" si="24"/>
        <v>369</v>
      </c>
      <c r="K14" s="187">
        <f t="shared" si="24"/>
        <v>0.11069999999999999</v>
      </c>
      <c r="L14" s="185">
        <f t="shared" si="24"/>
        <v>369</v>
      </c>
      <c r="M14" s="185">
        <f t="shared" si="24"/>
        <v>0</v>
      </c>
      <c r="N14" s="185">
        <f t="shared" si="24"/>
        <v>0</v>
      </c>
      <c r="O14" s="185">
        <f t="shared" si="24"/>
        <v>0</v>
      </c>
      <c r="P14" s="185">
        <f t="shared" si="24"/>
        <v>0</v>
      </c>
      <c r="Q14" s="185">
        <f t="shared" si="24"/>
        <v>0</v>
      </c>
      <c r="R14" s="185">
        <f t="shared" si="24"/>
        <v>0</v>
      </c>
      <c r="S14" s="185">
        <f t="shared" si="24"/>
        <v>0</v>
      </c>
      <c r="T14" s="185">
        <f t="shared" si="24"/>
        <v>0</v>
      </c>
      <c r="U14" s="185">
        <f t="shared" si="24"/>
        <v>0</v>
      </c>
      <c r="V14" s="187">
        <f t="shared" si="24"/>
        <v>0</v>
      </c>
      <c r="W14" s="185">
        <f t="shared" si="24"/>
        <v>0</v>
      </c>
    </row>
    <row r="15" spans="1:23" s="103" customFormat="1">
      <c r="A15" s="235" t="s">
        <v>40</v>
      </c>
      <c r="B15" s="235"/>
      <c r="C15" s="235"/>
      <c r="D15" s="185">
        <f t="shared" ref="D15:W15" si="25">D14+D11</f>
        <v>460</v>
      </c>
      <c r="E15" s="185">
        <f t="shared" si="25"/>
        <v>0</v>
      </c>
      <c r="F15" s="185">
        <f t="shared" si="25"/>
        <v>2692.6</v>
      </c>
      <c r="G15" s="185">
        <f t="shared" si="25"/>
        <v>2692.6</v>
      </c>
      <c r="H15" s="185">
        <f t="shared" si="25"/>
        <v>323.11199999999997</v>
      </c>
      <c r="I15" s="187">
        <f t="shared" si="25"/>
        <v>1.6155599999999999</v>
      </c>
      <c r="J15" s="185">
        <f t="shared" si="25"/>
        <v>2692.6</v>
      </c>
      <c r="K15" s="187">
        <f t="shared" si="25"/>
        <v>0.80777999999999994</v>
      </c>
      <c r="L15" s="185">
        <f t="shared" si="25"/>
        <v>2692.6</v>
      </c>
      <c r="M15" s="185">
        <f t="shared" si="25"/>
        <v>239</v>
      </c>
      <c r="N15" s="185">
        <f t="shared" si="25"/>
        <v>1.91</v>
      </c>
      <c r="O15" s="185">
        <f t="shared" si="25"/>
        <v>2.11</v>
      </c>
      <c r="P15" s="185">
        <f t="shared" si="25"/>
        <v>921.77999999999986</v>
      </c>
      <c r="Q15" s="185">
        <f t="shared" si="25"/>
        <v>11.8</v>
      </c>
      <c r="R15" s="185">
        <f t="shared" si="25"/>
        <v>472</v>
      </c>
      <c r="S15" s="185">
        <f t="shared" si="25"/>
        <v>276.53399999999993</v>
      </c>
      <c r="T15" s="185">
        <f t="shared" si="25"/>
        <v>921.77999999999986</v>
      </c>
      <c r="U15" s="185">
        <f t="shared" si="25"/>
        <v>92.177999999999997</v>
      </c>
      <c r="V15" s="187">
        <f t="shared" si="25"/>
        <v>0.55306799999999989</v>
      </c>
      <c r="W15" s="185">
        <f t="shared" si="25"/>
        <v>921.77999999999986</v>
      </c>
    </row>
    <row r="16" spans="1:23">
      <c r="G16" s="87"/>
      <c r="H16" s="87"/>
    </row>
  </sheetData>
  <mergeCells count="15">
    <mergeCell ref="A1:W1"/>
    <mergeCell ref="A2:W2"/>
    <mergeCell ref="A15:C15"/>
    <mergeCell ref="A11:C11"/>
    <mergeCell ref="A14:C14"/>
    <mergeCell ref="B5:B6"/>
    <mergeCell ref="C5:C6"/>
    <mergeCell ref="A4:A6"/>
    <mergeCell ref="B4:C4"/>
    <mergeCell ref="A8:W8"/>
    <mergeCell ref="A12:W12"/>
    <mergeCell ref="G5:H5"/>
    <mergeCell ref="T5:U5"/>
    <mergeCell ref="M4:W4"/>
    <mergeCell ref="D4:L4"/>
  </mergeCells>
  <pageMargins left="0.26691176470588235" right="0.17794117647058824" top="0.24553571428571427" bottom="0.75" header="0.3" footer="0.3"/>
  <pageSetup paperSize="9" scale="8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8"/>
  <sheetViews>
    <sheetView tabSelected="1" topLeftCell="A79" zoomScale="85" zoomScaleNormal="85" zoomScaleSheetLayoutView="85" zoomScalePageLayoutView="85" workbookViewId="0">
      <selection activeCell="B68" sqref="B68"/>
    </sheetView>
  </sheetViews>
  <sheetFormatPr defaultColWidth="9.109375" defaultRowHeight="16.2"/>
  <cols>
    <col min="1" max="1" width="4.109375" style="56" customWidth="1"/>
    <col min="2" max="2" width="74.5546875" style="56" customWidth="1"/>
    <col min="3" max="3" width="8.33203125" style="58" customWidth="1"/>
    <col min="4" max="4" width="9.6640625" style="70" customWidth="1"/>
    <col min="5" max="16384" width="9.109375" style="56"/>
  </cols>
  <sheetData>
    <row r="1" spans="1:4" ht="38.25" customHeight="1">
      <c r="A1" s="243" t="s">
        <v>155</v>
      </c>
      <c r="B1" s="243"/>
      <c r="C1" s="243"/>
      <c r="D1" s="243"/>
    </row>
    <row r="2" spans="1:4">
      <c r="A2" s="244" t="s">
        <v>240</v>
      </c>
      <c r="B2" s="244"/>
      <c r="C2" s="244"/>
      <c r="D2" s="244"/>
    </row>
    <row r="3" spans="1:4">
      <c r="A3" s="57"/>
      <c r="B3" s="58"/>
      <c r="C3" s="57"/>
      <c r="D3" s="62"/>
    </row>
    <row r="4" spans="1:4" ht="15">
      <c r="A4" s="245" t="s">
        <v>3</v>
      </c>
      <c r="B4" s="245" t="s">
        <v>0</v>
      </c>
      <c r="C4" s="245" t="s">
        <v>1</v>
      </c>
      <c r="D4" s="245" t="s">
        <v>2</v>
      </c>
    </row>
    <row r="5" spans="1:4" s="58" customFormat="1" ht="15">
      <c r="A5" s="245"/>
      <c r="B5" s="245"/>
      <c r="C5" s="245"/>
      <c r="D5" s="245"/>
    </row>
    <row r="6" spans="1:4" s="58" customFormat="1">
      <c r="A6" s="169">
        <v>1</v>
      </c>
      <c r="B6" s="169">
        <v>2</v>
      </c>
      <c r="C6" s="169">
        <v>3</v>
      </c>
      <c r="D6" s="169">
        <v>4</v>
      </c>
    </row>
    <row r="7" spans="1:4" s="59" customFormat="1">
      <c r="A7" s="63"/>
      <c r="B7" s="66" t="s">
        <v>8</v>
      </c>
      <c r="C7" s="63"/>
      <c r="D7" s="64"/>
    </row>
    <row r="8" spans="1:4" s="58" customFormat="1">
      <c r="A8" s="169">
        <v>1</v>
      </c>
      <c r="B8" s="67" t="s">
        <v>9</v>
      </c>
      <c r="C8" s="169" t="s">
        <v>10</v>
      </c>
      <c r="D8" s="64">
        <f>'საგზაო სამოსის მოწყობის უწყისი'!D15/1000</f>
        <v>0.46</v>
      </c>
    </row>
    <row r="9" spans="1:4" s="58" customFormat="1">
      <c r="A9" s="169"/>
      <c r="B9" s="66" t="s">
        <v>85</v>
      </c>
      <c r="C9" s="169"/>
      <c r="D9" s="64"/>
    </row>
    <row r="10" spans="1:4" s="58" customFormat="1" ht="32.4">
      <c r="A10" s="169">
        <v>1</v>
      </c>
      <c r="B10" s="153" t="s">
        <v>251</v>
      </c>
      <c r="C10" s="169" t="s">
        <v>62</v>
      </c>
      <c r="D10" s="82">
        <v>1920</v>
      </c>
    </row>
    <row r="11" spans="1:4" s="58" customFormat="1">
      <c r="A11" s="169">
        <v>2</v>
      </c>
      <c r="B11" s="153" t="s">
        <v>92</v>
      </c>
      <c r="C11" s="169" t="s">
        <v>88</v>
      </c>
      <c r="D11" s="82">
        <f>D10*0.09*2.35</f>
        <v>406.08</v>
      </c>
    </row>
    <row r="12" spans="1:4" s="58" customFormat="1" ht="32.4">
      <c r="A12" s="169">
        <v>3</v>
      </c>
      <c r="B12" s="68" t="s">
        <v>51</v>
      </c>
      <c r="C12" s="169" t="s">
        <v>61</v>
      </c>
      <c r="D12" s="74">
        <f>'მიწის სამუშაოების უწყისი '!C38*0.9</f>
        <v>801.29700000000003</v>
      </c>
    </row>
    <row r="13" spans="1:4" s="58" customFormat="1" ht="18.600000000000001">
      <c r="A13" s="169">
        <f>A12+1</f>
        <v>4</v>
      </c>
      <c r="B13" s="69" t="s">
        <v>11</v>
      </c>
      <c r="C13" s="169" t="s">
        <v>61</v>
      </c>
      <c r="D13" s="74">
        <f>'მიწის სამუშაოების უწყისი '!C38*0.1</f>
        <v>89.033000000000015</v>
      </c>
    </row>
    <row r="14" spans="1:4" s="58" customFormat="1" ht="18.600000000000001">
      <c r="A14" s="169">
        <f t="shared" ref="A14:A16" si="0">A13+1</f>
        <v>5</v>
      </c>
      <c r="B14" s="69" t="s">
        <v>86</v>
      </c>
      <c r="C14" s="169" t="s">
        <v>61</v>
      </c>
      <c r="D14" s="74">
        <f>D13+D12</f>
        <v>890.33</v>
      </c>
    </row>
    <row r="15" spans="1:4" s="58" customFormat="1">
      <c r="A15" s="169">
        <f t="shared" si="0"/>
        <v>6</v>
      </c>
      <c r="B15" s="69" t="s">
        <v>96</v>
      </c>
      <c r="C15" s="169" t="s">
        <v>93</v>
      </c>
      <c r="D15" s="74">
        <f>D14*1.8</f>
        <v>1602.5940000000001</v>
      </c>
    </row>
    <row r="16" spans="1:4" s="58" customFormat="1" ht="18.600000000000001">
      <c r="A16" s="169">
        <f t="shared" si="0"/>
        <v>7</v>
      </c>
      <c r="B16" s="69" t="s">
        <v>87</v>
      </c>
      <c r="C16" s="169" t="s">
        <v>62</v>
      </c>
      <c r="D16" s="74">
        <f>'საგზაო სამოსის მოწყობის უწყისი'!F15+'საგზაო სამოსის მოწყობის უწყისი'!P15+'საგზაო სამოსის მოწყობის უწყისი'!R15*0.15</f>
        <v>3685.18</v>
      </c>
    </row>
    <row r="17" spans="1:4" s="60" customFormat="1">
      <c r="A17" s="63"/>
      <c r="B17" s="84" t="s">
        <v>84</v>
      </c>
      <c r="C17" s="63"/>
      <c r="D17" s="63"/>
    </row>
    <row r="18" spans="1:4" s="61" customFormat="1" ht="18.600000000000001">
      <c r="A18" s="169">
        <v>1</v>
      </c>
      <c r="B18" s="69" t="s">
        <v>252</v>
      </c>
      <c r="C18" s="169" t="s">
        <v>62</v>
      </c>
      <c r="D18" s="82">
        <f>'საგზაო სამოსის მოწყობის უწყისი'!G15</f>
        <v>2692.6</v>
      </c>
    </row>
    <row r="19" spans="1:4" s="61" customFormat="1" ht="18.600000000000001">
      <c r="A19" s="169">
        <f t="shared" ref="A19:A22" si="1">A18+1</f>
        <v>2</v>
      </c>
      <c r="B19" s="68" t="s">
        <v>97</v>
      </c>
      <c r="C19" s="169" t="s">
        <v>93</v>
      </c>
      <c r="D19" s="64">
        <f>'საგზაო სამოსის მოწყობის უწყისი'!I15</f>
        <v>1.6155599999999999</v>
      </c>
    </row>
    <row r="20" spans="1:4" s="61" customFormat="1" ht="32.4">
      <c r="A20" s="169">
        <f t="shared" si="1"/>
        <v>3</v>
      </c>
      <c r="B20" s="68" t="s">
        <v>102</v>
      </c>
      <c r="C20" s="169" t="s">
        <v>62</v>
      </c>
      <c r="D20" s="82">
        <f>'საგზაო სამოსის მოწყობის უწყისი'!J15</f>
        <v>2692.6</v>
      </c>
    </row>
    <row r="21" spans="1:4" s="61" customFormat="1" ht="18.600000000000001">
      <c r="A21" s="169">
        <f t="shared" si="1"/>
        <v>4</v>
      </c>
      <c r="B21" s="68" t="s">
        <v>99</v>
      </c>
      <c r="C21" s="169" t="s">
        <v>93</v>
      </c>
      <c r="D21" s="64">
        <f>'საგზაო სამოსის მოწყობის უწყისი'!K15</f>
        <v>0.80777999999999994</v>
      </c>
    </row>
    <row r="22" spans="1:4" s="61" customFormat="1" ht="32.4">
      <c r="A22" s="169">
        <f t="shared" si="1"/>
        <v>5</v>
      </c>
      <c r="B22" s="68" t="s">
        <v>101</v>
      </c>
      <c r="C22" s="169" t="s">
        <v>62</v>
      </c>
      <c r="D22" s="82">
        <f>'საგზაო სამოსის მოწყობის უწყისი'!L15</f>
        <v>2692.6</v>
      </c>
    </row>
    <row r="23" spans="1:4" s="61" customFormat="1">
      <c r="A23" s="169"/>
      <c r="B23" s="84" t="s">
        <v>146</v>
      </c>
      <c r="C23" s="169"/>
      <c r="D23" s="82"/>
    </row>
    <row r="24" spans="1:4" s="61" customFormat="1" ht="32.4">
      <c r="A24" s="169">
        <v>1</v>
      </c>
      <c r="B24" s="67" t="s">
        <v>147</v>
      </c>
      <c r="C24" s="169" t="s">
        <v>63</v>
      </c>
      <c r="D24" s="75">
        <f>'საგზაო სამოსის მოწყობის უწყისი'!Q15</f>
        <v>11.8</v>
      </c>
    </row>
    <row r="25" spans="1:4" s="61" customFormat="1">
      <c r="A25" s="169">
        <f>A24+1</f>
        <v>2</v>
      </c>
      <c r="B25" s="68" t="s">
        <v>254</v>
      </c>
      <c r="C25" s="169" t="s">
        <v>22</v>
      </c>
      <c r="D25" s="75">
        <f>'საგზაო სამოსის მოწყობის უწყისი'!R15</f>
        <v>472</v>
      </c>
    </row>
    <row r="26" spans="1:4" s="61" customFormat="1" ht="34.799999999999997">
      <c r="A26" s="169">
        <f t="shared" ref="A26:A29" si="2">A25+1</f>
        <v>3</v>
      </c>
      <c r="B26" s="68" t="s">
        <v>151</v>
      </c>
      <c r="C26" s="169" t="s">
        <v>63</v>
      </c>
      <c r="D26" s="75">
        <f>'საგზაო სამოსის მოწყობის უწყისი'!S15</f>
        <v>276.53399999999993</v>
      </c>
    </row>
    <row r="27" spans="1:4" s="61" customFormat="1" ht="18.600000000000001">
      <c r="A27" s="169">
        <f t="shared" si="2"/>
        <v>4</v>
      </c>
      <c r="B27" s="68" t="s">
        <v>120</v>
      </c>
      <c r="C27" s="169" t="s">
        <v>62</v>
      </c>
      <c r="D27" s="75">
        <f>'საგზაო სამოსის მოწყობის უწყისი'!T15</f>
        <v>921.77999999999986</v>
      </c>
    </row>
    <row r="28" spans="1:4" s="61" customFormat="1" ht="18.600000000000001">
      <c r="A28" s="169">
        <f t="shared" si="2"/>
        <v>5</v>
      </c>
      <c r="B28" s="68" t="s">
        <v>97</v>
      </c>
      <c r="C28" s="169" t="s">
        <v>93</v>
      </c>
      <c r="D28" s="64">
        <f>'საგზაო სამოსის მოწყობის უწყისი'!V15</f>
        <v>0.55306799999999989</v>
      </c>
    </row>
    <row r="29" spans="1:4" s="61" customFormat="1" ht="32.4">
      <c r="A29" s="169">
        <f t="shared" si="2"/>
        <v>6</v>
      </c>
      <c r="B29" s="68" t="s">
        <v>152</v>
      </c>
      <c r="C29" s="169" t="s">
        <v>62</v>
      </c>
      <c r="D29" s="82">
        <f>'საგზაო სამოსის მოწყობის უწყისი'!W15</f>
        <v>921.77999999999986</v>
      </c>
    </row>
    <row r="30" spans="1:4" s="61" customFormat="1">
      <c r="A30" s="169"/>
      <c r="B30" s="84" t="s">
        <v>149</v>
      </c>
      <c r="C30" s="169"/>
      <c r="D30" s="65"/>
    </row>
    <row r="31" spans="1:4" s="61" customFormat="1" ht="18.600000000000001">
      <c r="A31" s="169">
        <v>1</v>
      </c>
      <c r="B31" s="148" t="s">
        <v>210</v>
      </c>
      <c r="C31" s="169" t="s">
        <v>62</v>
      </c>
      <c r="D31" s="65">
        <f>მიერთებები!J10</f>
        <v>90</v>
      </c>
    </row>
    <row r="32" spans="1:4" s="61" customFormat="1">
      <c r="A32" s="169">
        <f>A31+1</f>
        <v>2</v>
      </c>
      <c r="B32" s="148" t="s">
        <v>246</v>
      </c>
      <c r="C32" s="169" t="s">
        <v>88</v>
      </c>
      <c r="D32" s="65">
        <f>D31*0.09*2.35</f>
        <v>19.035</v>
      </c>
    </row>
    <row r="33" spans="1:4" s="61" customFormat="1">
      <c r="A33" s="171">
        <v>3</v>
      </c>
      <c r="B33" s="153" t="s">
        <v>92</v>
      </c>
      <c r="C33" s="171" t="s">
        <v>88</v>
      </c>
      <c r="D33" s="82">
        <f>D32</f>
        <v>19.035</v>
      </c>
    </row>
    <row r="34" spans="1:4" s="61" customFormat="1" ht="18.600000000000001">
      <c r="A34" s="169">
        <v>4</v>
      </c>
      <c r="B34" s="68" t="s">
        <v>124</v>
      </c>
      <c r="C34" s="169" t="s">
        <v>61</v>
      </c>
      <c r="D34" s="73">
        <f>მიერთებები!M10</f>
        <v>55.86</v>
      </c>
    </row>
    <row r="35" spans="1:4" s="61" customFormat="1" ht="18.600000000000001">
      <c r="A35" s="169">
        <f>A34+1</f>
        <v>5</v>
      </c>
      <c r="B35" s="69" t="s">
        <v>5</v>
      </c>
      <c r="C35" s="169" t="s">
        <v>61</v>
      </c>
      <c r="D35" s="73">
        <f>მიერთებები!N10</f>
        <v>2.94</v>
      </c>
    </row>
    <row r="36" spans="1:4" s="61" customFormat="1" ht="18.600000000000001">
      <c r="A36" s="169">
        <f t="shared" ref="A36:A44" si="3">A35+1</f>
        <v>6</v>
      </c>
      <c r="B36" s="85" t="s">
        <v>91</v>
      </c>
      <c r="C36" s="169" t="s">
        <v>61</v>
      </c>
      <c r="D36" s="74">
        <f>მიერთებები!O10</f>
        <v>58.8</v>
      </c>
    </row>
    <row r="37" spans="1:4" s="61" customFormat="1">
      <c r="A37" s="169">
        <f t="shared" si="3"/>
        <v>7</v>
      </c>
      <c r="B37" s="85" t="s">
        <v>92</v>
      </c>
      <c r="C37" s="169" t="s">
        <v>88</v>
      </c>
      <c r="D37" s="74">
        <f>მიერთებები!P10</f>
        <v>105.84</v>
      </c>
    </row>
    <row r="38" spans="1:4" s="61" customFormat="1" ht="18.600000000000001">
      <c r="A38" s="169">
        <f t="shared" si="3"/>
        <v>8</v>
      </c>
      <c r="B38" s="69" t="s">
        <v>87</v>
      </c>
      <c r="C38" s="169" t="s">
        <v>62</v>
      </c>
      <c r="D38" s="75">
        <f>მიერთებები!Q10</f>
        <v>168</v>
      </c>
    </row>
    <row r="39" spans="1:4" s="61" customFormat="1" ht="18.600000000000001">
      <c r="A39" s="169">
        <f t="shared" si="3"/>
        <v>9</v>
      </c>
      <c r="B39" s="69" t="s">
        <v>252</v>
      </c>
      <c r="C39" s="169" t="s">
        <v>62</v>
      </c>
      <c r="D39" s="65">
        <f>მიერთებები!R10</f>
        <v>135</v>
      </c>
    </row>
    <row r="40" spans="1:4" s="61" customFormat="1" ht="18.600000000000001">
      <c r="A40" s="169">
        <f t="shared" si="3"/>
        <v>10</v>
      </c>
      <c r="B40" s="68" t="s">
        <v>97</v>
      </c>
      <c r="C40" s="169" t="s">
        <v>93</v>
      </c>
      <c r="D40" s="112">
        <f>მიერთებები!T10</f>
        <v>8.0999999999999989E-2</v>
      </c>
    </row>
    <row r="41" spans="1:4" s="61" customFormat="1" ht="32.4">
      <c r="A41" s="169">
        <f t="shared" si="3"/>
        <v>11</v>
      </c>
      <c r="B41" s="68" t="s">
        <v>98</v>
      </c>
      <c r="C41" s="169" t="s">
        <v>62</v>
      </c>
      <c r="D41" s="75">
        <f>მიერთებები!U10</f>
        <v>135</v>
      </c>
    </row>
    <row r="42" spans="1:4" s="61" customFormat="1" ht="18.600000000000001">
      <c r="A42" s="169">
        <f t="shared" si="3"/>
        <v>12</v>
      </c>
      <c r="B42" s="68" t="s">
        <v>99</v>
      </c>
      <c r="C42" s="169" t="s">
        <v>93</v>
      </c>
      <c r="D42" s="112">
        <f>მიერთებები!V10</f>
        <v>4.0499999999999994E-2</v>
      </c>
    </row>
    <row r="43" spans="1:4" s="61" customFormat="1" ht="32.4">
      <c r="A43" s="169">
        <f t="shared" si="3"/>
        <v>13</v>
      </c>
      <c r="B43" s="68" t="s">
        <v>100</v>
      </c>
      <c r="C43" s="169" t="s">
        <v>62</v>
      </c>
      <c r="D43" s="75">
        <f>მიერთებები!W10</f>
        <v>135</v>
      </c>
    </row>
    <row r="44" spans="1:4" s="61" customFormat="1" ht="32.4">
      <c r="A44" s="169">
        <f t="shared" si="3"/>
        <v>14</v>
      </c>
      <c r="B44" s="67" t="s">
        <v>147</v>
      </c>
      <c r="C44" s="169" t="s">
        <v>63</v>
      </c>
      <c r="D44" s="75">
        <f>მიერთებები!X10</f>
        <v>0.5</v>
      </c>
    </row>
    <row r="45" spans="1:4" s="61" customFormat="1">
      <c r="A45" s="169">
        <f t="shared" ref="A45:A49" si="4">A44+1</f>
        <v>15</v>
      </c>
      <c r="B45" s="68" t="s">
        <v>254</v>
      </c>
      <c r="C45" s="169" t="s">
        <v>22</v>
      </c>
      <c r="D45" s="75">
        <f>მიერთებები!Y10</f>
        <v>20</v>
      </c>
    </row>
    <row r="46" spans="1:4" s="61" customFormat="1" ht="32.4">
      <c r="A46" s="169">
        <f t="shared" si="4"/>
        <v>16</v>
      </c>
      <c r="B46" s="68" t="s">
        <v>148</v>
      </c>
      <c r="C46" s="169" t="s">
        <v>63</v>
      </c>
      <c r="D46" s="75">
        <f>მიერთებები!Z10</f>
        <v>9</v>
      </c>
    </row>
    <row r="47" spans="1:4" s="61" customFormat="1" ht="18.600000000000001">
      <c r="A47" s="169">
        <f t="shared" si="4"/>
        <v>17</v>
      </c>
      <c r="B47" s="68" t="s">
        <v>120</v>
      </c>
      <c r="C47" s="169" t="s">
        <v>62</v>
      </c>
      <c r="D47" s="75">
        <f>მიერთებები!AA10</f>
        <v>30</v>
      </c>
    </row>
    <row r="48" spans="1:4" s="61" customFormat="1" ht="18.600000000000001">
      <c r="A48" s="169">
        <f t="shared" si="4"/>
        <v>18</v>
      </c>
      <c r="B48" s="68" t="s">
        <v>97</v>
      </c>
      <c r="C48" s="169" t="s">
        <v>93</v>
      </c>
      <c r="D48" s="112">
        <f>მიერთებები!AC10</f>
        <v>1.7999999999999999E-2</v>
      </c>
    </row>
    <row r="49" spans="1:4" s="61" customFormat="1" ht="32.4">
      <c r="A49" s="169">
        <f t="shared" si="4"/>
        <v>19</v>
      </c>
      <c r="B49" s="68" t="s">
        <v>152</v>
      </c>
      <c r="C49" s="169" t="s">
        <v>62</v>
      </c>
      <c r="D49" s="75">
        <f>მიერთებები!AD10</f>
        <v>30</v>
      </c>
    </row>
    <row r="50" spans="1:4" s="61" customFormat="1">
      <c r="A50" s="63"/>
      <c r="B50" s="66" t="s">
        <v>253</v>
      </c>
      <c r="C50" s="63"/>
      <c r="D50" s="72"/>
    </row>
    <row r="51" spans="1:4" s="61" customFormat="1">
      <c r="A51" s="63"/>
      <c r="B51" s="66" t="s">
        <v>150</v>
      </c>
      <c r="C51" s="63"/>
      <c r="D51" s="72"/>
    </row>
    <row r="52" spans="1:4" s="61" customFormat="1" ht="18.600000000000001">
      <c r="A52" s="190">
        <v>1</v>
      </c>
      <c r="B52" s="153" t="s">
        <v>245</v>
      </c>
      <c r="C52" s="169" t="s">
        <v>62</v>
      </c>
      <c r="D52" s="168">
        <f>'დახურული სანიაღვრე არხი'!I30</f>
        <v>2.4</v>
      </c>
    </row>
    <row r="53" spans="1:4" s="61" customFormat="1" ht="18.600000000000001">
      <c r="A53" s="169">
        <f t="shared" ref="A53:A55" si="5">A52+1</f>
        <v>2</v>
      </c>
      <c r="B53" s="153" t="s">
        <v>246</v>
      </c>
      <c r="C53" s="169" t="s">
        <v>63</v>
      </c>
      <c r="D53" s="194">
        <f>D52*0.09*2.35</f>
        <v>0.50760000000000005</v>
      </c>
    </row>
    <row r="54" spans="1:4" s="61" customFormat="1">
      <c r="A54" s="169">
        <f t="shared" si="5"/>
        <v>3</v>
      </c>
      <c r="B54" s="153" t="s">
        <v>247</v>
      </c>
      <c r="C54" s="191" t="s">
        <v>88</v>
      </c>
      <c r="D54" s="194">
        <f>'დახურული სანიაღვრე არხი'!K30</f>
        <v>0.51839999999999997</v>
      </c>
    </row>
    <row r="55" spans="1:4" s="61" customFormat="1" ht="32.4">
      <c r="A55" s="169">
        <f t="shared" si="5"/>
        <v>4</v>
      </c>
      <c r="B55" s="67" t="s">
        <v>136</v>
      </c>
      <c r="C55" s="169" t="s">
        <v>61</v>
      </c>
      <c r="D55" s="74">
        <f>'დახურული სანიაღვრე არხი'!L30</f>
        <v>534.51599999999996</v>
      </c>
    </row>
    <row r="56" spans="1:4" s="61" customFormat="1" ht="18.600000000000001">
      <c r="A56" s="169">
        <f t="shared" ref="A56:A74" si="6">A55+1</f>
        <v>5</v>
      </c>
      <c r="B56" s="67" t="s">
        <v>5</v>
      </c>
      <c r="C56" s="169" t="s">
        <v>61</v>
      </c>
      <c r="D56" s="74">
        <f>'დახურული სანიაღვრე არხი'!M30</f>
        <v>129.03900000000002</v>
      </c>
    </row>
    <row r="57" spans="1:4" s="61" customFormat="1" ht="18.600000000000001">
      <c r="A57" s="169">
        <f t="shared" si="6"/>
        <v>6</v>
      </c>
      <c r="B57" s="67" t="s">
        <v>86</v>
      </c>
      <c r="C57" s="169" t="s">
        <v>61</v>
      </c>
      <c r="D57" s="74">
        <f>'დახურული სანიაღვრე არხი'!N30</f>
        <v>663.55500000000006</v>
      </c>
    </row>
    <row r="58" spans="1:4" s="61" customFormat="1">
      <c r="A58" s="169">
        <f t="shared" si="6"/>
        <v>7</v>
      </c>
      <c r="B58" s="67" t="s">
        <v>128</v>
      </c>
      <c r="C58" s="169" t="s">
        <v>88</v>
      </c>
      <c r="D58" s="74">
        <f>'დახურული სანიაღვრე არხი'!O30</f>
        <v>1227.5767500000002</v>
      </c>
    </row>
    <row r="59" spans="1:4" s="61" customFormat="1" ht="32.4">
      <c r="A59" s="169">
        <f t="shared" si="6"/>
        <v>8</v>
      </c>
      <c r="B59" s="67" t="s">
        <v>137</v>
      </c>
      <c r="C59" s="169" t="s">
        <v>61</v>
      </c>
      <c r="D59" s="82">
        <f>'დახურული სანიაღვრე არხი'!P30</f>
        <v>3.8069999999999999</v>
      </c>
    </row>
    <row r="60" spans="1:4" s="61" customFormat="1" ht="32.4">
      <c r="A60" s="169">
        <f t="shared" si="6"/>
        <v>9</v>
      </c>
      <c r="B60" s="67" t="s">
        <v>145</v>
      </c>
      <c r="C60" s="169" t="s">
        <v>61</v>
      </c>
      <c r="D60" s="82">
        <f>'დახურული სანიაღვრე არხი'!Q30</f>
        <v>7.6139999999999999</v>
      </c>
    </row>
    <row r="61" spans="1:4" s="61" customFormat="1" ht="32.4">
      <c r="A61" s="169">
        <f t="shared" si="6"/>
        <v>10</v>
      </c>
      <c r="B61" s="67" t="s">
        <v>144</v>
      </c>
      <c r="C61" s="169" t="s">
        <v>61</v>
      </c>
      <c r="D61" s="82">
        <f>'დახურული სანიაღვრე არხი'!R30</f>
        <v>21.645</v>
      </c>
    </row>
    <row r="62" spans="1:4" s="61" customFormat="1" ht="32.4">
      <c r="A62" s="193">
        <f t="shared" si="6"/>
        <v>11</v>
      </c>
      <c r="B62" s="67" t="s">
        <v>256</v>
      </c>
      <c r="C62" s="193" t="s">
        <v>134</v>
      </c>
      <c r="D62" s="82">
        <f>'დახურული სანიაღვრე არხი'!S30</f>
        <v>15</v>
      </c>
    </row>
    <row r="63" spans="1:4" s="61" customFormat="1" ht="32.4">
      <c r="A63" s="193">
        <f t="shared" si="6"/>
        <v>12</v>
      </c>
      <c r="B63" s="67" t="s">
        <v>255</v>
      </c>
      <c r="C63" s="169" t="s">
        <v>134</v>
      </c>
      <c r="D63" s="82">
        <f>'დახურული სანიაღვრე არხი'!T30</f>
        <v>32</v>
      </c>
    </row>
    <row r="64" spans="1:4" s="61" customFormat="1" ht="18.600000000000001">
      <c r="A64" s="169">
        <f t="shared" si="6"/>
        <v>13</v>
      </c>
      <c r="B64" s="67" t="s">
        <v>138</v>
      </c>
      <c r="C64" s="169" t="s">
        <v>61</v>
      </c>
      <c r="D64" s="82">
        <f>'დახურული სანიაღვრე არხი'!U30</f>
        <v>31.28</v>
      </c>
    </row>
    <row r="65" spans="1:4" s="61" customFormat="1">
      <c r="A65" s="169">
        <f t="shared" si="6"/>
        <v>14</v>
      </c>
      <c r="B65" s="67" t="s">
        <v>232</v>
      </c>
      <c r="C65" s="169" t="s">
        <v>22</v>
      </c>
      <c r="D65" s="82">
        <f>'დახურული სანიაღვრე არხი'!V30</f>
        <v>56</v>
      </c>
    </row>
    <row r="66" spans="1:4" s="61" customFormat="1">
      <c r="A66" s="169">
        <f t="shared" si="6"/>
        <v>15</v>
      </c>
      <c r="B66" s="67" t="s">
        <v>153</v>
      </c>
      <c r="C66" s="169" t="s">
        <v>22</v>
      </c>
      <c r="D66" s="82">
        <f>'დახურული სანიაღვრე არხი'!W30</f>
        <v>257</v>
      </c>
    </row>
    <row r="67" spans="1:4" s="61" customFormat="1">
      <c r="A67" s="169">
        <f t="shared" si="6"/>
        <v>16</v>
      </c>
      <c r="B67" s="67" t="s">
        <v>233</v>
      </c>
      <c r="C67" s="169" t="s">
        <v>22</v>
      </c>
      <c r="D67" s="82">
        <f>'დახურული სანიაღვრე არხი'!X30</f>
        <v>83</v>
      </c>
    </row>
    <row r="68" spans="1:4" s="61" customFormat="1">
      <c r="A68" s="169">
        <f t="shared" si="6"/>
        <v>17</v>
      </c>
      <c r="B68" s="67" t="s">
        <v>234</v>
      </c>
      <c r="C68" s="169" t="s">
        <v>22</v>
      </c>
      <c r="D68" s="82">
        <f>'დახურული სანიაღვრე არხი'!Y30</f>
        <v>51</v>
      </c>
    </row>
    <row r="69" spans="1:4" s="61" customFormat="1" ht="18.600000000000001">
      <c r="A69" s="169">
        <f t="shared" si="6"/>
        <v>18</v>
      </c>
      <c r="B69" s="67" t="s">
        <v>139</v>
      </c>
      <c r="C69" s="169" t="s">
        <v>61</v>
      </c>
      <c r="D69" s="82">
        <f>'დახურული სანიაღვრე არხი'!Z30</f>
        <v>93.839999999999989</v>
      </c>
    </row>
    <row r="70" spans="1:4" s="61" customFormat="1" ht="32.4">
      <c r="A70" s="169">
        <f t="shared" si="6"/>
        <v>19</v>
      </c>
      <c r="B70" s="67" t="s">
        <v>140</v>
      </c>
      <c r="C70" s="169" t="s">
        <v>61</v>
      </c>
      <c r="D70" s="82">
        <f>'დახურული სანიაღვრე არხი'!AA30</f>
        <v>446.55290000000008</v>
      </c>
    </row>
    <row r="71" spans="1:4" s="61" customFormat="1" ht="18.600000000000001">
      <c r="A71" s="169">
        <f t="shared" si="6"/>
        <v>20</v>
      </c>
      <c r="B71" s="68" t="s">
        <v>97</v>
      </c>
      <c r="C71" s="169" t="s">
        <v>93</v>
      </c>
      <c r="D71" s="64">
        <f>'დახურული სანიაღვრე არხი'!AB30</f>
        <v>1.4399999999999999E-3</v>
      </c>
    </row>
    <row r="72" spans="1:4" s="61" customFormat="1" ht="32.4">
      <c r="A72" s="169">
        <f t="shared" si="6"/>
        <v>21</v>
      </c>
      <c r="B72" s="68" t="s">
        <v>102</v>
      </c>
      <c r="C72" s="169" t="s">
        <v>62</v>
      </c>
      <c r="D72" s="82">
        <f>'დახურული სანიაღვრე არხი'!AC30</f>
        <v>2.4</v>
      </c>
    </row>
    <row r="73" spans="1:4" s="61" customFormat="1" ht="18.600000000000001">
      <c r="A73" s="169">
        <f t="shared" si="6"/>
        <v>22</v>
      </c>
      <c r="B73" s="68" t="s">
        <v>99</v>
      </c>
      <c r="C73" s="169" t="s">
        <v>93</v>
      </c>
      <c r="D73" s="64">
        <f>'დახურული სანიაღვრე არხი'!AD30</f>
        <v>7.1999999999999994E-4</v>
      </c>
    </row>
    <row r="74" spans="1:4" s="61" customFormat="1" ht="32.4">
      <c r="A74" s="169">
        <f t="shared" si="6"/>
        <v>23</v>
      </c>
      <c r="B74" s="68" t="s">
        <v>101</v>
      </c>
      <c r="C74" s="169" t="s">
        <v>62</v>
      </c>
      <c r="D74" s="82">
        <f>'დახურული სანიაღვრე არხი'!AE30</f>
        <v>2.4</v>
      </c>
    </row>
    <row r="75" spans="1:4">
      <c r="A75" s="92"/>
      <c r="B75" s="93" t="s">
        <v>243</v>
      </c>
      <c r="C75" s="94"/>
      <c r="D75" s="95"/>
    </row>
    <row r="76" spans="1:4" ht="81">
      <c r="A76" s="149">
        <v>1</v>
      </c>
      <c r="B76" s="150" t="s">
        <v>257</v>
      </c>
      <c r="C76" s="149" t="s">
        <v>116</v>
      </c>
      <c r="D76" s="152">
        <f>'არსებული ჭები'!A30+'არსებული ჭები'!A25</f>
        <v>23</v>
      </c>
    </row>
    <row r="77" spans="1:4" ht="32.4">
      <c r="A77" s="149"/>
      <c r="B77" s="198" t="s">
        <v>258</v>
      </c>
      <c r="C77" s="197" t="s">
        <v>134</v>
      </c>
      <c r="D77" s="82">
        <f>D76</f>
        <v>23</v>
      </c>
    </row>
    <row r="78" spans="1:4" ht="18.75" customHeight="1">
      <c r="A78" s="149"/>
      <c r="B78" s="150" t="s">
        <v>104</v>
      </c>
      <c r="C78" s="151" t="s">
        <v>241</v>
      </c>
      <c r="D78" s="152">
        <f>D76*0.2</f>
        <v>4.6000000000000005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38541666666666669" right="0.20833333333333334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ხე-მცენ. გაწმენ. მოც. უწყისი</vt:lpstr>
      <vt:lpstr>მიერთებების მოც.უწყისი</vt:lpstr>
      <vt:lpstr>ე.შ.მოც.უწყისი</vt:lpstr>
      <vt:lpstr>მიწის სამუშაოების უწყისი </vt:lpstr>
      <vt:lpstr>არსებული ჭები</vt:lpstr>
      <vt:lpstr>დახურული სანიაღვრე არხი</vt:lpstr>
      <vt:lpstr>მიერთებები</vt:lpstr>
      <vt:lpstr>საგზაო სამოსის მოწყობის უწყისი</vt:lpstr>
      <vt:lpstr>კრებსითი მოცულობები</vt:lpstr>
      <vt:lpstr>'არსებული ჭები'!Print_Area</vt:lpstr>
      <vt:lpstr>'დახურული სანიაღვრე არხი'!Print_Area</vt:lpstr>
      <vt:lpstr>ე.შ.მოც.უწყისი!Print_Area</vt:lpstr>
      <vt:lpstr>'კრებსითი მოცულობები'!Print_Area</vt:lpstr>
      <vt:lpstr>'მიერთებების მოც.უწყისი'!Print_Area</vt:lpstr>
      <vt:lpstr>'მიწის სამუშაოების უწყისი '!Print_Area</vt:lpstr>
      <vt:lpstr>'საგზაო სამოსის მოწყობის უწყისი'!Print_Area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Irakli Adeishvili</cp:lastModifiedBy>
  <cp:lastPrinted>2020-03-24T08:20:30Z</cp:lastPrinted>
  <dcterms:created xsi:type="dcterms:W3CDTF">2004-01-01T02:48:21Z</dcterms:created>
  <dcterms:modified xsi:type="dcterms:W3CDTF">2020-03-24T08:21:06Z</dcterms:modified>
</cp:coreProperties>
</file>