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tabRatio="818"/>
  </bookViews>
  <sheets>
    <sheet name="სამშენებლო" sheetId="17" r:id="rId1"/>
  </sheets>
  <definedNames>
    <definedName name="_xlnm.Print_Area" localSheetId="0">სამშენებლო!$A$1:$M$111</definedName>
    <definedName name="_xlnm.Print_Titles" localSheetId="0">სამშენებლო!$5:$5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calcId="162913"/>
</workbook>
</file>

<file path=xl/calcChain.xml><?xml version="1.0" encoding="utf-8"?>
<calcChain xmlns="http://schemas.openxmlformats.org/spreadsheetml/2006/main">
  <c r="F305" i="17" l="1"/>
  <c r="F304" i="17"/>
  <c r="E303" i="17"/>
  <c r="F303" i="17" s="1"/>
  <c r="E301" i="17"/>
  <c r="E296" i="17"/>
  <c r="F295" i="17"/>
  <c r="E290" i="17"/>
  <c r="E289" i="17"/>
  <c r="E288" i="17"/>
  <c r="F287" i="17"/>
  <c r="F289" i="17" s="1"/>
  <c r="E285" i="17"/>
  <c r="E284" i="17"/>
  <c r="E283" i="17"/>
  <c r="F275" i="17"/>
  <c r="F273" i="17"/>
  <c r="F271" i="17"/>
  <c r="F269" i="17"/>
  <c r="E260" i="17"/>
  <c r="E258" i="17"/>
  <c r="F256" i="17"/>
  <c r="F258" i="17" s="1"/>
  <c r="E255" i="17"/>
  <c r="F255" i="17" s="1"/>
  <c r="F254" i="17"/>
  <c r="F253" i="17"/>
  <c r="E253" i="17"/>
  <c r="F252" i="17"/>
  <c r="F248" i="17"/>
  <c r="F247" i="17"/>
  <c r="F246" i="17"/>
  <c r="F245" i="17"/>
  <c r="F230" i="17"/>
  <c r="F227" i="17"/>
  <c r="F229" i="17" s="1"/>
  <c r="F226" i="17"/>
  <c r="F225" i="17"/>
  <c r="F224" i="17"/>
  <c r="F223" i="17"/>
  <c r="F231" i="17" s="1"/>
  <c r="F214" i="17"/>
  <c r="F216" i="17" s="1"/>
  <c r="F213" i="17"/>
  <c r="F212" i="17"/>
  <c r="F211" i="17"/>
  <c r="F210" i="17"/>
  <c r="F209" i="17"/>
  <c r="E203" i="17"/>
  <c r="E202" i="17"/>
  <c r="E188" i="17"/>
  <c r="F187" i="17"/>
  <c r="F192" i="17" s="1"/>
  <c r="F185" i="17"/>
  <c r="F186" i="17" s="1"/>
  <c r="E184" i="17"/>
  <c r="F170" i="17"/>
  <c r="E170" i="17"/>
  <c r="F169" i="17"/>
  <c r="F168" i="17"/>
  <c r="F167" i="17"/>
  <c r="F166" i="17"/>
  <c r="F164" i="17"/>
  <c r="F163" i="17"/>
  <c r="F162" i="17"/>
  <c r="F160" i="17"/>
  <c r="F159" i="17"/>
  <c r="F157" i="17"/>
  <c r="F154" i="17"/>
  <c r="F151" i="17"/>
  <c r="F150" i="17"/>
  <c r="E147" i="17"/>
  <c r="E144" i="17"/>
  <c r="F143" i="17"/>
  <c r="E143" i="17"/>
  <c r="F142" i="17"/>
  <c r="F147" i="17" s="1"/>
  <c r="E141" i="17"/>
  <c r="E137" i="17"/>
  <c r="F136" i="17"/>
  <c r="E136" i="17"/>
  <c r="F135" i="17"/>
  <c r="F141" i="17" s="1"/>
  <c r="F134" i="17"/>
  <c r="F133" i="17"/>
  <c r="F129" i="17"/>
  <c r="F128" i="17"/>
  <c r="F127" i="17"/>
  <c r="F132" i="17" s="1"/>
  <c r="E126" i="17"/>
  <c r="E122" i="17"/>
  <c r="E121" i="17"/>
  <c r="F121" i="17" s="1"/>
  <c r="F120" i="17"/>
  <c r="F126" i="17" s="1"/>
  <c r="E119" i="17"/>
  <c r="F116" i="17"/>
  <c r="F115" i="17"/>
  <c r="F117" i="17" s="1"/>
  <c r="E114" i="17"/>
  <c r="F113" i="17"/>
  <c r="F114" i="17" s="1"/>
  <c r="F282" i="17" l="1"/>
  <c r="F284" i="17" s="1"/>
  <c r="F296" i="17"/>
  <c r="F288" i="17"/>
  <c r="F290" i="17"/>
  <c r="F294" i="17"/>
  <c r="F301" i="17"/>
  <c r="F233" i="17"/>
  <c r="F235" i="17"/>
  <c r="F232" i="17"/>
  <c r="F234" i="17"/>
  <c r="F193" i="17"/>
  <c r="F194" i="17"/>
  <c r="F190" i="17"/>
  <c r="F201" i="17"/>
  <c r="F203" i="17" s="1"/>
  <c r="F204" i="17"/>
  <c r="F228" i="17"/>
  <c r="F259" i="17"/>
  <c r="F188" i="17"/>
  <c r="F257" i="17"/>
  <c r="F191" i="17"/>
  <c r="F215" i="17"/>
  <c r="F183" i="17"/>
  <c r="F189" i="17"/>
  <c r="F260" i="17"/>
  <c r="F118" i="17"/>
  <c r="F137" i="17"/>
  <c r="F122" i="17"/>
  <c r="F144" i="17"/>
  <c r="F286" i="17" l="1"/>
  <c r="F285" i="17"/>
  <c r="F283" i="17"/>
  <c r="F239" i="17"/>
  <c r="F236" i="17"/>
  <c r="F238" i="17"/>
  <c r="F237" i="17"/>
  <c r="F195" i="17"/>
  <c r="F196" i="17" s="1"/>
  <c r="F184" i="17"/>
  <c r="F197" i="17"/>
  <c r="F202" i="17"/>
  <c r="F206" i="17"/>
  <c r="F205" i="17"/>
  <c r="F207" i="17"/>
  <c r="F119" i="17"/>
  <c r="F171" i="17"/>
  <c r="F172" i="17" s="1"/>
  <c r="F200" i="17" l="1"/>
  <c r="F198" i="17"/>
  <c r="F242" i="17"/>
  <c r="F241" i="17"/>
  <c r="F240" i="17"/>
  <c r="F243" i="17"/>
  <c r="F173" i="17"/>
  <c r="F175" i="17"/>
  <c r="F37" i="17" l="1"/>
  <c r="F40" i="17" s="1"/>
  <c r="F39" i="17" l="1"/>
  <c r="F42" i="17"/>
  <c r="F38" i="17"/>
  <c r="F26" i="17" l="1"/>
  <c r="F30" i="17" l="1"/>
  <c r="F28" i="17"/>
  <c r="F27" i="17"/>
  <c r="F29" i="17"/>
  <c r="F31" i="17" l="1"/>
  <c r="E68" i="17" l="1"/>
  <c r="F68" i="17" s="1"/>
  <c r="E67" i="17"/>
  <c r="F67" i="17" s="1"/>
  <c r="E66" i="17"/>
  <c r="F66" i="17" s="1"/>
  <c r="F65" i="17"/>
  <c r="F64" i="17"/>
  <c r="F75" i="17"/>
  <c r="F74" i="17"/>
  <c r="F73" i="17"/>
  <c r="F72" i="17"/>
  <c r="F71" i="17"/>
  <c r="E81" i="17"/>
  <c r="F81" i="17" s="1"/>
  <c r="E80" i="17"/>
  <c r="F80" i="17" s="1"/>
  <c r="E79" i="17"/>
  <c r="F79" i="17" s="1"/>
  <c r="F78" i="17"/>
  <c r="F77" i="17"/>
  <c r="F21" i="17" l="1"/>
  <c r="F24" i="17" s="1"/>
  <c r="F45" i="17" l="1"/>
  <c r="E106" i="17" l="1"/>
  <c r="E105" i="17"/>
  <c r="E104" i="17"/>
  <c r="E103" i="17"/>
  <c r="F102" i="17"/>
  <c r="F101" i="17"/>
  <c r="F100" i="17"/>
  <c r="E99" i="17"/>
  <c r="F99" i="17" s="1"/>
  <c r="E98" i="17"/>
  <c r="F98" i="17" s="1"/>
  <c r="E97" i="17"/>
  <c r="F97" i="17" s="1"/>
  <c r="F90" i="17"/>
  <c r="F91" i="17" s="1"/>
  <c r="F85" i="17"/>
  <c r="F89" i="17" s="1"/>
  <c r="E84" i="17"/>
  <c r="F83" i="17" l="1"/>
  <c r="F84" i="17" s="1"/>
  <c r="F95" i="17"/>
  <c r="F105" i="17"/>
  <c r="F106" i="17"/>
  <c r="F103" i="17"/>
  <c r="F88" i="17"/>
  <c r="F104" i="17"/>
  <c r="F87" i="17"/>
  <c r="F86" i="17"/>
  <c r="F92" i="17"/>
  <c r="F20" i="17" l="1"/>
  <c r="F19" i="17"/>
  <c r="F18" i="17"/>
  <c r="E62" i="17" l="1"/>
  <c r="F62" i="17" s="1"/>
  <c r="E61" i="17"/>
  <c r="F61" i="17" s="1"/>
  <c r="E60" i="17"/>
  <c r="F60" i="17" s="1"/>
  <c r="E58" i="17"/>
  <c r="F58" i="17" s="1"/>
  <c r="E57" i="17"/>
  <c r="F57" i="17" s="1"/>
  <c r="F16" i="17" l="1"/>
  <c r="F15" i="17"/>
  <c r="F14" i="17"/>
  <c r="F52" i="17" l="1"/>
  <c r="F53" i="17"/>
  <c r="E46" i="17" l="1"/>
  <c r="F46" i="17" s="1"/>
  <c r="F22" i="17" l="1"/>
  <c r="E47" i="17" l="1"/>
  <c r="E48" i="17"/>
  <c r="F48" i="17" s="1"/>
  <c r="E9" i="17" l="1"/>
  <c r="E10" i="17"/>
  <c r="E11" i="17"/>
  <c r="F11" i="17" s="1"/>
  <c r="E12" i="17"/>
  <c r="E50" i="17"/>
  <c r="E51" i="17"/>
  <c r="E54" i="17"/>
  <c r="E55" i="17"/>
  <c r="F55" i="17" l="1"/>
  <c r="F51" i="17"/>
  <c r="F54" i="17"/>
  <c r="F50" i="17"/>
  <c r="F10" i="17"/>
  <c r="F12" i="17"/>
  <c r="F9" i="17"/>
  <c r="F44" i="17" l="1"/>
  <c r="F47" i="17"/>
  <c r="F33" i="17" l="1"/>
  <c r="F32" i="17"/>
  <c r="F36" i="17"/>
  <c r="F34" i="17"/>
</calcChain>
</file>

<file path=xl/sharedStrings.xml><?xml version="1.0" encoding="utf-8"?>
<sst xmlns="http://schemas.openxmlformats.org/spreadsheetml/2006/main" count="758" uniqueCount="340">
  <si>
    <t>jami</t>
  </si>
  <si>
    <t>#</t>
  </si>
  <si>
    <t>kac/sT</t>
  </si>
  <si>
    <t>kv.m.</t>
  </si>
  <si>
    <t>kub.m.</t>
  </si>
  <si>
    <t>6-1-1.</t>
  </si>
  <si>
    <t>sabazro</t>
  </si>
  <si>
    <t>1-116-10</t>
  </si>
  <si>
    <t>proeqtiT</t>
  </si>
  <si>
    <t>ჯამი</t>
  </si>
  <si>
    <t>zednadebi xarjebi</t>
  </si>
  <si>
    <t xml:space="preserve">gegmiuri dagroveba </t>
  </si>
  <si>
    <t>IV-2-82
1-80-2</t>
  </si>
  <si>
    <t>en da g</t>
  </si>
  <si>
    <t>1-22-1</t>
  </si>
  <si>
    <t>T13p.5</t>
  </si>
  <si>
    <t>8-609-1</t>
  </si>
  <si>
    <t>48-18-4</t>
  </si>
  <si>
    <t xml:space="preserve">jami </t>
  </si>
  <si>
    <t>8-3-2</t>
  </si>
  <si>
    <t>შრომითი რესურსები</t>
  </si>
  <si>
    <t>კაც/სთ</t>
  </si>
  <si>
    <t>ლარი</t>
  </si>
  <si>
    <t>სხვა ხარჯები</t>
  </si>
  <si>
    <t>კგ</t>
  </si>
  <si>
    <t>ქვიშა</t>
  </si>
  <si>
    <t>გრძ.მ</t>
  </si>
  <si>
    <t>სადემონტაჟო სამუშაოები</t>
  </si>
  <si>
    <t>ცალი</t>
  </si>
  <si>
    <t>მ/სთ</t>
  </si>
  <si>
    <t xml:space="preserve">ტერიტორიეს ფორმირება საპროექტო ნიშნულზე მიწის მოჭრა მოსწორება ადგილზე დამუშავებით </t>
  </si>
  <si>
    <t>კვ.მ.</t>
  </si>
  <si>
    <t>კოდი0919</t>
  </si>
  <si>
    <t>ექსკავატორის ექსპლუატაცია 0,8კუბ.მ.</t>
  </si>
  <si>
    <t>კოდი1010</t>
  </si>
  <si>
    <t>ბულდოზერის ექსპლუატაცია 79კვტ.</t>
  </si>
  <si>
    <t>კოდი1504</t>
  </si>
  <si>
    <t>ავტოგრეიდერი 79კვტ.</t>
  </si>
  <si>
    <t>კუბ.მ.</t>
  </si>
  <si>
    <t xml:space="preserve">შრ.რესურსი </t>
  </si>
  <si>
    <t>კ/სთ</t>
  </si>
  <si>
    <t>ტ</t>
  </si>
  <si>
    <t>სამონტაჟო სამუშაოები</t>
  </si>
  <si>
    <t>სამშენებლო მანქანები</t>
  </si>
  <si>
    <t>ღორღი  (0-40)</t>
  </si>
  <si>
    <t>კბმ</t>
  </si>
  <si>
    <t>სხვადასხვა მასალა ნორმით</t>
  </si>
  <si>
    <t>მანქანები</t>
  </si>
  <si>
    <t>ბეტონი ~B15~</t>
  </si>
  <si>
    <t>მ3</t>
  </si>
  <si>
    <t>გრძ.მ.</t>
  </si>
  <si>
    <t>ბეტონი ~მ200~</t>
  </si>
  <si>
    <t>ცემენტის ხსნარი</t>
  </si>
  <si>
    <t>საბაზრო</t>
  </si>
  <si>
    <t>დანარჩენი ხარჯები</t>
  </si>
  <si>
    <t>ც</t>
  </si>
  <si>
    <t>წყლის სოკო</t>
  </si>
  <si>
    <t>ბეტონი B-15 M-200</t>
  </si>
  <si>
    <t>სხვა მასალა</t>
  </si>
  <si>
    <t>ტრანსპორტირება და სხვა მექანიზმები</t>
  </si>
  <si>
    <t>სამუშაოს დასახელება</t>
  </si>
  <si>
    <t>რესურსი</t>
  </si>
  <si>
    <t>ხელფასი</t>
  </si>
  <si>
    <t>მასალა</t>
  </si>
  <si>
    <t>მექანიზმი</t>
  </si>
  <si>
    <t>მატერიალური რესურსი</t>
  </si>
  <si>
    <t>საპარკე სკამი (ესკიზის შესაბამისი)</t>
  </si>
  <si>
    <t>საპარკე სკამი</t>
  </si>
  <si>
    <t xml:space="preserve">დეკორატიული სანაგვე ურნა ამოსაღები სათლით </t>
  </si>
  <si>
    <t>მ2</t>
  </si>
  <si>
    <t>სამშენებლო სამუშაოები</t>
  </si>
  <si>
    <t>კუბ.მ</t>
  </si>
  <si>
    <t xml:space="preserve">ზედმეტი გრუნტის დატვირთვა ხელით ავტოთვითმცლელებზე </t>
  </si>
  <si>
    <t>ტონა</t>
  </si>
  <si>
    <t>ზედმეტი გრუნტის ტრანსპორტირება</t>
  </si>
  <si>
    <t>ბეტონი B-15</t>
  </si>
  <si>
    <t>ზედნადები ხარჯები (%მუშახელის პირდაპირი ხელფასიდან)</t>
  </si>
  <si>
    <t>გეგმიური დაგროვება</t>
  </si>
  <si>
    <t>ზედმეტი გრუნტი</t>
  </si>
  <si>
    <t>სასმელი წყლის (სოკოს) მოწყობა დაერთების ღირებულებისა და მონტაჟის გათვალისწინებით   (ესკიზის შესაბამისი)</t>
  </si>
  <si>
    <t xml:space="preserve"> სარწყავი სისტემის მოწყობა</t>
  </si>
  <si>
    <t>გრუნტის დამუშავება ხელით III კატ. გრუნტში, ტრანშეის მოსაწყობად (0,4*0,3)</t>
  </si>
  <si>
    <t>23_1._1</t>
  </si>
  <si>
    <t>მილების ქვეშ ქვიშის ფენილის მოწყობა სისქით 100მმ, თავზე 100მმ დატკეპნით</t>
  </si>
  <si>
    <t>თხრილის შევსება გრუნტით ფენობრივი დატკეპნით</t>
  </si>
  <si>
    <t>16-12-1.</t>
  </si>
  <si>
    <t>ვენტილი პლასტმასის Ø=32მმ</t>
  </si>
  <si>
    <t>ჭანჭიკი ქანჩით</t>
  </si>
  <si>
    <t>მილტუჩი</t>
  </si>
  <si>
    <t>22-23-1გამ</t>
  </si>
  <si>
    <t>პლასტმასის ფასონური ნაწილების მოწყობა (მუხლი)</t>
  </si>
  <si>
    <t>მუხლი Ø=32მმ</t>
  </si>
  <si>
    <t>22-23-2გამ</t>
  </si>
  <si>
    <t>პლასტმასის ფასონური ნაწილების მოწყობა (სამკაპი)</t>
  </si>
  <si>
    <t>23-12-1.</t>
  </si>
  <si>
    <t>პოლიეთილენის სწრაფი მიერთების კვანძი, ოთხკუთხა ჭების მოწყობა 505X380X315მმ</t>
  </si>
  <si>
    <t>პოლიეთილენის ოთხკუთხა ჭა 505X380X315მმ</t>
  </si>
  <si>
    <t>სადრენაჟე ჭის მოწყობა სასმელი წყლის სოკოსათვის (ესკიზის მიხედვით)</t>
  </si>
  <si>
    <t>სადრენაჟე ჭა (მოწყობის გათვალისწინებით, გოფრირებული პერფორირებული პლასტმასის მილი დ-500-თ და ხუფით ესკიზის მიხედვით)</t>
  </si>
  <si>
    <t xml:space="preserve">10კმ-ზე </t>
  </si>
  <si>
    <t>კომპ</t>
  </si>
  <si>
    <t>ფურნიტურა</t>
  </si>
  <si>
    <t>სულ</t>
  </si>
  <si>
    <t>მიწის ნაზავი</t>
  </si>
  <si>
    <t>10X20  ბორდიურის მოწყობა ბეტონის საფუძველზე</t>
  </si>
  <si>
    <t>ბორდიური 10*20</t>
  </si>
  <si>
    <t>გვ.32 პ.244</t>
  </si>
  <si>
    <t>გვ.34 პ.337</t>
  </si>
  <si>
    <t>გვ.34 პ.365</t>
  </si>
  <si>
    <t>გვ.40 პ.33</t>
  </si>
  <si>
    <t xml:space="preserve">გეგმიური დაგროვება </t>
  </si>
  <si>
    <t>ნიადაგის მომზ. ხელით გაზონის მოსაწყობად 15 სმ მიწის ნაზავის დაყრით</t>
  </si>
  <si>
    <t>გვ.9 პ.16</t>
  </si>
  <si>
    <t xml:space="preserve"> ჯამი</t>
  </si>
  <si>
    <t xml:space="preserve">ზედნადები ხარჯები </t>
  </si>
  <si>
    <t>სახარჯთაღრიცხვო მოგება</t>
  </si>
  <si>
    <t>1-80-3</t>
  </si>
  <si>
    <t>გვ.32 პ.233</t>
  </si>
  <si>
    <t>პლასტმასის  მილი Ø 32მმ</t>
  </si>
  <si>
    <t>გვ.17 პ.1</t>
  </si>
  <si>
    <t>გვ.17 პ.3</t>
  </si>
  <si>
    <t>გვ.52 პ.60</t>
  </si>
  <si>
    <t>გვ.52 პ.59</t>
  </si>
  <si>
    <t>გვ.60 პ.508</t>
  </si>
  <si>
    <t>გვ.60 პ.510</t>
  </si>
  <si>
    <t>გვ.60 პ.511</t>
  </si>
  <si>
    <t>გვ.64 პ.778</t>
  </si>
  <si>
    <t>გვ.64 პ.774</t>
  </si>
  <si>
    <t>გვ.54 პ.153</t>
  </si>
  <si>
    <t>SromiTi resursebi</t>
  </si>
  <si>
    <t>11_20_1</t>
  </si>
  <si>
    <t>manqanebi</t>
  </si>
  <si>
    <t>lari</t>
  </si>
  <si>
    <t>პლასტმასის  მილი Ø 63მმ</t>
  </si>
  <si>
    <t>პლასტმასის  მილი Ø 20მმ</t>
  </si>
  <si>
    <t>გვ.17 პ.16</t>
  </si>
  <si>
    <t xml:space="preserve">პლასტმასის მილების მოწყობა </t>
  </si>
  <si>
    <t xml:space="preserve">ვენტილების მოწყობა </t>
  </si>
  <si>
    <t>ვენტილი პლასტმასის Ø=63მმ</t>
  </si>
  <si>
    <t>მუხლი Ø=20მმ</t>
  </si>
  <si>
    <t>მუხლი Ø=63მმ</t>
  </si>
  <si>
    <t>სამკაპი Ø=32X20</t>
  </si>
  <si>
    <t>სამკაპი Ø=63X32</t>
  </si>
  <si>
    <t>snw                         23-23</t>
  </si>
  <si>
    <t>c</t>
  </si>
  <si>
    <t>Sromis danaxarjebi</t>
  </si>
  <si>
    <t>kac.sT</t>
  </si>
  <si>
    <t>materialuri resursebi</t>
  </si>
  <si>
    <t>cementis xsnari m-100</t>
  </si>
  <si>
    <t>pr</t>
  </si>
  <si>
    <r>
      <t>m</t>
    </r>
    <r>
      <rPr>
        <vertAlign val="superscript"/>
        <sz val="10"/>
        <rFont val="AcadNusx"/>
      </rPr>
      <t>3</t>
    </r>
  </si>
  <si>
    <r>
      <t xml:space="preserve">პლასტმასის ჭის ხუფი korpusis </t>
    </r>
    <r>
      <rPr>
        <sz val="10"/>
        <rFont val="Calibri"/>
        <family val="2"/>
        <charset val="204"/>
      </rPr>
      <t>Φ</t>
    </r>
    <r>
      <rPr>
        <sz val="10"/>
        <rFont val="AcadNusx"/>
      </rPr>
      <t xml:space="preserve">780, xufis </t>
    </r>
    <r>
      <rPr>
        <sz val="10"/>
        <rFont val="Calibri"/>
        <family val="2"/>
        <charset val="204"/>
      </rPr>
      <t>Φ64</t>
    </r>
    <r>
      <rPr>
        <sz val="10"/>
        <rFont val="AcadNusx"/>
      </rPr>
      <t>0</t>
    </r>
  </si>
  <si>
    <t>srf 4,1-366</t>
  </si>
  <si>
    <t>srf 4,1-128</t>
  </si>
  <si>
    <t>srf2019-II</t>
  </si>
  <si>
    <t>_</t>
  </si>
  <si>
    <t>შრომის დანახარჯი</t>
  </si>
  <si>
    <t>მანქ/სთ</t>
  </si>
  <si>
    <t>ВЗЕР 1-3</t>
  </si>
  <si>
    <t>სამშენებლო ნაგავის დატვირთვა ა/მანქანაზე ხელით</t>
  </si>
  <si>
    <t>სამშენებლო ნაგვის ტრანსპორტირება</t>
  </si>
  <si>
    <t xml:space="preserve">42-14-2 </t>
  </si>
  <si>
    <t>ამწე მუხლუხა სვლაზე 15-16 ტნ</t>
  </si>
  <si>
    <t>_სხვა მანქანები</t>
  </si>
  <si>
    <t>გვ.30 პ.168</t>
  </si>
  <si>
    <t>გვ.28 პ.82</t>
  </si>
  <si>
    <t>2019-III</t>
  </si>
  <si>
    <t>კოდი0481</t>
  </si>
  <si>
    <t>ბეტონი ~მ200~ k=0.8</t>
  </si>
  <si>
    <t>1-81-2. ცხ3 პ.3.104</t>
  </si>
  <si>
    <t>snw                   22-8(1)</t>
  </si>
  <si>
    <t xml:space="preserve"> ზედნადები ხარჯები </t>
  </si>
  <si>
    <r>
      <t xml:space="preserve">27-19-1.,                         </t>
    </r>
    <r>
      <rPr>
        <sz val="8"/>
        <rFont val="AcadNusx"/>
      </rPr>
      <t>tk-3; p8</t>
    </r>
  </si>
  <si>
    <t>ერთეულზე</t>
  </si>
  <si>
    <t>განზ.</t>
  </si>
  <si>
    <t>საფუძველი</t>
  </si>
  <si>
    <t>ერთ.      ფასი</t>
  </si>
  <si>
    <t xml:space="preserve">დეკორატიული სანაგვე ურნა ამოსაღები სათლით (ესკიზის შესაბამისი) </t>
  </si>
  <si>
    <t xml:space="preserve">პლასტმასის Webis mowyoba xufebiT </t>
  </si>
  <si>
    <t xml:space="preserve">ღორღის საფუძვლის მოწყობა ქვაფენილის, კაუჩუკის მოედნის და ბორდიურების ქვეშ საშუალოდ 10სმ </t>
  </si>
  <si>
    <t>48-8-3</t>
  </si>
  <si>
    <t>niadagis momzadeba foTlovani mcenar.  dasargavad 50% nazavi miwis damatebiT</t>
  </si>
  <si>
    <t>ormo</t>
  </si>
  <si>
    <t>kodi0218</t>
  </si>
  <si>
    <t>traqtori pnevmosvlaze 59kvt.</t>
  </si>
  <si>
    <t>m/sT</t>
  </si>
  <si>
    <t>kodi1120</t>
  </si>
  <si>
    <t>ormosamomTxreli manqana</t>
  </si>
  <si>
    <t>nazavi miwa</t>
  </si>
  <si>
    <t>48-10-3</t>
  </si>
  <si>
    <t>xe</t>
  </si>
  <si>
    <t>kodi1554</t>
  </si>
  <si>
    <t>sarwyavi manqana 6000l</t>
  </si>
  <si>
    <t>kodi0606</t>
  </si>
  <si>
    <t>amwe saavtomobilo svlaze 5toniani</t>
  </si>
  <si>
    <t>cali</t>
  </si>
  <si>
    <t>smk</t>
  </si>
  <si>
    <t>wyali</t>
  </si>
  <si>
    <t>48-13-1</t>
  </si>
  <si>
    <t>buCqebis dargva ormos zomiT 0,4X0,4X0,4m</t>
  </si>
  <si>
    <t>buCqi</t>
  </si>
  <si>
    <t>სნწ 11-43   დამატ</t>
  </si>
  <si>
    <t>მეთ.ცნ 4.12-11</t>
  </si>
  <si>
    <t>შრომის დანახარჯები</t>
  </si>
  <si>
    <t>მატერიალური რესურსები</t>
  </si>
  <si>
    <t>გვ.46 პ.10</t>
  </si>
  <si>
    <t>წებო</t>
  </si>
  <si>
    <t>სრფ     1,1-26</t>
  </si>
  <si>
    <t>ლითონის დეკორატიული ღობის მოწყობა</t>
  </si>
  <si>
    <t>გრუნტის დამუშავება ხელით /II კატ./ ღობის საძირკვლის მოსაწყობად</t>
  </si>
  <si>
    <t>ბეტონის მომზადება წერტილოვანი საძირკვლის ქვეშ</t>
  </si>
  <si>
    <t>6-9-8</t>
  </si>
  <si>
    <t>ჩასატანებელი დეტალების მოწყობა მოაჯირისთვის (პროექტის მიხედვით)</t>
  </si>
  <si>
    <t xml:space="preserve">შრომის დანახარჯები </t>
  </si>
  <si>
    <t>კაც.-სთ</t>
  </si>
  <si>
    <t>გვ.5 პ.21</t>
  </si>
  <si>
    <t>გვ.1 პ.28</t>
  </si>
  <si>
    <r>
      <t xml:space="preserve">არმატურა </t>
    </r>
    <r>
      <rPr>
        <sz val="10"/>
        <color theme="1"/>
        <rFont val="ტი"/>
      </rPr>
      <t>A</t>
    </r>
    <r>
      <rPr>
        <sz val="10"/>
        <color theme="1"/>
        <rFont val="AcadNusx"/>
      </rPr>
      <t xml:space="preserve">III </t>
    </r>
  </si>
  <si>
    <t>snw                       7-21(10)</t>
  </si>
  <si>
    <t xml:space="preserve">ლითონის ღობე მილკვადრატით                                             (პროექტის მიხედვი) </t>
  </si>
  <si>
    <t>m</t>
  </si>
  <si>
    <t>meT.cn 4.12-7</t>
  </si>
  <si>
    <t>srf 13-44</t>
  </si>
  <si>
    <t>amwe saavtomobilo svlaze 10t</t>
  </si>
  <si>
    <t>manq.sT</t>
  </si>
  <si>
    <t>sxva manqanebi</t>
  </si>
  <si>
    <t>ლითონის კონსტრუქცია (პროექტით)</t>
  </si>
  <si>
    <t>sxva masala</t>
  </si>
  <si>
    <t>15-164-8</t>
  </si>
  <si>
    <t>ღობის შეღებვა</t>
  </si>
  <si>
    <t>საღებავი</t>
  </si>
  <si>
    <t>ბეტონის მომზადება სისქ. 10სმ, კაუჩუკის საფარის ქვეშ</t>
  </si>
  <si>
    <t>არსებული დაზიანებული ბეტონის ნაკეთობების დემონტაჟი და დატვირთვა ა/თვითმცლელებზე</t>
  </si>
  <si>
    <t>6-11-3</t>
  </si>
  <si>
    <t xml:space="preserve">                                                                                                                                                                    </t>
  </si>
  <si>
    <t>ბეტონით B-22,5</t>
  </si>
  <si>
    <t>დახერხილი ხის მასალა.</t>
  </si>
  <si>
    <t>ბაზალტის ფილა</t>
  </si>
  <si>
    <t xml:space="preserve">რ/ბეტონის კიბეების მოწყობა </t>
  </si>
  <si>
    <t xml:space="preserve">კიბის მოპირკეთება ბაზალტის ფილებით </t>
  </si>
  <si>
    <t xml:space="preserve">კობის მოწყობა ბეტონით    B-22,5 </t>
  </si>
  <si>
    <t>ბილიკების მოწყობა დეკორატიული ქვით (ბრუშატკა)</t>
  </si>
  <si>
    <t>დეკორატიუული ქვა (ბრუშატკა)</t>
  </si>
  <si>
    <t xml:space="preserve">ჰიდროთესვის პრინციპით ბალახის დათესვა (20kv.მ-ზე არანაკლებ 1 კგ, Sesabamisi masalisa da samuSaos Rirebulebis gaTvaliswinebiT) </t>
  </si>
  <si>
    <r>
      <t xml:space="preserve">dekorაtiuli wiTeli tyemali / </t>
    </r>
    <r>
      <rPr>
        <sz val="9"/>
        <rFont val="Arial"/>
        <family val="2"/>
      </rPr>
      <t>Prunus virginiana "canada red"</t>
    </r>
    <r>
      <rPr>
        <sz val="9"/>
        <rFont val="AcadNusx"/>
      </rPr>
      <t xml:space="preserve">' მცენარის სიმაღლე არანაკლებ 3,0 მეტრი. გარშემოწერილობა მიწის პირიდან ერთ მეტრ სიმაღლეზე არანაკლებ  14 სმ. </t>
    </r>
  </si>
  <si>
    <r>
      <t>amerikuli cacxvi /P</t>
    </r>
    <r>
      <rPr>
        <sz val="9"/>
        <rFont val="Arial"/>
        <family val="2"/>
      </rPr>
      <t>tilia americana . მცენარის სიმაღლე არანაკლებ 3,0 მეტრი. გარშემოწერილობა მიწის პირიდან ერთ მეტრ სიმაღლეზე არანაკლებ  14 სმ.</t>
    </r>
  </si>
  <si>
    <r>
      <t xml:space="preserve">bambukisfoTola muxa (maradmwvane) </t>
    </r>
    <r>
      <rPr>
        <sz val="9"/>
        <rFont val="Arial"/>
        <family val="2"/>
      </rPr>
      <t>Quercus myrsinifolia</t>
    </r>
    <r>
      <rPr>
        <sz val="9"/>
        <rFont val="AcadNusx"/>
      </rPr>
      <t xml:space="preserve">'მცენარის სიმაღლე არანაკლებ 3,0 მეტრი. გარშემოწერილობა მიწის პირიდან ერთ მეტრ სიმაღლეზე არანაკლებ  14 სმ. </t>
    </r>
  </si>
  <si>
    <t>ფურცლოვანი ფოლადი დ=6მმ</t>
  </si>
  <si>
    <t xml:space="preserve">საბავშო saqanela                             (ესკიზის შესაბამისი ) </t>
  </si>
  <si>
    <t>საბავშო ატრაქციონი მოწყობა tipi I (ესკიზის შესაბამისად)</t>
  </si>
  <si>
    <t>არსებული დაზიანებული ფურნიტურის სხვადასხვა კონსტრუქციის დემონტაჟი და დატვირთვა ა/თვითმცლელებზე</t>
  </si>
  <si>
    <t xml:space="preserve">ბილიკების მოწყობა ქვაფენილის დეკორატიული ფილებით ჰ-3სმ  </t>
  </si>
  <si>
    <t xml:space="preserve"> დეკორატიული ფილა ჰ-3სმ</t>
  </si>
  <si>
    <t>არმატურა Φ8 (კაუჩუკის საფარის მოედნისათვის რმატურა AIII ბიჯი 200*200მმ )</t>
  </si>
  <si>
    <t>გრუნტის დამუშავება ხელით /II კატ./ ელ.კაბელების გასაყვანად</t>
  </si>
  <si>
    <t>1_80_6</t>
  </si>
  <si>
    <t xml:space="preserve">ორმოების ამოღება ხელით სანათების ბოძების დასაყენებლად ზომით 0,7*0,5*0,5 </t>
  </si>
  <si>
    <t>22-8-1.</t>
  </si>
  <si>
    <t>პლასტმასის გოფრირებული მილების 50მმ ჩაწყობა თხრილში</t>
  </si>
  <si>
    <t>გვ.22 პ.28</t>
  </si>
  <si>
    <t>პლასტმასის გოფრირებული მილი Ø50*2.2მმ</t>
  </si>
  <si>
    <t>სასიგნალო ლენტის მოწყობა ქვიშის ფენილის თავზე</t>
  </si>
  <si>
    <t>სასიგნალო ლენტა</t>
  </si>
  <si>
    <t>1-81-2</t>
  </si>
  <si>
    <t>გრუნტის უკუჩაყრა ხელით</t>
  </si>
  <si>
    <t>en da g 1-22-1</t>
  </si>
  <si>
    <t>სრფ 2019 IIკვ</t>
  </si>
  <si>
    <t>snw              23-1(1)</t>
  </si>
  <si>
    <t>qviSa 0-5mm</t>
  </si>
  <si>
    <t>m3</t>
  </si>
  <si>
    <t>6.1.1</t>
  </si>
  <si>
    <t xml:space="preserve">სანათების ბოძების დაბეტონება B-15 ბეტონით </t>
  </si>
  <si>
    <t>33-251-6</t>
  </si>
  <si>
    <t>დეკორატიული სანათის ბოძი (ლითონის) (პროექტის იდენტური, მასალისა და სამუშაოს ღირებულების გათვალისწინებით)</t>
  </si>
  <si>
    <t>ც.</t>
  </si>
  <si>
    <t>გვ.133 პ.61</t>
  </si>
  <si>
    <t xml:space="preserve">amwe saavtomobilo 16t </t>
  </si>
  <si>
    <t xml:space="preserve">ანძა </t>
  </si>
  <si>
    <t>გვ.112 პ.54</t>
  </si>
  <si>
    <t>ავტოამომრთველი 16ა</t>
  </si>
  <si>
    <t>15.164.8</t>
  </si>
  <si>
    <t>ბოძების შეღებვა ზეთოვანი საღებავით ორჯერადად (ფერი შეთანხდეს დამკვეთთან)</t>
  </si>
  <si>
    <t>ზეთოვანი საღბავი</t>
  </si>
  <si>
    <t>სულ სამშენებლო სამუშაოები 1</t>
  </si>
  <si>
    <t>8.471.4</t>
  </si>
  <si>
    <t>დამიწების სოლების მოწყობა 2მეტრის სიგრძის, სისქით  A-III ფ=18</t>
  </si>
  <si>
    <t>გვ.1 პ.38</t>
  </si>
  <si>
    <r>
      <t xml:space="preserve">დამიწების ღერო  A-III </t>
    </r>
    <r>
      <rPr>
        <sz val="10"/>
        <rFont val="Arial"/>
        <family val="2"/>
      </rPr>
      <t>D</t>
    </r>
    <r>
      <rPr>
        <sz val="10"/>
        <rFont val="Calibri"/>
        <family val="2"/>
      </rPr>
      <t>=18</t>
    </r>
  </si>
  <si>
    <t>8_471_4</t>
  </si>
  <si>
    <t>დამიწების კონტურის მოწყობა სოლების შემაერთებელი ა-1 Ф-10 გლინულას ელ. შედუღებით</t>
  </si>
  <si>
    <t>გვ.1 პ.30</t>
  </si>
  <si>
    <t>გლინულა Ф-10</t>
  </si>
  <si>
    <t>ელექტროდი</t>
  </si>
  <si>
    <t>ბოძის ფანჯრის შიგნით М=10 ჭანჭიკის  დადუღება დამხმარე დანულების მისაქანჩად (ქანჩით და ორი საყლურით)</t>
  </si>
  <si>
    <t>კომპლ.</t>
  </si>
  <si>
    <t>ჭანჭიკი, ქანჩი და საყელურები</t>
  </si>
  <si>
    <t>კომპ.</t>
  </si>
  <si>
    <t>ბოძის გარეთ მოწიდან 300მმ სიმღლეზე М-10 ჭანჭიკის მიდუღება დამიწების მისაქანჩად (ქანჩათ და ორი საყელურით)</t>
  </si>
  <si>
    <t>სანათი dekoratiuli  (ესკიზის შესაბამისი)</t>
  </si>
  <si>
    <t>სანათი ნათურით</t>
  </si>
  <si>
    <t>8-612-2.</t>
  </si>
  <si>
    <t xml:space="preserve">გარე განათების ლითონის კარადა, ერთი ერთფაზა ავტომატით Iნ=6,0ა </t>
  </si>
  <si>
    <t xml:space="preserve">ლითონის ყუთი ავტომატით Iნ=6,0ა </t>
  </si>
  <si>
    <t>გვ.112 პ.56</t>
  </si>
  <si>
    <t>ავტოამომრთველი 25ა</t>
  </si>
  <si>
    <t>გვ.112 პ.57</t>
  </si>
  <si>
    <t>ავტოამომრთველი 32ა</t>
  </si>
  <si>
    <t>8-149-1</t>
  </si>
  <si>
    <t>კაბელის გატარება გოფრირებულ მილში</t>
  </si>
  <si>
    <t>გვ.90პ.31</t>
  </si>
  <si>
    <t>ელ.კაბელი კვეთით(5.0X6)კვ.მმ.</t>
  </si>
  <si>
    <t>სადენის გაყვანა ანძაში</t>
  </si>
  <si>
    <t>გვ.90 პ.21</t>
  </si>
  <si>
    <t>ელ.კაბელი კვეთით(2.5X3)კვ.მმ.</t>
  </si>
  <si>
    <t>ჯამი თავი I+II</t>
  </si>
  <si>
    <t xml:space="preserve">ქვიშის ფენილის მოწყობა გოფრირებული მილის ქვეშ 10სმ და თავზე 10სმ </t>
  </si>
  <si>
    <t>საბავშო ასაქანელა (ესკიზის შესაბამისად)</t>
  </si>
  <si>
    <t xml:space="preserve">საბავშო ატრაქციონი                           (ესკიზის შესაბამისი ) </t>
  </si>
  <si>
    <r>
      <t xml:space="preserve">xe-nergis dargva ormos zomiT 0,8X0,8mX1m </t>
    </r>
    <r>
      <rPr>
        <b/>
        <i/>
        <sz val="10"/>
        <rFont val="AcadNusx"/>
      </rPr>
      <t xml:space="preserve">(xe mcenareebis dasargavad gamosayenebeli masalebis gaTvaliswinebiT danarTis Sesabamisad ix. xe mcenareebis dasargavi gamosayenebeli masalebis eskizi) </t>
    </r>
  </si>
  <si>
    <t>რბილი საფარის მოწყობა კაუჩუკით  სისქით არანაკლებ 25მმ (თხევადი რეზინა მოხატვით )</t>
  </si>
  <si>
    <t>თხევადი რეზინა (კაუჩუკი)  არანაკლებ 25მმ</t>
  </si>
  <si>
    <r>
      <t>sabordiure buCqi ეონიმნუსი</t>
    </r>
    <r>
      <rPr>
        <sz val="9"/>
        <rFont val="Cambria"/>
        <family val="1"/>
      </rPr>
      <t xml:space="preserve"> </t>
    </r>
    <r>
      <rPr>
        <sz val="9"/>
        <rFont val="AcadNusx"/>
      </rPr>
      <t>_ Reros sigrZe</t>
    </r>
    <r>
      <rPr>
        <sz val="9"/>
        <rFont val="Cambria"/>
        <family val="1"/>
      </rPr>
      <t xml:space="preserve"> </t>
    </r>
    <r>
      <rPr>
        <sz val="9"/>
        <rFont val="AcadNusx"/>
      </rPr>
      <t>min.</t>
    </r>
    <r>
      <rPr>
        <sz val="9"/>
        <rFont val="Cambria"/>
        <family val="1"/>
      </rPr>
      <t xml:space="preserve"> </t>
    </r>
    <r>
      <rPr>
        <sz val="9"/>
        <rFont val="AcadNusx"/>
      </rPr>
      <t>0,3-0,4m.; erT Zirze min.</t>
    </r>
    <r>
      <rPr>
        <sz val="9"/>
        <rFont val="Cambria"/>
        <family val="1"/>
      </rPr>
      <t xml:space="preserve"> </t>
    </r>
    <r>
      <rPr>
        <sz val="9"/>
        <rFont val="AcadNusx"/>
      </rPr>
      <t>3-4 datotvili Rero.; konteineris moculoba</t>
    </r>
    <r>
      <rPr>
        <sz val="9"/>
        <rFont val="Cambria"/>
        <family val="1"/>
      </rPr>
      <t xml:space="preserve"> MIN. clt. </t>
    </r>
    <r>
      <rPr>
        <sz val="9"/>
        <rFont val="AcadNusx"/>
      </rPr>
      <t xml:space="preserve"> 3;</t>
    </r>
  </si>
  <si>
    <t>7..1</t>
  </si>
  <si>
    <t>ბეტონის მომზადება სისქ. 6+3სმ, ქვაფენილისათვის</t>
  </si>
  <si>
    <t>ფოტინია ბურთის ფორმის დიამეტრი 0.8-1 მ</t>
  </si>
  <si>
    <t>სმარაგდი სიმაღლე 0.8-1 მ</t>
  </si>
  <si>
    <r>
      <t>sabordiure buCqi ღვია</t>
    </r>
    <r>
      <rPr>
        <sz val="9"/>
        <rFont val="Cambria"/>
        <family val="1"/>
      </rPr>
      <t xml:space="preserve"> </t>
    </r>
    <r>
      <rPr>
        <sz val="9"/>
        <rFont val="AcadNusx"/>
      </rPr>
      <t>_ Reros sigrZe</t>
    </r>
    <r>
      <rPr>
        <sz val="9"/>
        <rFont val="Cambria"/>
        <family val="1"/>
      </rPr>
      <t xml:space="preserve"> </t>
    </r>
    <r>
      <rPr>
        <sz val="9"/>
        <rFont val="AcadNusx"/>
      </rPr>
      <t>min.</t>
    </r>
    <r>
      <rPr>
        <sz val="9"/>
        <rFont val="Cambria"/>
        <family val="1"/>
      </rPr>
      <t xml:space="preserve"> </t>
    </r>
    <r>
      <rPr>
        <sz val="9"/>
        <rFont val="AcadNusx"/>
      </rPr>
      <t>0,3-0,4m.; erT Zirze min.</t>
    </r>
    <r>
      <rPr>
        <sz val="9"/>
        <rFont val="Cambria"/>
        <family val="1"/>
      </rPr>
      <t xml:space="preserve"> </t>
    </r>
    <r>
      <rPr>
        <sz val="9"/>
        <rFont val="AcadNusx"/>
      </rPr>
      <t>3-4 datotvili Rero.; konteineris moculoba</t>
    </r>
    <r>
      <rPr>
        <sz val="9"/>
        <rFont val="Cambria"/>
        <family val="1"/>
      </rPr>
      <t xml:space="preserve"> MIN. clt. </t>
    </r>
    <r>
      <rPr>
        <sz val="9"/>
        <rFont val="AcadNusx"/>
      </rPr>
      <t xml:space="preserve"> 3;</t>
    </r>
  </si>
  <si>
    <t>ქ. თბილისი, დ/დიღომი, მირიან მეფის ქ. N73-ის მიმდებარედ სკვერის მოწყობის ხარჯთაღრიცხვა</t>
  </si>
  <si>
    <t>თავი I</t>
  </si>
  <si>
    <t>თავი II</t>
  </si>
  <si>
    <t>თავი III</t>
  </si>
  <si>
    <t>ელექტროობა</t>
  </si>
  <si>
    <t>თავი IV</t>
  </si>
  <si>
    <t>დენდროლოგია</t>
  </si>
  <si>
    <t>თავი V</t>
  </si>
  <si>
    <t xml:space="preserve"> I, II, III, IV da V Tavebis jami</t>
  </si>
  <si>
    <t xml:space="preserve">გაუთვალისწინებელი ხარჯები </t>
  </si>
  <si>
    <t xml:space="preserve">დღგ </t>
  </si>
  <si>
    <t>%</t>
  </si>
  <si>
    <t>საექსპერტო 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</si>
</sst>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₽_-;\-* #,##0.00\ _₽_-;_-* &quot;-&quot;??\ _₽_-;_-@_-"/>
    <numFmt numFmtId="165" formatCode="_-* #,##0.00\ _L_a_r_i_-;\-* #,##0.00\ _L_a_r_i_-;_-* &quot;-&quot;??\ _L_a_r_i_-;_-@_-"/>
    <numFmt numFmtId="166" formatCode="_-* #,##0.00_р_._-;\-* #,##0.00_р_._-;_-* &quot;-&quot;??_р_._-;_-@_-"/>
    <numFmt numFmtId="167" formatCode="0.0"/>
    <numFmt numFmtId="168" formatCode="0.000"/>
    <numFmt numFmtId="169" formatCode="0.0000"/>
    <numFmt numFmtId="170" formatCode="_-* #,##0.00_-;\-* #,##0.00_-;_-* &quot;-&quot;??_-;_-@_-"/>
    <numFmt numFmtId="171" formatCode="_-* #,##0.000_-;\-* #,##0.000_-;_-* &quot;-&quot;??_-;_-@_-"/>
    <numFmt numFmtId="172" formatCode="_-* #,##0.0000_-;\-* #,##0.0000_-;_-* &quot;-&quot;??_-;_-@_-"/>
  </numFmts>
  <fonts count="8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b/>
      <sz val="11"/>
      <name val="AcadNusx"/>
    </font>
    <font>
      <b/>
      <sz val="12"/>
      <name val="AcadNusx"/>
    </font>
    <font>
      <sz val="10"/>
      <name val="AcadNusx"/>
    </font>
    <font>
      <sz val="12"/>
      <name val="AcadNusx"/>
    </font>
    <font>
      <b/>
      <sz val="10"/>
      <name val="AcadNusx"/>
    </font>
    <font>
      <sz val="11"/>
      <name val="AcadNusx"/>
    </font>
    <font>
      <sz val="8"/>
      <name val="AcadNusx"/>
    </font>
    <font>
      <sz val="9"/>
      <name val="AcadNusx"/>
    </font>
    <font>
      <sz val="11"/>
      <name val="Arachveulebrivi Thin"/>
      <family val="2"/>
    </font>
    <font>
      <b/>
      <sz val="9"/>
      <name val="AcadNusx"/>
    </font>
    <font>
      <b/>
      <sz val="8"/>
      <name val="AcadNusx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cadNusx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AcadNusx"/>
    </font>
    <font>
      <sz val="8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vertAlign val="superscript"/>
      <sz val="10"/>
      <name val="AcadNusx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Sylfaen"/>
      <family val="1"/>
      <charset val="204"/>
    </font>
    <font>
      <b/>
      <sz val="7"/>
      <name val="AcadNusx"/>
    </font>
    <font>
      <sz val="11"/>
      <color theme="1"/>
      <name val="AcadNusx"/>
    </font>
    <font>
      <b/>
      <sz val="10"/>
      <color rgb="FFFF0000"/>
      <name val="AcadNusx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Cambria"/>
      <family val="1"/>
    </font>
    <font>
      <b/>
      <sz val="9"/>
      <name val="Calibri"/>
      <family val="2"/>
      <charset val="204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Times New Roman"/>
      <family val="1"/>
    </font>
    <font>
      <sz val="10"/>
      <color theme="1"/>
      <name val="ტი"/>
    </font>
    <font>
      <b/>
      <sz val="8"/>
      <color theme="1"/>
      <name val="AcadNusx"/>
    </font>
    <font>
      <sz val="11"/>
      <color rgb="FFFF0000"/>
      <name val="Times New Roman"/>
      <family val="1"/>
      <charset val="204"/>
    </font>
    <font>
      <sz val="10"/>
      <name val="Calibri"/>
      <family val="2"/>
    </font>
    <font>
      <b/>
      <i/>
      <sz val="10"/>
      <name val="AcadNusx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673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5" fontId="37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38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4" fillId="0" borderId="0"/>
    <xf numFmtId="0" fontId="37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8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38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7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24" fillId="0" borderId="0"/>
    <xf numFmtId="0" fontId="59" fillId="0" borderId="0"/>
    <xf numFmtId="0" fontId="59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8" fillId="0" borderId="0"/>
  </cellStyleXfs>
  <cellXfs count="684">
    <xf numFmtId="0" fontId="0" fillId="0" borderId="0" xfId="0"/>
    <xf numFmtId="0" fontId="28" fillId="0" borderId="0" xfId="0" applyFont="1" applyFill="1" applyBorder="1" applyAlignment="1">
      <alignment horizontal="center"/>
    </xf>
    <xf numFmtId="0" fontId="28" fillId="0" borderId="0" xfId="644" applyFont="1" applyFill="1" applyBorder="1" applyAlignment="1">
      <alignment horizontal="center"/>
    </xf>
    <xf numFmtId="0" fontId="28" fillId="0" borderId="0" xfId="644" applyFont="1" applyFill="1" applyAlignment="1">
      <alignment horizontal="center"/>
    </xf>
    <xf numFmtId="0" fontId="28" fillId="0" borderId="0" xfId="656" applyFont="1" applyFill="1" applyAlignment="1">
      <alignment horizontal="center"/>
    </xf>
    <xf numFmtId="0" fontId="28" fillId="0" borderId="0" xfId="656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/>
    <xf numFmtId="0" fontId="33" fillId="0" borderId="0" xfId="0" applyFont="1"/>
    <xf numFmtId="0" fontId="41" fillId="24" borderId="10" xfId="0" applyFont="1" applyFill="1" applyBorder="1"/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40" fillId="0" borderId="0" xfId="0" applyFont="1" applyFill="1"/>
    <xf numFmtId="0" fontId="0" fillId="0" borderId="0" xfId="0" applyFill="1"/>
    <xf numFmtId="0" fontId="29" fillId="0" borderId="10" xfId="0" applyFont="1" applyFill="1" applyBorder="1" applyAlignment="1">
      <alignment horizontal="left" vertical="center" wrapText="1"/>
    </xf>
    <xf numFmtId="0" fontId="29" fillId="27" borderId="10" xfId="0" applyFont="1" applyFill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left" vertical="center" wrapText="1"/>
    </xf>
    <xf numFmtId="0" fontId="27" fillId="27" borderId="10" xfId="0" applyFont="1" applyFill="1" applyBorder="1" applyAlignment="1">
      <alignment horizontal="center" vertical="center"/>
    </xf>
    <xf numFmtId="2" fontId="31" fillId="27" borderId="10" xfId="0" applyNumberFormat="1" applyFont="1" applyFill="1" applyBorder="1" applyAlignment="1">
      <alignment horizontal="center" vertical="center"/>
    </xf>
    <xf numFmtId="2" fontId="31" fillId="27" borderId="10" xfId="0" applyNumberFormat="1" applyFont="1" applyFill="1" applyBorder="1" applyAlignment="1">
      <alignment horizontal="right" vertical="center" wrapText="1"/>
    </xf>
    <xf numFmtId="0" fontId="29" fillId="0" borderId="10" xfId="64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640" applyFont="1" applyBorder="1" applyAlignment="1">
      <alignment horizontal="center" vertical="center"/>
    </xf>
    <xf numFmtId="2" fontId="29" fillId="0" borderId="10" xfId="640" applyNumberFormat="1" applyFont="1" applyBorder="1" applyAlignment="1">
      <alignment horizontal="center" vertical="center" wrapText="1"/>
    </xf>
    <xf numFmtId="2" fontId="27" fillId="0" borderId="10" xfId="566" applyNumberFormat="1" applyFont="1" applyBorder="1" applyAlignment="1">
      <alignment horizontal="center" vertical="center"/>
    </xf>
    <xf numFmtId="0" fontId="27" fillId="0" borderId="10" xfId="566" applyFont="1" applyBorder="1" applyAlignment="1">
      <alignment horizontal="center" vertical="center"/>
    </xf>
    <xf numFmtId="0" fontId="29" fillId="0" borderId="10" xfId="530" applyFont="1" applyBorder="1" applyAlignment="1">
      <alignment horizontal="center" vertical="center"/>
    </xf>
    <xf numFmtId="168" fontId="29" fillId="0" borderId="10" xfId="530" applyNumberFormat="1" applyFont="1" applyBorder="1" applyAlignment="1">
      <alignment horizontal="center" vertical="center"/>
    </xf>
    <xf numFmtId="0" fontId="27" fillId="0" borderId="10" xfId="530" applyFont="1" applyBorder="1" applyAlignment="1">
      <alignment horizontal="center" vertical="center"/>
    </xf>
    <xf numFmtId="0" fontId="27" fillId="0" borderId="10" xfId="530" applyFont="1" applyBorder="1" applyAlignment="1">
      <alignment horizontal="left" vertical="center"/>
    </xf>
    <xf numFmtId="168" fontId="27" fillId="0" borderId="10" xfId="530" applyNumberFormat="1" applyFont="1" applyBorder="1" applyAlignment="1">
      <alignment horizontal="center" vertical="center"/>
    </xf>
    <xf numFmtId="2" fontId="27" fillId="0" borderId="10" xfId="530" applyNumberFormat="1" applyFont="1" applyBorder="1" applyAlignment="1">
      <alignment horizontal="center" vertical="center"/>
    </xf>
    <xf numFmtId="0" fontId="29" fillId="0" borderId="10" xfId="530" applyFont="1" applyBorder="1" applyAlignment="1">
      <alignment horizontal="left" vertical="center"/>
    </xf>
    <xf numFmtId="2" fontId="29" fillId="0" borderId="10" xfId="530" applyNumberFormat="1" applyFont="1" applyBorder="1" applyAlignment="1">
      <alignment horizontal="center" vertical="center"/>
    </xf>
    <xf numFmtId="0" fontId="36" fillId="27" borderId="10" xfId="0" applyFont="1" applyFill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center" vertical="center"/>
    </xf>
    <xf numFmtId="2" fontId="35" fillId="27" borderId="10" xfId="302" applyNumberFormat="1" applyFont="1" applyFill="1" applyBorder="1" applyAlignment="1" applyProtection="1">
      <alignment horizontal="right" vertical="center" wrapText="1"/>
      <protection locked="0"/>
    </xf>
    <xf numFmtId="2" fontId="35" fillId="27" borderId="10" xfId="302" applyNumberFormat="1" applyFont="1" applyFill="1" applyBorder="1" applyAlignment="1">
      <alignment horizontal="right" vertical="center" wrapText="1"/>
    </xf>
    <xf numFmtId="2" fontId="35" fillId="27" borderId="10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655" applyFont="1" applyBorder="1" applyAlignment="1">
      <alignment horizontal="center"/>
    </xf>
    <xf numFmtId="0" fontId="27" fillId="0" borderId="10" xfId="655" applyFont="1" applyBorder="1" applyAlignment="1">
      <alignment horizontal="left" vertical="center"/>
    </xf>
    <xf numFmtId="0" fontId="27" fillId="0" borderId="10" xfId="655" applyFont="1" applyBorder="1" applyAlignment="1">
      <alignment horizontal="center" vertical="center"/>
    </xf>
    <xf numFmtId="2" fontId="27" fillId="0" borderId="10" xfId="478" applyNumberFormat="1" applyFont="1" applyBorder="1" applyAlignment="1">
      <alignment horizontal="center" vertical="center"/>
    </xf>
    <xf numFmtId="0" fontId="27" fillId="0" borderId="10" xfId="478" applyFont="1" applyBorder="1" applyAlignment="1">
      <alignment horizontal="center" vertical="center"/>
    </xf>
    <xf numFmtId="0" fontId="27" fillId="0" borderId="10" xfId="568" applyFont="1" applyBorder="1" applyAlignment="1">
      <alignment horizontal="center" vertical="center"/>
    </xf>
    <xf numFmtId="168" fontId="27" fillId="0" borderId="10" xfId="640" applyNumberFormat="1" applyFont="1" applyBorder="1" applyAlignment="1">
      <alignment horizontal="center" vertical="center"/>
    </xf>
    <xf numFmtId="167" fontId="27" fillId="0" borderId="10" xfId="640" applyNumberFormat="1" applyFont="1" applyBorder="1" applyAlignment="1">
      <alignment horizontal="center" vertical="center"/>
    </xf>
    <xf numFmtId="0" fontId="29" fillId="0" borderId="10" xfId="460" applyFont="1" applyBorder="1" applyAlignment="1">
      <alignment horizontal="center" vertical="center"/>
    </xf>
    <xf numFmtId="0" fontId="29" fillId="0" borderId="10" xfId="655" applyFont="1" applyBorder="1" applyAlignment="1">
      <alignment horizontal="left" vertical="center" wrapText="1"/>
    </xf>
    <xf numFmtId="0" fontId="29" fillId="0" borderId="10" xfId="655" applyFont="1" applyBorder="1" applyAlignment="1">
      <alignment horizontal="center" vertical="center" wrapText="1"/>
    </xf>
    <xf numFmtId="168" fontId="29" fillId="0" borderId="10" xfId="655" applyNumberFormat="1" applyFont="1" applyBorder="1" applyAlignment="1">
      <alignment horizontal="center" vertical="center" wrapText="1"/>
    </xf>
    <xf numFmtId="2" fontId="27" fillId="0" borderId="10" xfId="460" applyNumberFormat="1" applyFont="1" applyBorder="1" applyAlignment="1">
      <alignment horizontal="center" vertical="center"/>
    </xf>
    <xf numFmtId="167" fontId="27" fillId="0" borderId="10" xfId="478" applyNumberFormat="1" applyFont="1" applyBorder="1" applyAlignment="1">
      <alignment horizontal="center" vertical="center"/>
    </xf>
    <xf numFmtId="2" fontId="27" fillId="0" borderId="10" xfId="568" applyNumberFormat="1" applyFont="1" applyBorder="1" applyAlignment="1">
      <alignment horizontal="center" vertical="center"/>
    </xf>
    <xf numFmtId="2" fontId="27" fillId="0" borderId="10" xfId="563" applyNumberFormat="1" applyFont="1" applyBorder="1" applyAlignment="1">
      <alignment horizontal="center"/>
    </xf>
    <xf numFmtId="2" fontId="29" fillId="27" borderId="10" xfId="563" applyNumberFormat="1" applyFont="1" applyFill="1" applyBorder="1" applyAlignment="1">
      <alignment horizontal="center"/>
    </xf>
    <xf numFmtId="0" fontId="29" fillId="26" borderId="10" xfId="0" applyNumberFormat="1" applyFont="1" applyFill="1" applyBorder="1" applyAlignment="1">
      <alignment horizontal="center" vertical="center" wrapText="1"/>
    </xf>
    <xf numFmtId="0" fontId="42" fillId="0" borderId="10" xfId="46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2" fontId="27" fillId="0" borderId="10" xfId="64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2" fontId="27" fillId="0" borderId="10" xfId="449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6" fillId="0" borderId="10" xfId="534" applyFont="1" applyFill="1" applyBorder="1" applyAlignment="1">
      <alignment horizontal="center" vertical="center" wrapText="1"/>
    </xf>
    <xf numFmtId="0" fontId="44" fillId="0" borderId="10" xfId="534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569" applyFont="1" applyFill="1" applyBorder="1" applyAlignment="1">
      <alignment horizontal="center" vertical="center"/>
    </xf>
    <xf numFmtId="0" fontId="44" fillId="0" borderId="10" xfId="56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69" fontId="27" fillId="24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/>
    <xf numFmtId="168" fontId="31" fillId="0" borderId="10" xfId="0" applyNumberFormat="1" applyFont="1" applyFill="1" applyBorder="1" applyAlignment="1">
      <alignment horizontal="center" vertical="center"/>
    </xf>
    <xf numFmtId="0" fontId="31" fillId="0" borderId="0" xfId="644" applyFont="1" applyFill="1" applyAlignment="1">
      <alignment horizontal="center"/>
    </xf>
    <xf numFmtId="0" fontId="28" fillId="0" borderId="0" xfId="644" applyFont="1" applyFill="1" applyAlignment="1">
      <alignment horizontal="left" vertical="center"/>
    </xf>
    <xf numFmtId="0" fontId="28" fillId="0" borderId="0" xfId="644" applyFont="1" applyFill="1" applyAlignment="1">
      <alignment horizontal="center" vertical="center"/>
    </xf>
    <xf numFmtId="0" fontId="29" fillId="0" borderId="10" xfId="640" applyFont="1" applyFill="1" applyBorder="1" applyAlignment="1">
      <alignment horizontal="center" vertical="center" wrapText="1"/>
    </xf>
    <xf numFmtId="0" fontId="27" fillId="0" borderId="10" xfId="640" applyFont="1" applyFill="1" applyBorder="1" applyAlignment="1">
      <alignment horizontal="center" vertical="center"/>
    </xf>
    <xf numFmtId="0" fontId="48" fillId="0" borderId="10" xfId="460" applyFont="1" applyFill="1" applyBorder="1" applyAlignment="1">
      <alignment horizontal="center" vertical="center" wrapText="1"/>
    </xf>
    <xf numFmtId="0" fontId="51" fillId="0" borderId="10" xfId="460" applyFont="1" applyFill="1" applyBorder="1" applyAlignment="1">
      <alignment horizontal="center" vertical="center" wrapText="1"/>
    </xf>
    <xf numFmtId="0" fontId="46" fillId="0" borderId="10" xfId="460" applyFont="1" applyFill="1" applyBorder="1" applyAlignment="1">
      <alignment horizontal="left" vertical="center" wrapText="1"/>
    </xf>
    <xf numFmtId="0" fontId="48" fillId="0" borderId="10" xfId="649" applyFont="1" applyFill="1" applyBorder="1" applyAlignment="1">
      <alignment horizontal="center" vertical="center" wrapText="1"/>
    </xf>
    <xf numFmtId="168" fontId="35" fillId="0" borderId="10" xfId="460" applyNumberFormat="1" applyFont="1" applyFill="1" applyBorder="1" applyAlignment="1">
      <alignment horizontal="center" vertical="center" wrapText="1"/>
    </xf>
    <xf numFmtId="2" fontId="42" fillId="0" borderId="10" xfId="460" applyNumberFormat="1" applyFont="1" applyFill="1" applyBorder="1" applyAlignment="1">
      <alignment horizontal="center" vertical="center" wrapText="1"/>
    </xf>
    <xf numFmtId="167" fontId="42" fillId="0" borderId="10" xfId="460" applyNumberFormat="1" applyFont="1" applyFill="1" applyBorder="1" applyAlignment="1">
      <alignment horizontal="center" vertical="center" wrapText="1"/>
    </xf>
    <xf numFmtId="1" fontId="42" fillId="0" borderId="10" xfId="460" applyNumberFormat="1" applyFont="1" applyFill="1" applyBorder="1" applyAlignment="1">
      <alignment horizontal="center" vertical="center" wrapText="1"/>
    </xf>
    <xf numFmtId="0" fontId="47" fillId="0" borderId="10" xfId="460" applyFont="1" applyFill="1" applyBorder="1" applyAlignment="1">
      <alignment horizontal="center" vertical="center" wrapText="1"/>
    </xf>
    <xf numFmtId="0" fontId="45" fillId="0" borderId="10" xfId="460" applyFont="1" applyFill="1" applyBorder="1" applyAlignment="1">
      <alignment horizontal="center" vertical="center" wrapText="1"/>
    </xf>
    <xf numFmtId="2" fontId="31" fillId="0" borderId="10" xfId="460" applyNumberFormat="1" applyFont="1" applyFill="1" applyBorder="1" applyAlignment="1">
      <alignment horizontal="center" vertical="center" wrapText="1"/>
    </xf>
    <xf numFmtId="2" fontId="54" fillId="0" borderId="10" xfId="460" applyNumberFormat="1" applyFont="1" applyFill="1" applyBorder="1" applyAlignment="1">
      <alignment horizontal="center" vertical="center" wrapText="1"/>
    </xf>
    <xf numFmtId="2" fontId="27" fillId="0" borderId="10" xfId="567" applyNumberFormat="1" applyFont="1" applyFill="1" applyBorder="1" applyAlignment="1">
      <alignment horizontal="center" vertical="center"/>
    </xf>
    <xf numFmtId="0" fontId="44" fillId="0" borderId="10" xfId="529" applyFont="1" applyFill="1" applyBorder="1" applyAlignment="1">
      <alignment vertical="center"/>
    </xf>
    <xf numFmtId="0" fontId="44" fillId="0" borderId="10" xfId="529" applyFont="1" applyFill="1" applyBorder="1" applyAlignment="1">
      <alignment horizontal="center" vertical="center"/>
    </xf>
    <xf numFmtId="2" fontId="31" fillId="0" borderId="10" xfId="529" applyNumberFormat="1" applyFont="1" applyFill="1" applyBorder="1" applyAlignment="1">
      <alignment horizontal="center" vertical="center"/>
    </xf>
    <xf numFmtId="0" fontId="44" fillId="0" borderId="10" xfId="460" applyFont="1" applyFill="1" applyBorder="1" applyAlignment="1">
      <alignment horizontal="left" vertical="center" wrapText="1"/>
    </xf>
    <xf numFmtId="168" fontId="31" fillId="0" borderId="10" xfId="460" applyNumberFormat="1" applyFont="1" applyFill="1" applyBorder="1" applyAlignment="1">
      <alignment horizontal="center" vertical="center" wrapText="1"/>
    </xf>
    <xf numFmtId="167" fontId="54" fillId="0" borderId="10" xfId="460" applyNumberFormat="1" applyFont="1" applyFill="1" applyBorder="1" applyAlignment="1">
      <alignment horizontal="center" vertical="center" wrapText="1"/>
    </xf>
    <xf numFmtId="14" fontId="51" fillId="0" borderId="10" xfId="534" applyNumberFormat="1" applyFont="1" applyFill="1" applyBorder="1" applyAlignment="1">
      <alignment horizontal="center" vertical="center" wrapText="1"/>
    </xf>
    <xf numFmtId="0" fontId="46" fillId="0" borderId="10" xfId="534" applyFont="1" applyFill="1" applyBorder="1" applyAlignment="1">
      <alignment horizontal="left" vertical="center" wrapText="1"/>
    </xf>
    <xf numFmtId="168" fontId="35" fillId="0" borderId="10" xfId="534" applyNumberFormat="1" applyFont="1" applyFill="1" applyBorder="1" applyAlignment="1">
      <alignment horizontal="center" vertical="center" wrapText="1"/>
    </xf>
    <xf numFmtId="2" fontId="29" fillId="0" borderId="10" xfId="534" applyNumberFormat="1" applyFont="1" applyFill="1" applyBorder="1" applyAlignment="1">
      <alignment horizontal="center" vertical="center" wrapText="1"/>
    </xf>
    <xf numFmtId="167" fontId="29" fillId="0" borderId="10" xfId="534" applyNumberFormat="1" applyFont="1" applyFill="1" applyBorder="1" applyAlignment="1">
      <alignment horizontal="center" vertical="center" wrapText="1"/>
    </xf>
    <xf numFmtId="0" fontId="45" fillId="0" borderId="10" xfId="534" applyFont="1" applyFill="1" applyBorder="1" applyAlignment="1">
      <alignment horizontal="center"/>
    </xf>
    <xf numFmtId="0" fontId="44" fillId="0" borderId="10" xfId="534" applyFont="1" applyFill="1" applyBorder="1" applyAlignment="1">
      <alignment horizontal="left" vertical="center"/>
    </xf>
    <xf numFmtId="0" fontId="44" fillId="0" borderId="10" xfId="534" applyFont="1" applyFill="1" applyBorder="1" applyAlignment="1">
      <alignment horizontal="center" vertical="center"/>
    </xf>
    <xf numFmtId="0" fontId="27" fillId="0" borderId="10" xfId="534" applyFont="1" applyFill="1" applyBorder="1" applyAlignment="1">
      <alignment horizontal="center" vertical="center"/>
    </xf>
    <xf numFmtId="167" fontId="27" fillId="0" borderId="10" xfId="534" applyNumberFormat="1" applyFont="1" applyFill="1" applyBorder="1" applyAlignment="1">
      <alignment horizontal="center" vertical="center"/>
    </xf>
    <xf numFmtId="0" fontId="46" fillId="0" borderId="10" xfId="534" applyFont="1" applyFill="1" applyBorder="1" applyAlignment="1">
      <alignment horizontal="center"/>
    </xf>
    <xf numFmtId="14" fontId="51" fillId="0" borderId="10" xfId="534" applyNumberFormat="1" applyFont="1" applyFill="1" applyBorder="1" applyAlignment="1">
      <alignment horizontal="center"/>
    </xf>
    <xf numFmtId="2" fontId="29" fillId="0" borderId="10" xfId="534" applyNumberFormat="1" applyFont="1" applyFill="1" applyBorder="1" applyAlignment="1">
      <alignment horizontal="center" vertical="center"/>
    </xf>
    <xf numFmtId="0" fontId="45" fillId="0" borderId="10" xfId="534" applyFont="1" applyFill="1" applyBorder="1" applyAlignment="1">
      <alignment horizontal="center" vertical="center" wrapText="1"/>
    </xf>
    <xf numFmtId="0" fontId="46" fillId="0" borderId="10" xfId="449" applyFont="1" applyFill="1" applyBorder="1" applyAlignment="1">
      <alignment horizontal="center" vertical="center" wrapText="1"/>
    </xf>
    <xf numFmtId="14" fontId="51" fillId="0" borderId="10" xfId="449" applyNumberFormat="1" applyFont="1" applyFill="1" applyBorder="1" applyAlignment="1">
      <alignment horizontal="center" vertical="center"/>
    </xf>
    <xf numFmtId="2" fontId="29" fillId="0" borderId="10" xfId="449" applyNumberFormat="1" applyFont="1" applyFill="1" applyBorder="1" applyAlignment="1">
      <alignment horizontal="center" vertical="center" wrapText="1"/>
    </xf>
    <xf numFmtId="167" fontId="29" fillId="0" borderId="10" xfId="449" applyNumberFormat="1" applyFont="1" applyFill="1" applyBorder="1" applyAlignment="1">
      <alignment horizontal="center" vertical="center" wrapText="1"/>
    </xf>
    <xf numFmtId="0" fontId="44" fillId="0" borderId="10" xfId="449" applyFont="1" applyFill="1" applyBorder="1" applyAlignment="1">
      <alignment horizontal="center"/>
    </xf>
    <xf numFmtId="14" fontId="45" fillId="0" borderId="10" xfId="449" applyNumberFormat="1" applyFont="1" applyFill="1" applyBorder="1" applyAlignment="1">
      <alignment horizontal="center"/>
    </xf>
    <xf numFmtId="167" fontId="27" fillId="0" borderId="10" xfId="449" applyNumberFormat="1" applyFont="1" applyFill="1" applyBorder="1" applyAlignment="1">
      <alignment horizontal="center" vertical="center"/>
    </xf>
    <xf numFmtId="0" fontId="27" fillId="0" borderId="10" xfId="449" applyFont="1" applyFill="1" applyBorder="1" applyAlignment="1">
      <alignment horizontal="center" vertical="center"/>
    </xf>
    <xf numFmtId="0" fontId="45" fillId="0" borderId="10" xfId="449" applyFont="1" applyFill="1" applyBorder="1" applyAlignment="1">
      <alignment horizontal="center"/>
    </xf>
    <xf numFmtId="0" fontId="31" fillId="24" borderId="10" xfId="0" applyFont="1" applyFill="1" applyBorder="1" applyAlignment="1">
      <alignment horizontal="center" vertical="center" wrapText="1"/>
    </xf>
    <xf numFmtId="0" fontId="55" fillId="24" borderId="10" xfId="0" applyFont="1" applyFill="1" applyBorder="1"/>
    <xf numFmtId="0" fontId="27" fillId="0" borderId="10" xfId="478" applyFont="1" applyFill="1" applyBorder="1" applyAlignment="1">
      <alignment horizontal="center" vertical="center"/>
    </xf>
    <xf numFmtId="2" fontId="27" fillId="0" borderId="10" xfId="478" applyNumberFormat="1" applyFont="1" applyFill="1" applyBorder="1" applyAlignment="1">
      <alignment horizontal="center" vertical="center"/>
    </xf>
    <xf numFmtId="2" fontId="29" fillId="0" borderId="10" xfId="640" applyNumberFormat="1" applyFont="1" applyFill="1" applyBorder="1" applyAlignment="1">
      <alignment horizontal="center" vertical="center" wrapText="1"/>
    </xf>
    <xf numFmtId="2" fontId="27" fillId="0" borderId="10" xfId="563" applyNumberFormat="1" applyFont="1" applyFill="1" applyBorder="1" applyAlignment="1">
      <alignment horizontal="center"/>
    </xf>
    <xf numFmtId="0" fontId="41" fillId="0" borderId="10" xfId="0" applyFont="1" applyFill="1" applyBorder="1"/>
    <xf numFmtId="0" fontId="3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9" fillId="0" borderId="0" xfId="644" applyFont="1" applyFill="1" applyAlignment="1">
      <alignment horizontal="center" vertical="center"/>
    </xf>
    <xf numFmtId="0" fontId="45" fillId="24" borderId="10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left" vertical="center"/>
    </xf>
    <xf numFmtId="0" fontId="44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169" fontId="27" fillId="0" borderId="10" xfId="0" applyNumberFormat="1" applyFont="1" applyFill="1" applyBorder="1" applyAlignment="1">
      <alignment horizontal="center" vertical="center"/>
    </xf>
    <xf numFmtId="2" fontId="27" fillId="0" borderId="0" xfId="644" applyNumberFormat="1" applyFont="1" applyFill="1" applyAlignment="1">
      <alignment horizontal="center" vertical="center"/>
    </xf>
    <xf numFmtId="0" fontId="41" fillId="24" borderId="10" xfId="0" applyFont="1" applyFill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0" fontId="34" fillId="24" borderId="10" xfId="0" applyNumberFormat="1" applyFont="1" applyFill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2" fontId="27" fillId="0" borderId="10" xfId="534" applyNumberFormat="1" applyFont="1" applyFill="1" applyBorder="1" applyAlignment="1">
      <alignment horizontal="center" vertical="center"/>
    </xf>
    <xf numFmtId="0" fontId="43" fillId="0" borderId="10" xfId="445" applyFont="1" applyFill="1" applyBorder="1" applyAlignment="1">
      <alignment horizontal="center" vertical="center"/>
    </xf>
    <xf numFmtId="0" fontId="51" fillId="0" borderId="10" xfId="445" applyFont="1" applyFill="1" applyBorder="1" applyAlignment="1">
      <alignment horizontal="center"/>
    </xf>
    <xf numFmtId="0" fontId="46" fillId="0" borderId="10" xfId="445" applyFont="1" applyFill="1" applyBorder="1" applyAlignment="1">
      <alignment horizontal="center" vertical="center"/>
    </xf>
    <xf numFmtId="0" fontId="35" fillId="0" borderId="10" xfId="445" applyFont="1" applyFill="1" applyBorder="1" applyAlignment="1">
      <alignment horizontal="center" vertical="center"/>
    </xf>
    <xf numFmtId="2" fontId="29" fillId="0" borderId="10" xfId="445" applyNumberFormat="1" applyFont="1" applyFill="1" applyBorder="1" applyAlignment="1">
      <alignment horizontal="center" vertical="center"/>
    </xf>
    <xf numFmtId="0" fontId="29" fillId="0" borderId="10" xfId="445" applyFont="1" applyFill="1" applyBorder="1" applyAlignment="1">
      <alignment horizontal="center" vertical="center"/>
    </xf>
    <xf numFmtId="0" fontId="43" fillId="0" borderId="10" xfId="656" applyFont="1" applyFill="1" applyBorder="1" applyAlignment="1">
      <alignment horizontal="center" vertical="center" wrapText="1"/>
    </xf>
    <xf numFmtId="0" fontId="45" fillId="0" borderId="10" xfId="656" applyFont="1" applyFill="1" applyBorder="1" applyAlignment="1">
      <alignment horizontal="center" vertical="center" wrapText="1"/>
    </xf>
    <xf numFmtId="0" fontId="46" fillId="0" borderId="10" xfId="656" applyFont="1" applyFill="1" applyBorder="1" applyAlignment="1">
      <alignment horizontal="center" vertical="center" wrapText="1"/>
    </xf>
    <xf numFmtId="9" fontId="46" fillId="0" borderId="10" xfId="596" applyFont="1" applyFill="1" applyBorder="1" applyAlignment="1">
      <alignment horizontal="center" vertical="center" wrapText="1"/>
    </xf>
    <xf numFmtId="168" fontId="31" fillId="0" borderId="10" xfId="656" applyNumberFormat="1" applyFont="1" applyFill="1" applyBorder="1" applyAlignment="1">
      <alignment horizontal="center" vertical="center" wrapText="1"/>
    </xf>
    <xf numFmtId="2" fontId="27" fillId="0" borderId="10" xfId="656" applyNumberFormat="1" applyFont="1" applyFill="1" applyBorder="1" applyAlignment="1">
      <alignment horizontal="center" vertical="center" wrapText="1"/>
    </xf>
    <xf numFmtId="2" fontId="29" fillId="0" borderId="10" xfId="656" applyNumberFormat="1" applyFont="1" applyFill="1" applyBorder="1" applyAlignment="1">
      <alignment horizontal="center" vertical="center" wrapText="1"/>
    </xf>
    <xf numFmtId="0" fontId="43" fillId="0" borderId="10" xfId="656" applyFont="1" applyFill="1" applyBorder="1" applyAlignment="1">
      <alignment horizontal="center" vertical="center"/>
    </xf>
    <xf numFmtId="0" fontId="45" fillId="0" borderId="10" xfId="656" applyFont="1" applyFill="1" applyBorder="1" applyAlignment="1">
      <alignment horizontal="center"/>
    </xf>
    <xf numFmtId="0" fontId="46" fillId="0" borderId="10" xfId="656" applyFont="1" applyFill="1" applyBorder="1" applyAlignment="1">
      <alignment horizontal="center" vertical="center"/>
    </xf>
    <xf numFmtId="168" fontId="31" fillId="0" borderId="10" xfId="656" applyNumberFormat="1" applyFont="1" applyFill="1" applyBorder="1" applyAlignment="1">
      <alignment horizontal="center" vertical="center"/>
    </xf>
    <xf numFmtId="2" fontId="27" fillId="0" borderId="10" xfId="656" applyNumberFormat="1" applyFont="1" applyFill="1" applyBorder="1" applyAlignment="1">
      <alignment horizontal="center" vertical="center"/>
    </xf>
    <xf numFmtId="2" fontId="29" fillId="0" borderId="10" xfId="656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 wrapText="1"/>
    </xf>
    <xf numFmtId="165" fontId="49" fillId="0" borderId="10" xfId="302" applyFont="1" applyFill="1" applyBorder="1" applyAlignment="1">
      <alignment horizontal="center" vertical="center" wrapText="1"/>
    </xf>
    <xf numFmtId="0" fontId="45" fillId="0" borderId="10" xfId="569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 wrapText="1"/>
    </xf>
    <xf numFmtId="165" fontId="50" fillId="0" borderId="10" xfId="302" applyFont="1" applyFill="1" applyBorder="1" applyAlignment="1">
      <alignment horizontal="center" vertical="center" wrapText="1"/>
    </xf>
    <xf numFmtId="0" fontId="56" fillId="0" borderId="10" xfId="449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31" fillId="0" borderId="10" xfId="534" applyFont="1" applyFill="1" applyBorder="1" applyAlignment="1">
      <alignment horizontal="center" vertical="center"/>
    </xf>
    <xf numFmtId="0" fontId="35" fillId="0" borderId="10" xfId="53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/>
    </xf>
    <xf numFmtId="2" fontId="29" fillId="0" borderId="10" xfId="655" applyNumberFormat="1" applyFont="1" applyFill="1" applyBorder="1" applyAlignment="1">
      <alignment horizontal="center" vertical="center" wrapText="1"/>
    </xf>
    <xf numFmtId="2" fontId="29" fillId="0" borderId="10" xfId="64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63" fillId="0" borderId="10" xfId="53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30" fillId="0" borderId="0" xfId="644" applyFont="1" applyFill="1" applyAlignment="1">
      <alignment horizontal="center" vertical="center"/>
    </xf>
    <xf numFmtId="49" fontId="64" fillId="24" borderId="10" xfId="0" applyNumberFormat="1" applyFont="1" applyFill="1" applyBorder="1" applyAlignment="1">
      <alignment horizontal="center" vertical="center" wrapText="1"/>
    </xf>
    <xf numFmtId="165" fontId="28" fillId="0" borderId="0" xfId="302" applyFont="1" applyFill="1" applyAlignment="1">
      <alignment horizontal="center" vertical="center"/>
    </xf>
    <xf numFmtId="0" fontId="67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29" fillId="0" borderId="10" xfId="655" applyFont="1" applyBorder="1" applyAlignment="1">
      <alignment horizontal="left" vertical="center"/>
    </xf>
    <xf numFmtId="167" fontId="29" fillId="0" borderId="10" xfId="640" applyNumberFormat="1" applyFont="1" applyFill="1" applyBorder="1" applyAlignment="1">
      <alignment horizontal="center" vertical="center"/>
    </xf>
    <xf numFmtId="0" fontId="68" fillId="0" borderId="10" xfId="0" applyFont="1" applyFill="1" applyBorder="1"/>
    <xf numFmtId="0" fontId="68" fillId="24" borderId="10" xfId="0" applyFont="1" applyFill="1" applyBorder="1" applyAlignment="1">
      <alignment vertical="center"/>
    </xf>
    <xf numFmtId="0" fontId="46" fillId="27" borderId="10" xfId="569" applyFont="1" applyFill="1" applyBorder="1" applyAlignment="1">
      <alignment horizontal="center" vertical="center"/>
    </xf>
    <xf numFmtId="0" fontId="45" fillId="27" borderId="10" xfId="569" applyFont="1" applyFill="1" applyBorder="1" applyAlignment="1">
      <alignment horizontal="center"/>
    </xf>
    <xf numFmtId="0" fontId="46" fillId="27" borderId="10" xfId="0" applyFont="1" applyFill="1" applyBorder="1" applyAlignment="1">
      <alignment horizontal="center" vertical="center"/>
    </xf>
    <xf numFmtId="0" fontId="44" fillId="27" borderId="10" xfId="569" applyFont="1" applyFill="1" applyBorder="1" applyAlignment="1">
      <alignment horizontal="center" vertical="center"/>
    </xf>
    <xf numFmtId="0" fontId="30" fillId="27" borderId="10" xfId="569" applyFont="1" applyFill="1" applyBorder="1" applyAlignment="1">
      <alignment horizontal="center" vertical="center"/>
    </xf>
    <xf numFmtId="2" fontId="27" fillId="27" borderId="10" xfId="569" applyNumberFormat="1" applyFont="1" applyFill="1" applyBorder="1" applyAlignment="1">
      <alignment horizontal="center" vertical="center"/>
    </xf>
    <xf numFmtId="0" fontId="27" fillId="27" borderId="10" xfId="569" applyFont="1" applyFill="1" applyBorder="1" applyAlignment="1">
      <alignment horizontal="center" vertical="center"/>
    </xf>
    <xf numFmtId="165" fontId="27" fillId="27" borderId="10" xfId="302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168" fontId="69" fillId="0" borderId="10" xfId="0" applyNumberFormat="1" applyFont="1" applyFill="1" applyBorder="1" applyAlignment="1">
      <alignment horizontal="center" vertical="center"/>
    </xf>
    <xf numFmtId="168" fontId="60" fillId="0" borderId="10" xfId="564" applyNumberFormat="1" applyFont="1" applyFill="1" applyBorder="1" applyAlignment="1">
      <alignment horizontal="center" vertical="center"/>
    </xf>
    <xf numFmtId="168" fontId="60" fillId="0" borderId="10" xfId="302" applyNumberFormat="1" applyFont="1" applyFill="1" applyBorder="1" applyAlignment="1">
      <alignment horizontal="center" vertical="center"/>
    </xf>
    <xf numFmtId="168" fontId="69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/>
    </xf>
    <xf numFmtId="168" fontId="69" fillId="24" borderId="10" xfId="0" applyNumberFormat="1" applyFont="1" applyFill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center" vertical="center" wrapText="1"/>
    </xf>
    <xf numFmtId="2" fontId="69" fillId="0" borderId="10" xfId="302" applyNumberFormat="1" applyFont="1" applyFill="1" applyBorder="1" applyAlignment="1">
      <alignment horizontal="center" vertical="center"/>
    </xf>
    <xf numFmtId="2" fontId="69" fillId="0" borderId="10" xfId="0" applyNumberFormat="1" applyFont="1" applyFill="1" applyBorder="1" applyAlignment="1">
      <alignment horizontal="center" vertical="center"/>
    </xf>
    <xf numFmtId="2" fontId="69" fillId="24" borderId="10" xfId="0" applyNumberFormat="1" applyFont="1" applyFill="1" applyBorder="1" applyAlignment="1">
      <alignment horizontal="center" vertical="center"/>
    </xf>
    <xf numFmtId="2" fontId="69" fillId="24" borderId="10" xfId="0" applyNumberFormat="1" applyFont="1" applyFill="1" applyBorder="1" applyAlignment="1">
      <alignment horizontal="center" vertical="center" wrapText="1"/>
    </xf>
    <xf numFmtId="2" fontId="70" fillId="0" borderId="10" xfId="0" applyNumberFormat="1" applyFont="1" applyFill="1" applyBorder="1" applyAlignment="1">
      <alignment horizontal="center" vertical="center"/>
    </xf>
    <xf numFmtId="2" fontId="60" fillId="0" borderId="10" xfId="565" applyNumberFormat="1" applyFont="1" applyFill="1" applyBorder="1" applyAlignment="1">
      <alignment horizontal="center" vertical="center"/>
    </xf>
    <xf numFmtId="169" fontId="69" fillId="0" borderId="10" xfId="0" applyNumberFormat="1" applyFont="1" applyFill="1" applyBorder="1" applyAlignment="1">
      <alignment horizontal="center" vertical="center" wrapText="1"/>
    </xf>
    <xf numFmtId="168" fontId="60" fillId="0" borderId="10" xfId="0" applyNumberFormat="1" applyFont="1" applyFill="1" applyBorder="1" applyAlignment="1">
      <alignment horizontal="center" vertical="center"/>
    </xf>
    <xf numFmtId="165" fontId="69" fillId="0" borderId="10" xfId="30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 wrapText="1"/>
    </xf>
    <xf numFmtId="169" fontId="69" fillId="0" borderId="10" xfId="0" applyNumberFormat="1" applyFont="1" applyFill="1" applyBorder="1" applyAlignment="1">
      <alignment horizontal="center" vertical="center"/>
    </xf>
    <xf numFmtId="169" fontId="7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2" fontId="72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2" fontId="69" fillId="0" borderId="10" xfId="562" applyNumberFormat="1" applyFont="1" applyFill="1" applyBorder="1" applyAlignment="1">
      <alignment horizontal="center" vertical="center"/>
    </xf>
    <xf numFmtId="2" fontId="69" fillId="24" borderId="10" xfId="562" applyNumberFormat="1" applyFont="1" applyFill="1" applyBorder="1" applyAlignment="1">
      <alignment horizontal="center" vertical="center"/>
    </xf>
    <xf numFmtId="9" fontId="70" fillId="24" borderId="10" xfId="0" applyNumberFormat="1" applyFont="1" applyFill="1" applyBorder="1" applyAlignment="1">
      <alignment horizontal="center" vertical="center" wrapText="1"/>
    </xf>
    <xf numFmtId="165" fontId="69" fillId="24" borderId="10" xfId="302" applyFont="1" applyFill="1" applyBorder="1" applyAlignment="1">
      <alignment horizontal="center" vertical="center"/>
    </xf>
    <xf numFmtId="0" fontId="31" fillId="27" borderId="10" xfId="656" applyFont="1" applyFill="1" applyBorder="1" applyAlignment="1">
      <alignment horizontal="center"/>
    </xf>
    <xf numFmtId="0" fontId="61" fillId="28" borderId="10" xfId="569" applyFont="1" applyFill="1" applyBorder="1" applyAlignment="1">
      <alignment horizontal="center" vertical="center"/>
    </xf>
    <xf numFmtId="0" fontId="61" fillId="28" borderId="10" xfId="569" applyFont="1" applyFill="1" applyBorder="1" applyAlignment="1">
      <alignment horizontal="center"/>
    </xf>
    <xf numFmtId="0" fontId="61" fillId="27" borderId="10" xfId="569" applyFont="1" applyFill="1" applyBorder="1" applyAlignment="1">
      <alignment horizontal="center" vertical="center"/>
    </xf>
    <xf numFmtId="0" fontId="61" fillId="24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49" fillId="24" borderId="10" xfId="0" applyFont="1" applyFill="1" applyBorder="1" applyAlignment="1">
      <alignment horizontal="center" vertical="center"/>
    </xf>
    <xf numFmtId="0" fontId="73" fillId="24" borderId="10" xfId="0" applyFont="1" applyFill="1" applyBorder="1" applyAlignment="1">
      <alignment horizontal="center" vertical="center"/>
    </xf>
    <xf numFmtId="0" fontId="55" fillId="27" borderId="10" xfId="0" applyFont="1" applyFill="1" applyBorder="1"/>
    <xf numFmtId="0" fontId="34" fillId="27" borderId="10" xfId="0" applyNumberFormat="1" applyFont="1" applyFill="1" applyBorder="1" applyAlignment="1">
      <alignment horizontal="center" vertical="center" wrapText="1"/>
    </xf>
    <xf numFmtId="0" fontId="41" fillId="27" borderId="10" xfId="0" applyFont="1" applyFill="1" applyBorder="1"/>
    <xf numFmtId="2" fontId="69" fillId="27" borderId="10" xfId="562" applyNumberFormat="1" applyFont="1" applyFill="1" applyBorder="1" applyAlignment="1">
      <alignment horizontal="center" vertical="center"/>
    </xf>
    <xf numFmtId="165" fontId="70" fillId="27" borderId="10" xfId="302" applyFont="1" applyFill="1" applyBorder="1" applyAlignment="1">
      <alignment horizontal="center" vertical="center"/>
    </xf>
    <xf numFmtId="9" fontId="70" fillId="27" borderId="10" xfId="0" applyNumberFormat="1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 wrapText="1"/>
    </xf>
    <xf numFmtId="2" fontId="60" fillId="0" borderId="10" xfId="565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 wrapText="1"/>
    </xf>
    <xf numFmtId="2" fontId="72" fillId="24" borderId="10" xfId="562" applyNumberFormat="1" applyFont="1" applyFill="1" applyBorder="1" applyAlignment="1">
      <alignment horizontal="center"/>
    </xf>
    <xf numFmtId="2" fontId="73" fillId="24" borderId="10" xfId="562" applyNumberFormat="1" applyFont="1" applyFill="1" applyBorder="1" applyAlignment="1">
      <alignment horizontal="center"/>
    </xf>
    <xf numFmtId="9" fontId="73" fillId="0" borderId="10" xfId="0" applyNumberFormat="1" applyFont="1" applyFill="1" applyBorder="1" applyAlignment="1">
      <alignment horizontal="center" vertical="center" wrapText="1"/>
    </xf>
    <xf numFmtId="2" fontId="73" fillId="0" borderId="10" xfId="562" applyNumberFormat="1" applyFont="1" applyFill="1" applyBorder="1" applyAlignment="1">
      <alignment horizontal="center"/>
    </xf>
    <xf numFmtId="2" fontId="61" fillId="0" borderId="10" xfId="565" applyNumberFormat="1" applyFont="1" applyBorder="1" applyAlignment="1">
      <alignment horizontal="center" vertical="center" wrapText="1"/>
    </xf>
    <xf numFmtId="2" fontId="60" fillId="0" borderId="10" xfId="565" applyNumberFormat="1" applyFont="1" applyBorder="1" applyAlignment="1">
      <alignment horizontal="center" vertical="center" wrapText="1"/>
    </xf>
    <xf numFmtId="0" fontId="41" fillId="27" borderId="10" xfId="0" applyFont="1" applyFill="1" applyBorder="1" applyAlignment="1">
      <alignment horizontal="center" vertical="center"/>
    </xf>
    <xf numFmtId="2" fontId="72" fillId="27" borderId="10" xfId="562" applyNumberFormat="1" applyFont="1" applyFill="1" applyBorder="1" applyAlignment="1">
      <alignment horizontal="center"/>
    </xf>
    <xf numFmtId="2" fontId="73" fillId="27" borderId="10" xfId="562" applyNumberFormat="1" applyFont="1" applyFill="1" applyBorder="1" applyAlignment="1">
      <alignment horizontal="center"/>
    </xf>
    <xf numFmtId="0" fontId="68" fillId="27" borderId="10" xfId="0" applyFont="1" applyFill="1" applyBorder="1"/>
    <xf numFmtId="0" fontId="73" fillId="27" borderId="10" xfId="0" applyNumberFormat="1" applyFont="1" applyFill="1" applyBorder="1" applyAlignment="1">
      <alignment horizontal="center" vertical="center" wrapText="1"/>
    </xf>
    <xf numFmtId="2" fontId="73" fillId="27" borderId="10" xfId="562" applyNumberFormat="1" applyFont="1" applyFill="1" applyBorder="1" applyAlignment="1">
      <alignment horizontal="center" vertical="center"/>
    </xf>
    <xf numFmtId="2" fontId="72" fillId="24" borderId="10" xfId="562" applyNumberFormat="1" applyFont="1" applyFill="1" applyBorder="1" applyAlignment="1">
      <alignment horizontal="center" vertical="center"/>
    </xf>
    <xf numFmtId="2" fontId="61" fillId="27" borderId="10" xfId="562" applyNumberFormat="1" applyFont="1" applyFill="1" applyBorder="1" applyAlignment="1">
      <alignment horizontal="center" vertical="center"/>
    </xf>
    <xf numFmtId="2" fontId="60" fillId="24" borderId="10" xfId="562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2" fontId="72" fillId="24" borderId="10" xfId="0" applyNumberFormat="1" applyFont="1" applyFill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center" vertical="center"/>
    </xf>
    <xf numFmtId="2" fontId="72" fillId="24" borderId="10" xfId="0" applyNumberFormat="1" applyFont="1" applyFill="1" applyBorder="1" applyAlignment="1">
      <alignment horizontal="center" vertical="center"/>
    </xf>
    <xf numFmtId="2" fontId="73" fillId="0" borderId="10" xfId="0" applyNumberFormat="1" applyFont="1" applyBorder="1" applyAlignment="1">
      <alignment horizontal="center" vertical="center" wrapText="1"/>
    </xf>
    <xf numFmtId="2" fontId="72" fillId="0" borderId="10" xfId="564" applyNumberFormat="1" applyFont="1" applyBorder="1" applyAlignment="1">
      <alignment horizontal="center" vertical="center" wrapText="1"/>
    </xf>
    <xf numFmtId="2" fontId="72" fillId="0" borderId="10" xfId="564" applyNumberFormat="1" applyFont="1" applyBorder="1" applyAlignment="1">
      <alignment horizontal="center" vertical="center"/>
    </xf>
    <xf numFmtId="0" fontId="41" fillId="27" borderId="10" xfId="0" applyFont="1" applyFill="1" applyBorder="1" applyAlignment="1">
      <alignment vertical="center"/>
    </xf>
    <xf numFmtId="2" fontId="72" fillId="27" borderId="10" xfId="562" applyNumberFormat="1" applyFont="1" applyFill="1" applyBorder="1" applyAlignment="1">
      <alignment horizontal="center" vertical="center"/>
    </xf>
    <xf numFmtId="2" fontId="72" fillId="27" borderId="10" xfId="0" applyNumberFormat="1" applyFont="1" applyFill="1" applyBorder="1" applyAlignment="1">
      <alignment horizontal="center" vertical="center" wrapText="1"/>
    </xf>
    <xf numFmtId="2" fontId="73" fillId="27" borderId="10" xfId="302" applyNumberFormat="1" applyFont="1" applyFill="1" applyBorder="1" applyAlignment="1">
      <alignment horizontal="center" vertical="center"/>
    </xf>
    <xf numFmtId="2" fontId="73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65" fontId="60" fillId="0" borderId="10" xfId="302" applyFont="1" applyFill="1" applyBorder="1" applyAlignment="1">
      <alignment horizontal="center" vertical="center"/>
    </xf>
    <xf numFmtId="2" fontId="60" fillId="0" borderId="10" xfId="564" applyNumberFormat="1" applyFont="1" applyFill="1" applyBorder="1" applyAlignment="1">
      <alignment horizontal="center" vertical="center"/>
    </xf>
    <xf numFmtId="168" fontId="61" fillId="0" borderId="10" xfId="0" applyNumberFormat="1" applyFont="1" applyFill="1" applyBorder="1" applyAlignment="1">
      <alignment horizontal="center" vertical="center"/>
    </xf>
    <xf numFmtId="168" fontId="71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168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2" fontId="60" fillId="0" borderId="10" xfId="0" applyNumberFormat="1" applyFont="1" applyBorder="1" applyAlignment="1">
      <alignment horizontal="center"/>
    </xf>
    <xf numFmtId="0" fontId="75" fillId="0" borderId="10" xfId="0" applyFont="1" applyFill="1" applyBorder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/>
    </xf>
    <xf numFmtId="2" fontId="72" fillId="0" borderId="10" xfId="564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49" fontId="54" fillId="24" borderId="10" xfId="665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center" vertical="center" wrapText="1"/>
    </xf>
    <xf numFmtId="2" fontId="42" fillId="24" borderId="10" xfId="460" applyNumberFormat="1" applyFont="1" applyFill="1" applyBorder="1" applyAlignment="1">
      <alignment horizontal="center" vertical="center" wrapText="1"/>
    </xf>
    <xf numFmtId="2" fontId="27" fillId="24" borderId="10" xfId="460" applyNumberFormat="1" applyFont="1" applyFill="1" applyBorder="1" applyAlignment="1">
      <alignment horizontal="center" vertical="center" wrapText="1"/>
    </xf>
    <xf numFmtId="2" fontId="29" fillId="24" borderId="10" xfId="531" applyNumberFormat="1" applyFont="1" applyFill="1" applyBorder="1" applyAlignment="1">
      <alignment horizontal="center" vertical="center"/>
    </xf>
    <xf numFmtId="2" fontId="27" fillId="24" borderId="10" xfId="531" applyNumberFormat="1" applyFont="1" applyFill="1" applyBorder="1" applyAlignment="1">
      <alignment horizontal="center" vertical="center"/>
    </xf>
    <xf numFmtId="2" fontId="29" fillId="24" borderId="10" xfId="460" applyNumberFormat="1" applyFont="1" applyFill="1" applyBorder="1" applyAlignment="1">
      <alignment horizontal="center" vertical="center" wrapText="1"/>
    </xf>
    <xf numFmtId="2" fontId="29" fillId="24" borderId="10" xfId="534" applyNumberFormat="1" applyFont="1" applyFill="1" applyBorder="1" applyAlignment="1">
      <alignment horizontal="center" vertical="center" wrapText="1"/>
    </xf>
    <xf numFmtId="2" fontId="27" fillId="24" borderId="10" xfId="534" applyNumberFormat="1" applyFont="1" applyFill="1" applyBorder="1" applyAlignment="1">
      <alignment horizontal="center" vertical="center"/>
    </xf>
    <xf numFmtId="2" fontId="29" fillId="24" borderId="10" xfId="534" applyNumberFormat="1" applyFont="1" applyFill="1" applyBorder="1" applyAlignment="1">
      <alignment horizontal="center" vertical="center"/>
    </xf>
    <xf numFmtId="167" fontId="29" fillId="24" borderId="10" xfId="0" applyNumberFormat="1" applyFont="1" applyFill="1" applyBorder="1" applyAlignment="1">
      <alignment horizontal="center" vertical="center" wrapText="1"/>
    </xf>
    <xf numFmtId="2" fontId="29" fillId="24" borderId="10" xfId="449" applyNumberFormat="1" applyFont="1" applyFill="1" applyBorder="1" applyAlignment="1">
      <alignment horizontal="center" vertical="center" wrapText="1"/>
    </xf>
    <xf numFmtId="2" fontId="27" fillId="24" borderId="10" xfId="449" applyNumberFormat="1" applyFont="1" applyFill="1" applyBorder="1" applyAlignment="1">
      <alignment horizontal="center" vertical="center"/>
    </xf>
    <xf numFmtId="2" fontId="49" fillId="24" borderId="10" xfId="0" applyNumberFormat="1" applyFont="1" applyFill="1" applyBorder="1" applyAlignment="1">
      <alignment horizontal="center" vertical="center" wrapText="1"/>
    </xf>
    <xf numFmtId="2" fontId="50" fillId="24" borderId="10" xfId="0" applyNumberFormat="1" applyFont="1" applyFill="1" applyBorder="1" applyAlignment="1">
      <alignment horizontal="center" vertical="center" wrapText="1"/>
    </xf>
    <xf numFmtId="2" fontId="29" fillId="24" borderId="10" xfId="640" applyNumberFormat="1" applyFont="1" applyFill="1" applyBorder="1" applyAlignment="1">
      <alignment horizontal="center" vertical="center" wrapText="1"/>
    </xf>
    <xf numFmtId="2" fontId="29" fillId="24" borderId="10" xfId="530" applyNumberFormat="1" applyFont="1" applyFill="1" applyBorder="1" applyAlignment="1">
      <alignment horizontal="center" vertical="center"/>
    </xf>
    <xf numFmtId="168" fontId="27" fillId="24" borderId="10" xfId="530" applyNumberFormat="1" applyFont="1" applyFill="1" applyBorder="1" applyAlignment="1">
      <alignment horizontal="center" vertical="center"/>
    </xf>
    <xf numFmtId="168" fontId="29" fillId="24" borderId="10" xfId="530" applyNumberFormat="1" applyFont="1" applyFill="1" applyBorder="1" applyAlignment="1">
      <alignment horizontal="center" vertical="center"/>
    </xf>
    <xf numFmtId="2" fontId="29" fillId="24" borderId="10" xfId="445" applyNumberFormat="1" applyFont="1" applyFill="1" applyBorder="1" applyAlignment="1">
      <alignment horizontal="center" vertical="center"/>
    </xf>
    <xf numFmtId="2" fontId="27" fillId="24" borderId="10" xfId="656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horizontal="center" vertical="center"/>
    </xf>
    <xf numFmtId="165" fontId="27" fillId="0" borderId="10" xfId="302" applyFont="1" applyFill="1" applyBorder="1" applyAlignment="1">
      <alignment horizontal="center" vertical="center"/>
    </xf>
    <xf numFmtId="0" fontId="30" fillId="0" borderId="0" xfId="0" applyFont="1"/>
    <xf numFmtId="0" fontId="61" fillId="0" borderId="10" xfId="64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9" fillId="0" borderId="10" xfId="534" applyFont="1" applyFill="1" applyBorder="1" applyAlignment="1">
      <alignment horizontal="left" vertical="center" wrapText="1"/>
    </xf>
    <xf numFmtId="0" fontId="29" fillId="0" borderId="10" xfId="640" applyFont="1" applyFill="1" applyBorder="1" applyAlignment="1">
      <alignment horizontal="center" vertical="center"/>
    </xf>
    <xf numFmtId="2" fontId="69" fillId="0" borderId="10" xfId="449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7" fillId="0" borderId="10" xfId="640" applyFont="1" applyFill="1" applyBorder="1" applyAlignment="1">
      <alignment horizontal="left" vertical="center"/>
    </xf>
    <xf numFmtId="168" fontId="69" fillId="0" borderId="10" xfId="449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0" fillId="24" borderId="0" xfId="0" applyFill="1"/>
    <xf numFmtId="0" fontId="47" fillId="0" borderId="10" xfId="649" applyFont="1" applyFill="1" applyBorder="1" applyAlignment="1">
      <alignment vertical="center" wrapText="1"/>
    </xf>
    <xf numFmtId="0" fontId="54" fillId="0" borderId="10" xfId="649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78" fillId="0" borderId="10" xfId="0" quotePrefix="1" applyFont="1" applyFill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vertical="top" wrapText="1"/>
    </xf>
    <xf numFmtId="2" fontId="69" fillId="0" borderId="10" xfId="0" applyNumberFormat="1" applyFont="1" applyFill="1" applyBorder="1" applyAlignment="1">
      <alignment horizontal="center" vertical="top" wrapText="1"/>
    </xf>
    <xf numFmtId="2" fontId="69" fillId="0" borderId="10" xfId="302" applyNumberFormat="1" applyFont="1" applyFill="1" applyBorder="1" applyAlignment="1" applyProtection="1">
      <alignment horizontal="center" vertical="center" wrapText="1"/>
    </xf>
    <xf numFmtId="2" fontId="69" fillId="0" borderId="10" xfId="302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2" fontId="81" fillId="0" borderId="10" xfId="0" applyNumberFormat="1" applyFont="1" applyFill="1" applyBorder="1" applyAlignment="1">
      <alignment horizontal="center" vertical="center"/>
    </xf>
    <xf numFmtId="0" fontId="29" fillId="24" borderId="10" xfId="639" applyFont="1" applyFill="1" applyBorder="1" applyAlignment="1">
      <alignment horizontal="center" vertical="center"/>
    </xf>
    <xf numFmtId="0" fontId="31" fillId="24" borderId="10" xfId="639" applyFont="1" applyFill="1" applyBorder="1" applyAlignment="1">
      <alignment horizontal="center"/>
    </xf>
    <xf numFmtId="0" fontId="44" fillId="24" borderId="10" xfId="639" applyFont="1" applyFill="1" applyBorder="1" applyAlignment="1">
      <alignment horizontal="center" vertical="center" wrapText="1"/>
    </xf>
    <xf numFmtId="2" fontId="27" fillId="24" borderId="10" xfId="639" applyNumberFormat="1" applyFont="1" applyFill="1" applyBorder="1" applyAlignment="1">
      <alignment horizontal="center" vertical="center"/>
    </xf>
    <xf numFmtId="0" fontId="44" fillId="24" borderId="10" xfId="639" applyFont="1" applyFill="1" applyBorder="1" applyAlignment="1">
      <alignment horizontal="left" vertical="center" wrapText="1"/>
    </xf>
    <xf numFmtId="2" fontId="27" fillId="24" borderId="10" xfId="507" applyNumberFormat="1" applyFont="1" applyFill="1" applyBorder="1" applyAlignment="1">
      <alignment horizontal="center" vertical="center"/>
    </xf>
    <xf numFmtId="167" fontId="27" fillId="24" borderId="10" xfId="507" applyNumberFormat="1" applyFont="1" applyFill="1" applyBorder="1" applyAlignment="1">
      <alignment horizontal="center" vertical="center"/>
    </xf>
    <xf numFmtId="14" fontId="31" fillId="24" borderId="10" xfId="639" applyNumberFormat="1" applyFont="1" applyFill="1" applyBorder="1" applyAlignment="1">
      <alignment horizontal="center" vertical="center"/>
    </xf>
    <xf numFmtId="0" fontId="44" fillId="24" borderId="10" xfId="639" applyFont="1" applyFill="1" applyBorder="1" applyAlignment="1">
      <alignment vertical="center" wrapText="1"/>
    </xf>
    <xf numFmtId="0" fontId="29" fillId="0" borderId="10" xfId="639" applyFont="1" applyFill="1" applyBorder="1" applyAlignment="1">
      <alignment horizontal="center" vertical="center"/>
    </xf>
    <xf numFmtId="0" fontId="29" fillId="0" borderId="10" xfId="639" applyFont="1" applyFill="1" applyBorder="1" applyAlignment="1">
      <alignment horizontal="center" vertical="center" wrapText="1"/>
    </xf>
    <xf numFmtId="0" fontId="31" fillId="0" borderId="10" xfId="639" applyFont="1" applyFill="1" applyBorder="1" applyAlignment="1">
      <alignment horizontal="center" vertical="center" wrapText="1"/>
    </xf>
    <xf numFmtId="0" fontId="44" fillId="0" borderId="10" xfId="639" applyFont="1" applyFill="1" applyBorder="1" applyAlignment="1">
      <alignment horizontal="left" vertical="center" wrapText="1"/>
    </xf>
    <xf numFmtId="49" fontId="31" fillId="0" borderId="10" xfId="639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2" fontId="73" fillId="24" borderId="10" xfId="0" applyNumberFormat="1" applyFont="1" applyFill="1" applyBorder="1" applyAlignment="1">
      <alignment horizontal="center" vertical="center"/>
    </xf>
    <xf numFmtId="0" fontId="66" fillId="24" borderId="10" xfId="534" applyFont="1" applyFill="1" applyBorder="1" applyAlignment="1">
      <alignment horizontal="left" vertical="center"/>
    </xf>
    <xf numFmtId="0" fontId="44" fillId="24" borderId="10" xfId="534" applyFont="1" applyFill="1" applyBorder="1" applyAlignment="1">
      <alignment horizontal="center" vertical="center"/>
    </xf>
    <xf numFmtId="168" fontId="31" fillId="24" borderId="10" xfId="534" applyNumberFormat="1" applyFont="1" applyFill="1" applyBorder="1" applyAlignment="1">
      <alignment horizontal="center" vertical="center"/>
    </xf>
    <xf numFmtId="0" fontId="56" fillId="24" borderId="10" xfId="534" applyFont="1" applyFill="1" applyBorder="1" applyAlignment="1">
      <alignment horizontal="left" vertical="center"/>
    </xf>
    <xf numFmtId="0" fontId="44" fillId="24" borderId="10" xfId="534" applyFont="1" applyFill="1" applyBorder="1" applyAlignment="1">
      <alignment horizontal="left" vertical="center"/>
    </xf>
    <xf numFmtId="169" fontId="27" fillId="24" borderId="10" xfId="0" applyNumberFormat="1" applyFont="1" applyFill="1" applyBorder="1" applyAlignment="1">
      <alignment horizontal="center" vertical="center"/>
    </xf>
    <xf numFmtId="0" fontId="46" fillId="24" borderId="10" xfId="534" applyFont="1" applyFill="1" applyBorder="1" applyAlignment="1">
      <alignment horizontal="left" vertical="center"/>
    </xf>
    <xf numFmtId="0" fontId="46" fillId="24" borderId="10" xfId="534" applyFont="1" applyFill="1" applyBorder="1" applyAlignment="1">
      <alignment horizontal="center" vertical="center"/>
    </xf>
    <xf numFmtId="168" fontId="35" fillId="24" borderId="10" xfId="534" applyNumberFormat="1" applyFont="1" applyFill="1" applyBorder="1" applyAlignment="1">
      <alignment horizontal="center" vertical="center"/>
    </xf>
    <xf numFmtId="0" fontId="46" fillId="24" borderId="10" xfId="534" applyFont="1" applyFill="1" applyBorder="1" applyAlignment="1">
      <alignment horizontal="left" vertical="center" wrapText="1"/>
    </xf>
    <xf numFmtId="0" fontId="46" fillId="24" borderId="10" xfId="534" applyFont="1" applyFill="1" applyBorder="1" applyAlignment="1">
      <alignment horizontal="center" vertical="center" wrapText="1"/>
    </xf>
    <xf numFmtId="168" fontId="35" fillId="24" borderId="10" xfId="534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/>
    </xf>
    <xf numFmtId="2" fontId="29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/>
    </xf>
    <xf numFmtId="168" fontId="27" fillId="24" borderId="10" xfId="0" applyNumberFormat="1" applyFont="1" applyFill="1" applyBorder="1" applyAlignment="1">
      <alignment horizontal="center" vertical="center"/>
    </xf>
    <xf numFmtId="0" fontId="46" fillId="24" borderId="10" xfId="449" applyFont="1" applyFill="1" applyBorder="1" applyAlignment="1">
      <alignment horizontal="left" vertical="center" wrapText="1"/>
    </xf>
    <xf numFmtId="0" fontId="46" fillId="24" borderId="10" xfId="449" applyFont="1" applyFill="1" applyBorder="1" applyAlignment="1">
      <alignment horizontal="center" vertical="center" wrapText="1"/>
    </xf>
    <xf numFmtId="168" fontId="35" fillId="24" borderId="10" xfId="449" applyNumberFormat="1" applyFont="1" applyFill="1" applyBorder="1" applyAlignment="1">
      <alignment horizontal="center" vertical="center" wrapText="1"/>
    </xf>
    <xf numFmtId="0" fontId="44" fillId="24" borderId="10" xfId="449" applyFont="1" applyFill="1" applyBorder="1" applyAlignment="1">
      <alignment horizontal="left" vertical="center"/>
    </xf>
    <xf numFmtId="0" fontId="44" fillId="24" borderId="10" xfId="449" applyFont="1" applyFill="1" applyBorder="1" applyAlignment="1">
      <alignment horizontal="center" vertical="center"/>
    </xf>
    <xf numFmtId="168" fontId="31" fillId="24" borderId="10" xfId="449" applyNumberFormat="1" applyFont="1" applyFill="1" applyBorder="1" applyAlignment="1">
      <alignment horizontal="center" vertical="center"/>
    </xf>
    <xf numFmtId="0" fontId="44" fillId="24" borderId="10" xfId="449" applyFont="1" applyFill="1" applyBorder="1" applyAlignment="1">
      <alignment horizontal="left" vertical="center" wrapText="1"/>
    </xf>
    <xf numFmtId="0" fontId="46" fillId="24" borderId="10" xfId="640" applyFont="1" applyFill="1" applyBorder="1" applyAlignment="1">
      <alignment horizontal="left" vertical="center" wrapText="1"/>
    </xf>
    <xf numFmtId="0" fontId="46" fillId="24" borderId="10" xfId="640" applyFont="1" applyFill="1" applyBorder="1" applyAlignment="1">
      <alignment horizontal="center" vertical="center" wrapText="1"/>
    </xf>
    <xf numFmtId="2" fontId="52" fillId="24" borderId="10" xfId="0" applyNumberFormat="1" applyFont="1" applyFill="1" applyBorder="1" applyAlignment="1">
      <alignment horizontal="center" vertical="center" wrapText="1"/>
    </xf>
    <xf numFmtId="0" fontId="44" fillId="24" borderId="10" xfId="640" applyFont="1" applyFill="1" applyBorder="1" applyAlignment="1">
      <alignment horizontal="left" vertical="center" wrapText="1"/>
    </xf>
    <xf numFmtId="0" fontId="44" fillId="24" borderId="10" xfId="640" applyFont="1" applyFill="1" applyBorder="1" applyAlignment="1">
      <alignment horizontal="center" vertical="center" wrapText="1"/>
    </xf>
    <xf numFmtId="2" fontId="53" fillId="24" borderId="10" xfId="0" applyNumberFormat="1" applyFont="1" applyFill="1" applyBorder="1" applyAlignment="1">
      <alignment horizontal="center" vertical="center" wrapText="1"/>
    </xf>
    <xf numFmtId="168" fontId="53" fillId="24" borderId="10" xfId="0" applyNumberFormat="1" applyFont="1" applyFill="1" applyBorder="1" applyAlignment="1">
      <alignment horizontal="center" vertical="center" wrapText="1"/>
    </xf>
    <xf numFmtId="0" fontId="29" fillId="24" borderId="10" xfId="530" applyFont="1" applyFill="1" applyBorder="1" applyAlignment="1">
      <alignment horizontal="left" vertical="center" wrapText="1"/>
    </xf>
    <xf numFmtId="0" fontId="29" fillId="24" borderId="10" xfId="641" applyFont="1" applyFill="1" applyBorder="1" applyAlignment="1">
      <alignment horizontal="center" vertical="center"/>
    </xf>
    <xf numFmtId="0" fontId="29" fillId="24" borderId="10" xfId="530" applyFont="1" applyFill="1" applyBorder="1" applyAlignment="1">
      <alignment horizontal="left" vertical="center"/>
    </xf>
    <xf numFmtId="0" fontId="27" fillId="24" borderId="10" xfId="530" applyFont="1" applyFill="1" applyBorder="1" applyAlignment="1">
      <alignment horizontal="center" vertical="center"/>
    </xf>
    <xf numFmtId="2" fontId="70" fillId="24" borderId="10" xfId="0" applyNumberFormat="1" applyFont="1" applyFill="1" applyBorder="1" applyAlignment="1">
      <alignment horizontal="center" vertical="center"/>
    </xf>
    <xf numFmtId="0" fontId="69" fillId="24" borderId="10" xfId="564" applyFont="1" applyFill="1" applyBorder="1" applyAlignment="1">
      <alignment horizontal="center" vertical="center"/>
    </xf>
    <xf numFmtId="2" fontId="69" fillId="24" borderId="10" xfId="564" applyNumberFormat="1" applyFont="1" applyFill="1" applyBorder="1" applyAlignment="1">
      <alignment horizontal="center" vertical="center"/>
    </xf>
    <xf numFmtId="0" fontId="69" fillId="24" borderId="10" xfId="0" applyFont="1" applyFill="1" applyBorder="1" applyAlignment="1">
      <alignment horizontal="center" vertical="center"/>
    </xf>
    <xf numFmtId="2" fontId="69" fillId="24" borderId="10" xfId="531" applyNumberFormat="1" applyFont="1" applyFill="1" applyBorder="1" applyAlignment="1">
      <alignment horizontal="center" vertical="center"/>
    </xf>
    <xf numFmtId="2" fontId="69" fillId="24" borderId="10" xfId="640" applyNumberFormat="1" applyFont="1" applyFill="1" applyBorder="1" applyAlignment="1">
      <alignment horizontal="center" vertical="center"/>
    </xf>
    <xf numFmtId="2" fontId="69" fillId="24" borderId="10" xfId="565" applyNumberFormat="1" applyFont="1" applyFill="1" applyBorder="1" applyAlignment="1">
      <alignment horizontal="center" vertical="center"/>
    </xf>
    <xf numFmtId="2" fontId="70" fillId="24" borderId="10" xfId="0" applyNumberFormat="1" applyFont="1" applyFill="1" applyBorder="1" applyAlignment="1">
      <alignment horizontal="center" vertical="center" wrapText="1"/>
    </xf>
    <xf numFmtId="0" fontId="69" fillId="24" borderId="10" xfId="564" applyFont="1" applyFill="1" applyBorder="1" applyAlignment="1">
      <alignment horizontal="center" vertical="center" wrapText="1"/>
    </xf>
    <xf numFmtId="0" fontId="69" fillId="24" borderId="10" xfId="0" applyFont="1" applyFill="1" applyBorder="1" applyAlignment="1">
      <alignment horizontal="center" vertical="center" wrapText="1"/>
    </xf>
    <xf numFmtId="0" fontId="29" fillId="24" borderId="10" xfId="565" applyFont="1" applyFill="1" applyBorder="1" applyAlignment="1">
      <alignment horizontal="center" vertical="center"/>
    </xf>
    <xf numFmtId="2" fontId="70" fillId="24" borderId="10" xfId="449" applyNumberFormat="1" applyFont="1" applyFill="1" applyBorder="1" applyAlignment="1">
      <alignment horizontal="center" vertical="center"/>
    </xf>
    <xf numFmtId="2" fontId="69" fillId="24" borderId="10" xfId="449" applyNumberFormat="1" applyFont="1" applyFill="1" applyBorder="1" applyAlignment="1">
      <alignment horizontal="center" vertical="center"/>
    </xf>
    <xf numFmtId="168" fontId="70" fillId="24" borderId="10" xfId="332" applyNumberFormat="1" applyFont="1" applyFill="1" applyBorder="1" applyAlignment="1" applyProtection="1">
      <alignment horizontal="center" vertical="center" wrapText="1"/>
    </xf>
    <xf numFmtId="169" fontId="69" fillId="24" borderId="10" xfId="0" applyNumberFormat="1" applyFont="1" applyFill="1" applyBorder="1" applyAlignment="1">
      <alignment horizontal="center" vertical="center" wrapText="1"/>
    </xf>
    <xf numFmtId="2" fontId="69" fillId="24" borderId="10" xfId="332" applyNumberFormat="1" applyFont="1" applyFill="1" applyBorder="1" applyAlignment="1" applyProtection="1">
      <alignment horizontal="center" vertical="center" wrapText="1"/>
    </xf>
    <xf numFmtId="2" fontId="69" fillId="24" borderId="10" xfId="332" applyNumberFormat="1" applyFont="1" applyFill="1" applyBorder="1" applyAlignment="1">
      <alignment horizontal="center" vertical="center" wrapText="1"/>
    </xf>
    <xf numFmtId="169" fontId="69" fillId="24" borderId="10" xfId="332" applyNumberFormat="1" applyFont="1" applyFill="1" applyBorder="1" applyAlignment="1" applyProtection="1">
      <alignment horizontal="center" vertical="center" wrapText="1"/>
    </xf>
    <xf numFmtId="168" fontId="69" fillId="24" borderId="10" xfId="332" applyNumberFormat="1" applyFont="1" applyFill="1" applyBorder="1" applyAlignment="1" applyProtection="1">
      <alignment horizontal="center" vertical="center" wrapText="1"/>
    </xf>
    <xf numFmtId="2" fontId="69" fillId="24" borderId="10" xfId="302" applyNumberFormat="1" applyFont="1" applyFill="1" applyBorder="1" applyAlignment="1">
      <alignment horizontal="center" vertical="center" wrapText="1"/>
    </xf>
    <xf numFmtId="2" fontId="70" fillId="24" borderId="10" xfId="0" applyNumberFormat="1" applyFont="1" applyFill="1" applyBorder="1" applyAlignment="1">
      <alignment horizontal="center"/>
    </xf>
    <xf numFmtId="168" fontId="69" fillId="24" borderId="10" xfId="0" applyNumberFormat="1" applyFont="1" applyFill="1" applyBorder="1" applyAlignment="1">
      <alignment horizontal="center" vertical="center"/>
    </xf>
    <xf numFmtId="2" fontId="69" fillId="24" borderId="10" xfId="534" applyNumberFormat="1" applyFont="1" applyFill="1" applyBorder="1" applyAlignment="1">
      <alignment horizontal="center" vertical="center"/>
    </xf>
    <xf numFmtId="168" fontId="60" fillId="24" borderId="10" xfId="0" applyNumberFormat="1" applyFont="1" applyFill="1" applyBorder="1" applyAlignment="1">
      <alignment horizontal="center" vertical="center"/>
    </xf>
    <xf numFmtId="0" fontId="29" fillId="0" borderId="10" xfId="534" applyFont="1" applyBorder="1" applyAlignment="1">
      <alignment horizontal="left" vertical="center" wrapText="1"/>
    </xf>
    <xf numFmtId="0" fontId="29" fillId="0" borderId="10" xfId="640" applyFont="1" applyBorder="1" applyAlignment="1">
      <alignment horizontal="center" vertical="center"/>
    </xf>
    <xf numFmtId="2" fontId="27" fillId="0" borderId="10" xfId="449" applyNumberFormat="1" applyFont="1" applyBorder="1" applyAlignment="1">
      <alignment horizontal="center" vertical="center"/>
    </xf>
    <xf numFmtId="2" fontId="29" fillId="0" borderId="10" xfId="449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27" fillId="0" borderId="10" xfId="640" applyFont="1" applyBorder="1" applyAlignment="1">
      <alignment horizontal="left" vertical="center"/>
    </xf>
    <xf numFmtId="0" fontId="34" fillId="24" borderId="10" xfId="64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left" vertical="center" wrapText="1"/>
    </xf>
    <xf numFmtId="168" fontId="27" fillId="24" borderId="12" xfId="640" applyNumberFormat="1" applyFont="1" applyFill="1" applyBorder="1" applyAlignment="1">
      <alignment horizontal="center" vertical="center"/>
    </xf>
    <xf numFmtId="2" fontId="29" fillId="0" borderId="10" xfId="531" applyNumberFormat="1" applyFont="1" applyFill="1" applyBorder="1" applyAlignment="1">
      <alignment horizontal="center" vertical="center"/>
    </xf>
    <xf numFmtId="2" fontId="27" fillId="24" borderId="12" xfId="565" applyNumberFormat="1" applyFont="1" applyFill="1" applyBorder="1" applyAlignment="1">
      <alignment horizontal="center" vertical="center"/>
    </xf>
    <xf numFmtId="2" fontId="27" fillId="24" borderId="10" xfId="565" applyNumberFormat="1" applyFont="1" applyFill="1" applyBorder="1" applyAlignment="1">
      <alignment horizontal="center" vertical="center"/>
    </xf>
    <xf numFmtId="2" fontId="27" fillId="24" borderId="12" xfId="0" applyNumberFormat="1" applyFont="1" applyFill="1" applyBorder="1" applyAlignment="1">
      <alignment horizontal="center" vertical="center"/>
    </xf>
    <xf numFmtId="2" fontId="27" fillId="24" borderId="10" xfId="640" applyNumberFormat="1" applyFont="1" applyFill="1" applyBorder="1" applyAlignment="1">
      <alignment horizontal="center" vertical="center"/>
    </xf>
    <xf numFmtId="2" fontId="27" fillId="24" borderId="13" xfId="0" applyNumberFormat="1" applyFont="1" applyFill="1" applyBorder="1" applyAlignment="1">
      <alignment horizontal="center" vertical="center"/>
    </xf>
    <xf numFmtId="0" fontId="34" fillId="24" borderId="15" xfId="640" applyFont="1" applyFill="1" applyBorder="1" applyAlignment="1"/>
    <xf numFmtId="0" fontId="27" fillId="24" borderId="0" xfId="0" applyFont="1" applyFill="1" applyBorder="1" applyAlignment="1">
      <alignment vertical="center" wrapText="1"/>
    </xf>
    <xf numFmtId="0" fontId="27" fillId="24" borderId="15" xfId="0" applyFont="1" applyFill="1" applyBorder="1" applyAlignment="1">
      <alignment horizontal="center" vertical="center"/>
    </xf>
    <xf numFmtId="168" fontId="27" fillId="24" borderId="0" xfId="640" applyNumberFormat="1" applyFont="1" applyFill="1" applyBorder="1" applyAlignment="1">
      <alignment horizontal="center"/>
    </xf>
    <xf numFmtId="2" fontId="27" fillId="0" borderId="15" xfId="531" applyNumberFormat="1" applyFont="1" applyFill="1" applyBorder="1" applyAlignment="1">
      <alignment horizontal="center" vertical="center"/>
    </xf>
    <xf numFmtId="2" fontId="27" fillId="24" borderId="0" xfId="565" applyNumberFormat="1" applyFont="1" applyFill="1" applyBorder="1" applyAlignment="1">
      <alignment horizontal="center" vertical="center"/>
    </xf>
    <xf numFmtId="2" fontId="27" fillId="24" borderId="15" xfId="0" applyNumberFormat="1" applyFont="1" applyFill="1" applyBorder="1" applyAlignment="1">
      <alignment horizontal="center" vertical="center"/>
    </xf>
    <xf numFmtId="2" fontId="27" fillId="24" borderId="15" xfId="565" applyNumberFormat="1" applyFont="1" applyFill="1" applyBorder="1" applyAlignment="1">
      <alignment horizontal="center" vertical="center"/>
    </xf>
    <xf numFmtId="2" fontId="27" fillId="24" borderId="0" xfId="0" applyNumberFormat="1" applyFont="1" applyFill="1" applyBorder="1" applyAlignment="1">
      <alignment horizontal="center" vertical="center"/>
    </xf>
    <xf numFmtId="2" fontId="27" fillId="24" borderId="15" xfId="640" applyNumberFormat="1" applyFont="1" applyFill="1" applyBorder="1" applyAlignment="1">
      <alignment horizontal="center" vertical="center"/>
    </xf>
    <xf numFmtId="2" fontId="27" fillId="24" borderId="16" xfId="0" applyNumberFormat="1" applyFont="1" applyFill="1" applyBorder="1" applyAlignment="1">
      <alignment horizontal="center" vertical="center"/>
    </xf>
    <xf numFmtId="0" fontId="29" fillId="0" borderId="10" xfId="648" applyFont="1" applyBorder="1" applyAlignment="1">
      <alignment horizontal="center" vertical="center"/>
    </xf>
    <xf numFmtId="14" fontId="29" fillId="0" borderId="10" xfId="648" applyNumberFormat="1" applyFont="1" applyBorder="1" applyAlignment="1">
      <alignment horizontal="center" vertical="center"/>
    </xf>
    <xf numFmtId="0" fontId="29" fillId="0" borderId="10" xfId="648" applyFont="1" applyBorder="1" applyAlignment="1">
      <alignment horizontal="left" vertical="center" wrapText="1"/>
    </xf>
    <xf numFmtId="168" fontId="29" fillId="0" borderId="10" xfId="648" applyNumberFormat="1" applyFont="1" applyBorder="1" applyAlignment="1">
      <alignment horizontal="center" vertical="center"/>
    </xf>
    <xf numFmtId="2" fontId="29" fillId="0" borderId="10" xfId="648" applyNumberFormat="1" applyFont="1" applyFill="1" applyBorder="1" applyAlignment="1">
      <alignment horizontal="center" vertical="center"/>
    </xf>
    <xf numFmtId="2" fontId="29" fillId="0" borderId="10" xfId="648" applyNumberFormat="1" applyFont="1" applyBorder="1" applyAlignment="1">
      <alignment horizontal="center" vertical="center"/>
    </xf>
    <xf numFmtId="167" fontId="29" fillId="0" borderId="10" xfId="648" applyNumberFormat="1" applyFont="1" applyBorder="1" applyAlignment="1">
      <alignment horizontal="center" vertical="center"/>
    </xf>
    <xf numFmtId="0" fontId="27" fillId="0" borderId="10" xfId="648" applyFont="1" applyBorder="1" applyAlignment="1">
      <alignment horizontal="center" vertical="center"/>
    </xf>
    <xf numFmtId="0" fontId="27" fillId="0" borderId="10" xfId="648" applyFont="1" applyBorder="1" applyAlignment="1">
      <alignment horizontal="left" vertical="center"/>
    </xf>
    <xf numFmtId="168" fontId="27" fillId="0" borderId="10" xfId="648" applyNumberFormat="1" applyFont="1" applyBorder="1" applyAlignment="1">
      <alignment horizontal="center" vertical="center"/>
    </xf>
    <xf numFmtId="2" fontId="27" fillId="0" borderId="10" xfId="648" applyNumberFormat="1" applyFont="1" applyFill="1" applyBorder="1" applyAlignment="1">
      <alignment horizontal="center" vertical="center"/>
    </xf>
    <xf numFmtId="2" fontId="27" fillId="0" borderId="10" xfId="648" applyNumberFormat="1" applyFont="1" applyBorder="1" applyAlignment="1">
      <alignment horizontal="center" vertical="center"/>
    </xf>
    <xf numFmtId="169" fontId="54" fillId="0" borderId="10" xfId="648" applyNumberFormat="1" applyFont="1" applyBorder="1" applyAlignment="1">
      <alignment horizontal="center" vertical="center"/>
    </xf>
    <xf numFmtId="168" fontId="27" fillId="0" borderId="10" xfId="648" applyNumberFormat="1" applyFont="1" applyFill="1" applyBorder="1" applyAlignment="1">
      <alignment horizontal="center" vertical="center"/>
    </xf>
    <xf numFmtId="0" fontId="27" fillId="0" borderId="10" xfId="648" applyFont="1" applyBorder="1" applyAlignment="1">
      <alignment horizontal="left" vertical="center" wrapText="1"/>
    </xf>
    <xf numFmtId="168" fontId="54" fillId="0" borderId="10" xfId="648" applyNumberFormat="1" applyFont="1" applyBorder="1" applyAlignment="1">
      <alignment horizontal="center" vertical="center"/>
    </xf>
    <xf numFmtId="0" fontId="29" fillId="0" borderId="10" xfId="641" applyFont="1" applyBorder="1" applyAlignment="1">
      <alignment horizontal="center" vertical="center"/>
    </xf>
    <xf numFmtId="0" fontId="29" fillId="0" borderId="10" xfId="641" applyFont="1" applyBorder="1" applyAlignment="1">
      <alignment horizontal="left" vertical="center"/>
    </xf>
    <xf numFmtId="168" fontId="29" fillId="0" borderId="10" xfId="641" applyNumberFormat="1" applyFont="1" applyBorder="1" applyAlignment="1">
      <alignment horizontal="center" vertical="center"/>
    </xf>
    <xf numFmtId="2" fontId="29" fillId="0" borderId="10" xfId="641" applyNumberFormat="1" applyFont="1" applyFill="1" applyBorder="1" applyAlignment="1">
      <alignment horizontal="center" vertical="center"/>
    </xf>
    <xf numFmtId="2" fontId="29" fillId="0" borderId="10" xfId="641" applyNumberFormat="1" applyFont="1" applyBorder="1" applyAlignment="1">
      <alignment horizontal="center" vertical="center"/>
    </xf>
    <xf numFmtId="0" fontId="27" fillId="0" borderId="10" xfId="641" applyFont="1" applyBorder="1" applyAlignment="1">
      <alignment horizontal="center" vertical="center"/>
    </xf>
    <xf numFmtId="0" fontId="27" fillId="0" borderId="10" xfId="641" applyFont="1" applyBorder="1" applyAlignment="1">
      <alignment horizontal="left" vertical="center"/>
    </xf>
    <xf numFmtId="2" fontId="27" fillId="0" borderId="10" xfId="641" applyNumberFormat="1" applyFont="1" applyBorder="1" applyAlignment="1">
      <alignment horizontal="center" vertical="center"/>
    </xf>
    <xf numFmtId="2" fontId="27" fillId="0" borderId="10" xfId="641" applyNumberFormat="1" applyFont="1" applyFill="1" applyBorder="1" applyAlignment="1">
      <alignment horizontal="center" vertical="center"/>
    </xf>
    <xf numFmtId="168" fontId="27" fillId="0" borderId="10" xfId="641" applyNumberFormat="1" applyFont="1" applyBorder="1" applyAlignment="1">
      <alignment horizontal="center" vertical="center"/>
    </xf>
    <xf numFmtId="0" fontId="29" fillId="0" borderId="10" xfId="530" applyFont="1" applyBorder="1" applyAlignment="1">
      <alignment horizontal="center" vertical="center" wrapText="1"/>
    </xf>
    <xf numFmtId="0" fontId="29" fillId="0" borderId="10" xfId="530" applyFont="1" applyBorder="1" applyAlignment="1">
      <alignment horizontal="left" vertical="center" wrapText="1"/>
    </xf>
    <xf numFmtId="168" fontId="27" fillId="0" borderId="10" xfId="530" applyNumberFormat="1" applyFont="1" applyFill="1" applyBorder="1" applyAlignment="1">
      <alignment horizontal="center" vertical="center"/>
    </xf>
    <xf numFmtId="168" fontId="29" fillId="0" borderId="10" xfId="530" applyNumberFormat="1" applyFont="1" applyFill="1" applyBorder="1" applyAlignment="1">
      <alignment horizontal="center" vertical="center"/>
    </xf>
    <xf numFmtId="2" fontId="29" fillId="0" borderId="10" xfId="53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640" applyFont="1" applyFill="1" applyBorder="1" applyAlignment="1">
      <alignment horizontal="left" vertical="center" wrapText="1"/>
    </xf>
    <xf numFmtId="2" fontId="27" fillId="0" borderId="10" xfId="64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68" fontId="27" fillId="24" borderId="12" xfId="0" applyNumberFormat="1" applyFont="1" applyFill="1" applyBorder="1" applyAlignment="1">
      <alignment horizontal="center" vertical="center" wrapText="1"/>
    </xf>
    <xf numFmtId="2" fontId="27" fillId="24" borderId="11" xfId="565" applyNumberFormat="1" applyFont="1" applyFill="1" applyBorder="1" applyAlignment="1">
      <alignment horizontal="center" vertical="center" wrapText="1"/>
    </xf>
    <xf numFmtId="2" fontId="27" fillId="24" borderId="12" xfId="0" applyNumberFormat="1" applyFont="1" applyFill="1" applyBorder="1" applyAlignment="1">
      <alignment horizontal="center" vertical="center" wrapText="1"/>
    </xf>
    <xf numFmtId="2" fontId="27" fillId="24" borderId="12" xfId="565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4" fillId="24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vertical="center" wrapText="1"/>
    </xf>
    <xf numFmtId="2" fontId="27" fillId="0" borderId="10" xfId="531" applyNumberFormat="1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horizontal="center" wrapText="1"/>
    </xf>
    <xf numFmtId="0" fontId="42" fillId="0" borderId="10" xfId="449" applyFont="1" applyBorder="1" applyAlignment="1">
      <alignment horizontal="center" vertical="center" wrapText="1"/>
    </xf>
    <xf numFmtId="168" fontId="29" fillId="0" borderId="10" xfId="449" applyNumberFormat="1" applyFont="1" applyBorder="1" applyAlignment="1">
      <alignment horizontal="center" vertical="center" wrapText="1"/>
    </xf>
    <xf numFmtId="2" fontId="42" fillId="0" borderId="10" xfId="449" applyNumberFormat="1" applyFont="1" applyFill="1" applyBorder="1" applyAlignment="1">
      <alignment horizontal="center" vertical="center" wrapText="1"/>
    </xf>
    <xf numFmtId="2" fontId="27" fillId="0" borderId="10" xfId="449" applyNumberFormat="1" applyFont="1" applyBorder="1" applyAlignment="1">
      <alignment horizontal="center" vertical="center" wrapText="1"/>
    </xf>
    <xf numFmtId="0" fontId="27" fillId="0" borderId="10" xfId="449" applyFont="1" applyBorder="1" applyAlignment="1">
      <alignment horizontal="center" vertical="center" wrapText="1"/>
    </xf>
    <xf numFmtId="1" fontId="27" fillId="0" borderId="10" xfId="449" applyNumberFormat="1" applyFont="1" applyBorder="1" applyAlignment="1">
      <alignment horizontal="center" vertical="center" wrapText="1"/>
    </xf>
    <xf numFmtId="1" fontId="27" fillId="0" borderId="10" xfId="669" applyNumberFormat="1" applyFont="1" applyBorder="1" applyAlignment="1">
      <alignment horizontal="center" vertical="center" wrapText="1"/>
    </xf>
    <xf numFmtId="0" fontId="27" fillId="0" borderId="10" xfId="449" applyFont="1" applyBorder="1" applyAlignment="1">
      <alignment horizontal="left"/>
    </xf>
    <xf numFmtId="0" fontId="27" fillId="0" borderId="10" xfId="449" applyFont="1" applyBorder="1" applyAlignment="1">
      <alignment horizontal="center"/>
    </xf>
    <xf numFmtId="2" fontId="54" fillId="0" borderId="10" xfId="449" applyNumberFormat="1" applyFont="1" applyBorder="1" applyAlignment="1">
      <alignment horizontal="center"/>
    </xf>
    <xf numFmtId="2" fontId="27" fillId="0" borderId="10" xfId="449" applyNumberFormat="1" applyFont="1" applyFill="1" applyBorder="1" applyAlignment="1">
      <alignment horizontal="center"/>
    </xf>
    <xf numFmtId="2" fontId="27" fillId="0" borderId="10" xfId="449" applyNumberFormat="1" applyFont="1" applyBorder="1" applyAlignment="1">
      <alignment horizontal="center"/>
    </xf>
    <xf numFmtId="0" fontId="54" fillId="0" borderId="15" xfId="0" applyFont="1" applyFill="1" applyBorder="1" applyAlignment="1">
      <alignment vertical="top" wrapText="1"/>
    </xf>
    <xf numFmtId="168" fontId="54" fillId="0" borderId="10" xfId="449" applyNumberFormat="1" applyFont="1" applyBorder="1" applyAlignment="1">
      <alignment horizontal="center"/>
    </xf>
    <xf numFmtId="1" fontId="27" fillId="0" borderId="10" xfId="449" applyNumberFormat="1" applyFont="1" applyBorder="1" applyAlignment="1">
      <alignment horizontal="center"/>
    </xf>
    <xf numFmtId="2" fontId="27" fillId="29" borderId="10" xfId="449" applyNumberFormat="1" applyFont="1" applyFill="1" applyBorder="1" applyAlignment="1">
      <alignment horizontal="center"/>
    </xf>
    <xf numFmtId="168" fontId="27" fillId="0" borderId="10" xfId="449" applyNumberFormat="1" applyFont="1" applyBorder="1" applyAlignment="1">
      <alignment horizontal="center"/>
    </xf>
    <xf numFmtId="0" fontId="27" fillId="0" borderId="10" xfId="449" applyFont="1" applyBorder="1" applyAlignment="1">
      <alignment horizontal="left" vertical="center" wrapText="1"/>
    </xf>
    <xf numFmtId="168" fontId="31" fillId="0" borderId="10" xfId="449" applyNumberFormat="1" applyFont="1" applyBorder="1" applyAlignment="1">
      <alignment horizontal="center"/>
    </xf>
    <xf numFmtId="2" fontId="27" fillId="24" borderId="10" xfId="449" applyNumberFormat="1" applyFont="1" applyFill="1" applyBorder="1" applyAlignment="1">
      <alignment horizontal="center"/>
    </xf>
    <xf numFmtId="0" fontId="27" fillId="0" borderId="10" xfId="669" applyFont="1" applyBorder="1" applyAlignment="1">
      <alignment horizontal="center"/>
    </xf>
    <xf numFmtId="0" fontId="36" fillId="24" borderId="10" xfId="0" applyFont="1" applyFill="1" applyBorder="1" applyAlignment="1">
      <alignment horizontal="center" vertical="center" wrapText="1"/>
    </xf>
    <xf numFmtId="0" fontId="27" fillId="24" borderId="10" xfId="449" applyFont="1" applyFill="1" applyBorder="1" applyAlignment="1">
      <alignment horizontal="left" vertical="center" wrapText="1"/>
    </xf>
    <xf numFmtId="0" fontId="27" fillId="24" borderId="10" xfId="449" applyFont="1" applyFill="1" applyBorder="1" applyAlignment="1">
      <alignment horizontal="center"/>
    </xf>
    <xf numFmtId="168" fontId="31" fillId="24" borderId="10" xfId="449" applyNumberFormat="1" applyFont="1" applyFill="1" applyBorder="1" applyAlignment="1">
      <alignment horizontal="center"/>
    </xf>
    <xf numFmtId="0" fontId="27" fillId="24" borderId="10" xfId="669" applyFont="1" applyFill="1" applyBorder="1" applyAlignment="1">
      <alignment horizontal="center"/>
    </xf>
    <xf numFmtId="0" fontId="34" fillId="24" borderId="10" xfId="64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 wrapText="1"/>
    </xf>
    <xf numFmtId="168" fontId="29" fillId="24" borderId="10" xfId="0" applyNumberFormat="1" applyFont="1" applyFill="1" applyBorder="1" applyAlignment="1">
      <alignment horizontal="center" vertical="center"/>
    </xf>
    <xf numFmtId="168" fontId="27" fillId="24" borderId="10" xfId="640" applyNumberFormat="1" applyFont="1" applyFill="1" applyBorder="1" applyAlignment="1">
      <alignment horizontal="center" vertical="center"/>
    </xf>
    <xf numFmtId="0" fontId="27" fillId="24" borderId="10" xfId="640" applyFont="1" applyFill="1" applyBorder="1" applyAlignment="1">
      <alignment vertical="center" wrapText="1"/>
    </xf>
    <xf numFmtId="0" fontId="27" fillId="24" borderId="10" xfId="640" applyFont="1" applyFill="1" applyBorder="1" applyAlignment="1">
      <alignment horizontal="center" vertical="center" wrapText="1"/>
    </xf>
    <xf numFmtId="169" fontId="27" fillId="24" borderId="10" xfId="640" applyNumberFormat="1" applyFont="1" applyFill="1" applyBorder="1" applyAlignment="1">
      <alignment horizontal="center" vertical="center"/>
    </xf>
    <xf numFmtId="165" fontId="29" fillId="0" borderId="10" xfId="302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/>
    </xf>
    <xf numFmtId="168" fontId="27" fillId="24" borderId="12" xfId="0" applyNumberFormat="1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 vertical="center"/>
    </xf>
    <xf numFmtId="0" fontId="27" fillId="24" borderId="10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vertical="center" wrapText="1"/>
    </xf>
    <xf numFmtId="0" fontId="47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vertical="center" wrapText="1"/>
    </xf>
    <xf numFmtId="2" fontId="27" fillId="24" borderId="10" xfId="565" applyNumberFormat="1" applyFont="1" applyFill="1" applyBorder="1" applyAlignment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wrapText="1"/>
    </xf>
    <xf numFmtId="14" fontId="29" fillId="0" borderId="10" xfId="640" applyNumberFormat="1" applyFont="1" applyBorder="1" applyAlignment="1">
      <alignment horizontal="center" vertical="center" wrapText="1"/>
    </xf>
    <xf numFmtId="0" fontId="29" fillId="0" borderId="10" xfId="640" applyFont="1" applyBorder="1" applyAlignment="1">
      <alignment horizontal="left" vertical="center" wrapText="1"/>
    </xf>
    <xf numFmtId="168" fontId="29" fillId="0" borderId="10" xfId="640" applyNumberFormat="1" applyFont="1" applyBorder="1" applyAlignment="1">
      <alignment horizontal="center" vertical="center" wrapText="1"/>
    </xf>
    <xf numFmtId="0" fontId="29" fillId="0" borderId="10" xfId="566" applyFont="1" applyBorder="1" applyAlignment="1">
      <alignment horizontal="center" vertical="center" wrapText="1"/>
    </xf>
    <xf numFmtId="2" fontId="29" fillId="0" borderId="10" xfId="566" applyNumberFormat="1" applyFont="1" applyBorder="1" applyAlignment="1">
      <alignment horizontal="center" vertical="center" wrapText="1"/>
    </xf>
    <xf numFmtId="0" fontId="29" fillId="0" borderId="10" xfId="640" applyFont="1" applyBorder="1" applyAlignment="1">
      <alignment horizontal="center"/>
    </xf>
    <xf numFmtId="2" fontId="27" fillId="0" borderId="10" xfId="640" applyNumberFormat="1" applyFont="1" applyBorder="1" applyAlignment="1">
      <alignment horizontal="center" vertical="center"/>
    </xf>
    <xf numFmtId="0" fontId="29" fillId="0" borderId="10" xfId="449" applyFont="1" applyBorder="1" applyAlignment="1">
      <alignment vertical="center" wrapText="1"/>
    </xf>
    <xf numFmtId="0" fontId="27" fillId="0" borderId="10" xfId="449" applyFont="1" applyBorder="1" applyAlignment="1">
      <alignment vertical="center"/>
    </xf>
    <xf numFmtId="168" fontId="31" fillId="0" borderId="10" xfId="449" applyNumberFormat="1" applyFont="1" applyBorder="1" applyAlignment="1">
      <alignment vertical="center"/>
    </xf>
    <xf numFmtId="2" fontId="27" fillId="0" borderId="10" xfId="449" applyNumberFormat="1" applyFont="1" applyBorder="1" applyAlignment="1">
      <alignment vertical="center"/>
    </xf>
    <xf numFmtId="0" fontId="27" fillId="0" borderId="10" xfId="669" applyFont="1" applyBorder="1" applyAlignment="1">
      <alignment vertical="center"/>
    </xf>
    <xf numFmtId="0" fontId="29" fillId="0" borderId="10" xfId="449" applyFont="1" applyBorder="1" applyAlignment="1">
      <alignment horizontal="left" vertical="center" wrapText="1"/>
    </xf>
    <xf numFmtId="2" fontId="29" fillId="0" borderId="10" xfId="449" applyNumberFormat="1" applyFont="1" applyFill="1" applyBorder="1" applyAlignment="1">
      <alignment horizontal="center"/>
    </xf>
    <xf numFmtId="0" fontId="29" fillId="0" borderId="10" xfId="449" applyFont="1" applyBorder="1" applyAlignment="1">
      <alignment horizontal="center"/>
    </xf>
    <xf numFmtId="0" fontId="29" fillId="0" borderId="10" xfId="449" applyFont="1" applyBorder="1" applyAlignment="1">
      <alignment horizontal="left" vertical="center"/>
    </xf>
    <xf numFmtId="0" fontId="29" fillId="0" borderId="10" xfId="449" applyFont="1" applyBorder="1" applyAlignment="1">
      <alignment horizontal="center" vertical="center"/>
    </xf>
    <xf numFmtId="168" fontId="29" fillId="0" borderId="10" xfId="449" applyNumberFormat="1" applyFont="1" applyBorder="1" applyAlignment="1">
      <alignment horizontal="center" vertical="center"/>
    </xf>
    <xf numFmtId="2" fontId="42" fillId="0" borderId="10" xfId="449" applyNumberFormat="1" applyFont="1" applyFill="1" applyBorder="1" applyAlignment="1">
      <alignment horizontal="center" vertical="center"/>
    </xf>
    <xf numFmtId="2" fontId="29" fillId="0" borderId="10" xfId="449" applyNumberFormat="1" applyFont="1" applyBorder="1" applyAlignment="1">
      <alignment horizontal="center" vertical="center"/>
    </xf>
    <xf numFmtId="0" fontId="29" fillId="0" borderId="10" xfId="670" applyFont="1" applyBorder="1" applyAlignment="1">
      <alignment horizontal="center" vertical="center"/>
    </xf>
    <xf numFmtId="0" fontId="27" fillId="0" borderId="10" xfId="449" applyFont="1" applyBorder="1" applyAlignment="1">
      <alignment horizontal="left" vertical="center"/>
    </xf>
    <xf numFmtId="0" fontId="27" fillId="0" borderId="10" xfId="449" applyFont="1" applyBorder="1" applyAlignment="1">
      <alignment horizontal="center" vertical="center"/>
    </xf>
    <xf numFmtId="168" fontId="27" fillId="0" borderId="10" xfId="449" applyNumberFormat="1" applyFont="1" applyBorder="1" applyAlignment="1">
      <alignment horizontal="center" vertical="center"/>
    </xf>
    <xf numFmtId="168" fontId="27" fillId="0" borderId="10" xfId="449" applyNumberFormat="1" applyFont="1" applyFill="1" applyBorder="1" applyAlignment="1">
      <alignment horizontal="center" vertical="center"/>
    </xf>
    <xf numFmtId="0" fontId="27" fillId="0" borderId="10" xfId="670" applyFont="1" applyBorder="1" applyAlignment="1">
      <alignment horizontal="center" vertical="center"/>
    </xf>
    <xf numFmtId="17" fontId="54" fillId="0" borderId="10" xfId="563" applyNumberFormat="1" applyFont="1" applyFill="1" applyBorder="1" applyAlignment="1">
      <alignment horizontal="center"/>
    </xf>
    <xf numFmtId="0" fontId="29" fillId="0" borderId="10" xfId="563" applyFont="1" applyBorder="1" applyAlignment="1">
      <alignment horizontal="left" vertical="center"/>
    </xf>
    <xf numFmtId="0" fontId="27" fillId="0" borderId="10" xfId="563" applyFont="1" applyBorder="1" applyAlignment="1">
      <alignment horizontal="center"/>
    </xf>
    <xf numFmtId="168" fontId="27" fillId="0" borderId="10" xfId="563" applyNumberFormat="1" applyFont="1" applyBorder="1" applyAlignment="1">
      <alignment horizontal="center"/>
    </xf>
    <xf numFmtId="167" fontId="27" fillId="0" borderId="10" xfId="563" applyNumberFormat="1" applyFont="1" applyFill="1" applyBorder="1" applyAlignment="1">
      <alignment horizontal="center"/>
    </xf>
    <xf numFmtId="0" fontId="27" fillId="0" borderId="10" xfId="671" applyFont="1" applyBorder="1" applyAlignment="1">
      <alignment horizontal="center"/>
    </xf>
    <xf numFmtId="2" fontId="27" fillId="0" borderId="10" xfId="671" applyNumberFormat="1" applyFont="1" applyBorder="1" applyAlignment="1">
      <alignment horizontal="center"/>
    </xf>
    <xf numFmtId="169" fontId="27" fillId="0" borderId="10" xfId="449" applyNumberFormat="1" applyFont="1" applyBorder="1" applyAlignment="1">
      <alignment horizontal="center" vertical="center"/>
    </xf>
    <xf numFmtId="0" fontId="29" fillId="0" borderId="10" xfId="640" applyFont="1" applyBorder="1" applyAlignment="1">
      <alignment horizontal="left" vertical="center"/>
    </xf>
    <xf numFmtId="168" fontId="29" fillId="0" borderId="10" xfId="640" applyNumberFormat="1" applyFont="1" applyBorder="1" applyAlignment="1">
      <alignment horizontal="center" vertical="center"/>
    </xf>
    <xf numFmtId="2" fontId="29" fillId="0" borderId="10" xfId="640" applyNumberFormat="1" applyFont="1" applyBorder="1" applyAlignment="1">
      <alignment horizontal="center" vertical="center"/>
    </xf>
    <xf numFmtId="167" fontId="29" fillId="0" borderId="10" xfId="640" applyNumberFormat="1" applyFont="1" applyBorder="1" applyAlignment="1">
      <alignment horizontal="center" vertical="center"/>
    </xf>
    <xf numFmtId="0" fontId="29" fillId="0" borderId="10" xfId="563" applyFont="1" applyFill="1" applyBorder="1" applyAlignment="1">
      <alignment horizontal="left" vertical="center"/>
    </xf>
    <xf numFmtId="0" fontId="27" fillId="0" borderId="10" xfId="563" applyFont="1" applyFill="1" applyBorder="1" applyAlignment="1">
      <alignment horizontal="center"/>
    </xf>
    <xf numFmtId="168" fontId="27" fillId="0" borderId="10" xfId="563" applyNumberFormat="1" applyFont="1" applyFill="1" applyBorder="1" applyAlignment="1">
      <alignment horizontal="center"/>
    </xf>
    <xf numFmtId="0" fontId="27" fillId="0" borderId="10" xfId="671" applyFont="1" applyFill="1" applyBorder="1" applyAlignment="1">
      <alignment horizontal="center"/>
    </xf>
    <xf numFmtId="2" fontId="27" fillId="0" borderId="10" xfId="671" applyNumberFormat="1" applyFont="1" applyFill="1" applyBorder="1" applyAlignment="1">
      <alignment horizontal="center"/>
    </xf>
    <xf numFmtId="168" fontId="27" fillId="0" borderId="10" xfId="640" applyNumberFormat="1" applyFont="1" applyFill="1" applyBorder="1" applyAlignment="1">
      <alignment horizontal="center" vertical="center"/>
    </xf>
    <xf numFmtId="0" fontId="40" fillId="27" borderId="10" xfId="0" applyFont="1" applyFill="1" applyBorder="1" applyAlignment="1">
      <alignment horizontal="center" vertical="center"/>
    </xf>
    <xf numFmtId="0" fontId="0" fillId="27" borderId="10" xfId="0" applyFill="1" applyBorder="1"/>
    <xf numFmtId="2" fontId="60" fillId="24" borderId="10" xfId="0" applyNumberFormat="1" applyFont="1" applyFill="1" applyBorder="1" applyAlignment="1">
      <alignment horizontal="center"/>
    </xf>
    <xf numFmtId="2" fontId="60" fillId="24" borderId="10" xfId="0" applyNumberFormat="1" applyFont="1" applyFill="1" applyBorder="1" applyAlignment="1">
      <alignment horizontal="center" vertical="center" wrapText="1"/>
    </xf>
    <xf numFmtId="2" fontId="60" fillId="24" borderId="10" xfId="0" applyNumberFormat="1" applyFont="1" applyFill="1" applyBorder="1" applyAlignment="1">
      <alignment horizontal="center" vertical="center"/>
    </xf>
    <xf numFmtId="0" fontId="61" fillId="26" borderId="10" xfId="569" applyFont="1" applyFill="1" applyBorder="1" applyAlignment="1">
      <alignment horizontal="center" vertical="center"/>
    </xf>
    <xf numFmtId="0" fontId="61" fillId="26" borderId="10" xfId="569" applyFont="1" applyFill="1" applyBorder="1" applyAlignment="1">
      <alignment horizontal="center"/>
    </xf>
    <xf numFmtId="9" fontId="69" fillId="24" borderId="10" xfId="0" applyNumberFormat="1" applyFont="1" applyFill="1" applyBorder="1" applyAlignment="1">
      <alignment horizontal="center" vertical="center" wrapText="1"/>
    </xf>
    <xf numFmtId="165" fontId="70" fillId="24" borderId="10" xfId="302" applyFont="1" applyFill="1" applyBorder="1" applyAlignment="1">
      <alignment horizontal="center" vertical="center"/>
    </xf>
    <xf numFmtId="2" fontId="70" fillId="24" borderId="10" xfId="562" applyNumberFormat="1" applyFont="1" applyFill="1" applyBorder="1" applyAlignment="1">
      <alignment horizontal="center" vertical="center"/>
    </xf>
    <xf numFmtId="0" fontId="46" fillId="26" borderId="10" xfId="0" applyNumberFormat="1" applyFont="1" applyFill="1" applyBorder="1" applyAlignment="1">
      <alignment horizontal="center" vertical="center" wrapText="1"/>
    </xf>
    <xf numFmtId="0" fontId="35" fillId="26" borderId="10" xfId="0" applyNumberFormat="1" applyFont="1" applyFill="1" applyBorder="1" applyAlignment="1">
      <alignment horizontal="center" vertical="center" wrapText="1"/>
    </xf>
    <xf numFmtId="2" fontId="29" fillId="26" borderId="10" xfId="0" applyNumberFormat="1" applyFont="1" applyFill="1" applyBorder="1" applyAlignment="1">
      <alignment horizontal="center" vertical="center" wrapText="1"/>
    </xf>
    <xf numFmtId="0" fontId="85" fillId="26" borderId="10" xfId="0" applyNumberFormat="1" applyFont="1" applyFill="1" applyBorder="1" applyAlignment="1">
      <alignment horizontal="center" vertical="center" wrapText="1"/>
    </xf>
    <xf numFmtId="0" fontId="86" fillId="26" borderId="10" xfId="0" applyNumberFormat="1" applyFont="1" applyFill="1" applyBorder="1" applyAlignment="1">
      <alignment horizontal="center" vertical="center" wrapText="1"/>
    </xf>
    <xf numFmtId="0" fontId="43" fillId="27" borderId="10" xfId="656" applyFont="1" applyFill="1" applyBorder="1" applyAlignment="1">
      <alignment horizontal="center" vertical="center"/>
    </xf>
    <xf numFmtId="0" fontId="45" fillId="27" borderId="10" xfId="656" applyFont="1" applyFill="1" applyBorder="1" applyAlignment="1">
      <alignment horizontal="center"/>
    </xf>
    <xf numFmtId="0" fontId="46" fillId="27" borderId="10" xfId="656" applyFont="1" applyFill="1" applyBorder="1" applyAlignment="1">
      <alignment horizontal="center" vertical="center"/>
    </xf>
    <xf numFmtId="168" fontId="31" fillId="27" borderId="10" xfId="656" applyNumberFormat="1" applyFont="1" applyFill="1" applyBorder="1" applyAlignment="1">
      <alignment horizontal="center" vertical="center"/>
    </xf>
    <xf numFmtId="2" fontId="27" fillId="27" borderId="10" xfId="656" applyNumberFormat="1" applyFont="1" applyFill="1" applyBorder="1" applyAlignment="1">
      <alignment horizontal="center" vertical="center"/>
    </xf>
    <xf numFmtId="2" fontId="29" fillId="27" borderId="10" xfId="656" applyNumberFormat="1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/>
    </xf>
    <xf numFmtId="2" fontId="54" fillId="24" borderId="10" xfId="563" applyNumberFormat="1" applyFont="1" applyFill="1" applyBorder="1" applyAlignment="1">
      <alignment horizontal="center"/>
    </xf>
    <xf numFmtId="2" fontId="42" fillId="24" borderId="10" xfId="563" applyNumberFormat="1" applyFont="1" applyFill="1" applyBorder="1" applyAlignment="1">
      <alignment horizontal="center"/>
    </xf>
    <xf numFmtId="165" fontId="42" fillId="24" borderId="10" xfId="302" applyFont="1" applyFill="1" applyBorder="1" applyAlignment="1">
      <alignment horizontal="center"/>
    </xf>
    <xf numFmtId="9" fontId="29" fillId="24" borderId="10" xfId="0" applyNumberFormat="1" applyFont="1" applyFill="1" applyBorder="1" applyAlignment="1">
      <alignment horizontal="center" vertical="center"/>
    </xf>
    <xf numFmtId="9" fontId="27" fillId="24" borderId="10" xfId="0" applyNumberFormat="1" applyFont="1" applyFill="1" applyBorder="1" applyAlignment="1">
      <alignment horizontal="center" vertical="center"/>
    </xf>
    <xf numFmtId="2" fontId="27" fillId="24" borderId="10" xfId="563" applyNumberFormat="1" applyFont="1" applyFill="1" applyBorder="1" applyAlignment="1">
      <alignment horizontal="center"/>
    </xf>
    <xf numFmtId="0" fontId="65" fillId="24" borderId="10" xfId="0" applyFont="1" applyFill="1" applyBorder="1" applyAlignment="1">
      <alignment horizontal="center" vertical="center"/>
    </xf>
    <xf numFmtId="2" fontId="29" fillId="24" borderId="10" xfId="563" applyNumberFormat="1" applyFont="1" applyFill="1" applyBorder="1" applyAlignment="1">
      <alignment horizontal="center"/>
    </xf>
    <xf numFmtId="2" fontId="73" fillId="24" borderId="10" xfId="0" applyNumberFormat="1" applyFont="1" applyFill="1" applyBorder="1" applyAlignment="1">
      <alignment horizontal="center" vertical="center" wrapText="1"/>
    </xf>
    <xf numFmtId="2" fontId="73" fillId="24" borderId="10" xfId="562" applyNumberFormat="1" applyFont="1" applyFill="1" applyBorder="1" applyAlignment="1">
      <alignment horizontal="center" vertical="center"/>
    </xf>
    <xf numFmtId="9" fontId="73" fillId="24" borderId="10" xfId="0" applyNumberFormat="1" applyFont="1" applyFill="1" applyBorder="1" applyAlignment="1">
      <alignment horizontal="center" vertical="center" wrapText="1"/>
    </xf>
    <xf numFmtId="9" fontId="72" fillId="24" borderId="10" xfId="0" applyNumberFormat="1" applyFont="1" applyFill="1" applyBorder="1" applyAlignment="1">
      <alignment horizontal="center" vertical="center" wrapText="1"/>
    </xf>
    <xf numFmtId="2" fontId="61" fillId="24" borderId="10" xfId="562" applyNumberFormat="1" applyFont="1" applyFill="1" applyBorder="1" applyAlignment="1">
      <alignment horizontal="center" vertical="center"/>
    </xf>
    <xf numFmtId="0" fontId="68" fillId="24" borderId="10" xfId="0" applyFont="1" applyFill="1" applyBorder="1"/>
    <xf numFmtId="0" fontId="87" fillId="25" borderId="10" xfId="0" applyFont="1" applyFill="1" applyBorder="1" applyAlignment="1">
      <alignment horizontal="center" vertical="center"/>
    </xf>
    <xf numFmtId="0" fontId="88" fillId="25" borderId="10" xfId="0" applyFont="1" applyFill="1" applyBorder="1"/>
    <xf numFmtId="0" fontId="26" fillId="25" borderId="10" xfId="0" applyNumberFormat="1" applyFont="1" applyFill="1" applyBorder="1" applyAlignment="1">
      <alignment horizontal="center" vertical="center" wrapText="1"/>
    </xf>
    <xf numFmtId="0" fontId="28" fillId="25" borderId="10" xfId="0" applyNumberFormat="1" applyFont="1" applyFill="1" applyBorder="1" applyAlignment="1">
      <alignment horizontal="center" vertical="center" wrapText="1"/>
    </xf>
    <xf numFmtId="2" fontId="28" fillId="25" borderId="10" xfId="562" applyNumberFormat="1" applyFont="1" applyFill="1" applyBorder="1" applyAlignment="1">
      <alignment horizontal="center"/>
    </xf>
    <xf numFmtId="2" fontId="26" fillId="25" borderId="10" xfId="562" applyNumberFormat="1" applyFont="1" applyFill="1" applyBorder="1" applyAlignment="1">
      <alignment horizontal="center"/>
    </xf>
    <xf numFmtId="0" fontId="26" fillId="0" borderId="10" xfId="644" applyFont="1" applyFill="1" applyBorder="1" applyAlignment="1">
      <alignment horizontal="center" vertical="center"/>
    </xf>
    <xf numFmtId="0" fontId="28" fillId="0" borderId="10" xfId="644" applyFont="1" applyFill="1" applyBorder="1" applyAlignment="1">
      <alignment horizontal="center"/>
    </xf>
    <xf numFmtId="0" fontId="26" fillId="0" borderId="10" xfId="509" applyFont="1" applyFill="1" applyBorder="1" applyAlignment="1">
      <alignment horizontal="center"/>
    </xf>
    <xf numFmtId="0" fontId="28" fillId="0" borderId="10" xfId="644" applyFont="1" applyFill="1" applyBorder="1" applyAlignment="1">
      <alignment horizontal="center" vertical="center"/>
    </xf>
    <xf numFmtId="9" fontId="28" fillId="0" borderId="10" xfId="644" applyNumberFormat="1" applyFont="1" applyFill="1" applyBorder="1" applyAlignment="1">
      <alignment horizontal="center"/>
    </xf>
    <xf numFmtId="2" fontId="28" fillId="0" borderId="10" xfId="644" applyNumberFormat="1" applyFont="1" applyFill="1" applyBorder="1" applyAlignment="1">
      <alignment horizontal="center"/>
    </xf>
    <xf numFmtId="0" fontId="26" fillId="0" borderId="10" xfId="644" applyFont="1" applyFill="1" applyBorder="1" applyAlignment="1">
      <alignment horizontal="center"/>
    </xf>
    <xf numFmtId="2" fontId="26" fillId="0" borderId="10" xfId="644" applyNumberFormat="1" applyFont="1" applyFill="1" applyBorder="1" applyAlignment="1">
      <alignment horizontal="center"/>
    </xf>
    <xf numFmtId="0" fontId="26" fillId="27" borderId="10" xfId="644" applyFont="1" applyFill="1" applyBorder="1" applyAlignment="1">
      <alignment horizontal="center" vertical="center"/>
    </xf>
    <xf numFmtId="0" fontId="28" fillId="27" borderId="10" xfId="644" applyFont="1" applyFill="1" applyBorder="1" applyAlignment="1">
      <alignment horizontal="center"/>
    </xf>
    <xf numFmtId="0" fontId="86" fillId="27" borderId="10" xfId="520" applyFont="1" applyFill="1" applyBorder="1" applyAlignment="1">
      <alignment horizontal="center" vertical="center"/>
    </xf>
    <xf numFmtId="0" fontId="28" fillId="27" borderId="10" xfId="644" applyFont="1" applyFill="1" applyBorder="1" applyAlignment="1">
      <alignment horizontal="center" vertical="center"/>
    </xf>
    <xf numFmtId="2" fontId="28" fillId="27" borderId="10" xfId="644" applyNumberFormat="1" applyFont="1" applyFill="1" applyBorder="1" applyAlignment="1">
      <alignment horizontal="center"/>
    </xf>
    <xf numFmtId="2" fontId="26" fillId="27" borderId="10" xfId="644" applyNumberFormat="1" applyFont="1" applyFill="1" applyBorder="1" applyAlignment="1">
      <alignment horizontal="center" vertical="center"/>
    </xf>
    <xf numFmtId="2" fontId="28" fillId="0" borderId="0" xfId="644" applyNumberFormat="1" applyFont="1" applyFill="1" applyAlignment="1">
      <alignment horizontal="center" vertical="center"/>
    </xf>
    <xf numFmtId="0" fontId="32" fillId="0" borderId="10" xfId="569" applyFont="1" applyFill="1" applyBorder="1" applyAlignment="1">
      <alignment horizontal="center" vertical="center" wrapText="1"/>
    </xf>
    <xf numFmtId="2" fontId="32" fillId="0" borderId="10" xfId="569" applyNumberFormat="1" applyFont="1" applyFill="1" applyBorder="1" applyAlignment="1">
      <alignment horizontal="center" vertical="center" wrapText="1"/>
    </xf>
    <xf numFmtId="0" fontId="32" fillId="0" borderId="10" xfId="569" applyFont="1" applyFill="1" applyBorder="1" applyAlignment="1">
      <alignment horizontal="center" vertical="center"/>
    </xf>
    <xf numFmtId="165" fontId="32" fillId="0" borderId="10" xfId="302" applyFont="1" applyFill="1" applyBorder="1" applyAlignment="1">
      <alignment horizontal="center" vertical="center"/>
    </xf>
    <xf numFmtId="0" fontId="84" fillId="0" borderId="10" xfId="656" applyFont="1" applyFill="1" applyBorder="1" applyAlignment="1">
      <alignment horizontal="center" vertical="center"/>
    </xf>
    <xf numFmtId="0" fontId="31" fillId="0" borderId="10" xfId="569" applyFont="1" applyFill="1" applyBorder="1" applyAlignment="1">
      <alignment horizontal="center" vertical="center" wrapText="1"/>
    </xf>
    <xf numFmtId="0" fontId="29" fillId="0" borderId="10" xfId="569" applyFont="1" applyFill="1" applyBorder="1" applyAlignment="1">
      <alignment horizontal="center" vertical="center" wrapText="1"/>
    </xf>
    <xf numFmtId="2" fontId="27" fillId="0" borderId="10" xfId="569" applyNumberFormat="1" applyFont="1" applyFill="1" applyBorder="1" applyAlignment="1">
      <alignment horizontal="center" vertical="center" wrapText="1"/>
    </xf>
    <xf numFmtId="0" fontId="37" fillId="0" borderId="10" xfId="0" applyFont="1" applyBorder="1"/>
    <xf numFmtId="0" fontId="38" fillId="0" borderId="13" xfId="672" applyFill="1" applyBorder="1" applyAlignment="1">
      <alignment horizontal="left" vertical="center" wrapText="1"/>
    </xf>
    <xf numFmtId="0" fontId="38" fillId="0" borderId="10" xfId="672" applyFill="1" applyBorder="1" applyAlignment="1">
      <alignment horizontal="center" vertical="center"/>
    </xf>
    <xf numFmtId="0" fontId="37" fillId="24" borderId="10" xfId="0" applyFont="1" applyFill="1" applyBorder="1"/>
    <xf numFmtId="0" fontId="38" fillId="0" borderId="13" xfId="672" applyFill="1" applyBorder="1" applyAlignment="1">
      <alignment horizontal="left" vertical="center"/>
    </xf>
    <xf numFmtId="0" fontId="38" fillId="0" borderId="10" xfId="672" applyFill="1" applyBorder="1" applyAlignment="1">
      <alignment horizontal="left" vertical="center"/>
    </xf>
    <xf numFmtId="0" fontId="29" fillId="0" borderId="10" xfId="644" applyFont="1" applyFill="1" applyBorder="1" applyAlignment="1">
      <alignment horizontal="center" vertical="center"/>
    </xf>
    <xf numFmtId="165" fontId="28" fillId="0" borderId="10" xfId="302" applyFont="1" applyFill="1" applyBorder="1" applyAlignment="1">
      <alignment horizontal="center" vertical="center"/>
    </xf>
  </cellXfs>
  <cellStyles count="673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3" xfId="6"/>
    <cellStyle name="20% - Accent1 4" xfId="7"/>
    <cellStyle name="20% - Accent1 4 2" xfId="8"/>
    <cellStyle name="20% - Accent1 5" xfId="9"/>
    <cellStyle name="20% - Accent1 6" xfId="10"/>
    <cellStyle name="20% - Accent1 7" xfId="11"/>
    <cellStyle name="20% - Accent2 2" xfId="12"/>
    <cellStyle name="20% - Accent2 2 2" xfId="13"/>
    <cellStyle name="20% - Accent2 2 3" xfId="14"/>
    <cellStyle name="20% - Accent2 2 4" xfId="15"/>
    <cellStyle name="20% - Accent2 2 5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2 2" xfId="24"/>
    <cellStyle name="20% - Accent3 2 3" xfId="25"/>
    <cellStyle name="20% - Accent3 2 4" xfId="26"/>
    <cellStyle name="20% - Accent3 2 5" xfId="27"/>
    <cellStyle name="20% - Accent3 3" xfId="28"/>
    <cellStyle name="20% - Accent3 4" xfId="29"/>
    <cellStyle name="20% - Accent3 4 2" xfId="30"/>
    <cellStyle name="20% - Accent3 5" xfId="31"/>
    <cellStyle name="20% - Accent3 6" xfId="32"/>
    <cellStyle name="20% - Accent3 7" xfId="33"/>
    <cellStyle name="20% - Accent4 2" xfId="34"/>
    <cellStyle name="20% - Accent4 2 2" xfId="35"/>
    <cellStyle name="20% - Accent4 2 3" xfId="36"/>
    <cellStyle name="20% - Accent4 2 4" xfId="37"/>
    <cellStyle name="20% - Accent4 2 5" xfId="38"/>
    <cellStyle name="20% - Accent4 3" xfId="39"/>
    <cellStyle name="20% - Accent4 4" xfId="40"/>
    <cellStyle name="20% - Accent4 4 2" xfId="41"/>
    <cellStyle name="20% - Accent4 5" xfId="42"/>
    <cellStyle name="20% - Accent4 6" xfId="43"/>
    <cellStyle name="20% - Accent4 7" xfId="44"/>
    <cellStyle name="20% - Accent5 2" xfId="45"/>
    <cellStyle name="20% - Accent5 2 2" xfId="46"/>
    <cellStyle name="20% - Accent5 2 3" xfId="47"/>
    <cellStyle name="20% - Accent5 2 4" xfId="48"/>
    <cellStyle name="20% - Accent5 2 5" xfId="49"/>
    <cellStyle name="20% - Accent5 3" xfId="50"/>
    <cellStyle name="20% - Accent5 4" xfId="51"/>
    <cellStyle name="20% - Accent5 4 2" xfId="52"/>
    <cellStyle name="20% - Accent5 5" xfId="53"/>
    <cellStyle name="20% - Accent5 6" xfId="54"/>
    <cellStyle name="20% - Accent5 7" xfId="55"/>
    <cellStyle name="20% - Accent6 2" xfId="56"/>
    <cellStyle name="20% - Accent6 2 2" xfId="57"/>
    <cellStyle name="20% - Accent6 2 3" xfId="58"/>
    <cellStyle name="20% - Accent6 2 4" xfId="59"/>
    <cellStyle name="20% - Accent6 2 5" xfId="60"/>
    <cellStyle name="20% - Accent6 3" xfId="61"/>
    <cellStyle name="20% - Accent6 4" xfId="62"/>
    <cellStyle name="20% - Accent6 4 2" xfId="63"/>
    <cellStyle name="20% - Accent6 5" xfId="64"/>
    <cellStyle name="20% - Accent6 6" xfId="65"/>
    <cellStyle name="20% - Accent6 7" xfId="66"/>
    <cellStyle name="40% - Accent1 2" xfId="67"/>
    <cellStyle name="40% - Accent1 2 2" xfId="68"/>
    <cellStyle name="40% - Accent1 2 3" xfId="69"/>
    <cellStyle name="40% - Accent1 2 4" xfId="70"/>
    <cellStyle name="40% - Accent1 2 5" xfId="71"/>
    <cellStyle name="40% - Accent1 3" xfId="72"/>
    <cellStyle name="40% - Accent1 4" xfId="73"/>
    <cellStyle name="40% - Accent1 4 2" xfId="74"/>
    <cellStyle name="40% - Accent1 5" xfId="75"/>
    <cellStyle name="40% - Accent1 6" xfId="76"/>
    <cellStyle name="40% - Accent1 7" xfId="77"/>
    <cellStyle name="40% - Accent2 2" xfId="78"/>
    <cellStyle name="40% - Accent2 2 2" xfId="79"/>
    <cellStyle name="40% - Accent2 2 3" xfId="80"/>
    <cellStyle name="40% - Accent2 2 4" xfId="81"/>
    <cellStyle name="40% - Accent2 2 5" xfId="82"/>
    <cellStyle name="40% - Accent2 3" xfId="83"/>
    <cellStyle name="40% - Accent2 4" xfId="84"/>
    <cellStyle name="40% - Accent2 4 2" xfId="85"/>
    <cellStyle name="40% - Accent2 5" xfId="86"/>
    <cellStyle name="40% - Accent2 6" xfId="87"/>
    <cellStyle name="40% - Accent2 7" xfId="88"/>
    <cellStyle name="40% - Accent3 2" xfId="89"/>
    <cellStyle name="40% - Accent3 2 2" xfId="90"/>
    <cellStyle name="40% - Accent3 2 3" xfId="91"/>
    <cellStyle name="40% - Accent3 2 4" xfId="92"/>
    <cellStyle name="40% - Accent3 2 5" xfId="93"/>
    <cellStyle name="40% - Accent3 3" xfId="94"/>
    <cellStyle name="40% - Accent3 4" xfId="95"/>
    <cellStyle name="40% - Accent3 4 2" xfId="96"/>
    <cellStyle name="40% - Accent3 5" xfId="97"/>
    <cellStyle name="40% - Accent3 6" xfId="98"/>
    <cellStyle name="40% - Accent3 7" xfId="99"/>
    <cellStyle name="40% - Accent4 2" xfId="100"/>
    <cellStyle name="40% - Accent4 2 2" xfId="101"/>
    <cellStyle name="40% - Accent4 2 3" xfId="102"/>
    <cellStyle name="40% - Accent4 2 4" xfId="103"/>
    <cellStyle name="40% - Accent4 2 5" xfId="104"/>
    <cellStyle name="40% - Accent4 3" xfId="105"/>
    <cellStyle name="40% - Accent4 4" xfId="106"/>
    <cellStyle name="40% - Accent4 4 2" xfId="107"/>
    <cellStyle name="40% - Accent4 5" xfId="108"/>
    <cellStyle name="40% - Accent4 6" xfId="109"/>
    <cellStyle name="40% - Accent4 7" xfId="110"/>
    <cellStyle name="40% - Accent5 2" xfId="111"/>
    <cellStyle name="40% - Accent5 2 2" xfId="112"/>
    <cellStyle name="40% - Accent5 2 3" xfId="113"/>
    <cellStyle name="40% - Accent5 2 4" xfId="114"/>
    <cellStyle name="40% - Accent5 2 5" xfId="115"/>
    <cellStyle name="40% - Accent5 3" xfId="116"/>
    <cellStyle name="40% - Accent5 4" xfId="117"/>
    <cellStyle name="40% - Accent5 4 2" xfId="118"/>
    <cellStyle name="40% - Accent5 5" xfId="119"/>
    <cellStyle name="40% - Accent5 6" xfId="120"/>
    <cellStyle name="40% - Accent5 7" xfId="121"/>
    <cellStyle name="40% - Accent6 2" xfId="122"/>
    <cellStyle name="40% - Accent6 2 2" xfId="123"/>
    <cellStyle name="40% - Accent6 2 3" xfId="124"/>
    <cellStyle name="40% - Accent6 2 4" xfId="125"/>
    <cellStyle name="40% - Accent6 2 5" xfId="126"/>
    <cellStyle name="40% - Accent6 3" xfId="127"/>
    <cellStyle name="40% - Accent6 4" xfId="128"/>
    <cellStyle name="40% - Accent6 4 2" xfId="129"/>
    <cellStyle name="40% - Accent6 5" xfId="130"/>
    <cellStyle name="40% - Accent6 6" xfId="131"/>
    <cellStyle name="40% - Accent6 7" xfId="132"/>
    <cellStyle name="60% - Accent1 2" xfId="133"/>
    <cellStyle name="60% - Accent1 2 2" xfId="134"/>
    <cellStyle name="60% - Accent1 2 3" xfId="135"/>
    <cellStyle name="60% - Accent1 2 4" xfId="136"/>
    <cellStyle name="60% - Accent1 2 5" xfId="137"/>
    <cellStyle name="60% - Accent1 3" xfId="138"/>
    <cellStyle name="60% - Accent1 4" xfId="139"/>
    <cellStyle name="60% - Accent1 4 2" xfId="140"/>
    <cellStyle name="60% - Accent1 5" xfId="141"/>
    <cellStyle name="60% - Accent1 6" xfId="142"/>
    <cellStyle name="60% - Accent1 7" xfId="143"/>
    <cellStyle name="60% - Accent2 2" xfId="144"/>
    <cellStyle name="60% - Accent2 2 2" xfId="145"/>
    <cellStyle name="60% - Accent2 2 3" xfId="146"/>
    <cellStyle name="60% - Accent2 2 4" xfId="147"/>
    <cellStyle name="60% - Accent2 2 5" xfId="148"/>
    <cellStyle name="60% - Accent2 3" xfId="149"/>
    <cellStyle name="60% - Accent2 4" xfId="150"/>
    <cellStyle name="60% - Accent2 4 2" xfId="151"/>
    <cellStyle name="60% - Accent2 5" xfId="152"/>
    <cellStyle name="60% - Accent2 6" xfId="153"/>
    <cellStyle name="60% - Accent2 7" xfId="154"/>
    <cellStyle name="60% - Accent3 2" xfId="155"/>
    <cellStyle name="60% - Accent3 2 2" xfId="156"/>
    <cellStyle name="60% - Accent3 2 3" xfId="157"/>
    <cellStyle name="60% - Accent3 2 4" xfId="158"/>
    <cellStyle name="60% - Accent3 2 5" xfId="159"/>
    <cellStyle name="60% - Accent3 3" xfId="160"/>
    <cellStyle name="60% - Accent3 4" xfId="161"/>
    <cellStyle name="60% - Accent3 4 2" xfId="162"/>
    <cellStyle name="60% - Accent3 5" xfId="163"/>
    <cellStyle name="60% - Accent3 6" xfId="164"/>
    <cellStyle name="60% - Accent3 7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3" xfId="171"/>
    <cellStyle name="60% - Accent4 4" xfId="172"/>
    <cellStyle name="60% - Accent4 4 2" xfId="173"/>
    <cellStyle name="60% - Accent4 5" xfId="174"/>
    <cellStyle name="60% - Accent4 6" xfId="175"/>
    <cellStyle name="60% - Accent4 7" xfId="176"/>
    <cellStyle name="60% - Accent5 2" xfId="177"/>
    <cellStyle name="60% - Accent5 2 2" xfId="178"/>
    <cellStyle name="60% - Accent5 2 3" xfId="179"/>
    <cellStyle name="60% - Accent5 2 4" xfId="180"/>
    <cellStyle name="60% - Accent5 2 5" xfId="181"/>
    <cellStyle name="60% - Accent5 3" xfId="182"/>
    <cellStyle name="60% - Accent5 4" xfId="183"/>
    <cellStyle name="60% - Accent5 4 2" xfId="184"/>
    <cellStyle name="60% - Accent5 5" xfId="185"/>
    <cellStyle name="60% - Accent5 6" xfId="186"/>
    <cellStyle name="60% - Accent5 7" xfId="187"/>
    <cellStyle name="60% - Accent6 2" xfId="188"/>
    <cellStyle name="60% - Accent6 2 2" xfId="189"/>
    <cellStyle name="60% - Accent6 2 3" xfId="190"/>
    <cellStyle name="60% - Accent6 2 4" xfId="191"/>
    <cellStyle name="60% - Accent6 2 5" xfId="192"/>
    <cellStyle name="60% - Accent6 3" xfId="193"/>
    <cellStyle name="60% - Accent6 4" xfId="194"/>
    <cellStyle name="60% - Accent6 4 2" xfId="195"/>
    <cellStyle name="60% - Accent6 5" xfId="196"/>
    <cellStyle name="60% - Accent6 6" xfId="197"/>
    <cellStyle name="60% - Accent6 7" xfId="198"/>
    <cellStyle name="Accent1 2" xfId="199"/>
    <cellStyle name="Accent1 2 2" xfId="200"/>
    <cellStyle name="Accent1 2 3" xfId="201"/>
    <cellStyle name="Accent1 2 4" xfId="202"/>
    <cellStyle name="Accent1 2 5" xfId="203"/>
    <cellStyle name="Accent1 3" xfId="204"/>
    <cellStyle name="Accent1 4" xfId="205"/>
    <cellStyle name="Accent1 4 2" xfId="206"/>
    <cellStyle name="Accent1 5" xfId="207"/>
    <cellStyle name="Accent1 6" xfId="208"/>
    <cellStyle name="Accent1 7" xfId="209"/>
    <cellStyle name="Accent2 2" xfId="210"/>
    <cellStyle name="Accent2 2 2" xfId="211"/>
    <cellStyle name="Accent2 2 3" xfId="212"/>
    <cellStyle name="Accent2 2 4" xfId="213"/>
    <cellStyle name="Accent2 2 5" xfId="214"/>
    <cellStyle name="Accent2 3" xfId="215"/>
    <cellStyle name="Accent2 4" xfId="216"/>
    <cellStyle name="Accent2 4 2" xfId="217"/>
    <cellStyle name="Accent2 5" xfId="218"/>
    <cellStyle name="Accent2 6" xfId="219"/>
    <cellStyle name="Accent2 7" xfId="220"/>
    <cellStyle name="Accent3 2" xfId="221"/>
    <cellStyle name="Accent3 2 2" xfId="222"/>
    <cellStyle name="Accent3 2 3" xfId="223"/>
    <cellStyle name="Accent3 2 4" xfId="224"/>
    <cellStyle name="Accent3 2 5" xfId="225"/>
    <cellStyle name="Accent3 3" xfId="226"/>
    <cellStyle name="Accent3 4" xfId="227"/>
    <cellStyle name="Accent3 4 2" xfId="228"/>
    <cellStyle name="Accent3 5" xfId="229"/>
    <cellStyle name="Accent3 6" xfId="230"/>
    <cellStyle name="Accent3 7" xfId="231"/>
    <cellStyle name="Accent4 2" xfId="232"/>
    <cellStyle name="Accent4 2 2" xfId="233"/>
    <cellStyle name="Accent4 2 3" xfId="234"/>
    <cellStyle name="Accent4 2 4" xfId="235"/>
    <cellStyle name="Accent4 2 5" xfId="236"/>
    <cellStyle name="Accent4 3" xfId="237"/>
    <cellStyle name="Accent4 4" xfId="238"/>
    <cellStyle name="Accent4 4 2" xfId="239"/>
    <cellStyle name="Accent4 5" xfId="240"/>
    <cellStyle name="Accent4 6" xfId="241"/>
    <cellStyle name="Accent4 7" xfId="242"/>
    <cellStyle name="Accent5 2" xfId="243"/>
    <cellStyle name="Accent5 2 2" xfId="244"/>
    <cellStyle name="Accent5 2 3" xfId="245"/>
    <cellStyle name="Accent5 2 4" xfId="246"/>
    <cellStyle name="Accent5 2 5" xfId="247"/>
    <cellStyle name="Accent5 3" xfId="248"/>
    <cellStyle name="Accent5 4" xfId="249"/>
    <cellStyle name="Accent5 4 2" xfId="250"/>
    <cellStyle name="Accent5 5" xfId="251"/>
    <cellStyle name="Accent5 6" xfId="252"/>
    <cellStyle name="Accent5 7" xfId="253"/>
    <cellStyle name="Accent6 2" xfId="254"/>
    <cellStyle name="Accent6 2 2" xfId="255"/>
    <cellStyle name="Accent6 2 3" xfId="256"/>
    <cellStyle name="Accent6 2 4" xfId="257"/>
    <cellStyle name="Accent6 2 5" xfId="258"/>
    <cellStyle name="Accent6 3" xfId="259"/>
    <cellStyle name="Accent6 4" xfId="260"/>
    <cellStyle name="Accent6 4 2" xfId="261"/>
    <cellStyle name="Accent6 5" xfId="262"/>
    <cellStyle name="Accent6 6" xfId="263"/>
    <cellStyle name="Accent6 7" xfId="264"/>
    <cellStyle name="Bad 2" xfId="265"/>
    <cellStyle name="Bad 2 2" xfId="266"/>
    <cellStyle name="Bad 2 3" xfId="267"/>
    <cellStyle name="Bad 2 4" xfId="268"/>
    <cellStyle name="Bad 2 5" xfId="269"/>
    <cellStyle name="Bad 3" xfId="270"/>
    <cellStyle name="Bad 4" xfId="271"/>
    <cellStyle name="Bad 4 2" xfId="272"/>
    <cellStyle name="Bad 5" xfId="273"/>
    <cellStyle name="Bad 6" xfId="274"/>
    <cellStyle name="Bad 7" xfId="275"/>
    <cellStyle name="Calculation 2" xfId="276"/>
    <cellStyle name="Calculation 2 2" xfId="277"/>
    <cellStyle name="Calculation 2 3" xfId="278"/>
    <cellStyle name="Calculation 2 4" xfId="279"/>
    <cellStyle name="Calculation 2 5" xfId="280"/>
    <cellStyle name="Calculation 2_anakia II etapi.xls sm. defeqturi" xfId="281"/>
    <cellStyle name="Calculation 3" xfId="282"/>
    <cellStyle name="Calculation 4" xfId="283"/>
    <cellStyle name="Calculation 4 2" xfId="284"/>
    <cellStyle name="Calculation 4_anakia II etapi.xls sm. defeqturi" xfId="285"/>
    <cellStyle name="Calculation 5" xfId="286"/>
    <cellStyle name="Calculation 6" xfId="287"/>
    <cellStyle name="Calculation 7" xfId="288"/>
    <cellStyle name="Check Cell 2" xfId="289"/>
    <cellStyle name="Check Cell 2 2" xfId="290"/>
    <cellStyle name="Check Cell 2 3" xfId="291"/>
    <cellStyle name="Check Cell 2 4" xfId="292"/>
    <cellStyle name="Check Cell 2 5" xfId="293"/>
    <cellStyle name="Check Cell 2_anakia II etapi.xls sm. defeqturi" xfId="294"/>
    <cellStyle name="Check Cell 3" xfId="295"/>
    <cellStyle name="Check Cell 4" xfId="296"/>
    <cellStyle name="Check Cell 4 2" xfId="297"/>
    <cellStyle name="Check Cell 4_anakia II etapi.xls sm. defeqturi" xfId="298"/>
    <cellStyle name="Check Cell 5" xfId="299"/>
    <cellStyle name="Check Cell 6" xfId="300"/>
    <cellStyle name="Check Cell 7" xfId="301"/>
    <cellStyle name="Comma" xfId="302" builtinId="3"/>
    <cellStyle name="Comma 10" xfId="303"/>
    <cellStyle name="Comma 10 2" xfId="304"/>
    <cellStyle name="Comma 11" xfId="305"/>
    <cellStyle name="Comma 12" xfId="306"/>
    <cellStyle name="Comma 12 2" xfId="307"/>
    <cellStyle name="Comma 12 3" xfId="308"/>
    <cellStyle name="Comma 12 4" xfId="309"/>
    <cellStyle name="Comma 12 5" xfId="310"/>
    <cellStyle name="Comma 12 6" xfId="311"/>
    <cellStyle name="Comma 12 7" xfId="312"/>
    <cellStyle name="Comma 12 8" xfId="313"/>
    <cellStyle name="Comma 13" xfId="314"/>
    <cellStyle name="Comma 14" xfId="315"/>
    <cellStyle name="Comma 15" xfId="316"/>
    <cellStyle name="Comma 16" xfId="317"/>
    <cellStyle name="Comma 17" xfId="318"/>
    <cellStyle name="Comma 18" xfId="319"/>
    <cellStyle name="Comma 19" xfId="320"/>
    <cellStyle name="Comma 2" xfId="321"/>
    <cellStyle name="Comma 2 2" xfId="322"/>
    <cellStyle name="Comma 2 2 2" xfId="323"/>
    <cellStyle name="Comma 2 2 3" xfId="324"/>
    <cellStyle name="Comma 2 3" xfId="325"/>
    <cellStyle name="Comma 20" xfId="326"/>
    <cellStyle name="Comma 21" xfId="327"/>
    <cellStyle name="Comma 22" xfId="328"/>
    <cellStyle name="Comma 3" xfId="329"/>
    <cellStyle name="Comma 4" xfId="330"/>
    <cellStyle name="Comma 5" xfId="331"/>
    <cellStyle name="Comma 6" xfId="332"/>
    <cellStyle name="Comma 7" xfId="333"/>
    <cellStyle name="Comma 8" xfId="334"/>
    <cellStyle name="Comma 9" xfId="335"/>
    <cellStyle name="Explanatory Text 2" xfId="336"/>
    <cellStyle name="Explanatory Text 2 2" xfId="337"/>
    <cellStyle name="Explanatory Text 2 3" xfId="338"/>
    <cellStyle name="Explanatory Text 2 4" xfId="339"/>
    <cellStyle name="Explanatory Text 2 5" xfId="340"/>
    <cellStyle name="Explanatory Text 3" xfId="341"/>
    <cellStyle name="Explanatory Text 4" xfId="342"/>
    <cellStyle name="Explanatory Text 4 2" xfId="343"/>
    <cellStyle name="Explanatory Text 5" xfId="344"/>
    <cellStyle name="Explanatory Text 6" xfId="345"/>
    <cellStyle name="Explanatory Text 7" xfId="346"/>
    <cellStyle name="Good 2" xfId="347"/>
    <cellStyle name="Good 2 2" xfId="348"/>
    <cellStyle name="Good 2 3" xfId="349"/>
    <cellStyle name="Good 2 4" xfId="350"/>
    <cellStyle name="Good 2 5" xfId="351"/>
    <cellStyle name="Good 3" xfId="352"/>
    <cellStyle name="Good 4" xfId="353"/>
    <cellStyle name="Good 4 2" xfId="354"/>
    <cellStyle name="Good 5" xfId="355"/>
    <cellStyle name="Good 6" xfId="356"/>
    <cellStyle name="Good 7" xfId="357"/>
    <cellStyle name="Heading 1 2" xfId="358"/>
    <cellStyle name="Heading 1 2 2" xfId="359"/>
    <cellStyle name="Heading 1 2 3" xfId="360"/>
    <cellStyle name="Heading 1 2 4" xfId="361"/>
    <cellStyle name="Heading 1 2 5" xfId="362"/>
    <cellStyle name="Heading 1 2_anakia II etapi.xls sm. defeqturi" xfId="363"/>
    <cellStyle name="Heading 1 3" xfId="364"/>
    <cellStyle name="Heading 1 4" xfId="365"/>
    <cellStyle name="Heading 1 4 2" xfId="366"/>
    <cellStyle name="Heading 1 4_anakia II etapi.xls sm. defeqturi" xfId="367"/>
    <cellStyle name="Heading 1 5" xfId="368"/>
    <cellStyle name="Heading 1 6" xfId="369"/>
    <cellStyle name="Heading 1 7" xfId="370"/>
    <cellStyle name="Heading 2 2" xfId="371"/>
    <cellStyle name="Heading 2 2 2" xfId="372"/>
    <cellStyle name="Heading 2 2 3" xfId="373"/>
    <cellStyle name="Heading 2 2 4" xfId="374"/>
    <cellStyle name="Heading 2 2 5" xfId="375"/>
    <cellStyle name="Heading 2 2_anakia II etapi.xls sm. defeqturi" xfId="376"/>
    <cellStyle name="Heading 2 3" xfId="377"/>
    <cellStyle name="Heading 2 4" xfId="378"/>
    <cellStyle name="Heading 2 4 2" xfId="379"/>
    <cellStyle name="Heading 2 4_anakia II etapi.xls sm. defeqturi" xfId="380"/>
    <cellStyle name="Heading 2 5" xfId="381"/>
    <cellStyle name="Heading 2 6" xfId="382"/>
    <cellStyle name="Heading 2 7" xfId="383"/>
    <cellStyle name="Heading 3 2" xfId="384"/>
    <cellStyle name="Heading 3 2 2" xfId="385"/>
    <cellStyle name="Heading 3 2 3" xfId="386"/>
    <cellStyle name="Heading 3 2 4" xfId="387"/>
    <cellStyle name="Heading 3 2 5" xfId="388"/>
    <cellStyle name="Heading 3 2_anakia II etapi.xls sm. defeqturi" xfId="389"/>
    <cellStyle name="Heading 3 3" xfId="390"/>
    <cellStyle name="Heading 3 4" xfId="391"/>
    <cellStyle name="Heading 3 4 2" xfId="392"/>
    <cellStyle name="Heading 3 4_anakia II etapi.xls sm. defeqturi" xfId="393"/>
    <cellStyle name="Heading 3 5" xfId="394"/>
    <cellStyle name="Heading 3 6" xfId="395"/>
    <cellStyle name="Heading 3 7" xfId="396"/>
    <cellStyle name="Heading 4 2" xfId="397"/>
    <cellStyle name="Heading 4 2 2" xfId="398"/>
    <cellStyle name="Heading 4 2 3" xfId="399"/>
    <cellStyle name="Heading 4 2 4" xfId="400"/>
    <cellStyle name="Heading 4 2 5" xfId="401"/>
    <cellStyle name="Heading 4 3" xfId="402"/>
    <cellStyle name="Heading 4 4" xfId="403"/>
    <cellStyle name="Heading 4 4 2" xfId="404"/>
    <cellStyle name="Heading 4 5" xfId="405"/>
    <cellStyle name="Heading 4 6" xfId="406"/>
    <cellStyle name="Heading 4 7" xfId="407"/>
    <cellStyle name="Input 2" xfId="408"/>
    <cellStyle name="Input 2 2" xfId="409"/>
    <cellStyle name="Input 2 3" xfId="410"/>
    <cellStyle name="Input 2 4" xfId="411"/>
    <cellStyle name="Input 2 5" xfId="412"/>
    <cellStyle name="Input 2_anakia II etapi.xls sm. defeqturi" xfId="413"/>
    <cellStyle name="Input 3" xfId="414"/>
    <cellStyle name="Input 4" xfId="415"/>
    <cellStyle name="Input 4 2" xfId="416"/>
    <cellStyle name="Input 4_anakia II etapi.xls sm. defeqturi" xfId="417"/>
    <cellStyle name="Input 5" xfId="418"/>
    <cellStyle name="Input 6" xfId="419"/>
    <cellStyle name="Input 7" xfId="420"/>
    <cellStyle name="Linked Cell 2" xfId="421"/>
    <cellStyle name="Linked Cell 2 2" xfId="422"/>
    <cellStyle name="Linked Cell 2 3" xfId="423"/>
    <cellStyle name="Linked Cell 2 4" xfId="424"/>
    <cellStyle name="Linked Cell 2 5" xfId="425"/>
    <cellStyle name="Linked Cell 2_anakia II etapi.xls sm. defeqturi" xfId="426"/>
    <cellStyle name="Linked Cell 3" xfId="427"/>
    <cellStyle name="Linked Cell 4" xfId="428"/>
    <cellStyle name="Linked Cell 4 2" xfId="429"/>
    <cellStyle name="Linked Cell 4_anakia II etapi.xls sm. defeqturi" xfId="430"/>
    <cellStyle name="Linked Cell 5" xfId="431"/>
    <cellStyle name="Linked Cell 6" xfId="432"/>
    <cellStyle name="Linked Cell 7" xfId="433"/>
    <cellStyle name="Neutral 2" xfId="434"/>
    <cellStyle name="Neutral 2 2" xfId="435"/>
    <cellStyle name="Neutral 2 3" xfId="436"/>
    <cellStyle name="Neutral 2 4" xfId="437"/>
    <cellStyle name="Neutral 2 5" xfId="438"/>
    <cellStyle name="Neutral 3" xfId="439"/>
    <cellStyle name="Neutral 4" xfId="440"/>
    <cellStyle name="Neutral 4 2" xfId="441"/>
    <cellStyle name="Neutral 5" xfId="442"/>
    <cellStyle name="Neutral 6" xfId="443"/>
    <cellStyle name="Neutral 7" xfId="444"/>
    <cellStyle name="Normal" xfId="0" builtinId="0"/>
    <cellStyle name="Normal 10" xfId="445"/>
    <cellStyle name="Normal 10 2" xfId="446"/>
    <cellStyle name="Normal 11" xfId="447"/>
    <cellStyle name="Normal 11 2" xfId="448"/>
    <cellStyle name="Normal 11 2 2" xfId="449"/>
    <cellStyle name="Normal 11 3" xfId="450"/>
    <cellStyle name="Normal 11_GAZI-2010" xfId="451"/>
    <cellStyle name="Normal 12" xfId="452"/>
    <cellStyle name="Normal 12 2" xfId="453"/>
    <cellStyle name="Normal 12_gazis gare qseli" xfId="454"/>
    <cellStyle name="Normal 13" xfId="455"/>
    <cellStyle name="Normal 13 2" xfId="456"/>
    <cellStyle name="Normal 13 3" xfId="457"/>
    <cellStyle name="Normal 13 3 2" xfId="458"/>
    <cellStyle name="Normal 13 3 3" xfId="668"/>
    <cellStyle name="Normal 13 4" xfId="459"/>
    <cellStyle name="Normal 13 5" xfId="460"/>
    <cellStyle name="Normal 13_GAZI-2010" xfId="461"/>
    <cellStyle name="Normal 14" xfId="462"/>
    <cellStyle name="Normal 14 2" xfId="463"/>
    <cellStyle name="Normal 14 3" xfId="464"/>
    <cellStyle name="Normal 14 3 2" xfId="465"/>
    <cellStyle name="Normal 14 4" xfId="466"/>
    <cellStyle name="Normal 14 5" xfId="467"/>
    <cellStyle name="Normal 14_anakia II etapi.xls sm. defeqturi" xfId="468"/>
    <cellStyle name="Normal 15" xfId="469"/>
    <cellStyle name="Normal 16" xfId="470"/>
    <cellStyle name="Normal 16 2" xfId="471"/>
    <cellStyle name="Normal 16 3" xfId="472"/>
    <cellStyle name="Normal 16_axalq.skola" xfId="473"/>
    <cellStyle name="Normal 17" xfId="474"/>
    <cellStyle name="Normal 18" xfId="475"/>
    <cellStyle name="Normal 19" xfId="476"/>
    <cellStyle name="Normal 2" xfId="477"/>
    <cellStyle name="Normal 2 10" xfId="478"/>
    <cellStyle name="Normal 2 2" xfId="479"/>
    <cellStyle name="Normal 2 2 2" xfId="480"/>
    <cellStyle name="Normal 2 2 3" xfId="481"/>
    <cellStyle name="Normal 2 2 4" xfId="482"/>
    <cellStyle name="Normal 2 2 5" xfId="483"/>
    <cellStyle name="Normal 2 2 6" xfId="484"/>
    <cellStyle name="Normal 2 2 7" xfId="485"/>
    <cellStyle name="Normal 2 2_2D4CD000" xfId="486"/>
    <cellStyle name="Normal 2 3" xfId="487"/>
    <cellStyle name="Normal 2 4" xfId="488"/>
    <cellStyle name="Normal 2 5" xfId="489"/>
    <cellStyle name="Normal 2 6" xfId="490"/>
    <cellStyle name="Normal 2 7" xfId="491"/>
    <cellStyle name="Normal 2 7 2" xfId="492"/>
    <cellStyle name="Normal 2 7 3" xfId="493"/>
    <cellStyle name="Normal 2 7_anakia II etapi.xls sm. defeqturi" xfId="494"/>
    <cellStyle name="Normal 2 8" xfId="495"/>
    <cellStyle name="Normal 2 9" xfId="496"/>
    <cellStyle name="Normal 2_anakia II etapi.xls sm. defeqturi" xfId="497"/>
    <cellStyle name="Normal 20" xfId="498"/>
    <cellStyle name="Normal 21" xfId="499"/>
    <cellStyle name="Normal 22" xfId="500"/>
    <cellStyle name="Normal 23" xfId="501"/>
    <cellStyle name="Normal 24" xfId="502"/>
    <cellStyle name="Normal 25" xfId="503"/>
    <cellStyle name="Normal 26" xfId="504"/>
    <cellStyle name="Normal 27" xfId="505"/>
    <cellStyle name="Normal 28" xfId="506"/>
    <cellStyle name="Normal 29" xfId="507"/>
    <cellStyle name="Normal 29 2" xfId="508"/>
    <cellStyle name="Normal 3" xfId="509"/>
    <cellStyle name="Normal 3 2" xfId="510"/>
    <cellStyle name="Normal 3 2 2" xfId="511"/>
    <cellStyle name="Normal 3 2_anakia II etapi.xls sm. defeqturi" xfId="512"/>
    <cellStyle name="Normal 30" xfId="513"/>
    <cellStyle name="Normal 30 2" xfId="514"/>
    <cellStyle name="Normal 31" xfId="515"/>
    <cellStyle name="Normal 32" xfId="516"/>
    <cellStyle name="Normal 32 2" xfId="517"/>
    <cellStyle name="Normal 32 3" xfId="518"/>
    <cellStyle name="Normal 32 3 2" xfId="519"/>
    <cellStyle name="Normal 33" xfId="520"/>
    <cellStyle name="Normal 33 2" xfId="521"/>
    <cellStyle name="Normal 34" xfId="522"/>
    <cellStyle name="Normal 35" xfId="523"/>
    <cellStyle name="Normal 35 2" xfId="524"/>
    <cellStyle name="Normal 35 3" xfId="525"/>
    <cellStyle name="Normal 36" xfId="526"/>
    <cellStyle name="Normal 36 2" xfId="527"/>
    <cellStyle name="Normal 36 2 2" xfId="528"/>
    <cellStyle name="Normal 36 2 3 2" xfId="529"/>
    <cellStyle name="Normal 36 3" xfId="530"/>
    <cellStyle name="Normal 37" xfId="531"/>
    <cellStyle name="Normal 38" xfId="532"/>
    <cellStyle name="Normal 38 2" xfId="533"/>
    <cellStyle name="Normal 38 2 2" xfId="534"/>
    <cellStyle name="Normal 38 3" xfId="535"/>
    <cellStyle name="Normal 39" xfId="536"/>
    <cellStyle name="Normal 39 2" xfId="537"/>
    <cellStyle name="Normal 4" xfId="538"/>
    <cellStyle name="Normal 40" xfId="539"/>
    <cellStyle name="Normal 40 2" xfId="540"/>
    <cellStyle name="Normal 41" xfId="541"/>
    <cellStyle name="Normal 42" xfId="666"/>
    <cellStyle name="Normal 43" xfId="672"/>
    <cellStyle name="Normal 44" xfId="542"/>
    <cellStyle name="Normal 5" xfId="543"/>
    <cellStyle name="Normal 5 2" xfId="544"/>
    <cellStyle name="Normal 5 2 2" xfId="545"/>
    <cellStyle name="Normal 5 3" xfId="546"/>
    <cellStyle name="Normal 5 4" xfId="547"/>
    <cellStyle name="Normal 5 4 2" xfId="548"/>
    <cellStyle name="Normal 5_Copy of SAN2010" xfId="549"/>
    <cellStyle name="Normal 6" xfId="550"/>
    <cellStyle name="Normal 7" xfId="551"/>
    <cellStyle name="Normal 8" xfId="552"/>
    <cellStyle name="Normal 8 2" xfId="553"/>
    <cellStyle name="Normal 8_2D4CD000" xfId="554"/>
    <cellStyle name="Normal 9" xfId="555"/>
    <cellStyle name="Normal 9 2" xfId="556"/>
    <cellStyle name="Normal 9 2 2" xfId="557"/>
    <cellStyle name="Normal 9 2 3" xfId="558"/>
    <cellStyle name="Normal 9 2 4" xfId="559"/>
    <cellStyle name="Normal 9 2_anakia II etapi.xls sm. defeqturi" xfId="560"/>
    <cellStyle name="Normal 9_2D4CD000" xfId="561"/>
    <cellStyle name="Normal_axalqalaqis skola " xfId="562"/>
    <cellStyle name="Normal_Book1_axalqalaqis skola " xfId="563"/>
    <cellStyle name="Normal_gare wyalsadfenigagarini" xfId="564"/>
    <cellStyle name="Normal_gare wyalsadfenigagarini 10" xfId="565"/>
    <cellStyle name="Normal_gare wyalsadfenigagarini 2 2" xfId="566"/>
    <cellStyle name="Normal_gare wyalsadfenigagarini 2_SMSH2008-IIkv ." xfId="567"/>
    <cellStyle name="Normal_gare wyalsadfenigagarini_axalqalaqi wk; el" xfId="669"/>
    <cellStyle name="Normal_gare wyalsadfenigagarini_axalqalaqis skola " xfId="671"/>
    <cellStyle name="Normal_gare wyalsadfenigagarini_ELEQ-08-IIkv" xfId="568"/>
    <cellStyle name="Normal_gare wyalsadfenigagarini_ELEQ10-I" xfId="670"/>
    <cellStyle name="Normal_gare wyalsadfenigagarini_SAN2008=IIkv" xfId="569"/>
    <cellStyle name="Note 2" xfId="570"/>
    <cellStyle name="Note 2 2" xfId="571"/>
    <cellStyle name="Note 2 3" xfId="572"/>
    <cellStyle name="Note 2 4" xfId="573"/>
    <cellStyle name="Note 2 5" xfId="574"/>
    <cellStyle name="Note 2_anakia II etapi.xls sm. defeqturi" xfId="575"/>
    <cellStyle name="Note 3" xfId="576"/>
    <cellStyle name="Note 4" xfId="577"/>
    <cellStyle name="Note 4 2" xfId="578"/>
    <cellStyle name="Note 4_anakia II etapi.xls sm. defeqturi" xfId="579"/>
    <cellStyle name="Note 5" xfId="580"/>
    <cellStyle name="Note 6" xfId="581"/>
    <cellStyle name="Note 7" xfId="582"/>
    <cellStyle name="Output 2" xfId="583"/>
    <cellStyle name="Output 2 2" xfId="584"/>
    <cellStyle name="Output 2 3" xfId="585"/>
    <cellStyle name="Output 2 4" xfId="586"/>
    <cellStyle name="Output 2 5" xfId="587"/>
    <cellStyle name="Output 2_anakia II etapi.xls sm. defeqturi" xfId="588"/>
    <cellStyle name="Output 3" xfId="589"/>
    <cellStyle name="Output 4" xfId="590"/>
    <cellStyle name="Output 4 2" xfId="591"/>
    <cellStyle name="Output 4_anakia II etapi.xls sm. defeqturi" xfId="592"/>
    <cellStyle name="Output 5" xfId="593"/>
    <cellStyle name="Output 6" xfId="594"/>
    <cellStyle name="Output 7" xfId="595"/>
    <cellStyle name="Percent 2" xfId="596"/>
    <cellStyle name="Percent 3" xfId="597"/>
    <cellStyle name="Percent 3 2" xfId="598"/>
    <cellStyle name="Percent 4" xfId="599"/>
    <cellStyle name="Percent 5" xfId="600"/>
    <cellStyle name="Percent 6" xfId="601"/>
    <cellStyle name="Style 1" xfId="602"/>
    <cellStyle name="Title 2" xfId="603"/>
    <cellStyle name="Title 2 2" xfId="604"/>
    <cellStyle name="Title 2 3" xfId="605"/>
    <cellStyle name="Title 2 4" xfId="606"/>
    <cellStyle name="Title 2 5" xfId="607"/>
    <cellStyle name="Title 3" xfId="608"/>
    <cellStyle name="Title 4" xfId="609"/>
    <cellStyle name="Title 4 2" xfId="610"/>
    <cellStyle name="Title 5" xfId="611"/>
    <cellStyle name="Title 6" xfId="612"/>
    <cellStyle name="Title 7" xfId="613"/>
    <cellStyle name="Total 2" xfId="614"/>
    <cellStyle name="Total 2 2" xfId="615"/>
    <cellStyle name="Total 2 3" xfId="616"/>
    <cellStyle name="Total 2 4" xfId="617"/>
    <cellStyle name="Total 2 5" xfId="618"/>
    <cellStyle name="Total 2_anakia II etapi.xls sm. defeqturi" xfId="619"/>
    <cellStyle name="Total 3" xfId="620"/>
    <cellStyle name="Total 4" xfId="621"/>
    <cellStyle name="Total 4 2" xfId="622"/>
    <cellStyle name="Total 4_anakia II etapi.xls sm. defeqturi" xfId="623"/>
    <cellStyle name="Total 5" xfId="624"/>
    <cellStyle name="Total 6" xfId="625"/>
    <cellStyle name="Total 7" xfId="626"/>
    <cellStyle name="Warning Text 2" xfId="627"/>
    <cellStyle name="Warning Text 2 2" xfId="628"/>
    <cellStyle name="Warning Text 2 3" xfId="629"/>
    <cellStyle name="Warning Text 2 4" xfId="630"/>
    <cellStyle name="Warning Text 2 5" xfId="631"/>
    <cellStyle name="Warning Text 3" xfId="632"/>
    <cellStyle name="Warning Text 4" xfId="633"/>
    <cellStyle name="Warning Text 4 2" xfId="634"/>
    <cellStyle name="Warning Text 5" xfId="635"/>
    <cellStyle name="Warning Text 6" xfId="636"/>
    <cellStyle name="Warning Text 7" xfId="637"/>
    <cellStyle name="Обычный 10" xfId="638"/>
    <cellStyle name="Обычный 2" xfId="639"/>
    <cellStyle name="Обычный 2 2" xfId="640"/>
    <cellStyle name="Обычный 2 3" xfId="667"/>
    <cellStyle name="Обычный 3" xfId="641"/>
    <cellStyle name="Обычный 3 2" xfId="642"/>
    <cellStyle name="Обычный 3 3" xfId="643"/>
    <cellStyle name="Обычный 4" xfId="644"/>
    <cellStyle name="Обычный 4 2" xfId="645"/>
    <cellStyle name="Обычный 4 3" xfId="646"/>
    <cellStyle name="Обычный 5" xfId="647"/>
    <cellStyle name="Обычный 5 2" xfId="648"/>
    <cellStyle name="Обычный 5 2 2" xfId="649"/>
    <cellStyle name="Обычный 5 3" xfId="650"/>
    <cellStyle name="Обычный 6" xfId="651"/>
    <cellStyle name="Обычный 7" xfId="652"/>
    <cellStyle name="Обычный 8" xfId="653"/>
    <cellStyle name="Обычный 9" xfId="654"/>
    <cellStyle name="Обычный_ELEQ 3" xfId="655"/>
    <cellStyle name="Обычный_SAN2008-I" xfId="656"/>
    <cellStyle name="Обычный_დემონტაჟი" xfId="665"/>
    <cellStyle name="Процентный 2" xfId="657"/>
    <cellStyle name="Процентный 3" xfId="658"/>
    <cellStyle name="Процентный 3 2" xfId="659"/>
    <cellStyle name="Финансовый 2" xfId="660"/>
    <cellStyle name="Финансовый 3" xfId="661"/>
    <cellStyle name="Финансовый 4" xfId="662"/>
    <cellStyle name="Финансовый 5" xfId="663"/>
    <cellStyle name="მძიმე 4" xfId="66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R320"/>
  <sheetViews>
    <sheetView tabSelected="1" zoomScaleNormal="100" zoomScaleSheetLayoutView="96" workbookViewId="0">
      <selection sqref="A1:M1"/>
    </sheetView>
  </sheetViews>
  <sheetFormatPr defaultRowHeight="16.5"/>
  <cols>
    <col min="1" max="1" width="3.42578125" style="141" customWidth="1"/>
    <col min="2" max="2" width="11.28515625" style="85" customWidth="1"/>
    <col min="3" max="3" width="42.140625" style="86" customWidth="1"/>
    <col min="4" max="4" width="7.7109375" style="87" customWidth="1"/>
    <col min="5" max="5" width="8.5703125" style="198" customWidth="1"/>
    <col min="6" max="6" width="10.7109375" style="148" customWidth="1"/>
    <col min="7" max="7" width="8.7109375" style="87" customWidth="1"/>
    <col min="8" max="8" width="10.7109375" style="87" customWidth="1"/>
    <col min="9" max="9" width="14" style="87" bestFit="1" customWidth="1"/>
    <col min="10" max="10" width="10.7109375" style="87" customWidth="1"/>
    <col min="11" max="11" width="8.7109375" style="87" customWidth="1"/>
    <col min="12" max="12" width="10.7109375" style="87" customWidth="1"/>
    <col min="13" max="13" width="16.7109375" style="200" customWidth="1"/>
    <col min="14" max="16384" width="9.140625" style="3"/>
  </cols>
  <sheetData>
    <row r="1" spans="1:44" ht="36" customHeight="1">
      <c r="A1" s="672" t="s">
        <v>327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s="4" customFormat="1" ht="20.100000000000001" customHeight="1">
      <c r="A2" s="674" t="s">
        <v>1</v>
      </c>
      <c r="B2" s="673" t="s">
        <v>175</v>
      </c>
      <c r="C2" s="670" t="s">
        <v>60</v>
      </c>
      <c r="D2" s="670" t="s">
        <v>61</v>
      </c>
      <c r="E2" s="670"/>
      <c r="F2" s="670"/>
      <c r="G2" s="670" t="s">
        <v>62</v>
      </c>
      <c r="H2" s="670"/>
      <c r="I2" s="670" t="s">
        <v>63</v>
      </c>
      <c r="J2" s="670"/>
      <c r="K2" s="670" t="s">
        <v>64</v>
      </c>
      <c r="L2" s="670"/>
      <c r="M2" s="671" t="s">
        <v>9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s="4" customFormat="1" ht="20.100000000000001" customHeight="1">
      <c r="A3" s="674"/>
      <c r="B3" s="673"/>
      <c r="C3" s="670"/>
      <c r="D3" s="668" t="s">
        <v>174</v>
      </c>
      <c r="E3" s="668" t="s">
        <v>173</v>
      </c>
      <c r="F3" s="675" t="s">
        <v>102</v>
      </c>
      <c r="G3" s="668" t="s">
        <v>176</v>
      </c>
      <c r="H3" s="669" t="s">
        <v>102</v>
      </c>
      <c r="I3" s="668" t="s">
        <v>176</v>
      </c>
      <c r="J3" s="669" t="s">
        <v>102</v>
      </c>
      <c r="K3" s="668" t="s">
        <v>176</v>
      </c>
      <c r="L3" s="669" t="s">
        <v>102</v>
      </c>
      <c r="M3" s="67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s="4" customFormat="1" ht="20.100000000000001" customHeight="1">
      <c r="A4" s="674"/>
      <c r="B4" s="673"/>
      <c r="C4" s="670"/>
      <c r="D4" s="668"/>
      <c r="E4" s="668"/>
      <c r="F4" s="675"/>
      <c r="G4" s="668"/>
      <c r="H4" s="669"/>
      <c r="I4" s="668"/>
      <c r="J4" s="669"/>
      <c r="K4" s="668"/>
      <c r="L4" s="669"/>
      <c r="M4" s="67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s="4" customFormat="1">
      <c r="A5" s="244">
        <v>1</v>
      </c>
      <c r="B5" s="245">
        <v>2</v>
      </c>
      <c r="C5" s="244">
        <v>3</v>
      </c>
      <c r="D5" s="245">
        <v>4</v>
      </c>
      <c r="E5" s="244">
        <v>5</v>
      </c>
      <c r="F5" s="245">
        <v>6</v>
      </c>
      <c r="G5" s="244">
        <v>7</v>
      </c>
      <c r="H5" s="245">
        <v>8</v>
      </c>
      <c r="I5" s="244">
        <v>9</v>
      </c>
      <c r="J5" s="245">
        <v>10</v>
      </c>
      <c r="K5" s="244">
        <v>11</v>
      </c>
      <c r="L5" s="245">
        <v>12</v>
      </c>
      <c r="M5" s="244">
        <v>13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 s="4" customFormat="1" ht="34.5" customHeight="1">
      <c r="A6" s="616"/>
      <c r="B6" s="616" t="s">
        <v>328</v>
      </c>
      <c r="C6" s="616" t="s">
        <v>70</v>
      </c>
      <c r="D6" s="617"/>
      <c r="E6" s="616"/>
      <c r="F6" s="617"/>
      <c r="G6" s="616"/>
      <c r="H6" s="617"/>
      <c r="I6" s="616"/>
      <c r="J6" s="617"/>
      <c r="K6" s="616"/>
      <c r="L6" s="617"/>
      <c r="M6" s="61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s="4" customFormat="1">
      <c r="A7" s="207"/>
      <c r="B7" s="243"/>
      <c r="C7" s="207" t="s">
        <v>27</v>
      </c>
      <c r="D7" s="210"/>
      <c r="E7" s="211"/>
      <c r="F7" s="212"/>
      <c r="G7" s="213"/>
      <c r="H7" s="213"/>
      <c r="I7" s="213"/>
      <c r="J7" s="213"/>
      <c r="K7" s="213"/>
      <c r="L7" s="213"/>
      <c r="M7" s="21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s="8" customFormat="1" ht="38.25">
      <c r="A8" s="236">
        <v>1</v>
      </c>
      <c r="B8" s="69" t="s">
        <v>7</v>
      </c>
      <c r="C8" s="74" t="s">
        <v>30</v>
      </c>
      <c r="D8" s="68" t="s">
        <v>31</v>
      </c>
      <c r="E8" s="216"/>
      <c r="F8" s="293">
        <v>1650</v>
      </c>
      <c r="G8" s="220"/>
      <c r="H8" s="294"/>
      <c r="I8" s="294"/>
      <c r="J8" s="294"/>
      <c r="K8" s="294"/>
      <c r="L8" s="294"/>
      <c r="M8" s="295"/>
    </row>
    <row r="9" spans="1:44" s="8" customFormat="1" ht="15.75">
      <c r="A9" s="236"/>
      <c r="B9" s="81"/>
      <c r="C9" s="158" t="s">
        <v>20</v>
      </c>
      <c r="D9" s="68" t="s">
        <v>21</v>
      </c>
      <c r="E9" s="216">
        <f>106/1000</f>
        <v>0.106</v>
      </c>
      <c r="F9" s="220">
        <f>F8*E9</f>
        <v>174.9</v>
      </c>
      <c r="G9" s="220"/>
      <c r="H9" s="220"/>
      <c r="I9" s="296"/>
      <c r="J9" s="296"/>
      <c r="K9" s="296"/>
      <c r="L9" s="296"/>
      <c r="M9" s="295"/>
    </row>
    <row r="10" spans="1:44" s="8" customFormat="1" ht="15.75">
      <c r="A10" s="236"/>
      <c r="B10" s="81" t="s">
        <v>32</v>
      </c>
      <c r="C10" s="158" t="s">
        <v>33</v>
      </c>
      <c r="D10" s="68" t="s">
        <v>29</v>
      </c>
      <c r="E10" s="216">
        <f>2.02/1000</f>
        <v>2.0200000000000001E-3</v>
      </c>
      <c r="F10" s="220">
        <f>F8*E10</f>
        <v>3.3330000000000002</v>
      </c>
      <c r="G10" s="220"/>
      <c r="H10" s="220"/>
      <c r="I10" s="220"/>
      <c r="J10" s="220"/>
      <c r="K10" s="220"/>
      <c r="L10" s="220"/>
      <c r="M10" s="295"/>
    </row>
    <row r="11" spans="1:44" s="8" customFormat="1" ht="15.75">
      <c r="A11" s="236"/>
      <c r="B11" s="81" t="s">
        <v>34</v>
      </c>
      <c r="C11" s="158" t="s">
        <v>35</v>
      </c>
      <c r="D11" s="68" t="s">
        <v>29</v>
      </c>
      <c r="E11" s="216">
        <f>0.64/1000</f>
        <v>6.4000000000000005E-4</v>
      </c>
      <c r="F11" s="220">
        <f>F8*E11</f>
        <v>1.056</v>
      </c>
      <c r="G11" s="220"/>
      <c r="H11" s="220"/>
      <c r="I11" s="220"/>
      <c r="J11" s="220"/>
      <c r="K11" s="220"/>
      <c r="L11" s="220"/>
      <c r="M11" s="295"/>
    </row>
    <row r="12" spans="1:44" s="8" customFormat="1" ht="15.75">
      <c r="A12" s="236"/>
      <c r="B12" s="81" t="s">
        <v>36</v>
      </c>
      <c r="C12" s="158" t="s">
        <v>37</v>
      </c>
      <c r="D12" s="68" t="s">
        <v>29</v>
      </c>
      <c r="E12" s="234">
        <f>0.97/1000</f>
        <v>9.6999999999999994E-4</v>
      </c>
      <c r="F12" s="220">
        <f>F8*E12</f>
        <v>1.6004999999999998</v>
      </c>
      <c r="G12" s="220"/>
      <c r="H12" s="220"/>
      <c r="I12" s="220"/>
      <c r="J12" s="220"/>
      <c r="K12" s="220"/>
      <c r="L12" s="220"/>
      <c r="M12" s="295"/>
    </row>
    <row r="13" spans="1:44" s="8" customFormat="1" ht="53.25" customHeight="1">
      <c r="A13" s="250">
        <v>2</v>
      </c>
      <c r="B13" s="314" t="s">
        <v>161</v>
      </c>
      <c r="C13" s="146" t="s">
        <v>232</v>
      </c>
      <c r="D13" s="197" t="s">
        <v>49</v>
      </c>
      <c r="E13" s="216"/>
      <c r="F13" s="293">
        <v>3.5</v>
      </c>
      <c r="G13" s="230"/>
      <c r="H13" s="230"/>
      <c r="I13" s="230"/>
      <c r="J13" s="447"/>
      <c r="K13" s="447"/>
      <c r="L13" s="447"/>
      <c r="M13" s="295"/>
    </row>
    <row r="14" spans="1:44" s="8" customFormat="1" ht="15.75">
      <c r="A14" s="250"/>
      <c r="B14" s="191"/>
      <c r="C14" s="158" t="s">
        <v>156</v>
      </c>
      <c r="D14" s="197" t="s">
        <v>21</v>
      </c>
      <c r="E14" s="298">
        <v>2.23</v>
      </c>
      <c r="F14" s="230">
        <f>F13*E14</f>
        <v>7.8049999999999997</v>
      </c>
      <c r="G14" s="230"/>
      <c r="H14" s="230"/>
      <c r="I14" s="230"/>
      <c r="J14" s="447"/>
      <c r="K14" s="447"/>
      <c r="L14" s="447"/>
      <c r="M14" s="295"/>
    </row>
    <row r="15" spans="1:44" s="8" customFormat="1" ht="15.75">
      <c r="A15" s="250"/>
      <c r="B15" s="132" t="s">
        <v>167</v>
      </c>
      <c r="C15" s="158" t="s">
        <v>162</v>
      </c>
      <c r="D15" s="197" t="s">
        <v>157</v>
      </c>
      <c r="E15" s="298">
        <v>0.59399999999999997</v>
      </c>
      <c r="F15" s="230">
        <f>F13*E15</f>
        <v>2.0789999999999997</v>
      </c>
      <c r="G15" s="230"/>
      <c r="H15" s="230"/>
      <c r="I15" s="230"/>
      <c r="J15" s="447"/>
      <c r="K15" s="447"/>
      <c r="L15" s="447"/>
      <c r="M15" s="295"/>
    </row>
    <row r="16" spans="1:44" s="8" customFormat="1" ht="15.75">
      <c r="A16" s="250"/>
      <c r="B16" s="191"/>
      <c r="C16" s="158" t="s">
        <v>163</v>
      </c>
      <c r="D16" s="197" t="s">
        <v>22</v>
      </c>
      <c r="E16" s="298">
        <v>0.10199999999999999</v>
      </c>
      <c r="F16" s="230">
        <f>E16*F13</f>
        <v>0.35699999999999998</v>
      </c>
      <c r="G16" s="230"/>
      <c r="H16" s="230"/>
      <c r="I16" s="230"/>
      <c r="J16" s="447"/>
      <c r="K16" s="447"/>
      <c r="L16" s="447"/>
      <c r="M16" s="295"/>
    </row>
    <row r="17" spans="1:44" s="8" customFormat="1" ht="53.25" customHeight="1">
      <c r="A17" s="250">
        <v>3</v>
      </c>
      <c r="B17" s="314" t="s">
        <v>161</v>
      </c>
      <c r="C17" s="146" t="s">
        <v>250</v>
      </c>
      <c r="D17" s="197" t="s">
        <v>49</v>
      </c>
      <c r="E17" s="216"/>
      <c r="F17" s="293">
        <v>2.5</v>
      </c>
      <c r="G17" s="230"/>
      <c r="H17" s="230"/>
      <c r="I17" s="230"/>
      <c r="J17" s="447"/>
      <c r="K17" s="447"/>
      <c r="L17" s="447"/>
      <c r="M17" s="295"/>
    </row>
    <row r="18" spans="1:44" s="8" customFormat="1" ht="15.75">
      <c r="A18" s="250"/>
      <c r="B18" s="191"/>
      <c r="C18" s="158" t="s">
        <v>156</v>
      </c>
      <c r="D18" s="197" t="s">
        <v>21</v>
      </c>
      <c r="E18" s="298">
        <v>2.23</v>
      </c>
      <c r="F18" s="230">
        <f>F17*E18</f>
        <v>5.5750000000000002</v>
      </c>
      <c r="G18" s="230"/>
      <c r="H18" s="230"/>
      <c r="I18" s="230"/>
      <c r="J18" s="447"/>
      <c r="K18" s="447"/>
      <c r="L18" s="447"/>
      <c r="M18" s="295"/>
    </row>
    <row r="19" spans="1:44" s="8" customFormat="1" ht="15.75">
      <c r="A19" s="250"/>
      <c r="B19" s="132" t="s">
        <v>167</v>
      </c>
      <c r="C19" s="158" t="s">
        <v>162</v>
      </c>
      <c r="D19" s="197" t="s">
        <v>157</v>
      </c>
      <c r="E19" s="298">
        <v>0.59399999999999997</v>
      </c>
      <c r="F19" s="230">
        <f>F17*E19</f>
        <v>1.4849999999999999</v>
      </c>
      <c r="G19" s="230"/>
      <c r="H19" s="230"/>
      <c r="I19" s="230"/>
      <c r="J19" s="447"/>
      <c r="K19" s="447"/>
      <c r="L19" s="447"/>
      <c r="M19" s="295"/>
    </row>
    <row r="20" spans="1:44" s="8" customFormat="1" ht="15.75">
      <c r="A20" s="250"/>
      <c r="B20" s="191"/>
      <c r="C20" s="158" t="s">
        <v>163</v>
      </c>
      <c r="D20" s="197" t="s">
        <v>22</v>
      </c>
      <c r="E20" s="298">
        <v>0.10199999999999999</v>
      </c>
      <c r="F20" s="230">
        <f>E20*F17</f>
        <v>0.255</v>
      </c>
      <c r="G20" s="230"/>
      <c r="H20" s="230"/>
      <c r="I20" s="230"/>
      <c r="J20" s="447"/>
      <c r="K20" s="447"/>
      <c r="L20" s="447"/>
      <c r="M20" s="295"/>
    </row>
    <row r="21" spans="1:44" s="8" customFormat="1" ht="25.5">
      <c r="A21" s="250">
        <v>4</v>
      </c>
      <c r="B21" s="199" t="s">
        <v>158</v>
      </c>
      <c r="C21" s="146" t="s">
        <v>159</v>
      </c>
      <c r="D21" s="197" t="s">
        <v>49</v>
      </c>
      <c r="E21" s="216" t="s">
        <v>155</v>
      </c>
      <c r="F21" s="293">
        <f>F13+F17</f>
        <v>6</v>
      </c>
      <c r="G21" s="230"/>
      <c r="H21" s="230"/>
      <c r="I21" s="230"/>
      <c r="J21" s="447"/>
      <c r="K21" s="447"/>
      <c r="L21" s="447"/>
      <c r="M21" s="295"/>
    </row>
    <row r="22" spans="1:44" s="8" customFormat="1" ht="15.75">
      <c r="A22" s="250"/>
      <c r="B22" s="190"/>
      <c r="C22" s="158" t="s">
        <v>156</v>
      </c>
      <c r="D22" s="197" t="s">
        <v>21</v>
      </c>
      <c r="E22" s="216">
        <v>0.87</v>
      </c>
      <c r="F22" s="230">
        <f>F21*E22</f>
        <v>5.22</v>
      </c>
      <c r="G22" s="230"/>
      <c r="H22" s="230"/>
      <c r="I22" s="230"/>
      <c r="J22" s="447"/>
      <c r="K22" s="447"/>
      <c r="L22" s="447"/>
      <c r="M22" s="295"/>
    </row>
    <row r="23" spans="1:44" s="8" customFormat="1" ht="15.75">
      <c r="A23" s="236">
        <v>5</v>
      </c>
      <c r="B23" s="196" t="s">
        <v>166</v>
      </c>
      <c r="C23" s="192" t="s">
        <v>160</v>
      </c>
      <c r="D23" s="197"/>
      <c r="E23" s="216"/>
      <c r="F23" s="230"/>
      <c r="G23" s="230"/>
      <c r="H23" s="230"/>
      <c r="I23" s="230"/>
      <c r="J23" s="230"/>
      <c r="K23" s="230"/>
      <c r="L23" s="230"/>
      <c r="M23" s="295"/>
    </row>
    <row r="24" spans="1:44" s="8" customFormat="1" ht="15.75">
      <c r="A24" s="236"/>
      <c r="B24" s="30" t="s">
        <v>15</v>
      </c>
      <c r="C24" s="158" t="s">
        <v>99</v>
      </c>
      <c r="D24" s="197" t="s">
        <v>73</v>
      </c>
      <c r="E24" s="216">
        <v>2.4</v>
      </c>
      <c r="F24" s="297">
        <f>(F21)*2.4</f>
        <v>14.399999999999999</v>
      </c>
      <c r="G24" s="230"/>
      <c r="H24" s="230"/>
      <c r="I24" s="230"/>
      <c r="J24" s="230"/>
      <c r="K24" s="230"/>
      <c r="L24" s="230"/>
      <c r="M24" s="295"/>
    </row>
    <row r="25" spans="1:44" s="4" customFormat="1">
      <c r="A25" s="246"/>
      <c r="B25" s="208"/>
      <c r="C25" s="209" t="s">
        <v>42</v>
      </c>
      <c r="D25" s="210"/>
      <c r="E25" s="211"/>
      <c r="F25" s="212"/>
      <c r="G25" s="213"/>
      <c r="H25" s="213"/>
      <c r="I25" s="213"/>
      <c r="J25" s="213"/>
      <c r="K25" s="213"/>
      <c r="L25" s="213"/>
      <c r="M25" s="21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s="9" customFormat="1" ht="60" customHeight="1">
      <c r="A26" s="236">
        <v>6</v>
      </c>
      <c r="B26" s="215" t="s">
        <v>19</v>
      </c>
      <c r="C26" s="74" t="s">
        <v>179</v>
      </c>
      <c r="D26" s="195" t="s">
        <v>38</v>
      </c>
      <c r="E26" s="216"/>
      <c r="F26" s="227">
        <f>(F56*0.1)+(F49*0.1*0.01)+F43*0.06</f>
        <v>22.42</v>
      </c>
      <c r="G26" s="217"/>
      <c r="H26" s="217"/>
      <c r="I26" s="217"/>
      <c r="J26" s="217"/>
      <c r="K26" s="217"/>
      <c r="L26" s="217"/>
      <c r="M26" s="218"/>
    </row>
    <row r="27" spans="1:44" s="9" customFormat="1" ht="20.100000000000001" customHeight="1">
      <c r="A27" s="236"/>
      <c r="B27" s="69"/>
      <c r="C27" s="73" t="s">
        <v>20</v>
      </c>
      <c r="D27" s="77" t="s">
        <v>40</v>
      </c>
      <c r="E27" s="219">
        <v>0.89</v>
      </c>
      <c r="F27" s="222">
        <f>F26*E27</f>
        <v>19.953800000000001</v>
      </c>
      <c r="G27" s="222"/>
      <c r="H27" s="222"/>
      <c r="I27" s="222"/>
      <c r="J27" s="222"/>
      <c r="K27" s="222"/>
      <c r="L27" s="222"/>
      <c r="M27" s="223"/>
    </row>
    <row r="28" spans="1:44" s="9" customFormat="1" ht="20.100000000000001" customHeight="1">
      <c r="A28" s="236"/>
      <c r="B28" s="69"/>
      <c r="C28" s="67" t="s">
        <v>43</v>
      </c>
      <c r="D28" s="77" t="s">
        <v>22</v>
      </c>
      <c r="E28" s="219">
        <v>0.37</v>
      </c>
      <c r="F28" s="225">
        <f>F26*E28</f>
        <v>8.2954000000000008</v>
      </c>
      <c r="G28" s="225"/>
      <c r="H28" s="225"/>
      <c r="I28" s="225"/>
      <c r="J28" s="225"/>
      <c r="K28" s="226"/>
      <c r="L28" s="225"/>
      <c r="M28" s="223"/>
    </row>
    <row r="29" spans="1:44" s="9" customFormat="1" ht="20.100000000000001" customHeight="1">
      <c r="A29" s="247"/>
      <c r="B29" s="142" t="s">
        <v>106</v>
      </c>
      <c r="C29" s="143" t="s">
        <v>44</v>
      </c>
      <c r="D29" s="144" t="s">
        <v>45</v>
      </c>
      <c r="E29" s="221">
        <v>1.1499999999999999</v>
      </c>
      <c r="F29" s="225">
        <f>F26*E29</f>
        <v>25.783000000000001</v>
      </c>
      <c r="G29" s="225"/>
      <c r="H29" s="225"/>
      <c r="I29" s="225"/>
      <c r="J29" s="225"/>
      <c r="K29" s="226"/>
      <c r="L29" s="225"/>
      <c r="M29" s="223"/>
    </row>
    <row r="30" spans="1:44" s="9" customFormat="1" ht="20.100000000000001" customHeight="1">
      <c r="A30" s="236"/>
      <c r="B30" s="69"/>
      <c r="C30" s="73" t="s">
        <v>46</v>
      </c>
      <c r="D30" s="77" t="s">
        <v>22</v>
      </c>
      <c r="E30" s="219">
        <v>0.02</v>
      </c>
      <c r="F30" s="225">
        <f>F26*E30</f>
        <v>0.44840000000000002</v>
      </c>
      <c r="G30" s="225"/>
      <c r="H30" s="225"/>
      <c r="I30" s="225"/>
      <c r="J30" s="225"/>
      <c r="K30" s="226"/>
      <c r="L30" s="225"/>
      <c r="M30" s="223"/>
    </row>
    <row r="31" spans="1:44" s="6" customFormat="1" ht="45" customHeight="1">
      <c r="A31" s="236">
        <v>7</v>
      </c>
      <c r="B31" s="195" t="s">
        <v>5</v>
      </c>
      <c r="C31" s="74" t="s">
        <v>231</v>
      </c>
      <c r="D31" s="195" t="s">
        <v>38</v>
      </c>
      <c r="E31" s="216"/>
      <c r="F31" s="424">
        <f>(F56*0.1)</f>
        <v>8</v>
      </c>
      <c r="G31" s="425"/>
      <c r="H31" s="425"/>
      <c r="I31" s="425"/>
      <c r="J31" s="425"/>
      <c r="K31" s="425"/>
      <c r="L31" s="425"/>
      <c r="M31" s="231"/>
    </row>
    <row r="32" spans="1:44" s="6" customFormat="1" ht="20.100000000000001" customHeight="1">
      <c r="A32" s="236"/>
      <c r="B32" s="83"/>
      <c r="C32" s="158" t="s">
        <v>20</v>
      </c>
      <c r="D32" s="68" t="s">
        <v>21</v>
      </c>
      <c r="E32" s="216">
        <v>1.37</v>
      </c>
      <c r="F32" s="225">
        <f>F31*E32</f>
        <v>10.96</v>
      </c>
      <c r="G32" s="225"/>
      <c r="H32" s="225"/>
      <c r="I32" s="426"/>
      <c r="J32" s="426"/>
      <c r="K32" s="426"/>
      <c r="L32" s="426"/>
      <c r="M32" s="231"/>
    </row>
    <row r="33" spans="1:13" s="7" customFormat="1" ht="20.100000000000001" customHeight="1">
      <c r="A33" s="236"/>
      <c r="B33" s="81"/>
      <c r="C33" s="158" t="s">
        <v>47</v>
      </c>
      <c r="D33" s="68" t="s">
        <v>22</v>
      </c>
      <c r="E33" s="216">
        <v>0.28299999999999997</v>
      </c>
      <c r="F33" s="225">
        <f>F31*E33</f>
        <v>2.2639999999999998</v>
      </c>
      <c r="G33" s="425"/>
      <c r="H33" s="426"/>
      <c r="I33" s="426"/>
      <c r="J33" s="426"/>
      <c r="K33" s="225"/>
      <c r="L33" s="225"/>
      <c r="M33" s="231"/>
    </row>
    <row r="34" spans="1:13" s="7" customFormat="1" ht="20.100000000000001" customHeight="1">
      <c r="A34" s="236"/>
      <c r="B34" s="142" t="s">
        <v>107</v>
      </c>
      <c r="C34" s="158" t="s">
        <v>48</v>
      </c>
      <c r="D34" s="68" t="s">
        <v>38</v>
      </c>
      <c r="E34" s="216">
        <v>1.02</v>
      </c>
      <c r="F34" s="225">
        <f>F31*E34</f>
        <v>8.16</v>
      </c>
      <c r="G34" s="425"/>
      <c r="H34" s="426"/>
      <c r="I34" s="225"/>
      <c r="J34" s="225"/>
      <c r="K34" s="426"/>
      <c r="L34" s="426"/>
      <c r="M34" s="231"/>
    </row>
    <row r="35" spans="1:13" s="1" customFormat="1" ht="24">
      <c r="A35" s="315"/>
      <c r="B35" s="316" t="s">
        <v>207</v>
      </c>
      <c r="C35" s="317" t="s">
        <v>253</v>
      </c>
      <c r="D35" s="318" t="s">
        <v>41</v>
      </c>
      <c r="E35" s="319" t="s">
        <v>149</v>
      </c>
      <c r="F35" s="225">
        <v>0.3</v>
      </c>
      <c r="G35" s="225"/>
      <c r="H35" s="225"/>
      <c r="I35" s="225"/>
      <c r="J35" s="225"/>
      <c r="K35" s="225"/>
      <c r="L35" s="225"/>
      <c r="M35" s="224"/>
    </row>
    <row r="36" spans="1:13" s="7" customFormat="1" ht="20.100000000000001" customHeight="1">
      <c r="A36" s="236"/>
      <c r="B36" s="81"/>
      <c r="C36" s="158" t="s">
        <v>23</v>
      </c>
      <c r="D36" s="68" t="s">
        <v>22</v>
      </c>
      <c r="E36" s="216">
        <v>0.62</v>
      </c>
      <c r="F36" s="225">
        <f>F31*E36</f>
        <v>4.96</v>
      </c>
      <c r="G36" s="425"/>
      <c r="H36" s="426"/>
      <c r="I36" s="225"/>
      <c r="J36" s="225"/>
      <c r="K36" s="426"/>
      <c r="L36" s="426"/>
      <c r="M36" s="231"/>
    </row>
    <row r="37" spans="1:13" s="6" customFormat="1" ht="45" customHeight="1">
      <c r="A37" s="236" t="s">
        <v>322</v>
      </c>
      <c r="B37" s="195" t="s">
        <v>5</v>
      </c>
      <c r="C37" s="74" t="s">
        <v>323</v>
      </c>
      <c r="D37" s="195" t="s">
        <v>38</v>
      </c>
      <c r="E37" s="216"/>
      <c r="F37" s="424">
        <f>F43*0.09</f>
        <v>21.15</v>
      </c>
      <c r="G37" s="425"/>
      <c r="H37" s="425"/>
      <c r="I37" s="425"/>
      <c r="J37" s="425"/>
      <c r="K37" s="425"/>
      <c r="L37" s="425"/>
      <c r="M37" s="231"/>
    </row>
    <row r="38" spans="1:13" s="6" customFormat="1" ht="20.100000000000001" customHeight="1">
      <c r="A38" s="236"/>
      <c r="B38" s="83"/>
      <c r="C38" s="158" t="s">
        <v>20</v>
      </c>
      <c r="D38" s="68" t="s">
        <v>21</v>
      </c>
      <c r="E38" s="216">
        <v>1.37</v>
      </c>
      <c r="F38" s="225">
        <f>F37*E38</f>
        <v>28.9755</v>
      </c>
      <c r="G38" s="225"/>
      <c r="H38" s="225"/>
      <c r="I38" s="426"/>
      <c r="J38" s="426"/>
      <c r="K38" s="426"/>
      <c r="L38" s="426"/>
      <c r="M38" s="231"/>
    </row>
    <row r="39" spans="1:13" s="7" customFormat="1" ht="20.100000000000001" customHeight="1">
      <c r="A39" s="236"/>
      <c r="B39" s="81"/>
      <c r="C39" s="158" t="s">
        <v>47</v>
      </c>
      <c r="D39" s="68" t="s">
        <v>22</v>
      </c>
      <c r="E39" s="216">
        <v>0.28299999999999997</v>
      </c>
      <c r="F39" s="225">
        <f>F37*E39</f>
        <v>5.9854499999999993</v>
      </c>
      <c r="G39" s="425"/>
      <c r="H39" s="426"/>
      <c r="I39" s="426"/>
      <c r="J39" s="426"/>
      <c r="K39" s="225"/>
      <c r="L39" s="225"/>
      <c r="M39" s="231"/>
    </row>
    <row r="40" spans="1:13" s="7" customFormat="1" ht="20.100000000000001" customHeight="1">
      <c r="A40" s="236"/>
      <c r="B40" s="142" t="s">
        <v>107</v>
      </c>
      <c r="C40" s="158" t="s">
        <v>48</v>
      </c>
      <c r="D40" s="68" t="s">
        <v>38</v>
      </c>
      <c r="E40" s="216">
        <v>1.02</v>
      </c>
      <c r="F40" s="225">
        <f>F37*E40</f>
        <v>21.573</v>
      </c>
      <c r="G40" s="425"/>
      <c r="H40" s="426"/>
      <c r="I40" s="225"/>
      <c r="J40" s="225"/>
      <c r="K40" s="426"/>
      <c r="L40" s="426"/>
      <c r="M40" s="231"/>
    </row>
    <row r="41" spans="1:13" s="1" customFormat="1" ht="24">
      <c r="A41" s="315"/>
      <c r="B41" s="316"/>
      <c r="C41" s="317" t="s">
        <v>253</v>
      </c>
      <c r="D41" s="318" t="s">
        <v>41</v>
      </c>
      <c r="E41" s="319" t="s">
        <v>149</v>
      </c>
      <c r="F41" s="225">
        <v>0.3</v>
      </c>
      <c r="G41" s="225"/>
      <c r="H41" s="225"/>
      <c r="I41" s="225"/>
      <c r="J41" s="225"/>
      <c r="K41" s="225"/>
      <c r="L41" s="225"/>
      <c r="M41" s="224"/>
    </row>
    <row r="42" spans="1:13" s="7" customFormat="1" ht="20.100000000000001" customHeight="1">
      <c r="A42" s="236"/>
      <c r="B42" s="81"/>
      <c r="C42" s="158" t="s">
        <v>23</v>
      </c>
      <c r="D42" s="68" t="s">
        <v>22</v>
      </c>
      <c r="E42" s="216">
        <v>0.62</v>
      </c>
      <c r="F42" s="225">
        <f>F37*E42</f>
        <v>13.113</v>
      </c>
      <c r="G42" s="425"/>
      <c r="H42" s="426"/>
      <c r="I42" s="225"/>
      <c r="J42" s="225"/>
      <c r="K42" s="426"/>
      <c r="L42" s="426"/>
      <c r="M42" s="231"/>
    </row>
    <row r="43" spans="1:13" s="6" customFormat="1" ht="35.1" customHeight="1">
      <c r="A43" s="236">
        <v>8</v>
      </c>
      <c r="B43" s="140" t="s">
        <v>130</v>
      </c>
      <c r="C43" s="74" t="s">
        <v>251</v>
      </c>
      <c r="D43" s="195" t="s">
        <v>31</v>
      </c>
      <c r="E43" s="216"/>
      <c r="F43" s="424">
        <v>235</v>
      </c>
      <c r="G43" s="225"/>
      <c r="H43" s="427"/>
      <c r="I43" s="225"/>
      <c r="J43" s="427"/>
      <c r="K43" s="425"/>
      <c r="L43" s="425"/>
      <c r="M43" s="231"/>
    </row>
    <row r="44" spans="1:13" s="6" customFormat="1" ht="20.100000000000001" customHeight="1">
      <c r="A44" s="236"/>
      <c r="B44" s="81"/>
      <c r="C44" s="67" t="s">
        <v>20</v>
      </c>
      <c r="D44" s="68" t="s">
        <v>21</v>
      </c>
      <c r="E44" s="216">
        <v>0.77900000000000003</v>
      </c>
      <c r="F44" s="428">
        <f>F43*E44</f>
        <v>183.065</v>
      </c>
      <c r="G44" s="225"/>
      <c r="H44" s="429"/>
      <c r="I44" s="430"/>
      <c r="J44" s="429"/>
      <c r="K44" s="430"/>
      <c r="L44" s="429"/>
      <c r="M44" s="231"/>
    </row>
    <row r="45" spans="1:13" s="6" customFormat="1" ht="20.100000000000001" customHeight="1">
      <c r="A45" s="236"/>
      <c r="B45" s="142" t="s">
        <v>165</v>
      </c>
      <c r="C45" s="67" t="s">
        <v>252</v>
      </c>
      <c r="D45" s="68" t="s">
        <v>31</v>
      </c>
      <c r="E45" s="216">
        <v>1.1000000000000001</v>
      </c>
      <c r="F45" s="428">
        <f>F43*E45</f>
        <v>258.5</v>
      </c>
      <c r="G45" s="430"/>
      <c r="H45" s="429"/>
      <c r="I45" s="225"/>
      <c r="J45" s="429"/>
      <c r="K45" s="430"/>
      <c r="L45" s="429"/>
      <c r="M45" s="231"/>
    </row>
    <row r="46" spans="1:13" s="6" customFormat="1" ht="20.100000000000001" customHeight="1">
      <c r="A46" s="236"/>
      <c r="B46" s="142"/>
      <c r="C46" s="67" t="s">
        <v>52</v>
      </c>
      <c r="D46" s="68" t="s">
        <v>49</v>
      </c>
      <c r="E46" s="216">
        <f>2.11/100</f>
        <v>2.1099999999999997E-2</v>
      </c>
      <c r="F46" s="428">
        <f>F43*E46</f>
        <v>4.958499999999999</v>
      </c>
      <c r="G46" s="430"/>
      <c r="H46" s="429"/>
      <c r="I46" s="225"/>
      <c r="J46" s="429"/>
      <c r="K46" s="430"/>
      <c r="L46" s="429"/>
      <c r="M46" s="231"/>
    </row>
    <row r="47" spans="1:13" s="6" customFormat="1" ht="20.100000000000001" customHeight="1">
      <c r="A47" s="236"/>
      <c r="B47" s="81"/>
      <c r="C47" s="67" t="s">
        <v>23</v>
      </c>
      <c r="D47" s="70" t="s">
        <v>22</v>
      </c>
      <c r="E47" s="229">
        <f>4.66/100</f>
        <v>4.6600000000000003E-2</v>
      </c>
      <c r="F47" s="428">
        <f>F43*E47</f>
        <v>10.951000000000001</v>
      </c>
      <c r="G47" s="430"/>
      <c r="H47" s="429"/>
      <c r="I47" s="225"/>
      <c r="J47" s="429"/>
      <c r="K47" s="430"/>
      <c r="L47" s="429"/>
      <c r="M47" s="231"/>
    </row>
    <row r="48" spans="1:13" s="6" customFormat="1" ht="20.100000000000001" customHeight="1">
      <c r="A48" s="236"/>
      <c r="B48" s="81"/>
      <c r="C48" s="158" t="s">
        <v>47</v>
      </c>
      <c r="D48" s="68" t="s">
        <v>22</v>
      </c>
      <c r="E48" s="216">
        <f>10.4/100</f>
        <v>0.10400000000000001</v>
      </c>
      <c r="F48" s="225">
        <f>E48*F43</f>
        <v>24.44</v>
      </c>
      <c r="G48" s="425"/>
      <c r="H48" s="426"/>
      <c r="I48" s="426"/>
      <c r="J48" s="426"/>
      <c r="K48" s="225"/>
      <c r="L48" s="225"/>
      <c r="M48" s="231"/>
    </row>
    <row r="49" spans="1:13" s="1" customFormat="1" ht="35.1" customHeight="1">
      <c r="A49" s="248">
        <v>9</v>
      </c>
      <c r="B49" s="82" t="s">
        <v>172</v>
      </c>
      <c r="C49" s="74" t="s">
        <v>104</v>
      </c>
      <c r="D49" s="238" t="s">
        <v>26</v>
      </c>
      <c r="E49" s="222"/>
      <c r="F49" s="431">
        <v>320</v>
      </c>
      <c r="G49" s="432"/>
      <c r="H49" s="432"/>
      <c r="I49" s="432"/>
      <c r="J49" s="432"/>
      <c r="K49" s="226"/>
      <c r="L49" s="433"/>
      <c r="M49" s="231"/>
    </row>
    <row r="50" spans="1:13" s="1" customFormat="1" ht="20.100000000000001" customHeight="1">
      <c r="A50" s="236"/>
      <c r="B50" s="81"/>
      <c r="C50" s="158" t="s">
        <v>20</v>
      </c>
      <c r="D50" s="68" t="s">
        <v>21</v>
      </c>
      <c r="E50" s="224">
        <f>74/100</f>
        <v>0.74</v>
      </c>
      <c r="F50" s="225">
        <f>F49*E50</f>
        <v>236.8</v>
      </c>
      <c r="G50" s="225"/>
      <c r="H50" s="225"/>
      <c r="I50" s="426"/>
      <c r="J50" s="426"/>
      <c r="K50" s="426"/>
      <c r="L50" s="426"/>
      <c r="M50" s="223"/>
    </row>
    <row r="51" spans="1:13" s="1" customFormat="1" ht="20.100000000000001" customHeight="1">
      <c r="A51" s="236"/>
      <c r="B51" s="81"/>
      <c r="C51" s="158" t="s">
        <v>47</v>
      </c>
      <c r="D51" s="68" t="s">
        <v>22</v>
      </c>
      <c r="E51" s="234">
        <f>0.71/100</f>
        <v>7.0999999999999995E-3</v>
      </c>
      <c r="F51" s="225">
        <f>F49*E51</f>
        <v>2.2719999999999998</v>
      </c>
      <c r="G51" s="426"/>
      <c r="H51" s="426"/>
      <c r="I51" s="426"/>
      <c r="J51" s="426"/>
      <c r="K51" s="225"/>
      <c r="L51" s="225"/>
      <c r="M51" s="223"/>
    </row>
    <row r="52" spans="1:13" s="1" customFormat="1" ht="20.100000000000001" customHeight="1">
      <c r="A52" s="236"/>
      <c r="B52" s="142" t="s">
        <v>164</v>
      </c>
      <c r="C52" s="158" t="s">
        <v>105</v>
      </c>
      <c r="D52" s="68" t="s">
        <v>50</v>
      </c>
      <c r="E52" s="224">
        <v>1</v>
      </c>
      <c r="F52" s="225">
        <f>F49*E52</f>
        <v>320</v>
      </c>
      <c r="G52" s="426"/>
      <c r="H52" s="426"/>
      <c r="I52" s="225"/>
      <c r="J52" s="225"/>
      <c r="K52" s="426"/>
      <c r="L52" s="426"/>
      <c r="M52" s="223"/>
    </row>
    <row r="53" spans="1:13" s="1" customFormat="1" ht="20.100000000000001" customHeight="1">
      <c r="A53" s="236"/>
      <c r="B53" s="142" t="s">
        <v>107</v>
      </c>
      <c r="C53" s="158" t="s">
        <v>168</v>
      </c>
      <c r="D53" s="68" t="s">
        <v>38</v>
      </c>
      <c r="E53" s="235">
        <v>3.1200000000000002E-2</v>
      </c>
      <c r="F53" s="225">
        <f>F49*E53</f>
        <v>9.984</v>
      </c>
      <c r="G53" s="426"/>
      <c r="H53" s="426"/>
      <c r="I53" s="225"/>
      <c r="J53" s="225"/>
      <c r="K53" s="426"/>
      <c r="L53" s="426"/>
      <c r="M53" s="223"/>
    </row>
    <row r="54" spans="1:13" s="1" customFormat="1" ht="20.100000000000001" customHeight="1">
      <c r="A54" s="236"/>
      <c r="B54" s="142" t="s">
        <v>108</v>
      </c>
      <c r="C54" s="158" t="s">
        <v>52</v>
      </c>
      <c r="D54" s="68" t="s">
        <v>38</v>
      </c>
      <c r="E54" s="234">
        <f>0.06/100</f>
        <v>5.9999999999999995E-4</v>
      </c>
      <c r="F54" s="225">
        <f>F49*E54</f>
        <v>0.19199999999999998</v>
      </c>
      <c r="G54" s="426"/>
      <c r="H54" s="426"/>
      <c r="I54" s="225"/>
      <c r="J54" s="225"/>
      <c r="K54" s="426"/>
      <c r="L54" s="426"/>
      <c r="M54" s="223"/>
    </row>
    <row r="55" spans="1:13" s="1" customFormat="1" ht="20.100000000000001" customHeight="1">
      <c r="A55" s="236"/>
      <c r="B55" s="81"/>
      <c r="C55" s="158" t="s">
        <v>23</v>
      </c>
      <c r="D55" s="68" t="s">
        <v>22</v>
      </c>
      <c r="E55" s="234">
        <f>9.6/100</f>
        <v>9.6000000000000002E-2</v>
      </c>
      <c r="F55" s="225">
        <f>F49*E55</f>
        <v>30.72</v>
      </c>
      <c r="G55" s="426"/>
      <c r="H55" s="426"/>
      <c r="I55" s="225"/>
      <c r="J55" s="225"/>
      <c r="K55" s="426"/>
      <c r="L55" s="426"/>
      <c r="M55" s="223"/>
    </row>
    <row r="56" spans="1:13" s="1" customFormat="1" ht="25.5">
      <c r="A56" s="236">
        <v>10</v>
      </c>
      <c r="B56" s="308" t="s">
        <v>201</v>
      </c>
      <c r="C56" s="146" t="s">
        <v>319</v>
      </c>
      <c r="D56" s="195" t="s">
        <v>31</v>
      </c>
      <c r="E56" s="232"/>
      <c r="F56" s="424">
        <v>80</v>
      </c>
      <c r="G56" s="225"/>
      <c r="H56" s="225"/>
      <c r="I56" s="225"/>
      <c r="J56" s="225"/>
      <c r="K56" s="225"/>
      <c r="L56" s="225"/>
      <c r="M56" s="223"/>
    </row>
    <row r="57" spans="1:13" s="1" customFormat="1" ht="20.100000000000001" customHeight="1">
      <c r="A57" s="236"/>
      <c r="B57" s="158" t="s">
        <v>202</v>
      </c>
      <c r="C57" s="158" t="s">
        <v>203</v>
      </c>
      <c r="D57" s="68" t="s">
        <v>21</v>
      </c>
      <c r="E57" s="232">
        <f>41.5/100</f>
        <v>0.41499999999999998</v>
      </c>
      <c r="F57" s="225">
        <f>F56*E57</f>
        <v>33.199999999999996</v>
      </c>
      <c r="G57" s="225"/>
      <c r="H57" s="225"/>
      <c r="I57" s="225"/>
      <c r="J57" s="225"/>
      <c r="K57" s="225"/>
      <c r="L57" s="225"/>
      <c r="M57" s="223"/>
    </row>
    <row r="58" spans="1:13" s="1" customFormat="1" ht="20.100000000000001" customHeight="1">
      <c r="A58" s="236"/>
      <c r="B58" s="158"/>
      <c r="C58" s="158" t="s">
        <v>47</v>
      </c>
      <c r="D58" s="68" t="s">
        <v>22</v>
      </c>
      <c r="E58" s="232">
        <f>0.46/100</f>
        <v>4.5999999999999999E-3</v>
      </c>
      <c r="F58" s="225">
        <f>E58*F56</f>
        <v>0.36799999999999999</v>
      </c>
      <c r="G58" s="225"/>
      <c r="H58" s="225"/>
      <c r="I58" s="225"/>
      <c r="J58" s="225"/>
      <c r="K58" s="225"/>
      <c r="L58" s="225"/>
      <c r="M58" s="223"/>
    </row>
    <row r="59" spans="1:13" s="1" customFormat="1" ht="20.100000000000001" customHeight="1">
      <c r="A59" s="236"/>
      <c r="B59" s="158"/>
      <c r="C59" s="158" t="s">
        <v>204</v>
      </c>
      <c r="D59" s="68"/>
      <c r="E59" s="232"/>
      <c r="F59" s="225"/>
      <c r="G59" s="225"/>
      <c r="H59" s="225"/>
      <c r="I59" s="225"/>
      <c r="J59" s="225"/>
      <c r="K59" s="225"/>
      <c r="L59" s="225"/>
      <c r="M59" s="223"/>
    </row>
    <row r="60" spans="1:13" s="1" customFormat="1" ht="20.100000000000001" customHeight="1">
      <c r="A60" s="236"/>
      <c r="B60" s="158" t="s">
        <v>53</v>
      </c>
      <c r="C60" s="158" t="s">
        <v>320</v>
      </c>
      <c r="D60" s="68" t="s">
        <v>31</v>
      </c>
      <c r="E60" s="232">
        <f>102/100</f>
        <v>1.02</v>
      </c>
      <c r="F60" s="225">
        <f>E60*F56</f>
        <v>81.599999999999994</v>
      </c>
      <c r="G60" s="225"/>
      <c r="H60" s="225"/>
      <c r="I60" s="225"/>
      <c r="J60" s="225"/>
      <c r="K60" s="225"/>
      <c r="L60" s="225"/>
      <c r="M60" s="223"/>
    </row>
    <row r="61" spans="1:13" s="1" customFormat="1" ht="20.100000000000001" customHeight="1">
      <c r="A61" s="236"/>
      <c r="B61" s="142" t="s">
        <v>205</v>
      </c>
      <c r="C61" s="158" t="s">
        <v>206</v>
      </c>
      <c r="D61" s="68" t="s">
        <v>24</v>
      </c>
      <c r="E61" s="232">
        <f>52/100</f>
        <v>0.52</v>
      </c>
      <c r="F61" s="225">
        <f>E61*F56</f>
        <v>41.6</v>
      </c>
      <c r="G61" s="225"/>
      <c r="H61" s="225"/>
      <c r="I61" s="225"/>
      <c r="J61" s="225"/>
      <c r="K61" s="225"/>
      <c r="L61" s="225"/>
      <c r="M61" s="223"/>
    </row>
    <row r="62" spans="1:13" s="1" customFormat="1" ht="20.100000000000001" customHeight="1">
      <c r="A62" s="236"/>
      <c r="B62" s="158"/>
      <c r="C62" s="158" t="s">
        <v>58</v>
      </c>
      <c r="D62" s="68" t="s">
        <v>22</v>
      </c>
      <c r="E62" s="232">
        <f>0.08/100</f>
        <v>8.0000000000000004E-4</v>
      </c>
      <c r="F62" s="225">
        <f>E62*F56</f>
        <v>6.4000000000000001E-2</v>
      </c>
      <c r="G62" s="225"/>
      <c r="H62" s="225"/>
      <c r="I62" s="225"/>
      <c r="J62" s="225"/>
      <c r="K62" s="225"/>
      <c r="L62" s="225"/>
      <c r="M62" s="223"/>
    </row>
    <row r="63" spans="1:13" s="6" customFormat="1" ht="35.1" customHeight="1">
      <c r="A63" s="236">
        <v>11</v>
      </c>
      <c r="B63" s="140" t="s">
        <v>130</v>
      </c>
      <c r="C63" s="74" t="s">
        <v>241</v>
      </c>
      <c r="D63" s="195" t="s">
        <v>31</v>
      </c>
      <c r="E63" s="216"/>
      <c r="F63" s="424">
        <v>4</v>
      </c>
      <c r="G63" s="225"/>
      <c r="H63" s="427"/>
      <c r="I63" s="225"/>
      <c r="J63" s="427"/>
      <c r="K63" s="425"/>
      <c r="L63" s="425"/>
      <c r="M63" s="231"/>
    </row>
    <row r="64" spans="1:13" s="6" customFormat="1" ht="20.100000000000001" customHeight="1">
      <c r="A64" s="236"/>
      <c r="B64" s="81"/>
      <c r="C64" s="67" t="s">
        <v>20</v>
      </c>
      <c r="D64" s="68" t="s">
        <v>21</v>
      </c>
      <c r="E64" s="216">
        <v>0.77900000000000003</v>
      </c>
      <c r="F64" s="428">
        <f>F63*E64</f>
        <v>3.1160000000000001</v>
      </c>
      <c r="G64" s="225"/>
      <c r="H64" s="429"/>
      <c r="I64" s="430"/>
      <c r="J64" s="429"/>
      <c r="K64" s="430"/>
      <c r="L64" s="429"/>
      <c r="M64" s="231"/>
    </row>
    <row r="65" spans="1:13" s="6" customFormat="1" ht="20.100000000000001" customHeight="1">
      <c r="A65" s="236"/>
      <c r="B65" s="142"/>
      <c r="C65" s="67" t="s">
        <v>242</v>
      </c>
      <c r="D65" s="68" t="s">
        <v>31</v>
      </c>
      <c r="E65" s="216">
        <v>1.1000000000000001</v>
      </c>
      <c r="F65" s="428">
        <f>F63*E65</f>
        <v>4.4000000000000004</v>
      </c>
      <c r="G65" s="430"/>
      <c r="H65" s="429"/>
      <c r="I65" s="225"/>
      <c r="J65" s="429"/>
      <c r="K65" s="430"/>
      <c r="L65" s="429"/>
      <c r="M65" s="231"/>
    </row>
    <row r="66" spans="1:13" s="6" customFormat="1" ht="20.100000000000001" customHeight="1">
      <c r="A66" s="236"/>
      <c r="B66" s="142"/>
      <c r="C66" s="67" t="s">
        <v>52</v>
      </c>
      <c r="D66" s="68" t="s">
        <v>49</v>
      </c>
      <c r="E66" s="216">
        <f>2.11/100</f>
        <v>2.1099999999999997E-2</v>
      </c>
      <c r="F66" s="428">
        <f>F63*E66</f>
        <v>8.4399999999999989E-2</v>
      </c>
      <c r="G66" s="430"/>
      <c r="H66" s="429"/>
      <c r="I66" s="225"/>
      <c r="J66" s="429"/>
      <c r="K66" s="430"/>
      <c r="L66" s="429"/>
      <c r="M66" s="231"/>
    </row>
    <row r="67" spans="1:13" s="6" customFormat="1" ht="20.100000000000001" customHeight="1">
      <c r="A67" s="236"/>
      <c r="B67" s="81"/>
      <c r="C67" s="67" t="s">
        <v>23</v>
      </c>
      <c r="D67" s="70" t="s">
        <v>22</v>
      </c>
      <c r="E67" s="229">
        <f>4.66/100</f>
        <v>4.6600000000000003E-2</v>
      </c>
      <c r="F67" s="428">
        <f>F63*E67</f>
        <v>0.18640000000000001</v>
      </c>
      <c r="G67" s="430"/>
      <c r="H67" s="429"/>
      <c r="I67" s="225"/>
      <c r="J67" s="429"/>
      <c r="K67" s="430"/>
      <c r="L67" s="429"/>
      <c r="M67" s="231"/>
    </row>
    <row r="68" spans="1:13" s="6" customFormat="1" ht="20.100000000000001" customHeight="1">
      <c r="A68" s="236"/>
      <c r="B68" s="81"/>
      <c r="C68" s="158" t="s">
        <v>47</v>
      </c>
      <c r="D68" s="68" t="s">
        <v>22</v>
      </c>
      <c r="E68" s="216">
        <f>10.4/100</f>
        <v>0.10400000000000001</v>
      </c>
      <c r="F68" s="225">
        <f>E68*F63</f>
        <v>0.41600000000000004</v>
      </c>
      <c r="G68" s="425"/>
      <c r="H68" s="426"/>
      <c r="I68" s="426"/>
      <c r="J68" s="426"/>
      <c r="K68" s="225"/>
      <c r="L68" s="225"/>
      <c r="M68" s="231"/>
    </row>
    <row r="69" spans="1:13" s="1" customFormat="1" ht="20.100000000000001" customHeight="1">
      <c r="A69" s="370"/>
      <c r="B69" s="371"/>
      <c r="C69" s="74" t="s">
        <v>238</v>
      </c>
      <c r="D69" s="372"/>
      <c r="E69" s="373"/>
      <c r="F69" s="373"/>
      <c r="G69" s="373"/>
      <c r="H69" s="373"/>
      <c r="I69" s="373"/>
      <c r="J69" s="373"/>
      <c r="K69" s="373"/>
      <c r="L69" s="373"/>
      <c r="M69" s="373"/>
    </row>
    <row r="70" spans="1:13" s="1" customFormat="1" ht="20.100000000000001" customHeight="1">
      <c r="A70" s="248">
        <v>13</v>
      </c>
      <c r="B70" s="308" t="s">
        <v>233</v>
      </c>
      <c r="C70" s="374" t="s">
        <v>240</v>
      </c>
      <c r="D70" s="195" t="s">
        <v>38</v>
      </c>
      <c r="E70" s="216"/>
      <c r="F70" s="424">
        <v>0.5</v>
      </c>
      <c r="G70" s="375"/>
      <c r="H70" s="376"/>
      <c r="I70" s="375"/>
      <c r="J70" s="376"/>
      <c r="K70" s="375"/>
      <c r="L70" s="376"/>
      <c r="M70" s="375"/>
    </row>
    <row r="71" spans="1:13" s="1" customFormat="1" ht="20.100000000000001" customHeight="1">
      <c r="A71" s="370"/>
      <c r="B71" s="377"/>
      <c r="C71" s="374" t="s">
        <v>20</v>
      </c>
      <c r="D71" s="372" t="s">
        <v>40</v>
      </c>
      <c r="E71" s="224">
        <v>8.44</v>
      </c>
      <c r="F71" s="225">
        <f>E71*F70</f>
        <v>4.22</v>
      </c>
      <c r="G71" s="225"/>
      <c r="H71" s="225"/>
      <c r="I71" s="225"/>
      <c r="J71" s="225"/>
      <c r="K71" s="225"/>
      <c r="L71" s="225"/>
      <c r="M71" s="224"/>
    </row>
    <row r="72" spans="1:13" s="1" customFormat="1" ht="20.100000000000001" customHeight="1">
      <c r="A72" s="370"/>
      <c r="B72" s="371"/>
      <c r="C72" s="378" t="s">
        <v>43</v>
      </c>
      <c r="D72" s="68" t="s">
        <v>22</v>
      </c>
      <c r="E72" s="224">
        <v>1.1000000000000001</v>
      </c>
      <c r="F72" s="225">
        <f>E72*F70</f>
        <v>0.55000000000000004</v>
      </c>
      <c r="G72" s="225"/>
      <c r="H72" s="225"/>
      <c r="I72" s="225"/>
      <c r="J72" s="225"/>
      <c r="K72" s="225"/>
      <c r="L72" s="225"/>
      <c r="M72" s="224"/>
    </row>
    <row r="73" spans="1:13" s="1" customFormat="1" ht="20.100000000000001" customHeight="1">
      <c r="A73" s="380" t="s">
        <v>234</v>
      </c>
      <c r="B73" s="381"/>
      <c r="C73" s="382" t="s">
        <v>235</v>
      </c>
      <c r="D73" s="68" t="s">
        <v>38</v>
      </c>
      <c r="E73" s="224">
        <v>1.0149999999999999</v>
      </c>
      <c r="F73" s="225">
        <f>E73*F70</f>
        <v>0.50749999999999995</v>
      </c>
      <c r="G73" s="225"/>
      <c r="H73" s="225"/>
      <c r="I73" s="225"/>
      <c r="J73" s="225"/>
      <c r="K73" s="225"/>
      <c r="L73" s="225"/>
      <c r="M73" s="224"/>
    </row>
    <row r="74" spans="1:13" s="1" customFormat="1" ht="20.100000000000001" customHeight="1">
      <c r="A74" s="379"/>
      <c r="B74" s="383"/>
      <c r="C74" s="382" t="s">
        <v>236</v>
      </c>
      <c r="D74" s="68" t="s">
        <v>38</v>
      </c>
      <c r="E74" s="224">
        <v>0.08</v>
      </c>
      <c r="F74" s="225">
        <f>E74*F70</f>
        <v>0.04</v>
      </c>
      <c r="G74" s="225"/>
      <c r="H74" s="225"/>
      <c r="I74" s="225"/>
      <c r="J74" s="225"/>
      <c r="K74" s="225"/>
      <c r="L74" s="225"/>
      <c r="M74" s="224"/>
    </row>
    <row r="75" spans="1:13" s="1" customFormat="1" ht="20.100000000000001" customHeight="1">
      <c r="A75" s="370"/>
      <c r="B75" s="371"/>
      <c r="C75" s="374" t="s">
        <v>46</v>
      </c>
      <c r="D75" s="68" t="s">
        <v>22</v>
      </c>
      <c r="E75" s="224">
        <v>0.46</v>
      </c>
      <c r="F75" s="225">
        <f>E75*F70</f>
        <v>0.23</v>
      </c>
      <c r="G75" s="225"/>
      <c r="H75" s="225"/>
      <c r="I75" s="225"/>
      <c r="J75" s="225"/>
      <c r="K75" s="225"/>
      <c r="L75" s="225"/>
      <c r="M75" s="224"/>
    </row>
    <row r="76" spans="1:13" s="6" customFormat="1" ht="35.1" customHeight="1">
      <c r="A76" s="236">
        <v>14</v>
      </c>
      <c r="B76" s="308" t="s">
        <v>130</v>
      </c>
      <c r="C76" s="74" t="s">
        <v>239</v>
      </c>
      <c r="D76" s="195" t="s">
        <v>31</v>
      </c>
      <c r="E76" s="216"/>
      <c r="F76" s="424">
        <v>3</v>
      </c>
      <c r="G76" s="225"/>
      <c r="H76" s="427"/>
      <c r="I76" s="225"/>
      <c r="J76" s="427"/>
      <c r="K76" s="425"/>
      <c r="L76" s="425"/>
      <c r="M76" s="231"/>
    </row>
    <row r="77" spans="1:13" s="6" customFormat="1" ht="20.100000000000001" customHeight="1">
      <c r="A77" s="236"/>
      <c r="B77" s="81"/>
      <c r="C77" s="67" t="s">
        <v>20</v>
      </c>
      <c r="D77" s="68" t="s">
        <v>21</v>
      </c>
      <c r="E77" s="216">
        <v>0.77900000000000003</v>
      </c>
      <c r="F77" s="428">
        <f>F76*E77</f>
        <v>2.3370000000000002</v>
      </c>
      <c r="G77" s="225"/>
      <c r="H77" s="429"/>
      <c r="I77" s="430"/>
      <c r="J77" s="429"/>
      <c r="K77" s="430"/>
      <c r="L77" s="429"/>
      <c r="M77" s="231"/>
    </row>
    <row r="78" spans="1:13" s="6" customFormat="1" ht="20.100000000000001" customHeight="1">
      <c r="A78" s="236"/>
      <c r="B78" s="142" t="s">
        <v>165</v>
      </c>
      <c r="C78" s="67" t="s">
        <v>237</v>
      </c>
      <c r="D78" s="68" t="s">
        <v>31</v>
      </c>
      <c r="E78" s="216">
        <v>1.1000000000000001</v>
      </c>
      <c r="F78" s="428">
        <f>F76*E78</f>
        <v>3.3000000000000003</v>
      </c>
      <c r="G78" s="430"/>
      <c r="H78" s="429"/>
      <c r="I78" s="225"/>
      <c r="J78" s="429"/>
      <c r="K78" s="430"/>
      <c r="L78" s="429"/>
      <c r="M78" s="231"/>
    </row>
    <row r="79" spans="1:13" s="6" customFormat="1" ht="20.100000000000001" customHeight="1">
      <c r="A79" s="236"/>
      <c r="B79" s="142"/>
      <c r="C79" s="67" t="s">
        <v>52</v>
      </c>
      <c r="D79" s="68" t="s">
        <v>49</v>
      </c>
      <c r="E79" s="216">
        <f>2.11/100</f>
        <v>2.1099999999999997E-2</v>
      </c>
      <c r="F79" s="428">
        <f>F76*E79</f>
        <v>6.3299999999999995E-2</v>
      </c>
      <c r="G79" s="430"/>
      <c r="H79" s="429"/>
      <c r="I79" s="225"/>
      <c r="J79" s="429"/>
      <c r="K79" s="430"/>
      <c r="L79" s="429"/>
      <c r="M79" s="231"/>
    </row>
    <row r="80" spans="1:13" s="6" customFormat="1" ht="20.100000000000001" customHeight="1">
      <c r="A80" s="236"/>
      <c r="B80" s="81"/>
      <c r="C80" s="67" t="s">
        <v>23</v>
      </c>
      <c r="D80" s="70" t="s">
        <v>22</v>
      </c>
      <c r="E80" s="229">
        <f>4.66/100</f>
        <v>4.6600000000000003E-2</v>
      </c>
      <c r="F80" s="428">
        <f>F76*E80</f>
        <v>0.13980000000000001</v>
      </c>
      <c r="G80" s="430"/>
      <c r="H80" s="429"/>
      <c r="I80" s="225"/>
      <c r="J80" s="429"/>
      <c r="K80" s="430"/>
      <c r="L80" s="429"/>
      <c r="M80" s="231"/>
    </row>
    <row r="81" spans="1:13" s="6" customFormat="1" ht="20.100000000000001" customHeight="1">
      <c r="A81" s="236"/>
      <c r="B81" s="81"/>
      <c r="C81" s="158" t="s">
        <v>47</v>
      </c>
      <c r="D81" s="68" t="s">
        <v>22</v>
      </c>
      <c r="E81" s="216">
        <f>10.4/100</f>
        <v>0.10400000000000001</v>
      </c>
      <c r="F81" s="225">
        <f>E81*F76</f>
        <v>0.31200000000000006</v>
      </c>
      <c r="G81" s="425"/>
      <c r="H81" s="426"/>
      <c r="I81" s="426"/>
      <c r="J81" s="426"/>
      <c r="K81" s="225"/>
      <c r="L81" s="225"/>
      <c r="M81" s="231"/>
    </row>
    <row r="82" spans="1:13" s="344" customFormat="1" ht="27.75" customHeight="1">
      <c r="A82" s="236"/>
      <c r="B82" s="341"/>
      <c r="C82" s="74" t="s">
        <v>208</v>
      </c>
      <c r="D82" s="42"/>
      <c r="E82" s="342"/>
      <c r="F82" s="321"/>
      <c r="G82" s="434"/>
      <c r="H82" s="434"/>
      <c r="I82" s="434"/>
      <c r="J82" s="434"/>
      <c r="K82" s="434"/>
      <c r="L82" s="434"/>
      <c r="M82" s="343"/>
    </row>
    <row r="83" spans="1:13" s="344" customFormat="1" ht="35.1" customHeight="1">
      <c r="A83" s="345">
        <v>15</v>
      </c>
      <c r="B83" s="346" t="s">
        <v>12</v>
      </c>
      <c r="C83" s="347" t="s">
        <v>209</v>
      </c>
      <c r="D83" s="348" t="s">
        <v>71</v>
      </c>
      <c r="E83" s="349"/>
      <c r="F83" s="435">
        <f>F85*1.2</f>
        <v>6</v>
      </c>
      <c r="G83" s="436"/>
      <c r="H83" s="436"/>
      <c r="I83" s="436"/>
      <c r="J83" s="436"/>
      <c r="K83" s="436"/>
      <c r="L83" s="436"/>
      <c r="M83" s="223"/>
    </row>
    <row r="84" spans="1:13" s="344" customFormat="1" ht="20.100000000000001" customHeight="1">
      <c r="A84" s="350"/>
      <c r="B84" s="316"/>
      <c r="C84" s="351" t="s">
        <v>20</v>
      </c>
      <c r="D84" s="89" t="s">
        <v>21</v>
      </c>
      <c r="E84" s="352">
        <f>154*0.01</f>
        <v>1.54</v>
      </c>
      <c r="F84" s="436">
        <f>E84*F83</f>
        <v>9.24</v>
      </c>
      <c r="G84" s="436"/>
      <c r="H84" s="436"/>
      <c r="I84" s="436"/>
      <c r="J84" s="436"/>
      <c r="K84" s="436"/>
      <c r="L84" s="436"/>
      <c r="M84" s="223"/>
    </row>
    <row r="85" spans="1:13" s="344" customFormat="1" ht="35.1" customHeight="1">
      <c r="A85" s="236">
        <v>16</v>
      </c>
      <c r="B85" s="341" t="s">
        <v>5</v>
      </c>
      <c r="C85" s="74" t="s">
        <v>210</v>
      </c>
      <c r="D85" s="42" t="s">
        <v>38</v>
      </c>
      <c r="E85" s="227"/>
      <c r="F85" s="424">
        <f>F96/1.2*0.4*0.4*0.5</f>
        <v>5</v>
      </c>
      <c r="G85" s="225"/>
      <c r="H85" s="225"/>
      <c r="I85" s="225"/>
      <c r="J85" s="225"/>
      <c r="K85" s="430"/>
      <c r="L85" s="430"/>
      <c r="M85" s="223"/>
    </row>
    <row r="86" spans="1:13" s="344" customFormat="1" ht="20.100000000000001" customHeight="1">
      <c r="A86" s="353"/>
      <c r="B86" s="354"/>
      <c r="C86" s="158" t="s">
        <v>20</v>
      </c>
      <c r="D86" s="154" t="s">
        <v>21</v>
      </c>
      <c r="E86" s="216">
        <v>1.37</v>
      </c>
      <c r="F86" s="225">
        <f>F85*E86</f>
        <v>6.8500000000000005</v>
      </c>
      <c r="G86" s="225"/>
      <c r="H86" s="225"/>
      <c r="I86" s="430"/>
      <c r="J86" s="430"/>
      <c r="K86" s="430"/>
      <c r="L86" s="430"/>
      <c r="M86" s="223"/>
    </row>
    <row r="87" spans="1:13" s="355" customFormat="1" ht="20.100000000000001" customHeight="1">
      <c r="A87" s="353"/>
      <c r="B87" s="354"/>
      <c r="C87" s="158" t="s">
        <v>47</v>
      </c>
      <c r="D87" s="154" t="s">
        <v>22</v>
      </c>
      <c r="E87" s="216">
        <v>0.28299999999999997</v>
      </c>
      <c r="F87" s="225">
        <f>F85*E87</f>
        <v>1.4149999999999998</v>
      </c>
      <c r="G87" s="430"/>
      <c r="H87" s="430"/>
      <c r="I87" s="225"/>
      <c r="J87" s="225"/>
      <c r="K87" s="225"/>
      <c r="L87" s="225"/>
      <c r="M87" s="223"/>
    </row>
    <row r="88" spans="1:13" s="13" customFormat="1" ht="20.100000000000001" customHeight="1">
      <c r="A88" s="353"/>
      <c r="B88" s="142" t="s">
        <v>107</v>
      </c>
      <c r="C88" s="158" t="s">
        <v>75</v>
      </c>
      <c r="D88" s="154" t="s">
        <v>38</v>
      </c>
      <c r="E88" s="216">
        <v>1.02</v>
      </c>
      <c r="F88" s="225">
        <f>E88*F85</f>
        <v>5.0999999999999996</v>
      </c>
      <c r="G88" s="430"/>
      <c r="H88" s="430"/>
      <c r="I88" s="225"/>
      <c r="J88" s="225"/>
      <c r="K88" s="430"/>
      <c r="L88" s="430"/>
      <c r="M88" s="223"/>
    </row>
    <row r="89" spans="1:13" s="13" customFormat="1" ht="20.100000000000001" customHeight="1">
      <c r="A89" s="353"/>
      <c r="B89" s="354"/>
      <c r="C89" s="356" t="s">
        <v>23</v>
      </c>
      <c r="D89" s="357" t="s">
        <v>22</v>
      </c>
      <c r="E89" s="216">
        <v>0.62</v>
      </c>
      <c r="F89" s="225">
        <f>F85*E89</f>
        <v>3.1</v>
      </c>
      <c r="G89" s="225"/>
      <c r="H89" s="225"/>
      <c r="I89" s="225"/>
      <c r="J89" s="225"/>
      <c r="K89" s="225"/>
      <c r="L89" s="225"/>
      <c r="M89" s="223"/>
    </row>
    <row r="90" spans="1:13" s="13" customFormat="1" ht="35.1" customHeight="1">
      <c r="A90" s="358">
        <v>17</v>
      </c>
      <c r="B90" s="359" t="s">
        <v>211</v>
      </c>
      <c r="C90" s="360" t="s">
        <v>212</v>
      </c>
      <c r="D90" s="42" t="s">
        <v>41</v>
      </c>
      <c r="E90" s="361"/>
      <c r="F90" s="437">
        <f>F96*1.64/1000</f>
        <v>0.12299999999999998</v>
      </c>
      <c r="G90" s="226"/>
      <c r="H90" s="226"/>
      <c r="I90" s="226"/>
      <c r="J90" s="438"/>
      <c r="K90" s="226"/>
      <c r="L90" s="226"/>
      <c r="M90" s="362"/>
    </row>
    <row r="91" spans="1:13" s="13" customFormat="1" ht="20.100000000000001" customHeight="1">
      <c r="A91" s="358"/>
      <c r="B91" s="359"/>
      <c r="C91" s="187" t="s">
        <v>213</v>
      </c>
      <c r="D91" s="78" t="s">
        <v>214</v>
      </c>
      <c r="E91" s="222">
        <v>64</v>
      </c>
      <c r="F91" s="439">
        <f>F90*E91</f>
        <v>7.871999999999999</v>
      </c>
      <c r="G91" s="440"/>
      <c r="H91" s="440"/>
      <c r="I91" s="440"/>
      <c r="J91" s="440"/>
      <c r="K91" s="440"/>
      <c r="L91" s="440"/>
      <c r="M91" s="363"/>
    </row>
    <row r="92" spans="1:13" s="13" customFormat="1" ht="20.100000000000001" customHeight="1">
      <c r="A92" s="358"/>
      <c r="B92" s="359"/>
      <c r="C92" s="187" t="s">
        <v>47</v>
      </c>
      <c r="D92" s="78" t="s">
        <v>22</v>
      </c>
      <c r="E92" s="222">
        <v>1.3</v>
      </c>
      <c r="F92" s="439">
        <f>F90*E92</f>
        <v>0.15989999999999999</v>
      </c>
      <c r="G92" s="440"/>
      <c r="H92" s="440"/>
      <c r="I92" s="440"/>
      <c r="J92" s="440"/>
      <c r="K92" s="440"/>
      <c r="L92" s="440"/>
      <c r="M92" s="363"/>
    </row>
    <row r="93" spans="1:13" s="13" customFormat="1" ht="20.100000000000001" customHeight="1">
      <c r="A93" s="358"/>
      <c r="B93" s="69" t="s">
        <v>215</v>
      </c>
      <c r="C93" s="364" t="s">
        <v>247</v>
      </c>
      <c r="D93" s="78" t="s">
        <v>41</v>
      </c>
      <c r="E93" s="222"/>
      <c r="F93" s="441">
        <v>8.7400000000000005E-2</v>
      </c>
      <c r="G93" s="225"/>
      <c r="H93" s="440"/>
      <c r="I93" s="225"/>
      <c r="J93" s="225"/>
      <c r="K93" s="440"/>
      <c r="L93" s="440"/>
      <c r="M93" s="363"/>
    </row>
    <row r="94" spans="1:13" s="13" customFormat="1" ht="20.100000000000001" customHeight="1">
      <c r="A94" s="358"/>
      <c r="B94" s="69" t="s">
        <v>216</v>
      </c>
      <c r="C94" s="364" t="s">
        <v>217</v>
      </c>
      <c r="D94" s="78" t="s">
        <v>41</v>
      </c>
      <c r="E94" s="222"/>
      <c r="F94" s="442">
        <v>0.124</v>
      </c>
      <c r="G94" s="225"/>
      <c r="H94" s="440"/>
      <c r="I94" s="225"/>
      <c r="J94" s="225"/>
      <c r="K94" s="440"/>
      <c r="L94" s="440"/>
      <c r="M94" s="363"/>
    </row>
    <row r="95" spans="1:13" s="13" customFormat="1" ht="20.100000000000001" customHeight="1">
      <c r="A95" s="358"/>
      <c r="B95" s="359"/>
      <c r="C95" s="187" t="s">
        <v>58</v>
      </c>
      <c r="D95" s="78" t="s">
        <v>22</v>
      </c>
      <c r="E95" s="222">
        <v>2</v>
      </c>
      <c r="F95" s="439">
        <f>F90*E95</f>
        <v>0.24599999999999997</v>
      </c>
      <c r="G95" s="440"/>
      <c r="H95" s="440"/>
      <c r="I95" s="440"/>
      <c r="J95" s="225"/>
      <c r="K95" s="440"/>
      <c r="L95" s="440"/>
      <c r="M95" s="363"/>
    </row>
    <row r="96" spans="1:13" s="13" customFormat="1" ht="35.1" customHeight="1">
      <c r="A96" s="345">
        <v>18</v>
      </c>
      <c r="B96" s="365" t="s">
        <v>218</v>
      </c>
      <c r="C96" s="366" t="s">
        <v>219</v>
      </c>
      <c r="D96" s="367" t="s">
        <v>220</v>
      </c>
      <c r="E96" s="227"/>
      <c r="F96" s="424">
        <v>75</v>
      </c>
      <c r="G96" s="424"/>
      <c r="H96" s="443"/>
      <c r="I96" s="444"/>
      <c r="J96" s="443"/>
      <c r="K96" s="444"/>
      <c r="L96" s="443"/>
      <c r="M96" s="363"/>
    </row>
    <row r="97" spans="1:13" s="13" customFormat="1" ht="20.100000000000001" customHeight="1">
      <c r="A97" s="358"/>
      <c r="B97" s="320" t="s">
        <v>221</v>
      </c>
      <c r="C97" s="187" t="s">
        <v>145</v>
      </c>
      <c r="D97" s="154" t="s">
        <v>146</v>
      </c>
      <c r="E97" s="224">
        <f>158/100</f>
        <v>1.58</v>
      </c>
      <c r="F97" s="225">
        <f>F96*E97</f>
        <v>118.5</v>
      </c>
      <c r="G97" s="225"/>
      <c r="H97" s="443"/>
      <c r="I97" s="225"/>
      <c r="J97" s="443"/>
      <c r="K97" s="225"/>
      <c r="L97" s="443"/>
      <c r="M97" s="363"/>
    </row>
    <row r="98" spans="1:13" s="13" customFormat="1" ht="20.100000000000001" customHeight="1">
      <c r="A98" s="358"/>
      <c r="B98" s="78" t="s">
        <v>222</v>
      </c>
      <c r="C98" s="187" t="s">
        <v>223</v>
      </c>
      <c r="D98" s="154" t="s">
        <v>224</v>
      </c>
      <c r="E98" s="216">
        <f>20.5/100</f>
        <v>0.20499999999999999</v>
      </c>
      <c r="F98" s="225">
        <f>F96*E98</f>
        <v>15.374999999999998</v>
      </c>
      <c r="G98" s="225"/>
      <c r="H98" s="443"/>
      <c r="I98" s="225"/>
      <c r="J98" s="443"/>
      <c r="K98" s="225"/>
      <c r="L98" s="443"/>
      <c r="M98" s="363"/>
    </row>
    <row r="99" spans="1:13" s="13" customFormat="1" ht="20.100000000000001" customHeight="1">
      <c r="A99" s="358"/>
      <c r="B99" s="78"/>
      <c r="C99" s="187" t="s">
        <v>225</v>
      </c>
      <c r="D99" s="154" t="s">
        <v>132</v>
      </c>
      <c r="E99" s="216">
        <f>4/100</f>
        <v>0.04</v>
      </c>
      <c r="F99" s="225">
        <f>F96*E99</f>
        <v>3</v>
      </c>
      <c r="G99" s="225"/>
      <c r="H99" s="443"/>
      <c r="I99" s="225"/>
      <c r="J99" s="443"/>
      <c r="K99" s="225"/>
      <c r="L99" s="443"/>
      <c r="M99" s="363"/>
    </row>
    <row r="100" spans="1:13" s="13" customFormat="1" ht="20.100000000000001" customHeight="1">
      <c r="A100" s="358"/>
      <c r="B100" s="78"/>
      <c r="C100" s="368" t="s">
        <v>226</v>
      </c>
      <c r="D100" s="154" t="s">
        <v>73</v>
      </c>
      <c r="E100" s="369"/>
      <c r="F100" s="445">
        <f>(F96*25)/1000</f>
        <v>1.875</v>
      </c>
      <c r="G100" s="430"/>
      <c r="H100" s="430"/>
      <c r="I100" s="446"/>
      <c r="J100" s="225"/>
      <c r="K100" s="430"/>
      <c r="L100" s="430"/>
      <c r="M100" s="223"/>
    </row>
    <row r="101" spans="1:13" s="13" customFormat="1" ht="20.100000000000001" customHeight="1">
      <c r="A101" s="358"/>
      <c r="B101" s="78"/>
      <c r="C101" s="187" t="s">
        <v>227</v>
      </c>
      <c r="D101" s="154" t="s">
        <v>132</v>
      </c>
      <c r="E101" s="224">
        <v>6</v>
      </c>
      <c r="F101" s="225">
        <f>E101*F96</f>
        <v>450</v>
      </c>
      <c r="G101" s="225"/>
      <c r="H101" s="443"/>
      <c r="I101" s="225"/>
      <c r="J101" s="443"/>
      <c r="K101" s="225"/>
      <c r="L101" s="443"/>
      <c r="M101" s="363"/>
    </row>
    <row r="102" spans="1:13" s="14" customFormat="1" ht="20.100000000000001" customHeight="1">
      <c r="A102" s="236">
        <v>19</v>
      </c>
      <c r="B102" s="341" t="s">
        <v>228</v>
      </c>
      <c r="C102" s="74" t="s">
        <v>229</v>
      </c>
      <c r="D102" s="61" t="s">
        <v>69</v>
      </c>
      <c r="E102" s="227"/>
      <c r="F102" s="424">
        <f>F96*0.9</f>
        <v>67.5</v>
      </c>
      <c r="G102" s="225"/>
      <c r="H102" s="225"/>
      <c r="I102" s="225"/>
      <c r="J102" s="225"/>
      <c r="K102" s="430"/>
      <c r="L102" s="430"/>
      <c r="M102" s="223"/>
    </row>
    <row r="103" spans="1:13" s="14" customFormat="1" ht="20.100000000000001" customHeight="1">
      <c r="A103" s="353"/>
      <c r="B103" s="354"/>
      <c r="C103" s="158" t="s">
        <v>20</v>
      </c>
      <c r="D103" s="154" t="s">
        <v>21</v>
      </c>
      <c r="E103" s="224">
        <f>68/100</f>
        <v>0.68</v>
      </c>
      <c r="F103" s="225">
        <f>F102*E103</f>
        <v>45.900000000000006</v>
      </c>
      <c r="G103" s="225"/>
      <c r="H103" s="225"/>
      <c r="I103" s="430"/>
      <c r="J103" s="430"/>
      <c r="K103" s="430"/>
      <c r="L103" s="430"/>
      <c r="M103" s="223"/>
    </row>
    <row r="104" spans="1:13" s="13" customFormat="1" ht="20.100000000000001" customHeight="1">
      <c r="A104" s="353"/>
      <c r="B104" s="354"/>
      <c r="C104" s="158" t="s">
        <v>47</v>
      </c>
      <c r="D104" s="154" t="s">
        <v>22</v>
      </c>
      <c r="E104" s="234">
        <f>0.03/100</f>
        <v>2.9999999999999997E-4</v>
      </c>
      <c r="F104" s="225">
        <f>F102*E104</f>
        <v>2.0249999999999997E-2</v>
      </c>
      <c r="G104" s="430"/>
      <c r="H104" s="430"/>
      <c r="I104" s="225"/>
      <c r="J104" s="225"/>
      <c r="K104" s="225"/>
      <c r="L104" s="225"/>
      <c r="M104" s="223"/>
    </row>
    <row r="105" spans="1:13" s="14" customFormat="1" ht="20.100000000000001" customHeight="1">
      <c r="A105" s="353"/>
      <c r="B105" s="142" t="s">
        <v>109</v>
      </c>
      <c r="C105" s="158" t="s">
        <v>230</v>
      </c>
      <c r="D105" s="154" t="s">
        <v>24</v>
      </c>
      <c r="E105" s="216">
        <f>24.6/100</f>
        <v>0.24600000000000002</v>
      </c>
      <c r="F105" s="225">
        <f>F102*E105</f>
        <v>16.605</v>
      </c>
      <c r="G105" s="430"/>
      <c r="H105" s="430"/>
      <c r="I105" s="225"/>
      <c r="J105" s="225"/>
      <c r="K105" s="430"/>
      <c r="L105" s="430"/>
      <c r="M105" s="223"/>
    </row>
    <row r="106" spans="1:13" s="13" customFormat="1" ht="20.100000000000001" customHeight="1">
      <c r="A106" s="353"/>
      <c r="B106" s="354"/>
      <c r="C106" s="356" t="s">
        <v>23</v>
      </c>
      <c r="D106" s="357" t="s">
        <v>22</v>
      </c>
      <c r="E106" s="234">
        <f>0.19/100</f>
        <v>1.9E-3</v>
      </c>
      <c r="F106" s="225">
        <f>F102*E106</f>
        <v>0.12825</v>
      </c>
      <c r="G106" s="225"/>
      <c r="H106" s="225"/>
      <c r="I106" s="225"/>
      <c r="J106" s="225"/>
      <c r="K106" s="225"/>
      <c r="L106" s="225"/>
      <c r="M106" s="223"/>
    </row>
    <row r="107" spans="1:13" customFormat="1" ht="15">
      <c r="A107" s="249"/>
      <c r="B107" s="133"/>
      <c r="C107" s="151" t="s">
        <v>9</v>
      </c>
      <c r="D107" s="10"/>
      <c r="E107" s="618"/>
      <c r="F107" s="240"/>
      <c r="G107" s="240"/>
      <c r="H107" s="240"/>
      <c r="I107" s="240"/>
      <c r="J107" s="240"/>
      <c r="K107" s="240"/>
      <c r="L107" s="240"/>
      <c r="M107" s="619"/>
    </row>
    <row r="108" spans="1:13" customFormat="1" ht="15">
      <c r="A108" s="249"/>
      <c r="B108" s="133"/>
      <c r="C108" s="152" t="s">
        <v>171</v>
      </c>
      <c r="D108" s="10"/>
      <c r="E108" s="241" t="s">
        <v>338</v>
      </c>
      <c r="F108" s="240"/>
      <c r="G108" s="240"/>
      <c r="H108" s="240"/>
      <c r="I108" s="240"/>
      <c r="J108" s="240"/>
      <c r="K108" s="240"/>
      <c r="L108" s="240"/>
      <c r="M108" s="242"/>
    </row>
    <row r="109" spans="1:13" customFormat="1" ht="15">
      <c r="A109" s="249"/>
      <c r="B109" s="133"/>
      <c r="C109" s="151" t="s">
        <v>9</v>
      </c>
      <c r="D109" s="10"/>
      <c r="E109" s="241"/>
      <c r="F109" s="240"/>
      <c r="G109" s="240"/>
      <c r="H109" s="620"/>
      <c r="I109" s="240"/>
      <c r="J109" s="620"/>
      <c r="K109" s="240"/>
      <c r="L109" s="240"/>
      <c r="M109" s="619"/>
    </row>
    <row r="110" spans="1:13" customFormat="1" ht="15">
      <c r="A110" s="249"/>
      <c r="B110" s="133"/>
      <c r="C110" s="152" t="s">
        <v>110</v>
      </c>
      <c r="D110" s="10"/>
      <c r="E110" s="241" t="s">
        <v>338</v>
      </c>
      <c r="F110" s="239"/>
      <c r="G110" s="240"/>
      <c r="H110" s="240"/>
      <c r="I110" s="240"/>
      <c r="J110" s="240"/>
      <c r="K110" s="240"/>
      <c r="L110" s="240"/>
      <c r="M110" s="242"/>
    </row>
    <row r="111" spans="1:13" customFormat="1" ht="15">
      <c r="A111" s="257"/>
      <c r="B111" s="251"/>
      <c r="C111" s="252" t="s">
        <v>9</v>
      </c>
      <c r="D111" s="253"/>
      <c r="E111" s="256"/>
      <c r="F111" s="254"/>
      <c r="G111" s="254"/>
      <c r="H111" s="254"/>
      <c r="I111" s="254"/>
      <c r="J111" s="254"/>
      <c r="K111" s="254"/>
      <c r="L111" s="254"/>
      <c r="M111" s="255"/>
    </row>
    <row r="112" spans="1:13" ht="41.25" customHeight="1">
      <c r="A112" s="621"/>
      <c r="B112" s="625" t="s">
        <v>329</v>
      </c>
      <c r="C112" s="624" t="s">
        <v>80</v>
      </c>
      <c r="D112" s="621"/>
      <c r="E112" s="622"/>
      <c r="F112" s="623"/>
      <c r="G112" s="60"/>
      <c r="H112" s="60"/>
      <c r="I112" s="60"/>
      <c r="J112" s="60"/>
      <c r="K112" s="60"/>
      <c r="L112" s="60"/>
      <c r="M112" s="60"/>
    </row>
    <row r="113" spans="1:13" ht="25.5">
      <c r="A113" s="90">
        <v>1</v>
      </c>
      <c r="B113" s="91" t="s">
        <v>116</v>
      </c>
      <c r="C113" s="92" t="s">
        <v>81</v>
      </c>
      <c r="D113" s="93" t="s">
        <v>49</v>
      </c>
      <c r="E113" s="94"/>
      <c r="F113" s="322">
        <f>F120*0.4*0.3</f>
        <v>20.399999999999999</v>
      </c>
      <c r="G113" s="61"/>
      <c r="H113" s="96"/>
      <c r="I113" s="96"/>
      <c r="J113" s="95"/>
      <c r="K113" s="95"/>
      <c r="L113" s="95"/>
      <c r="M113" s="97"/>
    </row>
    <row r="114" spans="1:13">
      <c r="A114" s="98"/>
      <c r="B114" s="99"/>
      <c r="C114" s="158" t="s">
        <v>20</v>
      </c>
      <c r="D114" s="98" t="s">
        <v>21</v>
      </c>
      <c r="E114" s="100">
        <f>154/100</f>
        <v>1.54</v>
      </c>
      <c r="F114" s="323">
        <f>F113*E114</f>
        <v>31.415999999999997</v>
      </c>
      <c r="G114" s="101"/>
      <c r="H114" s="101"/>
      <c r="I114" s="101"/>
      <c r="J114" s="101"/>
      <c r="K114" s="101"/>
      <c r="L114" s="101"/>
      <c r="M114" s="101"/>
    </row>
    <row r="115" spans="1:13" ht="25.5">
      <c r="A115" s="75">
        <v>2</v>
      </c>
      <c r="B115" s="69" t="s">
        <v>82</v>
      </c>
      <c r="C115" s="201" t="s">
        <v>83</v>
      </c>
      <c r="D115" s="80" t="s">
        <v>49</v>
      </c>
      <c r="E115" s="65"/>
      <c r="F115" s="324">
        <f>F120*0.2*0.3</f>
        <v>10.199999999999999</v>
      </c>
      <c r="G115" s="102"/>
      <c r="H115" s="102"/>
      <c r="I115" s="102"/>
      <c r="J115" s="102"/>
      <c r="K115" s="102"/>
      <c r="L115" s="102"/>
      <c r="M115" s="153"/>
    </row>
    <row r="116" spans="1:13">
      <c r="A116" s="76"/>
      <c r="B116" s="81"/>
      <c r="C116" s="67" t="s">
        <v>20</v>
      </c>
      <c r="D116" s="68" t="s">
        <v>21</v>
      </c>
      <c r="E116" s="84">
        <v>1.8</v>
      </c>
      <c r="F116" s="325">
        <f>F115*E116</f>
        <v>18.36</v>
      </c>
      <c r="G116" s="153"/>
      <c r="H116" s="102"/>
      <c r="I116" s="102"/>
      <c r="J116" s="102"/>
      <c r="K116" s="102"/>
      <c r="L116" s="102"/>
      <c r="M116" s="153"/>
    </row>
    <row r="117" spans="1:13">
      <c r="A117" s="76"/>
      <c r="B117" s="81" t="s">
        <v>117</v>
      </c>
      <c r="C117" s="103" t="s">
        <v>25</v>
      </c>
      <c r="D117" s="104" t="s">
        <v>49</v>
      </c>
      <c r="E117" s="105">
        <v>1.1000000000000001</v>
      </c>
      <c r="F117" s="325">
        <f>F115*E117</f>
        <v>11.22</v>
      </c>
      <c r="G117" s="102"/>
      <c r="H117" s="102"/>
      <c r="I117" s="102"/>
      <c r="J117" s="102"/>
      <c r="K117" s="153"/>
      <c r="L117" s="102"/>
      <c r="M117" s="153"/>
    </row>
    <row r="118" spans="1:13" ht="25.5">
      <c r="A118" s="90">
        <v>3</v>
      </c>
      <c r="B118" s="91" t="s">
        <v>169</v>
      </c>
      <c r="C118" s="202" t="s">
        <v>84</v>
      </c>
      <c r="D118" s="90" t="s">
        <v>49</v>
      </c>
      <c r="E118" s="94"/>
      <c r="F118" s="326">
        <f>F113-F115</f>
        <v>10.199999999999999</v>
      </c>
      <c r="G118" s="95"/>
      <c r="H118" s="96"/>
      <c r="I118" s="96"/>
      <c r="J118" s="96"/>
      <c r="K118" s="96"/>
      <c r="L118" s="96"/>
      <c r="M118" s="96"/>
    </row>
    <row r="119" spans="1:13">
      <c r="A119" s="98"/>
      <c r="B119" s="99"/>
      <c r="C119" s="106" t="s">
        <v>20</v>
      </c>
      <c r="D119" s="98" t="s">
        <v>21</v>
      </c>
      <c r="E119" s="107">
        <f>(99.3+1.15)/100</f>
        <v>1.0044999999999999</v>
      </c>
      <c r="F119" s="323">
        <f>F118*E119</f>
        <v>10.245899999999999</v>
      </c>
      <c r="G119" s="101"/>
      <c r="H119" s="101"/>
      <c r="I119" s="108"/>
      <c r="J119" s="108"/>
      <c r="K119" s="108"/>
      <c r="L119" s="108"/>
      <c r="M119" s="108"/>
    </row>
    <row r="120" spans="1:13" ht="27">
      <c r="A120" s="71">
        <v>4</v>
      </c>
      <c r="B120" s="42" t="s">
        <v>170</v>
      </c>
      <c r="C120" s="110" t="s">
        <v>136</v>
      </c>
      <c r="D120" s="71" t="s">
        <v>50</v>
      </c>
      <c r="E120" s="111"/>
      <c r="F120" s="327">
        <f>F123+F124+F125</f>
        <v>170</v>
      </c>
      <c r="G120" s="112"/>
      <c r="H120" s="113"/>
      <c r="I120" s="113"/>
      <c r="J120" s="113"/>
      <c r="K120" s="112"/>
      <c r="L120" s="113"/>
      <c r="M120" s="112"/>
    </row>
    <row r="121" spans="1:13">
      <c r="A121" s="72"/>
      <c r="B121" s="114"/>
      <c r="C121" s="115" t="s">
        <v>20</v>
      </c>
      <c r="D121" s="116" t="s">
        <v>21</v>
      </c>
      <c r="E121" s="147">
        <f>95.9/1000</f>
        <v>9.5899999999999999E-2</v>
      </c>
      <c r="F121" s="328">
        <f>F120*E121</f>
        <v>16.303000000000001</v>
      </c>
      <c r="G121" s="161"/>
      <c r="H121" s="161"/>
      <c r="I121" s="117"/>
      <c r="J121" s="117"/>
      <c r="K121" s="117"/>
      <c r="L121" s="117"/>
      <c r="M121" s="161"/>
    </row>
    <row r="122" spans="1:13">
      <c r="A122" s="72"/>
      <c r="B122" s="114"/>
      <c r="C122" s="115" t="s">
        <v>47</v>
      </c>
      <c r="D122" s="116" t="s">
        <v>22</v>
      </c>
      <c r="E122" s="147">
        <f>45.2/1000</f>
        <v>4.5200000000000004E-2</v>
      </c>
      <c r="F122" s="328">
        <f>F120*E122</f>
        <v>7.6840000000000011</v>
      </c>
      <c r="G122" s="161"/>
      <c r="H122" s="118"/>
      <c r="I122" s="117"/>
      <c r="J122" s="117"/>
      <c r="K122" s="161"/>
      <c r="L122" s="161"/>
      <c r="M122" s="161"/>
    </row>
    <row r="123" spans="1:13">
      <c r="A123" s="72"/>
      <c r="B123" s="114" t="s">
        <v>135</v>
      </c>
      <c r="C123" s="391" t="s">
        <v>133</v>
      </c>
      <c r="D123" s="389" t="s">
        <v>50</v>
      </c>
      <c r="E123" s="390" t="s">
        <v>8</v>
      </c>
      <c r="F123" s="329">
        <v>10</v>
      </c>
      <c r="G123" s="161"/>
      <c r="H123" s="118"/>
      <c r="I123" s="161"/>
      <c r="J123" s="161"/>
      <c r="K123" s="161"/>
      <c r="L123" s="118"/>
      <c r="M123" s="161"/>
    </row>
    <row r="124" spans="1:13">
      <c r="A124" s="72"/>
      <c r="B124" s="114" t="s">
        <v>120</v>
      </c>
      <c r="C124" s="391" t="s">
        <v>118</v>
      </c>
      <c r="D124" s="389" t="s">
        <v>50</v>
      </c>
      <c r="E124" s="390" t="s">
        <v>8</v>
      </c>
      <c r="F124" s="329">
        <v>110</v>
      </c>
      <c r="G124" s="161"/>
      <c r="H124" s="118"/>
      <c r="I124" s="161"/>
      <c r="J124" s="161"/>
      <c r="K124" s="161"/>
      <c r="L124" s="118"/>
      <c r="M124" s="161"/>
    </row>
    <row r="125" spans="1:13">
      <c r="A125" s="72"/>
      <c r="B125" s="114" t="s">
        <v>119</v>
      </c>
      <c r="C125" s="391" t="s">
        <v>134</v>
      </c>
      <c r="D125" s="389" t="s">
        <v>50</v>
      </c>
      <c r="E125" s="390" t="s">
        <v>8</v>
      </c>
      <c r="F125" s="329">
        <v>50</v>
      </c>
      <c r="G125" s="161"/>
      <c r="H125" s="118"/>
      <c r="I125" s="161"/>
      <c r="J125" s="161"/>
      <c r="K125" s="161"/>
      <c r="L125" s="118"/>
      <c r="M125" s="161"/>
    </row>
    <row r="126" spans="1:13">
      <c r="A126" s="72"/>
      <c r="B126" s="114"/>
      <c r="C126" s="392" t="s">
        <v>54</v>
      </c>
      <c r="D126" s="389" t="s">
        <v>22</v>
      </c>
      <c r="E126" s="393">
        <f>0.6/1000</f>
        <v>5.9999999999999995E-4</v>
      </c>
      <c r="F126" s="328">
        <f>F120*E126</f>
        <v>0.10199999999999999</v>
      </c>
      <c r="G126" s="161"/>
      <c r="H126" s="118"/>
      <c r="I126" s="161"/>
      <c r="J126" s="161"/>
      <c r="K126" s="161"/>
      <c r="L126" s="118"/>
      <c r="M126" s="161"/>
    </row>
    <row r="127" spans="1:13">
      <c r="A127" s="119">
        <v>5</v>
      </c>
      <c r="B127" s="120" t="s">
        <v>85</v>
      </c>
      <c r="C127" s="394" t="s">
        <v>137</v>
      </c>
      <c r="D127" s="395" t="s">
        <v>28</v>
      </c>
      <c r="E127" s="396"/>
      <c r="F127" s="329">
        <f>F130+F131</f>
        <v>4</v>
      </c>
      <c r="G127" s="121"/>
      <c r="H127" s="121"/>
      <c r="I127" s="121"/>
      <c r="J127" s="121"/>
      <c r="K127" s="121"/>
      <c r="L127" s="121"/>
      <c r="M127" s="121"/>
    </row>
    <row r="128" spans="1:13">
      <c r="A128" s="72"/>
      <c r="B128" s="114"/>
      <c r="C128" s="392" t="s">
        <v>20</v>
      </c>
      <c r="D128" s="389" t="s">
        <v>21</v>
      </c>
      <c r="E128" s="390">
        <v>1.5</v>
      </c>
      <c r="F128" s="328">
        <f>F127*E128</f>
        <v>6</v>
      </c>
      <c r="G128" s="161"/>
      <c r="H128" s="161"/>
      <c r="I128" s="117"/>
      <c r="J128" s="161"/>
      <c r="K128" s="117"/>
      <c r="L128" s="161"/>
      <c r="M128" s="161"/>
    </row>
    <row r="129" spans="1:13">
      <c r="A129" s="72"/>
      <c r="B129" s="114"/>
      <c r="C129" s="392" t="s">
        <v>47</v>
      </c>
      <c r="D129" s="389" t="s">
        <v>22</v>
      </c>
      <c r="E129" s="390">
        <v>0.13</v>
      </c>
      <c r="F129" s="328">
        <f>F127*E129</f>
        <v>0.52</v>
      </c>
      <c r="G129" s="161"/>
      <c r="H129" s="161"/>
      <c r="I129" s="117"/>
      <c r="J129" s="161"/>
      <c r="K129" s="161"/>
      <c r="L129" s="161"/>
      <c r="M129" s="161"/>
    </row>
    <row r="130" spans="1:13">
      <c r="A130" s="72"/>
      <c r="B130" s="114" t="s">
        <v>121</v>
      </c>
      <c r="C130" s="391" t="s">
        <v>138</v>
      </c>
      <c r="D130" s="389" t="s">
        <v>28</v>
      </c>
      <c r="E130" s="390" t="s">
        <v>8</v>
      </c>
      <c r="F130" s="329">
        <v>1</v>
      </c>
      <c r="G130" s="161"/>
      <c r="H130" s="161"/>
      <c r="I130" s="161"/>
      <c r="J130" s="161"/>
      <c r="K130" s="161"/>
      <c r="L130" s="161"/>
      <c r="M130" s="161"/>
    </row>
    <row r="131" spans="1:13">
      <c r="A131" s="72"/>
      <c r="B131" s="114" t="s">
        <v>122</v>
      </c>
      <c r="C131" s="391" t="s">
        <v>86</v>
      </c>
      <c r="D131" s="389" t="s">
        <v>28</v>
      </c>
      <c r="E131" s="390" t="s">
        <v>8</v>
      </c>
      <c r="F131" s="329">
        <v>3</v>
      </c>
      <c r="G131" s="161"/>
      <c r="H131" s="161"/>
      <c r="I131" s="161"/>
      <c r="J131" s="161"/>
      <c r="K131" s="161"/>
      <c r="L131" s="161"/>
      <c r="M131" s="161"/>
    </row>
    <row r="132" spans="1:13">
      <c r="A132" s="72"/>
      <c r="B132" s="114" t="s">
        <v>112</v>
      </c>
      <c r="C132" s="392" t="s">
        <v>87</v>
      </c>
      <c r="D132" s="389" t="s">
        <v>24</v>
      </c>
      <c r="E132" s="390">
        <v>1.1000000000000001</v>
      </c>
      <c r="F132" s="328">
        <f>F127*E132</f>
        <v>4.4000000000000004</v>
      </c>
      <c r="G132" s="161"/>
      <c r="H132" s="161"/>
      <c r="I132" s="161"/>
      <c r="J132" s="161"/>
      <c r="K132" s="161"/>
      <c r="L132" s="161"/>
      <c r="M132" s="161"/>
    </row>
    <row r="133" spans="1:13">
      <c r="A133" s="72"/>
      <c r="B133" s="114" t="s">
        <v>128</v>
      </c>
      <c r="C133" s="392" t="s">
        <v>88</v>
      </c>
      <c r="D133" s="389" t="s">
        <v>28</v>
      </c>
      <c r="E133" s="390">
        <v>2</v>
      </c>
      <c r="F133" s="328">
        <f>F127*E133</f>
        <v>8</v>
      </c>
      <c r="G133" s="161"/>
      <c r="H133" s="161"/>
      <c r="I133" s="161"/>
      <c r="J133" s="161"/>
      <c r="K133" s="161"/>
      <c r="L133" s="161"/>
      <c r="M133" s="161"/>
    </row>
    <row r="134" spans="1:13">
      <c r="A134" s="72"/>
      <c r="B134" s="114"/>
      <c r="C134" s="392" t="s">
        <v>54</v>
      </c>
      <c r="D134" s="389" t="s">
        <v>22</v>
      </c>
      <c r="E134" s="390">
        <v>7.0000000000000007E-2</v>
      </c>
      <c r="F134" s="328">
        <f>F127*E134</f>
        <v>0.28000000000000003</v>
      </c>
      <c r="G134" s="161"/>
      <c r="H134" s="161"/>
      <c r="I134" s="161"/>
      <c r="J134" s="161"/>
      <c r="K134" s="161"/>
      <c r="L134" s="161"/>
      <c r="M134" s="161"/>
    </row>
    <row r="135" spans="1:13" ht="25.5">
      <c r="A135" s="71">
        <v>6</v>
      </c>
      <c r="B135" s="109" t="s">
        <v>89</v>
      </c>
      <c r="C135" s="397" t="s">
        <v>90</v>
      </c>
      <c r="D135" s="398" t="s">
        <v>28</v>
      </c>
      <c r="E135" s="399"/>
      <c r="F135" s="327">
        <f>SUM(F138:F140)</f>
        <v>10</v>
      </c>
      <c r="G135" s="112"/>
      <c r="H135" s="112"/>
      <c r="I135" s="112"/>
      <c r="J135" s="112"/>
      <c r="K135" s="112"/>
      <c r="L135" s="112"/>
      <c r="M135" s="112"/>
    </row>
    <row r="136" spans="1:13">
      <c r="A136" s="72"/>
      <c r="B136" s="122"/>
      <c r="C136" s="392" t="s">
        <v>20</v>
      </c>
      <c r="D136" s="389" t="s">
        <v>21</v>
      </c>
      <c r="E136" s="390">
        <f>3.89/10</f>
        <v>0.38900000000000001</v>
      </c>
      <c r="F136" s="328">
        <f>F135*E136</f>
        <v>3.89</v>
      </c>
      <c r="G136" s="161"/>
      <c r="H136" s="161"/>
      <c r="I136" s="117"/>
      <c r="J136" s="161"/>
      <c r="K136" s="117"/>
      <c r="L136" s="161"/>
      <c r="M136" s="161"/>
    </row>
    <row r="137" spans="1:13">
      <c r="A137" s="72"/>
      <c r="B137" s="114"/>
      <c r="C137" s="392" t="s">
        <v>47</v>
      </c>
      <c r="D137" s="389" t="s">
        <v>22</v>
      </c>
      <c r="E137" s="390">
        <f>1.51/10</f>
        <v>0.151</v>
      </c>
      <c r="F137" s="328">
        <f>F135*E137</f>
        <v>1.51</v>
      </c>
      <c r="G137" s="161"/>
      <c r="H137" s="161"/>
      <c r="I137" s="117"/>
      <c r="J137" s="161"/>
      <c r="K137" s="161"/>
      <c r="L137" s="161"/>
      <c r="M137" s="161"/>
    </row>
    <row r="138" spans="1:13">
      <c r="A138" s="72"/>
      <c r="B138" s="114" t="s">
        <v>123</v>
      </c>
      <c r="C138" s="391" t="s">
        <v>139</v>
      </c>
      <c r="D138" s="389" t="s">
        <v>28</v>
      </c>
      <c r="E138" s="390" t="s">
        <v>8</v>
      </c>
      <c r="F138" s="329">
        <v>5</v>
      </c>
      <c r="G138" s="161"/>
      <c r="H138" s="161"/>
      <c r="I138" s="161"/>
      <c r="J138" s="161"/>
      <c r="K138" s="161"/>
      <c r="L138" s="161"/>
      <c r="M138" s="161"/>
    </row>
    <row r="139" spans="1:13">
      <c r="A139" s="72"/>
      <c r="B139" s="114" t="s">
        <v>124</v>
      </c>
      <c r="C139" s="391" t="s">
        <v>91</v>
      </c>
      <c r="D139" s="389" t="s">
        <v>28</v>
      </c>
      <c r="E139" s="390" t="s">
        <v>8</v>
      </c>
      <c r="F139" s="329">
        <v>4</v>
      </c>
      <c r="G139" s="161"/>
      <c r="H139" s="161"/>
      <c r="I139" s="161"/>
      <c r="J139" s="161"/>
      <c r="K139" s="161"/>
      <c r="L139" s="161"/>
      <c r="M139" s="161"/>
    </row>
    <row r="140" spans="1:13">
      <c r="A140" s="72"/>
      <c r="B140" s="114" t="s">
        <v>125</v>
      </c>
      <c r="C140" s="391" t="s">
        <v>140</v>
      </c>
      <c r="D140" s="389" t="s">
        <v>28</v>
      </c>
      <c r="E140" s="390" t="s">
        <v>8</v>
      </c>
      <c r="F140" s="329">
        <v>1</v>
      </c>
      <c r="G140" s="161"/>
      <c r="H140" s="161"/>
      <c r="I140" s="161"/>
      <c r="J140" s="161"/>
      <c r="K140" s="161"/>
      <c r="L140" s="161"/>
      <c r="M140" s="161"/>
    </row>
    <row r="141" spans="1:13">
      <c r="A141" s="72"/>
      <c r="B141" s="114"/>
      <c r="C141" s="392" t="s">
        <v>54</v>
      </c>
      <c r="D141" s="389" t="s">
        <v>22</v>
      </c>
      <c r="E141" s="390">
        <f>0.24/10</f>
        <v>2.4E-2</v>
      </c>
      <c r="F141" s="328">
        <f>F135*E141</f>
        <v>0.24</v>
      </c>
      <c r="G141" s="161"/>
      <c r="H141" s="161"/>
      <c r="I141" s="161"/>
      <c r="J141" s="161"/>
      <c r="K141" s="161"/>
      <c r="L141" s="161"/>
      <c r="M141" s="161"/>
    </row>
    <row r="142" spans="1:13" ht="25.5">
      <c r="A142" s="71">
        <v>7</v>
      </c>
      <c r="B142" s="109" t="s">
        <v>92</v>
      </c>
      <c r="C142" s="397" t="s">
        <v>93</v>
      </c>
      <c r="D142" s="398" t="s">
        <v>28</v>
      </c>
      <c r="E142" s="399"/>
      <c r="F142" s="327">
        <f>F146+F145</f>
        <v>6</v>
      </c>
      <c r="G142" s="112"/>
      <c r="H142" s="112"/>
      <c r="I142" s="112"/>
      <c r="J142" s="112"/>
      <c r="K142" s="112"/>
      <c r="L142" s="112"/>
      <c r="M142" s="112"/>
    </row>
    <row r="143" spans="1:13">
      <c r="A143" s="72"/>
      <c r="B143" s="122"/>
      <c r="C143" s="392" t="s">
        <v>20</v>
      </c>
      <c r="D143" s="389" t="s">
        <v>21</v>
      </c>
      <c r="E143" s="390">
        <f>5.84/10</f>
        <v>0.58399999999999996</v>
      </c>
      <c r="F143" s="328">
        <f>F142*E143</f>
        <v>3.5039999999999996</v>
      </c>
      <c r="G143" s="161"/>
      <c r="H143" s="161"/>
      <c r="I143" s="117"/>
      <c r="J143" s="161"/>
      <c r="K143" s="117"/>
      <c r="L143" s="161"/>
      <c r="M143" s="161"/>
    </row>
    <row r="144" spans="1:13">
      <c r="A144" s="72"/>
      <c r="B144" s="114"/>
      <c r="C144" s="392" t="s">
        <v>47</v>
      </c>
      <c r="D144" s="389" t="s">
        <v>22</v>
      </c>
      <c r="E144" s="390">
        <f>2.27/10</f>
        <v>0.22700000000000001</v>
      </c>
      <c r="F144" s="328">
        <f>F142*E144</f>
        <v>1.3620000000000001</v>
      </c>
      <c r="G144" s="161"/>
      <c r="H144" s="161"/>
      <c r="I144" s="117"/>
      <c r="J144" s="161"/>
      <c r="K144" s="161"/>
      <c r="L144" s="161"/>
      <c r="M144" s="161"/>
    </row>
    <row r="145" spans="1:13">
      <c r="A145" s="72"/>
      <c r="B145" s="114" t="s">
        <v>127</v>
      </c>
      <c r="C145" s="391" t="s">
        <v>141</v>
      </c>
      <c r="D145" s="389" t="s">
        <v>28</v>
      </c>
      <c r="E145" s="390" t="s">
        <v>8</v>
      </c>
      <c r="F145" s="329">
        <v>5</v>
      </c>
      <c r="G145" s="161"/>
      <c r="H145" s="161"/>
      <c r="I145" s="161"/>
      <c r="J145" s="161"/>
      <c r="K145" s="161"/>
      <c r="L145" s="161"/>
      <c r="M145" s="161"/>
    </row>
    <row r="146" spans="1:13">
      <c r="A146" s="72"/>
      <c r="B146" s="114" t="s">
        <v>126</v>
      </c>
      <c r="C146" s="391" t="s">
        <v>142</v>
      </c>
      <c r="D146" s="389" t="s">
        <v>28</v>
      </c>
      <c r="E146" s="390" t="s">
        <v>8</v>
      </c>
      <c r="F146" s="329">
        <v>1</v>
      </c>
      <c r="G146" s="161"/>
      <c r="H146" s="161"/>
      <c r="I146" s="161"/>
      <c r="J146" s="161"/>
      <c r="K146" s="161"/>
      <c r="L146" s="161"/>
      <c r="M146" s="161"/>
    </row>
    <row r="147" spans="1:13">
      <c r="A147" s="72"/>
      <c r="B147" s="114"/>
      <c r="C147" s="392" t="s">
        <v>54</v>
      </c>
      <c r="D147" s="389" t="s">
        <v>22</v>
      </c>
      <c r="E147" s="390">
        <f>0.24/10</f>
        <v>2.4E-2</v>
      </c>
      <c r="F147" s="328">
        <f>F142*E147</f>
        <v>0.14400000000000002</v>
      </c>
      <c r="G147" s="161"/>
      <c r="H147" s="161"/>
      <c r="I147" s="161"/>
      <c r="J147" s="161"/>
      <c r="K147" s="161"/>
      <c r="L147" s="161"/>
      <c r="M147" s="161"/>
    </row>
    <row r="148" spans="1:13" ht="27">
      <c r="A148" s="71">
        <v>8</v>
      </c>
      <c r="B148" s="42" t="s">
        <v>143</v>
      </c>
      <c r="C148" s="400" t="s">
        <v>178</v>
      </c>
      <c r="D148" s="401" t="s">
        <v>144</v>
      </c>
      <c r="E148" s="402"/>
      <c r="F148" s="330">
        <v>4</v>
      </c>
      <c r="G148" s="161"/>
      <c r="H148" s="161"/>
      <c r="I148" s="161"/>
      <c r="J148" s="161"/>
      <c r="K148" s="161"/>
      <c r="L148" s="161"/>
      <c r="M148" s="161"/>
    </row>
    <row r="149" spans="1:13">
      <c r="A149" s="72"/>
      <c r="B149" s="78"/>
      <c r="C149" s="403" t="s">
        <v>129</v>
      </c>
      <c r="D149" s="62"/>
      <c r="E149" s="404"/>
      <c r="F149" s="79"/>
      <c r="G149" s="161"/>
      <c r="H149" s="161"/>
      <c r="I149" s="161"/>
      <c r="J149" s="161"/>
      <c r="K149" s="161"/>
      <c r="L149" s="161"/>
      <c r="M149" s="161"/>
    </row>
    <row r="150" spans="1:13">
      <c r="A150" s="72"/>
      <c r="B150" s="78"/>
      <c r="C150" s="403" t="s">
        <v>145</v>
      </c>
      <c r="D150" s="62" t="s">
        <v>146</v>
      </c>
      <c r="E150" s="404">
        <v>1.54</v>
      </c>
      <c r="F150" s="79">
        <f>F148*E150</f>
        <v>6.16</v>
      </c>
      <c r="G150" s="161"/>
      <c r="H150" s="161"/>
      <c r="I150" s="161"/>
      <c r="J150" s="161"/>
      <c r="K150" s="161"/>
      <c r="L150" s="161"/>
      <c r="M150" s="161"/>
    </row>
    <row r="151" spans="1:13">
      <c r="A151" s="72"/>
      <c r="B151" s="78"/>
      <c r="C151" s="403" t="s">
        <v>131</v>
      </c>
      <c r="D151" s="62" t="s">
        <v>132</v>
      </c>
      <c r="E151" s="404">
        <v>0.09</v>
      </c>
      <c r="F151" s="79">
        <f>F148*E151</f>
        <v>0.36</v>
      </c>
      <c r="G151" s="161"/>
      <c r="H151" s="161"/>
      <c r="I151" s="161"/>
      <c r="J151" s="161"/>
      <c r="K151" s="161"/>
      <c r="L151" s="161"/>
      <c r="M151" s="161"/>
    </row>
    <row r="152" spans="1:13">
      <c r="A152" s="72"/>
      <c r="B152" s="78"/>
      <c r="C152" s="403" t="s">
        <v>147</v>
      </c>
      <c r="D152" s="62"/>
      <c r="E152" s="404"/>
      <c r="F152" s="79"/>
      <c r="G152" s="161"/>
      <c r="H152" s="161"/>
      <c r="I152" s="161"/>
      <c r="J152" s="161"/>
      <c r="K152" s="161"/>
      <c r="L152" s="161"/>
      <c r="M152" s="161"/>
    </row>
    <row r="153" spans="1:13">
      <c r="A153" s="72"/>
      <c r="B153" s="114" t="s">
        <v>121</v>
      </c>
      <c r="C153" s="388" t="s">
        <v>86</v>
      </c>
      <c r="D153" s="389" t="s">
        <v>28</v>
      </c>
      <c r="E153" s="390" t="s">
        <v>8</v>
      </c>
      <c r="F153" s="328">
        <v>4</v>
      </c>
      <c r="G153" s="161"/>
      <c r="H153" s="161"/>
      <c r="I153" s="161"/>
      <c r="J153" s="161"/>
      <c r="K153" s="161"/>
      <c r="L153" s="161"/>
      <c r="M153" s="161"/>
    </row>
    <row r="154" spans="1:13">
      <c r="A154" s="72"/>
      <c r="B154" s="114" t="s">
        <v>152</v>
      </c>
      <c r="C154" s="403" t="s">
        <v>148</v>
      </c>
      <c r="D154" s="62" t="s">
        <v>150</v>
      </c>
      <c r="E154" s="405">
        <v>1.4E-2</v>
      </c>
      <c r="F154" s="79">
        <f>F148*E154</f>
        <v>5.6000000000000001E-2</v>
      </c>
      <c r="G154" s="161"/>
      <c r="H154" s="161"/>
      <c r="I154" s="161"/>
      <c r="J154" s="161"/>
      <c r="K154" s="161"/>
      <c r="L154" s="161"/>
      <c r="M154" s="161"/>
    </row>
    <row r="155" spans="1:13" ht="27">
      <c r="A155" s="72"/>
      <c r="B155" s="188" t="s">
        <v>153</v>
      </c>
      <c r="C155" s="403" t="s">
        <v>151</v>
      </c>
      <c r="D155" s="62" t="s">
        <v>144</v>
      </c>
      <c r="E155" s="405" t="s">
        <v>149</v>
      </c>
      <c r="F155" s="330">
        <v>4</v>
      </c>
      <c r="G155" s="161"/>
      <c r="H155" s="161"/>
      <c r="I155" s="161"/>
      <c r="J155" s="161"/>
      <c r="K155" s="161"/>
      <c r="L155" s="161"/>
      <c r="M155" s="161"/>
    </row>
    <row r="156" spans="1:13" ht="25.5">
      <c r="A156" s="123">
        <v>9</v>
      </c>
      <c r="B156" s="124" t="s">
        <v>94</v>
      </c>
      <c r="C156" s="406" t="s">
        <v>95</v>
      </c>
      <c r="D156" s="407" t="s">
        <v>28</v>
      </c>
      <c r="E156" s="408"/>
      <c r="F156" s="331">
        <v>5</v>
      </c>
      <c r="G156" s="125"/>
      <c r="H156" s="126"/>
      <c r="I156" s="125"/>
      <c r="J156" s="125"/>
      <c r="K156" s="125"/>
      <c r="L156" s="126"/>
      <c r="M156" s="125"/>
    </row>
    <row r="157" spans="1:13">
      <c r="A157" s="127"/>
      <c r="B157" s="128"/>
      <c r="C157" s="409" t="s">
        <v>20</v>
      </c>
      <c r="D157" s="410" t="s">
        <v>21</v>
      </c>
      <c r="E157" s="411">
        <v>8.6</v>
      </c>
      <c r="F157" s="332">
        <f>F156*E157</f>
        <v>43</v>
      </c>
      <c r="G157" s="66"/>
      <c r="H157" s="129"/>
      <c r="I157" s="130"/>
      <c r="J157" s="130"/>
      <c r="K157" s="130"/>
      <c r="L157" s="130"/>
      <c r="M157" s="66"/>
    </row>
    <row r="158" spans="1:13">
      <c r="A158" s="127"/>
      <c r="B158" s="131" t="s">
        <v>53</v>
      </c>
      <c r="C158" s="409" t="s">
        <v>96</v>
      </c>
      <c r="D158" s="410" t="s">
        <v>28</v>
      </c>
      <c r="E158" s="411"/>
      <c r="F158" s="332">
        <v>4</v>
      </c>
      <c r="G158" s="66"/>
      <c r="H158" s="129"/>
      <c r="I158" s="66"/>
      <c r="J158" s="66"/>
      <c r="K158" s="66"/>
      <c r="L158" s="129"/>
      <c r="M158" s="66"/>
    </row>
    <row r="159" spans="1:13">
      <c r="A159" s="127"/>
      <c r="B159" s="142" t="s">
        <v>107</v>
      </c>
      <c r="C159" s="409" t="s">
        <v>51</v>
      </c>
      <c r="D159" s="410" t="s">
        <v>38</v>
      </c>
      <c r="E159" s="411">
        <v>0.05</v>
      </c>
      <c r="F159" s="332">
        <f>F156*E159</f>
        <v>0.25</v>
      </c>
      <c r="G159" s="66"/>
      <c r="H159" s="129"/>
      <c r="I159" s="66"/>
      <c r="J159" s="66"/>
      <c r="K159" s="130"/>
      <c r="L159" s="130"/>
      <c r="M159" s="66"/>
    </row>
    <row r="160" spans="1:13">
      <c r="A160" s="127"/>
      <c r="B160" s="131"/>
      <c r="C160" s="409" t="s">
        <v>54</v>
      </c>
      <c r="D160" s="410" t="s">
        <v>22</v>
      </c>
      <c r="E160" s="411">
        <v>2.2400000000000002</v>
      </c>
      <c r="F160" s="332">
        <f>F156*E160</f>
        <v>11.200000000000001</v>
      </c>
      <c r="G160" s="66"/>
      <c r="H160" s="129"/>
      <c r="I160" s="66"/>
      <c r="J160" s="66"/>
      <c r="K160" s="130"/>
      <c r="L160" s="130"/>
      <c r="M160" s="66"/>
    </row>
    <row r="161" spans="1:13" ht="25.5">
      <c r="A161" s="123">
        <v>10</v>
      </c>
      <c r="B161" s="124"/>
      <c r="C161" s="406" t="s">
        <v>97</v>
      </c>
      <c r="D161" s="407" t="s">
        <v>100</v>
      </c>
      <c r="E161" s="408"/>
      <c r="F161" s="331">
        <v>1</v>
      </c>
      <c r="G161" s="125"/>
      <c r="H161" s="126"/>
      <c r="I161" s="125"/>
      <c r="J161" s="125"/>
      <c r="K161" s="125"/>
      <c r="L161" s="126"/>
      <c r="M161" s="125"/>
    </row>
    <row r="162" spans="1:13">
      <c r="A162" s="127"/>
      <c r="B162" s="128"/>
      <c r="C162" s="409" t="s">
        <v>20</v>
      </c>
      <c r="D162" s="410" t="s">
        <v>21</v>
      </c>
      <c r="E162" s="411">
        <v>8.6</v>
      </c>
      <c r="F162" s="332">
        <f>F161*E162</f>
        <v>8.6</v>
      </c>
      <c r="G162" s="66"/>
      <c r="H162" s="129"/>
      <c r="I162" s="130"/>
      <c r="J162" s="130"/>
      <c r="K162" s="130"/>
      <c r="L162" s="130"/>
      <c r="M162" s="66"/>
    </row>
    <row r="163" spans="1:13" ht="38.25">
      <c r="A163" s="127"/>
      <c r="B163" s="69" t="s">
        <v>53</v>
      </c>
      <c r="C163" s="412" t="s">
        <v>98</v>
      </c>
      <c r="D163" s="410" t="s">
        <v>100</v>
      </c>
      <c r="E163" s="411"/>
      <c r="F163" s="332">
        <f>F161</f>
        <v>1</v>
      </c>
      <c r="G163" s="66"/>
      <c r="H163" s="129"/>
      <c r="I163" s="66"/>
      <c r="J163" s="66"/>
      <c r="K163" s="66"/>
      <c r="L163" s="129"/>
      <c r="M163" s="66"/>
    </row>
    <row r="164" spans="1:13">
      <c r="A164" s="127"/>
      <c r="B164" s="131"/>
      <c r="C164" s="409" t="s">
        <v>54</v>
      </c>
      <c r="D164" s="410" t="s">
        <v>22</v>
      </c>
      <c r="E164" s="411">
        <v>2.2400000000000002</v>
      </c>
      <c r="F164" s="332">
        <f>F161*E164</f>
        <v>2.2400000000000002</v>
      </c>
      <c r="G164" s="66"/>
      <c r="H164" s="129"/>
      <c r="I164" s="66"/>
      <c r="J164" s="66"/>
      <c r="K164" s="130"/>
      <c r="L164" s="130"/>
      <c r="M164" s="66"/>
    </row>
    <row r="165" spans="1:13" ht="38.25">
      <c r="A165" s="186">
        <v>11</v>
      </c>
      <c r="B165" s="69" t="s">
        <v>53</v>
      </c>
      <c r="C165" s="413" t="s">
        <v>79</v>
      </c>
      <c r="D165" s="414" t="s">
        <v>55</v>
      </c>
      <c r="E165" s="415"/>
      <c r="F165" s="333">
        <v>1</v>
      </c>
      <c r="G165" s="181"/>
      <c r="H165" s="181"/>
      <c r="I165" s="181"/>
      <c r="J165" s="181"/>
      <c r="K165" s="181"/>
      <c r="L165" s="181"/>
      <c r="M165" s="182"/>
    </row>
    <row r="166" spans="1:13">
      <c r="A166" s="127"/>
      <c r="B166" s="183"/>
      <c r="C166" s="416" t="s">
        <v>39</v>
      </c>
      <c r="D166" s="417" t="s">
        <v>55</v>
      </c>
      <c r="E166" s="418"/>
      <c r="F166" s="334">
        <f>F165</f>
        <v>1</v>
      </c>
      <c r="G166" s="184"/>
      <c r="H166" s="184"/>
      <c r="I166" s="184"/>
      <c r="J166" s="184"/>
      <c r="K166" s="184"/>
      <c r="L166" s="184"/>
      <c r="M166" s="185"/>
    </row>
    <row r="167" spans="1:13">
      <c r="A167" s="127"/>
      <c r="B167" s="183"/>
      <c r="C167" s="416" t="s">
        <v>56</v>
      </c>
      <c r="D167" s="417" t="s">
        <v>55</v>
      </c>
      <c r="E167" s="418"/>
      <c r="F167" s="334">
        <f>F165</f>
        <v>1</v>
      </c>
      <c r="G167" s="184"/>
      <c r="H167" s="184"/>
      <c r="I167" s="184"/>
      <c r="J167" s="184"/>
      <c r="K167" s="184"/>
      <c r="L167" s="184"/>
      <c r="M167" s="185"/>
    </row>
    <row r="168" spans="1:13">
      <c r="A168" s="127"/>
      <c r="B168" s="142" t="s">
        <v>107</v>
      </c>
      <c r="C168" s="416" t="s">
        <v>57</v>
      </c>
      <c r="D168" s="417" t="s">
        <v>49</v>
      </c>
      <c r="E168" s="418">
        <v>0.2</v>
      </c>
      <c r="F168" s="334">
        <f>E168*F165</f>
        <v>0.2</v>
      </c>
      <c r="G168" s="184"/>
      <c r="H168" s="184"/>
      <c r="I168" s="184"/>
      <c r="J168" s="184"/>
      <c r="K168" s="184"/>
      <c r="L168" s="184"/>
      <c r="M168" s="185"/>
    </row>
    <row r="169" spans="1:13">
      <c r="A169" s="127"/>
      <c r="B169" s="183"/>
      <c r="C169" s="416" t="s">
        <v>58</v>
      </c>
      <c r="D169" s="417" t="s">
        <v>22</v>
      </c>
      <c r="E169" s="419"/>
      <c r="F169" s="334">
        <f>F165</f>
        <v>1</v>
      </c>
      <c r="G169" s="184"/>
      <c r="H169" s="184"/>
      <c r="I169" s="184"/>
      <c r="J169" s="184"/>
      <c r="K169" s="184"/>
      <c r="L169" s="184"/>
      <c r="M169" s="185"/>
    </row>
    <row r="170" spans="1:13">
      <c r="A170" s="127"/>
      <c r="B170" s="183"/>
      <c r="C170" s="416" t="s">
        <v>59</v>
      </c>
      <c r="D170" s="417" t="s">
        <v>41</v>
      </c>
      <c r="E170" s="418">
        <f>250/1000</f>
        <v>0.25</v>
      </c>
      <c r="F170" s="334">
        <f>F165*E170</f>
        <v>0.25</v>
      </c>
      <c r="G170" s="184"/>
      <c r="H170" s="184"/>
      <c r="I170" s="184"/>
      <c r="J170" s="184"/>
      <c r="K170" s="184"/>
      <c r="L170" s="184"/>
      <c r="M170" s="185"/>
    </row>
    <row r="171" spans="1:13" ht="27">
      <c r="A171" s="28">
        <v>12</v>
      </c>
      <c r="B171" s="189" t="s">
        <v>13</v>
      </c>
      <c r="C171" s="420" t="s">
        <v>72</v>
      </c>
      <c r="D171" s="421" t="s">
        <v>71</v>
      </c>
      <c r="E171" s="338"/>
      <c r="F171" s="335">
        <f>F118</f>
        <v>10.199999999999999</v>
      </c>
      <c r="G171" s="28"/>
      <c r="H171" s="28"/>
      <c r="I171" s="28"/>
      <c r="J171" s="28"/>
      <c r="K171" s="28"/>
      <c r="L171" s="28"/>
      <c r="M171" s="28"/>
    </row>
    <row r="172" spans="1:13">
      <c r="A172" s="28"/>
      <c r="B172" s="30" t="s">
        <v>14</v>
      </c>
      <c r="C172" s="422" t="s">
        <v>78</v>
      </c>
      <c r="D172" s="423" t="s">
        <v>73</v>
      </c>
      <c r="E172" s="337">
        <v>1.85</v>
      </c>
      <c r="F172" s="336">
        <f>E172*F171</f>
        <v>18.87</v>
      </c>
      <c r="G172" s="30"/>
      <c r="H172" s="30"/>
      <c r="I172" s="27"/>
      <c r="J172" s="27"/>
      <c r="K172" s="27"/>
      <c r="L172" s="27"/>
      <c r="M172" s="33"/>
    </row>
    <row r="173" spans="1:13">
      <c r="A173" s="28"/>
      <c r="B173" s="30"/>
      <c r="C173" s="31" t="s">
        <v>20</v>
      </c>
      <c r="D173" s="30" t="s">
        <v>21</v>
      </c>
      <c r="E173" s="32">
        <v>0.53</v>
      </c>
      <c r="F173" s="337">
        <f>F172*E173</f>
        <v>10.001100000000001</v>
      </c>
      <c r="G173" s="33"/>
      <c r="H173" s="33"/>
      <c r="I173" s="27"/>
      <c r="J173" s="27"/>
      <c r="K173" s="27"/>
      <c r="L173" s="27"/>
      <c r="M173" s="33"/>
    </row>
    <row r="174" spans="1:13">
      <c r="A174" s="28">
        <v>13</v>
      </c>
      <c r="B174" s="189" t="s">
        <v>154</v>
      </c>
      <c r="C174" s="34" t="s">
        <v>74</v>
      </c>
      <c r="D174" s="28"/>
      <c r="E174" s="29"/>
      <c r="F174" s="338"/>
      <c r="G174" s="28"/>
      <c r="H174" s="35"/>
      <c r="I174" s="28"/>
      <c r="J174" s="35"/>
      <c r="K174" s="28"/>
      <c r="L174" s="35"/>
      <c r="M174" s="28"/>
    </row>
    <row r="175" spans="1:13">
      <c r="A175" s="28"/>
      <c r="B175" s="30" t="s">
        <v>15</v>
      </c>
      <c r="C175" s="31" t="s">
        <v>99</v>
      </c>
      <c r="D175" s="30" t="s">
        <v>73</v>
      </c>
      <c r="E175" s="32"/>
      <c r="F175" s="336">
        <f>F172</f>
        <v>18.87</v>
      </c>
      <c r="G175" s="30"/>
      <c r="H175" s="33"/>
      <c r="I175" s="27"/>
      <c r="J175" s="26"/>
      <c r="K175" s="33"/>
      <c r="L175" s="33"/>
      <c r="M175" s="33"/>
    </row>
    <row r="176" spans="1:13">
      <c r="A176" s="162"/>
      <c r="B176" s="163"/>
      <c r="C176" s="164" t="s">
        <v>113</v>
      </c>
      <c r="D176" s="164"/>
      <c r="E176" s="165"/>
      <c r="F176" s="339"/>
      <c r="G176" s="167"/>
      <c r="H176" s="166"/>
      <c r="I176" s="166"/>
      <c r="J176" s="166"/>
      <c r="K176" s="166"/>
      <c r="L176" s="166"/>
      <c r="M176" s="166"/>
    </row>
    <row r="177" spans="1:13">
      <c r="A177" s="168"/>
      <c r="B177" s="169"/>
      <c r="C177" s="170" t="s">
        <v>114</v>
      </c>
      <c r="D177" s="171" t="s">
        <v>338</v>
      </c>
      <c r="E177" s="172"/>
      <c r="F177" s="340"/>
      <c r="G177" s="173"/>
      <c r="H177" s="174"/>
      <c r="I177" s="174"/>
      <c r="J177" s="174"/>
      <c r="K177" s="174"/>
      <c r="L177" s="174"/>
      <c r="M177" s="174"/>
    </row>
    <row r="178" spans="1:13">
      <c r="A178" s="162"/>
      <c r="B178" s="163"/>
      <c r="C178" s="164" t="s">
        <v>113</v>
      </c>
      <c r="D178" s="164"/>
      <c r="E178" s="165"/>
      <c r="F178" s="339"/>
      <c r="G178" s="167"/>
      <c r="H178" s="166"/>
      <c r="I178" s="166"/>
      <c r="J178" s="166"/>
      <c r="K178" s="166"/>
      <c r="L178" s="166"/>
      <c r="M178" s="174"/>
    </row>
    <row r="179" spans="1:13">
      <c r="A179" s="168"/>
      <c r="B179" s="169"/>
      <c r="C179" s="170" t="s">
        <v>115</v>
      </c>
      <c r="D179" s="171" t="s">
        <v>338</v>
      </c>
      <c r="E179" s="172"/>
      <c r="F179" s="340"/>
      <c r="G179" s="173"/>
      <c r="H179" s="174"/>
      <c r="I179" s="174"/>
      <c r="J179" s="174"/>
      <c r="K179" s="174"/>
      <c r="L179" s="174"/>
      <c r="M179" s="174"/>
    </row>
    <row r="180" spans="1:13">
      <c r="A180" s="626"/>
      <c r="B180" s="627"/>
      <c r="C180" s="628" t="s">
        <v>102</v>
      </c>
      <c r="D180" s="628"/>
      <c r="E180" s="629"/>
      <c r="F180" s="630"/>
      <c r="G180" s="630"/>
      <c r="H180" s="631"/>
      <c r="I180" s="631"/>
      <c r="J180" s="631"/>
      <c r="K180" s="631"/>
      <c r="L180" s="631"/>
      <c r="M180" s="631"/>
    </row>
    <row r="181" spans="1:13" ht="35.25" customHeight="1">
      <c r="A181" s="621"/>
      <c r="B181" s="625" t="s">
        <v>330</v>
      </c>
      <c r="C181" s="624" t="s">
        <v>331</v>
      </c>
      <c r="D181" s="621"/>
      <c r="E181" s="622"/>
      <c r="F181" s="623"/>
      <c r="G181" s="60"/>
      <c r="H181" s="60"/>
      <c r="I181" s="60"/>
      <c r="J181" s="60"/>
      <c r="K181" s="60"/>
      <c r="L181" s="60"/>
      <c r="M181" s="60"/>
    </row>
    <row r="182" spans="1:13">
      <c r="A182" s="36"/>
      <c r="B182" s="16"/>
      <c r="C182" s="17" t="s">
        <v>70</v>
      </c>
      <c r="D182" s="18"/>
      <c r="E182" s="18"/>
      <c r="F182" s="19"/>
      <c r="G182" s="20"/>
      <c r="H182" s="20"/>
      <c r="I182" s="20"/>
      <c r="J182" s="20"/>
      <c r="K182" s="20"/>
      <c r="L182" s="20"/>
      <c r="M182" s="20"/>
    </row>
    <row r="183" spans="1:13" ht="27">
      <c r="A183" s="21">
        <v>1</v>
      </c>
      <c r="B183" s="22" t="s">
        <v>12</v>
      </c>
      <c r="C183" s="448" t="s">
        <v>254</v>
      </c>
      <c r="D183" s="449" t="s">
        <v>71</v>
      </c>
      <c r="E183" s="450"/>
      <c r="F183" s="451">
        <f>F187*0.4*0.6</f>
        <v>40.799999999999997</v>
      </c>
      <c r="G183" s="450"/>
      <c r="H183" s="450"/>
      <c r="I183" s="450"/>
      <c r="J183" s="450"/>
      <c r="K183" s="450"/>
      <c r="L183" s="450"/>
      <c r="M183" s="450"/>
    </row>
    <row r="184" spans="1:13">
      <c r="A184" s="452"/>
      <c r="B184" s="23"/>
      <c r="C184" s="453" t="s">
        <v>20</v>
      </c>
      <c r="D184" s="24" t="s">
        <v>21</v>
      </c>
      <c r="E184" s="450">
        <f>154*0.01</f>
        <v>1.54</v>
      </c>
      <c r="F184" s="66">
        <f>E184*F183</f>
        <v>62.831999999999994</v>
      </c>
      <c r="G184" s="450"/>
      <c r="H184" s="450"/>
      <c r="I184" s="450"/>
      <c r="J184" s="450"/>
      <c r="K184" s="450"/>
      <c r="L184" s="450"/>
      <c r="M184" s="450"/>
    </row>
    <row r="185" spans="1:13" ht="45">
      <c r="A185" s="452">
        <v>2</v>
      </c>
      <c r="B185" s="454" t="s">
        <v>255</v>
      </c>
      <c r="C185" s="455" t="s">
        <v>256</v>
      </c>
      <c r="D185" s="449" t="s">
        <v>71</v>
      </c>
      <c r="E185" s="456"/>
      <c r="F185" s="457">
        <f>F208*0.7*0.5*0.5</f>
        <v>2.625</v>
      </c>
      <c r="G185" s="458"/>
      <c r="H185" s="404"/>
      <c r="I185" s="458"/>
      <c r="J185" s="459"/>
      <c r="K185" s="460"/>
      <c r="L185" s="461"/>
      <c r="M185" s="462"/>
    </row>
    <row r="186" spans="1:13">
      <c r="A186" s="452"/>
      <c r="B186" s="463"/>
      <c r="C186" s="464" t="s">
        <v>20</v>
      </c>
      <c r="D186" s="465" t="s">
        <v>21</v>
      </c>
      <c r="E186" s="466">
        <v>2.82</v>
      </c>
      <c r="F186" s="467">
        <f>F185*E186</f>
        <v>7.4024999999999999</v>
      </c>
      <c r="G186" s="468"/>
      <c r="H186" s="469"/>
      <c r="I186" s="468"/>
      <c r="J186" s="470"/>
      <c r="K186" s="471"/>
      <c r="L186" s="472"/>
      <c r="M186" s="473"/>
    </row>
    <row r="187" spans="1:13" ht="27">
      <c r="A187" s="474">
        <v>3</v>
      </c>
      <c r="B187" s="475" t="s">
        <v>257</v>
      </c>
      <c r="C187" s="476" t="s">
        <v>258</v>
      </c>
      <c r="D187" s="474" t="s">
        <v>50</v>
      </c>
      <c r="E187" s="477"/>
      <c r="F187" s="478">
        <f>F251</f>
        <v>170</v>
      </c>
      <c r="G187" s="479"/>
      <c r="H187" s="480"/>
      <c r="I187" s="479"/>
      <c r="J187" s="479"/>
      <c r="K187" s="479"/>
      <c r="L187" s="480"/>
      <c r="M187" s="479"/>
    </row>
    <row r="188" spans="1:13">
      <c r="A188" s="474"/>
      <c r="B188" s="481"/>
      <c r="C188" s="482" t="s">
        <v>20</v>
      </c>
      <c r="D188" s="481" t="s">
        <v>21</v>
      </c>
      <c r="E188" s="483">
        <f>95.6/1000</f>
        <v>9.5599999999999991E-2</v>
      </c>
      <c r="F188" s="484">
        <f>F187*E188</f>
        <v>16.251999999999999</v>
      </c>
      <c r="G188" s="485"/>
      <c r="H188" s="485"/>
      <c r="I188" s="485"/>
      <c r="J188" s="485"/>
      <c r="K188" s="485"/>
      <c r="L188" s="485"/>
      <c r="M188" s="485"/>
    </row>
    <row r="189" spans="1:13">
      <c r="A189" s="474"/>
      <c r="B189" s="481"/>
      <c r="C189" s="482" t="s">
        <v>47</v>
      </c>
      <c r="D189" s="481" t="s">
        <v>22</v>
      </c>
      <c r="E189" s="486">
        <v>4.5199999999999997E-2</v>
      </c>
      <c r="F189" s="487">
        <f>F187*E189</f>
        <v>7.6839999999999993</v>
      </c>
      <c r="G189" s="485"/>
      <c r="H189" s="485"/>
      <c r="I189" s="485"/>
      <c r="J189" s="485"/>
      <c r="K189" s="485"/>
      <c r="L189" s="485"/>
      <c r="M189" s="485"/>
    </row>
    <row r="190" spans="1:13">
      <c r="A190" s="474"/>
      <c r="B190" s="481" t="s">
        <v>259</v>
      </c>
      <c r="C190" s="488" t="s">
        <v>260</v>
      </c>
      <c r="D190" s="481" t="s">
        <v>50</v>
      </c>
      <c r="E190" s="489">
        <v>1.01</v>
      </c>
      <c r="F190" s="484">
        <f>F187*E190</f>
        <v>171.7</v>
      </c>
      <c r="G190" s="485"/>
      <c r="H190" s="485"/>
      <c r="I190" s="485"/>
      <c r="J190" s="485"/>
      <c r="K190" s="485"/>
      <c r="L190" s="485"/>
      <c r="M190" s="485"/>
    </row>
    <row r="191" spans="1:13">
      <c r="A191" s="474"/>
      <c r="B191" s="481"/>
      <c r="C191" s="482" t="s">
        <v>54</v>
      </c>
      <c r="D191" s="481" t="s">
        <v>22</v>
      </c>
      <c r="E191" s="486">
        <v>5.9999999999999995E-4</v>
      </c>
      <c r="F191" s="487">
        <f>F187*E191</f>
        <v>0.10199999999999999</v>
      </c>
      <c r="G191" s="485"/>
      <c r="H191" s="485"/>
      <c r="I191" s="485"/>
      <c r="J191" s="485"/>
      <c r="K191" s="485"/>
      <c r="L191" s="485"/>
      <c r="M191" s="485"/>
    </row>
    <row r="192" spans="1:13">
      <c r="A192" s="490">
        <v>4</v>
      </c>
      <c r="B192" s="490" t="s">
        <v>6</v>
      </c>
      <c r="C192" s="491" t="s">
        <v>261</v>
      </c>
      <c r="D192" s="490" t="s">
        <v>26</v>
      </c>
      <c r="E192" s="492"/>
      <c r="F192" s="493">
        <f>F187</f>
        <v>170</v>
      </c>
      <c r="G192" s="490"/>
      <c r="H192" s="494"/>
      <c r="I192" s="490"/>
      <c r="J192" s="494"/>
      <c r="K192" s="490"/>
      <c r="L192" s="494"/>
      <c r="M192" s="490"/>
    </row>
    <row r="193" spans="1:13">
      <c r="A193" s="490"/>
      <c r="B193" s="495"/>
      <c r="C193" s="496" t="s">
        <v>20</v>
      </c>
      <c r="D193" s="495" t="s">
        <v>26</v>
      </c>
      <c r="E193" s="497">
        <v>1</v>
      </c>
      <c r="F193" s="498">
        <f>F192*E193</f>
        <v>170</v>
      </c>
      <c r="G193" s="497"/>
      <c r="H193" s="497"/>
      <c r="I193" s="27"/>
      <c r="J193" s="26"/>
      <c r="K193" s="27"/>
      <c r="L193" s="26"/>
      <c r="M193" s="497"/>
    </row>
    <row r="194" spans="1:13">
      <c r="A194" s="474"/>
      <c r="B194" s="481"/>
      <c r="C194" s="488" t="s">
        <v>262</v>
      </c>
      <c r="D194" s="481" t="s">
        <v>50</v>
      </c>
      <c r="E194" s="485">
        <v>1</v>
      </c>
      <c r="F194" s="484">
        <f>F192</f>
        <v>170</v>
      </c>
      <c r="G194" s="485"/>
      <c r="H194" s="485"/>
      <c r="I194" s="485"/>
      <c r="J194" s="485"/>
      <c r="K194" s="485"/>
      <c r="L194" s="485"/>
      <c r="M194" s="485"/>
    </row>
    <row r="195" spans="1:13">
      <c r="A195" s="490">
        <v>5</v>
      </c>
      <c r="B195" s="490" t="s">
        <v>263</v>
      </c>
      <c r="C195" s="491" t="s">
        <v>264</v>
      </c>
      <c r="D195" s="490" t="s">
        <v>71</v>
      </c>
      <c r="E195" s="492"/>
      <c r="F195" s="493">
        <f>F183-F201*0.2*0.3</f>
        <v>40.187999999999995</v>
      </c>
      <c r="G195" s="490"/>
      <c r="H195" s="494"/>
      <c r="I195" s="490"/>
      <c r="J195" s="494"/>
      <c r="K195" s="490"/>
      <c r="L195" s="494"/>
      <c r="M195" s="490"/>
    </row>
    <row r="196" spans="1:13">
      <c r="A196" s="490"/>
      <c r="B196" s="495"/>
      <c r="C196" s="496" t="s">
        <v>20</v>
      </c>
      <c r="D196" s="495" t="s">
        <v>21</v>
      </c>
      <c r="E196" s="499">
        <v>0.99299999999999999</v>
      </c>
      <c r="F196" s="498">
        <f>F195*E196</f>
        <v>39.906683999999998</v>
      </c>
      <c r="G196" s="497"/>
      <c r="H196" s="497"/>
      <c r="I196" s="27"/>
      <c r="J196" s="26"/>
      <c r="K196" s="27"/>
      <c r="L196" s="26"/>
      <c r="M196" s="497"/>
    </row>
    <row r="197" spans="1:13" ht="27">
      <c r="A197" s="28">
        <v>6</v>
      </c>
      <c r="B197" s="500" t="s">
        <v>265</v>
      </c>
      <c r="C197" s="501" t="s">
        <v>72</v>
      </c>
      <c r="D197" s="28" t="s">
        <v>73</v>
      </c>
      <c r="E197" s="29"/>
      <c r="F197" s="136">
        <f>(F183-F195+F185)*1.8</f>
        <v>5.8266000000000036</v>
      </c>
      <c r="G197" s="28"/>
      <c r="H197" s="28"/>
      <c r="I197" s="28"/>
      <c r="J197" s="28"/>
      <c r="K197" s="28"/>
      <c r="L197" s="28"/>
      <c r="M197" s="28"/>
    </row>
    <row r="198" spans="1:13">
      <c r="A198" s="28"/>
      <c r="B198" s="30"/>
      <c r="C198" s="31" t="s">
        <v>20</v>
      </c>
      <c r="D198" s="30" t="s">
        <v>21</v>
      </c>
      <c r="E198" s="32">
        <v>0.53</v>
      </c>
      <c r="F198" s="502">
        <f>E198*F197</f>
        <v>3.0880980000000022</v>
      </c>
      <c r="G198" s="33"/>
      <c r="H198" s="33"/>
      <c r="I198" s="27"/>
      <c r="J198" s="27"/>
      <c r="K198" s="27"/>
      <c r="L198" s="27"/>
      <c r="M198" s="33"/>
    </row>
    <row r="199" spans="1:13">
      <c r="A199" s="28">
        <v>7</v>
      </c>
      <c r="B199" s="82" t="s">
        <v>266</v>
      </c>
      <c r="C199" s="34" t="s">
        <v>74</v>
      </c>
      <c r="D199" s="28"/>
      <c r="E199" s="29"/>
      <c r="F199" s="503"/>
      <c r="G199" s="28"/>
      <c r="H199" s="35"/>
      <c r="I199" s="28"/>
      <c r="J199" s="35"/>
      <c r="K199" s="28"/>
      <c r="L199" s="35"/>
      <c r="M199" s="28"/>
    </row>
    <row r="200" spans="1:13">
      <c r="A200" s="28"/>
      <c r="B200" s="30" t="s">
        <v>15</v>
      </c>
      <c r="C200" s="31" t="s">
        <v>99</v>
      </c>
      <c r="D200" s="30" t="s">
        <v>73</v>
      </c>
      <c r="E200" s="32"/>
      <c r="F200" s="504">
        <f>F197</f>
        <v>5.8266000000000036</v>
      </c>
      <c r="G200" s="30"/>
      <c r="H200" s="33"/>
      <c r="I200" s="27"/>
      <c r="J200" s="26"/>
      <c r="K200" s="33"/>
      <c r="L200" s="33"/>
      <c r="M200" s="33"/>
    </row>
    <row r="201" spans="1:13" ht="40.5">
      <c r="A201" s="449"/>
      <c r="B201" s="505" t="s">
        <v>267</v>
      </c>
      <c r="C201" s="506" t="s">
        <v>315</v>
      </c>
      <c r="D201" s="42" t="s">
        <v>71</v>
      </c>
      <c r="E201" s="136"/>
      <c r="F201" s="136">
        <f>F187*0.2*0.3</f>
        <v>10.199999999999999</v>
      </c>
      <c r="G201" s="507"/>
      <c r="H201" s="507"/>
      <c r="I201" s="507"/>
      <c r="J201" s="507"/>
      <c r="K201" s="507"/>
      <c r="L201" s="507"/>
      <c r="M201" s="507"/>
    </row>
    <row r="202" spans="1:13">
      <c r="A202" s="449"/>
      <c r="B202" s="508"/>
      <c r="C202" s="187" t="s">
        <v>145</v>
      </c>
      <c r="D202" s="78" t="s">
        <v>146</v>
      </c>
      <c r="E202" s="136">
        <f>18/10</f>
        <v>1.8</v>
      </c>
      <c r="F202" s="136">
        <f>E202*F201</f>
        <v>18.36</v>
      </c>
      <c r="G202" s="507"/>
      <c r="H202" s="507"/>
      <c r="I202" s="507"/>
      <c r="J202" s="507"/>
      <c r="K202" s="507"/>
      <c r="L202" s="507"/>
      <c r="M202" s="507"/>
    </row>
    <row r="203" spans="1:13">
      <c r="A203" s="449"/>
      <c r="B203" s="509" t="s">
        <v>117</v>
      </c>
      <c r="C203" s="187" t="s">
        <v>268</v>
      </c>
      <c r="D203" s="154" t="s">
        <v>269</v>
      </c>
      <c r="E203" s="136">
        <f>11/10</f>
        <v>1.1000000000000001</v>
      </c>
      <c r="F203" s="136">
        <f>E203*F201</f>
        <v>11.22</v>
      </c>
      <c r="G203" s="507"/>
      <c r="H203" s="507"/>
      <c r="I203" s="507"/>
      <c r="J203" s="507"/>
      <c r="K203" s="507"/>
      <c r="L203" s="507"/>
      <c r="M203" s="507"/>
    </row>
    <row r="204" spans="1:13" ht="30">
      <c r="A204" s="510">
        <v>8</v>
      </c>
      <c r="B204" s="63" t="s">
        <v>270</v>
      </c>
      <c r="C204" s="455" t="s">
        <v>271</v>
      </c>
      <c r="D204" s="511" t="s">
        <v>49</v>
      </c>
      <c r="E204" s="512"/>
      <c r="F204" s="457">
        <f>F185</f>
        <v>2.625</v>
      </c>
      <c r="G204" s="513"/>
      <c r="H204" s="404"/>
      <c r="I204" s="514"/>
      <c r="J204" s="459"/>
      <c r="K204" s="515"/>
      <c r="L204" s="461"/>
      <c r="M204" s="462"/>
    </row>
    <row r="205" spans="1:13">
      <c r="A205" s="516"/>
      <c r="B205" s="517"/>
      <c r="C205" s="518" t="s">
        <v>20</v>
      </c>
      <c r="D205" s="62" t="s">
        <v>21</v>
      </c>
      <c r="E205" s="405">
        <v>1.37</v>
      </c>
      <c r="F205" s="519">
        <f>F204*E205</f>
        <v>3.5962500000000004</v>
      </c>
      <c r="G205" s="404"/>
      <c r="H205" s="404"/>
      <c r="I205" s="459"/>
      <c r="J205" s="459"/>
      <c r="K205" s="459"/>
      <c r="L205" s="461"/>
      <c r="M205" s="404"/>
    </row>
    <row r="206" spans="1:13">
      <c r="A206" s="516"/>
      <c r="B206" s="142" t="s">
        <v>107</v>
      </c>
      <c r="C206" s="520" t="s">
        <v>75</v>
      </c>
      <c r="D206" s="511" t="s">
        <v>49</v>
      </c>
      <c r="E206" s="405">
        <v>1.02</v>
      </c>
      <c r="F206" s="519">
        <f>F204*E206</f>
        <v>2.6775000000000002</v>
      </c>
      <c r="G206" s="459"/>
      <c r="H206" s="404"/>
      <c r="I206" s="404"/>
      <c r="J206" s="459"/>
      <c r="K206" s="459"/>
      <c r="L206" s="461"/>
      <c r="M206" s="404"/>
    </row>
    <row r="207" spans="1:13">
      <c r="A207" s="516"/>
      <c r="B207" s="517"/>
      <c r="C207" s="518" t="s">
        <v>23</v>
      </c>
      <c r="D207" s="521" t="s">
        <v>22</v>
      </c>
      <c r="E207" s="404">
        <v>0.62</v>
      </c>
      <c r="F207" s="519">
        <f>F204*E207</f>
        <v>1.6274999999999999</v>
      </c>
      <c r="G207" s="459"/>
      <c r="H207" s="404"/>
      <c r="I207" s="404"/>
      <c r="J207" s="459"/>
      <c r="K207" s="459"/>
      <c r="L207" s="461"/>
      <c r="M207" s="404"/>
    </row>
    <row r="208" spans="1:13" ht="54">
      <c r="A208" s="41">
        <v>9</v>
      </c>
      <c r="B208" s="522" t="s">
        <v>272</v>
      </c>
      <c r="C208" s="15" t="s">
        <v>273</v>
      </c>
      <c r="D208" s="11" t="s">
        <v>274</v>
      </c>
      <c r="E208" s="523"/>
      <c r="F208" s="524">
        <v>15</v>
      </c>
      <c r="G208" s="525"/>
      <c r="H208" s="526"/>
      <c r="I208" s="525"/>
      <c r="J208" s="527"/>
      <c r="K208" s="528"/>
      <c r="L208" s="528"/>
      <c r="M208" s="527"/>
    </row>
    <row r="209" spans="1:13">
      <c r="A209" s="41"/>
      <c r="B209" s="42"/>
      <c r="C209" s="529" t="s">
        <v>20</v>
      </c>
      <c r="D209" s="530" t="s">
        <v>21</v>
      </c>
      <c r="E209" s="531">
        <v>2.16</v>
      </c>
      <c r="F209" s="532">
        <f>F208*E209</f>
        <v>32.400000000000006</v>
      </c>
      <c r="G209" s="533"/>
      <c r="H209" s="533"/>
      <c r="I209" s="530"/>
      <c r="J209" s="530"/>
      <c r="K209" s="530"/>
      <c r="L209" s="530"/>
      <c r="M209" s="533"/>
    </row>
    <row r="210" spans="1:13">
      <c r="A210" s="41"/>
      <c r="B210" s="78" t="s">
        <v>275</v>
      </c>
      <c r="C210" s="534" t="s">
        <v>276</v>
      </c>
      <c r="D210" s="530" t="s">
        <v>29</v>
      </c>
      <c r="E210" s="535">
        <v>1.25</v>
      </c>
      <c r="F210" s="532">
        <f>F208*E210</f>
        <v>18.75</v>
      </c>
      <c r="G210" s="533"/>
      <c r="H210" s="530"/>
      <c r="I210" s="533"/>
      <c r="J210" s="536"/>
      <c r="K210" s="537"/>
      <c r="L210" s="533"/>
      <c r="M210" s="533"/>
    </row>
    <row r="211" spans="1:13">
      <c r="A211" s="41"/>
      <c r="B211" s="42"/>
      <c r="C211" s="529" t="s">
        <v>47</v>
      </c>
      <c r="D211" s="530" t="s">
        <v>22</v>
      </c>
      <c r="E211" s="538">
        <v>1.21</v>
      </c>
      <c r="F211" s="532">
        <f>F208*E211</f>
        <v>18.149999999999999</v>
      </c>
      <c r="G211" s="533"/>
      <c r="H211" s="530"/>
      <c r="I211" s="533"/>
      <c r="J211" s="536"/>
      <c r="K211" s="537"/>
      <c r="L211" s="533"/>
      <c r="M211" s="533"/>
    </row>
    <row r="212" spans="1:13">
      <c r="A212" s="41"/>
      <c r="B212" s="42"/>
      <c r="C212" s="539" t="s">
        <v>277</v>
      </c>
      <c r="D212" s="530" t="s">
        <v>28</v>
      </c>
      <c r="E212" s="540" t="s">
        <v>8</v>
      </c>
      <c r="F212" s="532">
        <f>F208</f>
        <v>15</v>
      </c>
      <c r="G212" s="533"/>
      <c r="H212" s="530"/>
      <c r="I212" s="541"/>
      <c r="J212" s="533"/>
      <c r="K212" s="542"/>
      <c r="L212" s="542"/>
      <c r="M212" s="533"/>
    </row>
    <row r="213" spans="1:13">
      <c r="A213" s="543"/>
      <c r="B213" s="78" t="s">
        <v>278</v>
      </c>
      <c r="C213" s="544" t="s">
        <v>279</v>
      </c>
      <c r="D213" s="545" t="s">
        <v>28</v>
      </c>
      <c r="E213" s="546" t="s">
        <v>8</v>
      </c>
      <c r="F213" s="532">
        <f>F208</f>
        <v>15</v>
      </c>
      <c r="G213" s="541"/>
      <c r="H213" s="545"/>
      <c r="I213" s="532"/>
      <c r="J213" s="541"/>
      <c r="K213" s="547"/>
      <c r="L213" s="547"/>
      <c r="M213" s="541"/>
    </row>
    <row r="214" spans="1:13" ht="40.5">
      <c r="A214" s="516">
        <v>7</v>
      </c>
      <c r="B214" s="548" t="s">
        <v>280</v>
      </c>
      <c r="C214" s="549" t="s">
        <v>281</v>
      </c>
      <c r="D214" s="550" t="s">
        <v>69</v>
      </c>
      <c r="E214" s="551"/>
      <c r="F214" s="457">
        <f>F208*3*1.1</f>
        <v>49.500000000000007</v>
      </c>
      <c r="G214" s="459"/>
      <c r="H214" s="404"/>
      <c r="I214" s="404"/>
      <c r="J214" s="459"/>
      <c r="K214" s="459"/>
      <c r="L214" s="461"/>
      <c r="M214" s="404"/>
    </row>
    <row r="215" spans="1:13">
      <c r="A215" s="516"/>
      <c r="B215" s="548"/>
      <c r="C215" s="518" t="s">
        <v>20</v>
      </c>
      <c r="D215" s="62" t="s">
        <v>21</v>
      </c>
      <c r="E215" s="552">
        <v>0.68</v>
      </c>
      <c r="F215" s="519">
        <f>F214*E215</f>
        <v>33.660000000000011</v>
      </c>
      <c r="G215" s="459"/>
      <c r="H215" s="404"/>
      <c r="I215" s="404"/>
      <c r="J215" s="459"/>
      <c r="K215" s="459"/>
      <c r="L215" s="461"/>
      <c r="M215" s="404"/>
    </row>
    <row r="216" spans="1:13">
      <c r="A216" s="516"/>
      <c r="B216" s="78" t="s">
        <v>109</v>
      </c>
      <c r="C216" s="553" t="s">
        <v>282</v>
      </c>
      <c r="D216" s="554" t="s">
        <v>24</v>
      </c>
      <c r="E216" s="555">
        <v>0.28000000000000003</v>
      </c>
      <c r="F216" s="519">
        <f>F214*E216</f>
        <v>13.860000000000003</v>
      </c>
      <c r="G216" s="459"/>
      <c r="H216" s="404"/>
      <c r="I216" s="404"/>
      <c r="J216" s="459"/>
      <c r="K216" s="459"/>
      <c r="L216" s="461"/>
      <c r="M216" s="404"/>
    </row>
    <row r="217" spans="1:13">
      <c r="A217" s="162"/>
      <c r="B217" s="163"/>
      <c r="C217" s="164" t="s">
        <v>113</v>
      </c>
      <c r="D217" s="164"/>
      <c r="E217" s="165"/>
      <c r="F217" s="166"/>
      <c r="G217" s="167"/>
      <c r="H217" s="166"/>
      <c r="I217" s="166"/>
      <c r="J217" s="166"/>
      <c r="K217" s="166"/>
      <c r="L217" s="166"/>
      <c r="M217" s="166"/>
    </row>
    <row r="218" spans="1:13">
      <c r="A218" s="168"/>
      <c r="B218" s="169"/>
      <c r="C218" s="170" t="s">
        <v>114</v>
      </c>
      <c r="D218" s="171" t="s">
        <v>338</v>
      </c>
      <c r="E218" s="172"/>
      <c r="F218" s="173"/>
      <c r="G218" s="173"/>
      <c r="H218" s="174"/>
      <c r="I218" s="174"/>
      <c r="J218" s="174"/>
      <c r="K218" s="174"/>
      <c r="L218" s="174"/>
      <c r="M218" s="174"/>
    </row>
    <row r="219" spans="1:13">
      <c r="A219" s="162"/>
      <c r="B219" s="163"/>
      <c r="C219" s="164" t="s">
        <v>113</v>
      </c>
      <c r="D219" s="164"/>
      <c r="E219" s="165"/>
      <c r="F219" s="166"/>
      <c r="G219" s="167"/>
      <c r="H219" s="166"/>
      <c r="I219" s="166"/>
      <c r="J219" s="166"/>
      <c r="K219" s="166"/>
      <c r="L219" s="166"/>
      <c r="M219" s="174"/>
    </row>
    <row r="220" spans="1:13">
      <c r="A220" s="168"/>
      <c r="B220" s="169"/>
      <c r="C220" s="170" t="s">
        <v>115</v>
      </c>
      <c r="D220" s="171" t="s">
        <v>338</v>
      </c>
      <c r="E220" s="172"/>
      <c r="F220" s="173"/>
      <c r="G220" s="173"/>
      <c r="H220" s="174"/>
      <c r="I220" s="174"/>
      <c r="J220" s="174"/>
      <c r="K220" s="174"/>
      <c r="L220" s="174"/>
      <c r="M220" s="174"/>
    </row>
    <row r="221" spans="1:13">
      <c r="A221" s="175"/>
      <c r="B221" s="176"/>
      <c r="C221" s="177" t="s">
        <v>283</v>
      </c>
      <c r="D221" s="177"/>
      <c r="E221" s="178"/>
      <c r="F221" s="179"/>
      <c r="G221" s="179"/>
      <c r="H221" s="180"/>
      <c r="I221" s="180"/>
      <c r="J221" s="180"/>
      <c r="K221" s="180"/>
      <c r="L221" s="180"/>
      <c r="M221" s="556"/>
    </row>
    <row r="222" spans="1:13">
      <c r="A222" s="36"/>
      <c r="B222" s="16"/>
      <c r="C222" s="16" t="s">
        <v>42</v>
      </c>
      <c r="D222" s="37"/>
      <c r="E222" s="37"/>
      <c r="F222" s="37"/>
      <c r="G222" s="38"/>
      <c r="H222" s="39"/>
      <c r="I222" s="40"/>
      <c r="J222" s="38"/>
      <c r="K222" s="40"/>
      <c r="L222" s="38"/>
      <c r="M222" s="38"/>
    </row>
    <row r="223" spans="1:13" ht="30">
      <c r="A223" s="41">
        <v>1</v>
      </c>
      <c r="B223" s="63" t="s">
        <v>284</v>
      </c>
      <c r="C223" s="455" t="s">
        <v>285</v>
      </c>
      <c r="D223" s="557" t="s">
        <v>28</v>
      </c>
      <c r="E223" s="558"/>
      <c r="F223" s="457">
        <f>F208</f>
        <v>15</v>
      </c>
      <c r="G223" s="458"/>
      <c r="H223" s="404"/>
      <c r="I223" s="460"/>
      <c r="J223" s="459"/>
      <c r="K223" s="458"/>
      <c r="L223" s="461"/>
      <c r="M223" s="462"/>
    </row>
    <row r="224" spans="1:13">
      <c r="A224" s="41"/>
      <c r="B224" s="559"/>
      <c r="C224" s="518" t="s">
        <v>20</v>
      </c>
      <c r="D224" s="62" t="s">
        <v>21</v>
      </c>
      <c r="E224" s="405">
        <v>0.6</v>
      </c>
      <c r="F224" s="519">
        <f>F223*E224</f>
        <v>9</v>
      </c>
      <c r="G224" s="459"/>
      <c r="H224" s="404"/>
      <c r="I224" s="404"/>
      <c r="J224" s="459"/>
      <c r="K224" s="459"/>
      <c r="L224" s="461"/>
      <c r="M224" s="404"/>
    </row>
    <row r="225" spans="1:13">
      <c r="A225" s="41"/>
      <c r="B225" s="559"/>
      <c r="C225" s="518" t="s">
        <v>65</v>
      </c>
      <c r="D225" s="560" t="s">
        <v>22</v>
      </c>
      <c r="E225" s="405">
        <v>1.08</v>
      </c>
      <c r="F225" s="519">
        <f>E225*F223</f>
        <v>16.200000000000003</v>
      </c>
      <c r="G225" s="459"/>
      <c r="H225" s="404"/>
      <c r="I225" s="404"/>
      <c r="J225" s="459"/>
      <c r="K225" s="459"/>
      <c r="L225" s="461"/>
      <c r="M225" s="404"/>
    </row>
    <row r="226" spans="1:13">
      <c r="A226" s="41"/>
      <c r="B226" s="78" t="s">
        <v>286</v>
      </c>
      <c r="C226" s="561" t="s">
        <v>287</v>
      </c>
      <c r="D226" s="562" t="s">
        <v>26</v>
      </c>
      <c r="E226" s="405"/>
      <c r="F226" s="457">
        <f>F223*2</f>
        <v>30</v>
      </c>
      <c r="G226" s="459"/>
      <c r="H226" s="404"/>
      <c r="I226" s="404"/>
      <c r="J226" s="459"/>
      <c r="K226" s="459"/>
      <c r="L226" s="461"/>
      <c r="M226" s="404"/>
    </row>
    <row r="227" spans="1:13" ht="45">
      <c r="A227" s="516">
        <v>2</v>
      </c>
      <c r="B227" s="63" t="s">
        <v>288</v>
      </c>
      <c r="C227" s="563" t="s">
        <v>289</v>
      </c>
      <c r="D227" s="557" t="s">
        <v>28</v>
      </c>
      <c r="E227" s="405"/>
      <c r="F227" s="457">
        <f>F223</f>
        <v>15</v>
      </c>
      <c r="G227" s="459"/>
      <c r="H227" s="404"/>
      <c r="I227" s="404"/>
      <c r="J227" s="459"/>
      <c r="K227" s="459"/>
      <c r="L227" s="461"/>
      <c r="M227" s="404"/>
    </row>
    <row r="228" spans="1:13">
      <c r="A228" s="516"/>
      <c r="B228" s="517"/>
      <c r="C228" s="518" t="s">
        <v>20</v>
      </c>
      <c r="D228" s="560" t="s">
        <v>22</v>
      </c>
      <c r="E228" s="405">
        <v>0.6</v>
      </c>
      <c r="F228" s="519">
        <f>F227*E228</f>
        <v>9</v>
      </c>
      <c r="G228" s="459"/>
      <c r="H228" s="404"/>
      <c r="I228" s="404"/>
      <c r="J228" s="459"/>
      <c r="K228" s="459"/>
      <c r="L228" s="461"/>
      <c r="M228" s="404"/>
    </row>
    <row r="229" spans="1:13">
      <c r="A229" s="516"/>
      <c r="B229" s="78" t="s">
        <v>290</v>
      </c>
      <c r="C229" s="518" t="s">
        <v>291</v>
      </c>
      <c r="D229" s="521" t="s">
        <v>26</v>
      </c>
      <c r="E229" s="405">
        <v>1</v>
      </c>
      <c r="F229" s="519">
        <f>F227*E229</f>
        <v>15</v>
      </c>
      <c r="G229" s="459"/>
      <c r="H229" s="404"/>
      <c r="I229" s="404"/>
      <c r="J229" s="459"/>
      <c r="K229" s="459"/>
      <c r="L229" s="461"/>
      <c r="M229" s="404"/>
    </row>
    <row r="230" spans="1:13">
      <c r="A230" s="516"/>
      <c r="B230" s="517"/>
      <c r="C230" s="518" t="s">
        <v>292</v>
      </c>
      <c r="D230" s="521" t="s">
        <v>24</v>
      </c>
      <c r="E230" s="405">
        <v>5.0000000000000001E-3</v>
      </c>
      <c r="F230" s="519">
        <f>F227*E230</f>
        <v>7.4999999999999997E-2</v>
      </c>
      <c r="G230" s="459"/>
      <c r="H230" s="404"/>
      <c r="I230" s="404"/>
      <c r="J230" s="459"/>
      <c r="K230" s="459"/>
      <c r="L230" s="461"/>
      <c r="M230" s="404"/>
    </row>
    <row r="231" spans="1:13" ht="45">
      <c r="A231" s="510">
        <v>4</v>
      </c>
      <c r="B231" s="63" t="s">
        <v>6</v>
      </c>
      <c r="C231" s="563" t="s">
        <v>293</v>
      </c>
      <c r="D231" s="557" t="s">
        <v>294</v>
      </c>
      <c r="E231" s="79"/>
      <c r="F231" s="457">
        <f>F223</f>
        <v>15</v>
      </c>
      <c r="G231" s="564"/>
      <c r="H231" s="404"/>
      <c r="I231" s="565"/>
      <c r="J231" s="459"/>
      <c r="K231" s="564"/>
      <c r="L231" s="461"/>
      <c r="M231" s="404"/>
    </row>
    <row r="232" spans="1:13">
      <c r="A232" s="516"/>
      <c r="B232" s="517"/>
      <c r="C232" s="518" t="s">
        <v>20</v>
      </c>
      <c r="D232" s="62" t="s">
        <v>21</v>
      </c>
      <c r="E232" s="405"/>
      <c r="F232" s="519">
        <f>F231</f>
        <v>15</v>
      </c>
      <c r="G232" s="404"/>
      <c r="H232" s="404"/>
      <c r="I232" s="459"/>
      <c r="J232" s="459"/>
      <c r="K232" s="459"/>
      <c r="L232" s="461"/>
      <c r="M232" s="404"/>
    </row>
    <row r="233" spans="1:13">
      <c r="A233" s="516"/>
      <c r="B233" s="517"/>
      <c r="C233" s="566" t="s">
        <v>295</v>
      </c>
      <c r="D233" s="521" t="s">
        <v>296</v>
      </c>
      <c r="E233" s="405"/>
      <c r="F233" s="519">
        <f>F231</f>
        <v>15</v>
      </c>
      <c r="G233" s="459"/>
      <c r="H233" s="404"/>
      <c r="I233" s="459"/>
      <c r="J233" s="459"/>
      <c r="K233" s="404"/>
      <c r="L233" s="461"/>
      <c r="M233" s="404"/>
    </row>
    <row r="234" spans="1:13">
      <c r="A234" s="516"/>
      <c r="B234" s="517"/>
      <c r="C234" s="566" t="s">
        <v>23</v>
      </c>
      <c r="D234" s="521" t="s">
        <v>22</v>
      </c>
      <c r="E234" s="405">
        <v>1</v>
      </c>
      <c r="F234" s="519">
        <f>E234*F231</f>
        <v>15</v>
      </c>
      <c r="G234" s="459"/>
      <c r="H234" s="404"/>
      <c r="I234" s="404"/>
      <c r="J234" s="459"/>
      <c r="K234" s="459"/>
      <c r="L234" s="461"/>
      <c r="M234" s="404"/>
    </row>
    <row r="235" spans="1:13" ht="60">
      <c r="A235" s="510">
        <v>5</v>
      </c>
      <c r="B235" s="63" t="s">
        <v>6</v>
      </c>
      <c r="C235" s="563" t="s">
        <v>297</v>
      </c>
      <c r="D235" s="557" t="s">
        <v>294</v>
      </c>
      <c r="E235" s="79"/>
      <c r="F235" s="457">
        <f>F231</f>
        <v>15</v>
      </c>
      <c r="G235" s="564"/>
      <c r="H235" s="404"/>
      <c r="I235" s="565"/>
      <c r="J235" s="459"/>
      <c r="K235" s="564"/>
      <c r="L235" s="461"/>
      <c r="M235" s="404"/>
    </row>
    <row r="236" spans="1:13">
      <c r="A236" s="516"/>
      <c r="B236" s="517"/>
      <c r="C236" s="518" t="s">
        <v>20</v>
      </c>
      <c r="D236" s="62" t="s">
        <v>21</v>
      </c>
      <c r="E236" s="405"/>
      <c r="F236" s="519">
        <f>F235</f>
        <v>15</v>
      </c>
      <c r="G236" s="404"/>
      <c r="H236" s="404"/>
      <c r="I236" s="459"/>
      <c r="J236" s="459"/>
      <c r="K236" s="459"/>
      <c r="L236" s="461"/>
      <c r="M236" s="404"/>
    </row>
    <row r="237" spans="1:13">
      <c r="A237" s="516"/>
      <c r="B237" s="517"/>
      <c r="C237" s="566" t="s">
        <v>295</v>
      </c>
      <c r="D237" s="521" t="s">
        <v>296</v>
      </c>
      <c r="E237" s="405"/>
      <c r="F237" s="519">
        <f>F235</f>
        <v>15</v>
      </c>
      <c r="G237" s="459"/>
      <c r="H237" s="404"/>
      <c r="I237" s="459"/>
      <c r="J237" s="459"/>
      <c r="K237" s="404"/>
      <c r="L237" s="461"/>
      <c r="M237" s="404"/>
    </row>
    <row r="238" spans="1:13">
      <c r="A238" s="516"/>
      <c r="B238" s="517"/>
      <c r="C238" s="566" t="s">
        <v>23</v>
      </c>
      <c r="D238" s="521" t="s">
        <v>22</v>
      </c>
      <c r="E238" s="405">
        <v>1</v>
      </c>
      <c r="F238" s="519">
        <f>E238*F235</f>
        <v>15</v>
      </c>
      <c r="G238" s="459"/>
      <c r="H238" s="404"/>
      <c r="I238" s="404"/>
      <c r="J238" s="459"/>
      <c r="K238" s="459"/>
      <c r="L238" s="461"/>
      <c r="M238" s="404"/>
    </row>
    <row r="239" spans="1:13" ht="27">
      <c r="A239" s="41">
        <v>6</v>
      </c>
      <c r="B239" s="51" t="s">
        <v>16</v>
      </c>
      <c r="C239" s="52" t="s">
        <v>298</v>
      </c>
      <c r="D239" s="53" t="s">
        <v>28</v>
      </c>
      <c r="E239" s="54"/>
      <c r="F239" s="193">
        <f>F235</f>
        <v>15</v>
      </c>
      <c r="G239" s="88"/>
      <c r="H239" s="136"/>
      <c r="I239" s="136"/>
      <c r="J239" s="21"/>
      <c r="K239" s="25"/>
      <c r="L239" s="25"/>
      <c r="M239" s="25"/>
    </row>
    <row r="240" spans="1:13">
      <c r="A240" s="41"/>
      <c r="B240" s="43"/>
      <c r="C240" s="44" t="s">
        <v>20</v>
      </c>
      <c r="D240" s="45" t="s">
        <v>21</v>
      </c>
      <c r="E240" s="55">
        <v>2.5499999999999998</v>
      </c>
      <c r="F240" s="135">
        <f>F239*E240</f>
        <v>38.25</v>
      </c>
      <c r="G240" s="64"/>
      <c r="H240" s="135"/>
      <c r="I240" s="134"/>
      <c r="J240" s="47"/>
      <c r="K240" s="47"/>
      <c r="L240" s="46"/>
      <c r="M240" s="46"/>
    </row>
    <row r="241" spans="1:13">
      <c r="A241" s="41"/>
      <c r="B241" s="43"/>
      <c r="C241" s="44" t="s">
        <v>65</v>
      </c>
      <c r="D241" s="45" t="s">
        <v>22</v>
      </c>
      <c r="E241" s="55">
        <v>2.1</v>
      </c>
      <c r="F241" s="135">
        <f>F239*E241</f>
        <v>31.5</v>
      </c>
      <c r="G241" s="134"/>
      <c r="H241" s="134"/>
      <c r="I241" s="135"/>
      <c r="J241" s="56"/>
      <c r="K241" s="48"/>
      <c r="L241" s="57"/>
      <c r="M241" s="46"/>
    </row>
    <row r="242" spans="1:13">
      <c r="A242" s="41"/>
      <c r="B242" s="43"/>
      <c r="C242" s="44" t="s">
        <v>47</v>
      </c>
      <c r="D242" s="45" t="s">
        <v>22</v>
      </c>
      <c r="E242" s="55">
        <v>0.86</v>
      </c>
      <c r="F242" s="135">
        <f>F239*E242</f>
        <v>12.9</v>
      </c>
      <c r="G242" s="134"/>
      <c r="H242" s="135"/>
      <c r="I242" s="135"/>
      <c r="J242" s="47"/>
      <c r="K242" s="46"/>
      <c r="L242" s="46"/>
      <c r="M242" s="46"/>
    </row>
    <row r="243" spans="1:13">
      <c r="A243" s="41"/>
      <c r="B243" s="63" t="s">
        <v>6</v>
      </c>
      <c r="C243" s="203" t="s">
        <v>299</v>
      </c>
      <c r="D243" s="24" t="s">
        <v>28</v>
      </c>
      <c r="E243" s="49"/>
      <c r="F243" s="194">
        <f>F239</f>
        <v>15</v>
      </c>
      <c r="G243" s="89"/>
      <c r="H243" s="89"/>
      <c r="I243" s="204"/>
      <c r="J243" s="50"/>
      <c r="K243" s="27"/>
      <c r="L243" s="26"/>
      <c r="M243" s="50"/>
    </row>
    <row r="244" spans="1:13" ht="27">
      <c r="A244" s="41">
        <v>7</v>
      </c>
      <c r="B244" s="567" t="s">
        <v>300</v>
      </c>
      <c r="C244" s="568" t="s">
        <v>301</v>
      </c>
      <c r="D244" s="21" t="s">
        <v>28</v>
      </c>
      <c r="E244" s="569"/>
      <c r="F244" s="136">
        <v>1</v>
      </c>
      <c r="G244" s="25"/>
      <c r="H244" s="25"/>
      <c r="I244" s="25"/>
      <c r="J244" s="21"/>
      <c r="K244" s="570"/>
      <c r="L244" s="571"/>
      <c r="M244" s="25"/>
    </row>
    <row r="245" spans="1:13">
      <c r="A245" s="41"/>
      <c r="B245" s="572"/>
      <c r="C245" s="453" t="s">
        <v>20</v>
      </c>
      <c r="D245" s="24" t="s">
        <v>21</v>
      </c>
      <c r="E245" s="49">
        <v>2.48</v>
      </c>
      <c r="F245" s="64">
        <f>F244*E245</f>
        <v>2.48</v>
      </c>
      <c r="G245" s="573"/>
      <c r="H245" s="50"/>
      <c r="I245" s="24"/>
      <c r="J245" s="24"/>
      <c r="K245" s="24"/>
      <c r="L245" s="573"/>
      <c r="M245" s="573"/>
    </row>
    <row r="246" spans="1:13">
      <c r="A246" s="41"/>
      <c r="B246" s="572"/>
      <c r="C246" s="453" t="s">
        <v>65</v>
      </c>
      <c r="D246" s="24" t="s">
        <v>22</v>
      </c>
      <c r="E246" s="49">
        <v>2.2999999999999998</v>
      </c>
      <c r="F246" s="64">
        <f>F244*E246</f>
        <v>2.2999999999999998</v>
      </c>
      <c r="G246" s="24"/>
      <c r="H246" s="24"/>
      <c r="I246" s="573"/>
      <c r="J246" s="573"/>
      <c r="K246" s="27"/>
      <c r="L246" s="26"/>
      <c r="M246" s="573"/>
    </row>
    <row r="247" spans="1:13">
      <c r="A247" s="41"/>
      <c r="B247" s="572"/>
      <c r="C247" s="453" t="s">
        <v>47</v>
      </c>
      <c r="D247" s="24" t="s">
        <v>22</v>
      </c>
      <c r="E247" s="49">
        <v>0.08</v>
      </c>
      <c r="F247" s="64">
        <f>F244*E247</f>
        <v>0.08</v>
      </c>
      <c r="G247" s="24"/>
      <c r="H247" s="573"/>
      <c r="I247" s="573"/>
      <c r="J247" s="24"/>
      <c r="K247" s="573"/>
      <c r="L247" s="573"/>
      <c r="M247" s="573"/>
    </row>
    <row r="248" spans="1:13">
      <c r="A248" s="41"/>
      <c r="B248" s="449"/>
      <c r="C248" s="568" t="s">
        <v>302</v>
      </c>
      <c r="D248" s="24" t="s">
        <v>28</v>
      </c>
      <c r="E248" s="49"/>
      <c r="F248" s="194">
        <f>F244</f>
        <v>1</v>
      </c>
      <c r="G248" s="24"/>
      <c r="H248" s="24"/>
      <c r="I248" s="50"/>
      <c r="J248" s="50"/>
      <c r="K248" s="27"/>
      <c r="L248" s="26"/>
      <c r="M248" s="50"/>
    </row>
    <row r="249" spans="1:13">
      <c r="A249" s="41"/>
      <c r="B249" s="78" t="s">
        <v>303</v>
      </c>
      <c r="C249" s="574" t="s">
        <v>304</v>
      </c>
      <c r="D249" s="575" t="s">
        <v>28</v>
      </c>
      <c r="E249" s="576" t="s">
        <v>8</v>
      </c>
      <c r="F249" s="451">
        <v>1</v>
      </c>
      <c r="G249" s="577"/>
      <c r="H249" s="575"/>
      <c r="I249" s="577"/>
      <c r="J249" s="577"/>
      <c r="K249" s="578"/>
      <c r="L249" s="578"/>
      <c r="M249" s="533"/>
    </row>
    <row r="250" spans="1:13">
      <c r="A250" s="41"/>
      <c r="B250" s="78" t="s">
        <v>305</v>
      </c>
      <c r="C250" s="579" t="s">
        <v>306</v>
      </c>
      <c r="D250" s="530" t="s">
        <v>28</v>
      </c>
      <c r="E250" s="540" t="s">
        <v>8</v>
      </c>
      <c r="F250" s="580">
        <v>1</v>
      </c>
      <c r="G250" s="533"/>
      <c r="H250" s="530"/>
      <c r="I250" s="533"/>
      <c r="J250" s="533"/>
      <c r="K250" s="542"/>
      <c r="L250" s="542"/>
      <c r="M250" s="533"/>
    </row>
    <row r="251" spans="1:13">
      <c r="A251" s="41">
        <v>8</v>
      </c>
      <c r="B251" s="581" t="s">
        <v>307</v>
      </c>
      <c r="C251" s="582" t="s">
        <v>308</v>
      </c>
      <c r="D251" s="583" t="s">
        <v>26</v>
      </c>
      <c r="E251" s="584"/>
      <c r="F251" s="585">
        <v>170</v>
      </c>
      <c r="G251" s="583"/>
      <c r="H251" s="583"/>
      <c r="I251" s="586"/>
      <c r="J251" s="583"/>
      <c r="K251" s="587"/>
      <c r="L251" s="587"/>
      <c r="M251" s="586"/>
    </row>
    <row r="252" spans="1:13">
      <c r="A252" s="41"/>
      <c r="B252" s="581"/>
      <c r="C252" s="588" t="s">
        <v>20</v>
      </c>
      <c r="D252" s="589" t="s">
        <v>21</v>
      </c>
      <c r="E252" s="590">
        <v>0.11</v>
      </c>
      <c r="F252" s="66">
        <f>F251*E252</f>
        <v>18.7</v>
      </c>
      <c r="G252" s="450"/>
      <c r="H252" s="450"/>
      <c r="I252" s="589"/>
      <c r="J252" s="589"/>
      <c r="K252" s="589"/>
      <c r="L252" s="589"/>
      <c r="M252" s="450"/>
    </row>
    <row r="253" spans="1:13">
      <c r="A253" s="41"/>
      <c r="B253" s="581"/>
      <c r="C253" s="588" t="s">
        <v>65</v>
      </c>
      <c r="D253" s="589" t="s">
        <v>22</v>
      </c>
      <c r="E253" s="590">
        <f>3.49/100</f>
        <v>3.49E-2</v>
      </c>
      <c r="F253" s="591">
        <f>F251*E253</f>
        <v>5.9329999999999998</v>
      </c>
      <c r="G253" s="589"/>
      <c r="H253" s="589"/>
      <c r="I253" s="450"/>
      <c r="J253" s="450"/>
      <c r="K253" s="592"/>
      <c r="L253" s="592"/>
      <c r="M253" s="450"/>
    </row>
    <row r="254" spans="1:13">
      <c r="A254" s="41"/>
      <c r="B254" s="593" t="s">
        <v>309</v>
      </c>
      <c r="C254" s="594" t="s">
        <v>310</v>
      </c>
      <c r="D254" s="595" t="s">
        <v>26</v>
      </c>
      <c r="E254" s="596"/>
      <c r="F254" s="597">
        <f>F251</f>
        <v>170</v>
      </c>
      <c r="G254" s="58"/>
      <c r="H254" s="58"/>
      <c r="I254" s="58"/>
      <c r="J254" s="58"/>
      <c r="K254" s="598"/>
      <c r="L254" s="599"/>
      <c r="M254" s="58"/>
    </row>
    <row r="255" spans="1:13">
      <c r="A255" s="41"/>
      <c r="B255" s="581"/>
      <c r="C255" s="588" t="s">
        <v>47</v>
      </c>
      <c r="D255" s="589" t="s">
        <v>22</v>
      </c>
      <c r="E255" s="600">
        <f>0.27/100</f>
        <v>2.7000000000000001E-3</v>
      </c>
      <c r="F255" s="591">
        <f>F251*E255</f>
        <v>0.45900000000000002</v>
      </c>
      <c r="G255" s="589"/>
      <c r="H255" s="450"/>
      <c r="I255" s="450"/>
      <c r="J255" s="589"/>
      <c r="K255" s="450"/>
      <c r="L255" s="450"/>
      <c r="M255" s="450"/>
    </row>
    <row r="256" spans="1:13">
      <c r="A256" s="41">
        <v>9</v>
      </c>
      <c r="B256" s="581" t="s">
        <v>307</v>
      </c>
      <c r="C256" s="601" t="s">
        <v>311</v>
      </c>
      <c r="D256" s="449" t="s">
        <v>26</v>
      </c>
      <c r="E256" s="602"/>
      <c r="F256" s="194">
        <f>F208*3</f>
        <v>45</v>
      </c>
      <c r="G256" s="449"/>
      <c r="H256" s="603"/>
      <c r="I256" s="603"/>
      <c r="J256" s="449"/>
      <c r="K256" s="603"/>
      <c r="L256" s="604"/>
      <c r="M256" s="603"/>
    </row>
    <row r="257" spans="1:13">
      <c r="A257" s="41"/>
      <c r="B257" s="572"/>
      <c r="C257" s="453" t="s">
        <v>20</v>
      </c>
      <c r="D257" s="24" t="s">
        <v>21</v>
      </c>
      <c r="E257" s="590">
        <v>0.11</v>
      </c>
      <c r="F257" s="64">
        <f>F256*E257</f>
        <v>4.95</v>
      </c>
      <c r="G257" s="573"/>
      <c r="H257" s="573"/>
      <c r="I257" s="24"/>
      <c r="J257" s="24"/>
      <c r="K257" s="24"/>
      <c r="L257" s="24"/>
      <c r="M257" s="573"/>
    </row>
    <row r="258" spans="1:13">
      <c r="A258" s="41"/>
      <c r="B258" s="572"/>
      <c r="C258" s="453" t="s">
        <v>65</v>
      </c>
      <c r="D258" s="24" t="s">
        <v>22</v>
      </c>
      <c r="E258" s="590">
        <f>3.49/100</f>
        <v>3.49E-2</v>
      </c>
      <c r="F258" s="64">
        <f>F256*E258</f>
        <v>1.5705</v>
      </c>
      <c r="G258" s="24"/>
      <c r="H258" s="24"/>
      <c r="I258" s="573"/>
      <c r="J258" s="573"/>
      <c r="K258" s="27"/>
      <c r="L258" s="27"/>
      <c r="M258" s="573"/>
    </row>
    <row r="259" spans="1:13">
      <c r="A259" s="41"/>
      <c r="B259" s="593" t="s">
        <v>312</v>
      </c>
      <c r="C259" s="605" t="s">
        <v>313</v>
      </c>
      <c r="D259" s="606" t="s">
        <v>26</v>
      </c>
      <c r="E259" s="607"/>
      <c r="F259" s="597">
        <f>F256</f>
        <v>45</v>
      </c>
      <c r="G259" s="137"/>
      <c r="H259" s="137"/>
      <c r="I259" s="137"/>
      <c r="J259" s="137"/>
      <c r="K259" s="608"/>
      <c r="L259" s="609"/>
      <c r="M259" s="137"/>
    </row>
    <row r="260" spans="1:13">
      <c r="A260" s="41"/>
      <c r="B260" s="572"/>
      <c r="C260" s="453" t="s">
        <v>47</v>
      </c>
      <c r="D260" s="24" t="s">
        <v>22</v>
      </c>
      <c r="E260" s="600">
        <f>0.27/100</f>
        <v>2.7000000000000001E-3</v>
      </c>
      <c r="F260" s="610">
        <f>F256*E260</f>
        <v>0.12150000000000001</v>
      </c>
      <c r="G260" s="24"/>
      <c r="H260" s="573"/>
      <c r="I260" s="573"/>
      <c r="J260" s="24"/>
      <c r="K260" s="573"/>
      <c r="L260" s="573"/>
      <c r="M260" s="573"/>
    </row>
    <row r="261" spans="1:13">
      <c r="A261" s="550"/>
      <c r="B261" s="550"/>
      <c r="C261" s="632" t="s">
        <v>9</v>
      </c>
      <c r="D261" s="632"/>
      <c r="E261" s="632"/>
      <c r="F261" s="632"/>
      <c r="G261" s="633"/>
      <c r="H261" s="634"/>
      <c r="I261" s="633"/>
      <c r="J261" s="634"/>
      <c r="K261" s="633"/>
      <c r="L261" s="634"/>
      <c r="M261" s="635"/>
    </row>
    <row r="262" spans="1:13">
      <c r="A262" s="550"/>
      <c r="B262" s="550"/>
      <c r="C262" s="401" t="s">
        <v>76</v>
      </c>
      <c r="D262" s="636" t="s">
        <v>338</v>
      </c>
      <c r="E262" s="637"/>
      <c r="F262" s="638"/>
      <c r="G262" s="638"/>
      <c r="H262" s="638"/>
      <c r="I262" s="638"/>
      <c r="J262" s="638"/>
      <c r="K262" s="638"/>
      <c r="L262" s="638"/>
      <c r="M262" s="638"/>
    </row>
    <row r="263" spans="1:13">
      <c r="A263" s="550"/>
      <c r="B263" s="550"/>
      <c r="C263" s="401" t="s">
        <v>9</v>
      </c>
      <c r="D263" s="401"/>
      <c r="E263" s="401"/>
      <c r="F263" s="639"/>
      <c r="G263" s="638"/>
      <c r="H263" s="638"/>
      <c r="I263" s="638"/>
      <c r="J263" s="638"/>
      <c r="K263" s="638"/>
      <c r="L263" s="638"/>
      <c r="M263" s="640"/>
    </row>
    <row r="264" spans="1:13">
      <c r="A264" s="550"/>
      <c r="B264" s="550"/>
      <c r="C264" s="401" t="s">
        <v>77</v>
      </c>
      <c r="D264" s="636" t="s">
        <v>338</v>
      </c>
      <c r="E264" s="637"/>
      <c r="F264" s="638"/>
      <c r="G264" s="638"/>
      <c r="H264" s="638"/>
      <c r="I264" s="638"/>
      <c r="J264" s="638"/>
      <c r="K264" s="638"/>
      <c r="L264" s="638"/>
      <c r="M264" s="638"/>
    </row>
    <row r="265" spans="1:13">
      <c r="A265" s="550"/>
      <c r="B265" s="550"/>
      <c r="C265" s="401" t="s">
        <v>9</v>
      </c>
      <c r="D265" s="401"/>
      <c r="E265" s="401"/>
      <c r="F265" s="638"/>
      <c r="G265" s="638"/>
      <c r="H265" s="638"/>
      <c r="I265" s="638"/>
      <c r="J265" s="638"/>
      <c r="K265" s="638"/>
      <c r="L265" s="638"/>
      <c r="M265" s="640"/>
    </row>
    <row r="266" spans="1:13">
      <c r="A266" s="611"/>
      <c r="B266" s="612"/>
      <c r="C266" s="37" t="s">
        <v>314</v>
      </c>
      <c r="D266" s="612"/>
      <c r="E266" s="612"/>
      <c r="F266" s="612"/>
      <c r="G266" s="612"/>
      <c r="H266" s="612"/>
      <c r="I266" s="612"/>
      <c r="J266" s="612"/>
      <c r="K266" s="612"/>
      <c r="L266" s="612"/>
      <c r="M266" s="59"/>
    </row>
    <row r="267" spans="1:13" ht="33" customHeight="1">
      <c r="A267" s="621"/>
      <c r="B267" s="625" t="s">
        <v>332</v>
      </c>
      <c r="C267" s="625" t="s">
        <v>101</v>
      </c>
      <c r="D267" s="621"/>
      <c r="E267" s="622"/>
      <c r="F267" s="623"/>
      <c r="G267" s="60"/>
      <c r="H267" s="60"/>
      <c r="I267" s="60"/>
      <c r="J267" s="60"/>
      <c r="K267" s="60"/>
      <c r="L267" s="60"/>
      <c r="M267" s="60"/>
    </row>
    <row r="268" spans="1:13">
      <c r="A268" s="291">
        <v>1</v>
      </c>
      <c r="B268" s="155"/>
      <c r="C268" s="159" t="s">
        <v>66</v>
      </c>
      <c r="D268" s="156" t="s">
        <v>28</v>
      </c>
      <c r="E268" s="283"/>
      <c r="F268" s="290">
        <v>11</v>
      </c>
      <c r="G268" s="284"/>
      <c r="H268" s="284"/>
      <c r="I268" s="279"/>
      <c r="J268" s="280"/>
      <c r="K268" s="284"/>
      <c r="L268" s="284"/>
      <c r="M268" s="280"/>
    </row>
    <row r="269" spans="1:13">
      <c r="A269" s="292"/>
      <c r="B269" s="160" t="s">
        <v>53</v>
      </c>
      <c r="C269" s="160" t="s">
        <v>67</v>
      </c>
      <c r="D269" s="160" t="s">
        <v>55</v>
      </c>
      <c r="E269" s="281">
        <v>1</v>
      </c>
      <c r="F269" s="237">
        <f>F268*E269</f>
        <v>11</v>
      </c>
      <c r="G269" s="285"/>
      <c r="H269" s="285"/>
      <c r="I269" s="282"/>
      <c r="J269" s="281"/>
      <c r="K269" s="285"/>
      <c r="L269" s="285"/>
      <c r="M269" s="281"/>
    </row>
    <row r="270" spans="1:13" ht="25.5">
      <c r="A270" s="291">
        <v>2</v>
      </c>
      <c r="B270" s="155"/>
      <c r="C270" s="159" t="s">
        <v>177</v>
      </c>
      <c r="D270" s="156" t="s">
        <v>28</v>
      </c>
      <c r="E270" s="283"/>
      <c r="F270" s="290">
        <v>7</v>
      </c>
      <c r="G270" s="284"/>
      <c r="H270" s="285"/>
      <c r="I270" s="279"/>
      <c r="J270" s="281"/>
      <c r="K270" s="284"/>
      <c r="L270" s="285"/>
      <c r="M270" s="281"/>
    </row>
    <row r="271" spans="1:13" ht="25.5">
      <c r="A271" s="292"/>
      <c r="B271" s="160" t="s">
        <v>53</v>
      </c>
      <c r="C271" s="150" t="s">
        <v>68</v>
      </c>
      <c r="D271" s="160" t="s">
        <v>55</v>
      </c>
      <c r="E271" s="281">
        <v>1</v>
      </c>
      <c r="F271" s="237">
        <f>F270*E271</f>
        <v>7</v>
      </c>
      <c r="G271" s="285"/>
      <c r="H271" s="285"/>
      <c r="I271" s="282"/>
      <c r="J271" s="281"/>
      <c r="K271" s="285"/>
      <c r="L271" s="285"/>
      <c r="M271" s="281"/>
    </row>
    <row r="272" spans="1:13" ht="25.5">
      <c r="A272" s="292">
        <v>3</v>
      </c>
      <c r="B272" s="160"/>
      <c r="C272" s="310" t="s">
        <v>317</v>
      </c>
      <c r="D272" s="63" t="s">
        <v>100</v>
      </c>
      <c r="E272" s="387"/>
      <c r="F272" s="387">
        <v>1</v>
      </c>
      <c r="G272" s="237"/>
      <c r="H272" s="312"/>
      <c r="I272" s="237"/>
      <c r="J272" s="281"/>
      <c r="K272" s="312"/>
      <c r="L272" s="285"/>
      <c r="M272" s="237"/>
    </row>
    <row r="273" spans="1:13" ht="25.5">
      <c r="A273" s="292"/>
      <c r="B273" s="160" t="s">
        <v>53</v>
      </c>
      <c r="C273" s="313" t="s">
        <v>249</v>
      </c>
      <c r="D273" s="160" t="s">
        <v>55</v>
      </c>
      <c r="E273" s="281">
        <v>1</v>
      </c>
      <c r="F273" s="237">
        <f>F272*E273</f>
        <v>1</v>
      </c>
      <c r="G273" s="285"/>
      <c r="H273" s="285"/>
      <c r="I273" s="281"/>
      <c r="J273" s="281"/>
      <c r="K273" s="285"/>
      <c r="L273" s="285"/>
      <c r="M273" s="281"/>
    </row>
    <row r="274" spans="1:13" ht="25.5">
      <c r="A274" s="292">
        <v>4</v>
      </c>
      <c r="B274" s="160"/>
      <c r="C274" s="310" t="s">
        <v>248</v>
      </c>
      <c r="D274" s="311" t="s">
        <v>100</v>
      </c>
      <c r="E274" s="309"/>
      <c r="F274" s="309">
        <v>1</v>
      </c>
      <c r="G274" s="237"/>
      <c r="H274" s="312"/>
      <c r="I274" s="237"/>
      <c r="J274" s="281"/>
      <c r="K274" s="312"/>
      <c r="L274" s="285"/>
      <c r="M274" s="237"/>
    </row>
    <row r="275" spans="1:13">
      <c r="A275" s="292"/>
      <c r="B275" s="160" t="s">
        <v>53</v>
      </c>
      <c r="C275" s="313" t="s">
        <v>316</v>
      </c>
      <c r="D275" s="160" t="s">
        <v>55</v>
      </c>
      <c r="E275" s="281">
        <v>1</v>
      </c>
      <c r="F275" s="237">
        <f>F274*E275</f>
        <v>1</v>
      </c>
      <c r="G275" s="285"/>
      <c r="H275" s="285"/>
      <c r="I275" s="281"/>
      <c r="J275" s="281"/>
      <c r="K275" s="285"/>
      <c r="L275" s="285"/>
      <c r="M275" s="281"/>
    </row>
    <row r="276" spans="1:13">
      <c r="A276" s="157"/>
      <c r="B276" s="149"/>
      <c r="C276" s="151" t="s">
        <v>0</v>
      </c>
      <c r="D276" s="206"/>
      <c r="E276" s="641"/>
      <c r="F276" s="275"/>
      <c r="G276" s="275"/>
      <c r="H276" s="275"/>
      <c r="I276" s="275"/>
      <c r="J276" s="275"/>
      <c r="K276" s="275"/>
      <c r="L276" s="275"/>
      <c r="M276" s="642"/>
    </row>
    <row r="277" spans="1:13">
      <c r="A277" s="157"/>
      <c r="B277" s="149"/>
      <c r="C277" s="151" t="s">
        <v>10</v>
      </c>
      <c r="D277" s="206"/>
      <c r="E277" s="643" t="s">
        <v>338</v>
      </c>
      <c r="F277" s="275"/>
      <c r="G277" s="275"/>
      <c r="H277" s="275"/>
      <c r="I277" s="275"/>
      <c r="J277" s="275"/>
      <c r="K277" s="275"/>
      <c r="L277" s="275"/>
      <c r="M277" s="275"/>
    </row>
    <row r="278" spans="1:13">
      <c r="A278" s="157"/>
      <c r="B278" s="149"/>
      <c r="C278" s="151" t="s">
        <v>0</v>
      </c>
      <c r="D278" s="206"/>
      <c r="E278" s="643"/>
      <c r="F278" s="275"/>
      <c r="G278" s="275"/>
      <c r="H278" s="642"/>
      <c r="I278" s="275"/>
      <c r="J278" s="642"/>
      <c r="K278" s="275"/>
      <c r="L278" s="275"/>
      <c r="M278" s="642"/>
    </row>
    <row r="279" spans="1:13">
      <c r="A279" s="157"/>
      <c r="B279" s="149"/>
      <c r="C279" s="151" t="s">
        <v>11</v>
      </c>
      <c r="D279" s="206"/>
      <c r="E279" s="265" t="s">
        <v>338</v>
      </c>
      <c r="F279" s="275"/>
      <c r="G279" s="275"/>
      <c r="H279" s="275"/>
      <c r="I279" s="275"/>
      <c r="J279" s="275"/>
      <c r="K279" s="275"/>
      <c r="L279" s="275"/>
      <c r="M279" s="275"/>
    </row>
    <row r="280" spans="1:13">
      <c r="A280" s="269"/>
      <c r="B280" s="286"/>
      <c r="C280" s="252" t="s">
        <v>18</v>
      </c>
      <c r="D280" s="286"/>
      <c r="E280" s="288"/>
      <c r="F280" s="287"/>
      <c r="G280" s="287"/>
      <c r="H280" s="274"/>
      <c r="I280" s="287"/>
      <c r="J280" s="274"/>
      <c r="K280" s="287"/>
      <c r="L280" s="287"/>
      <c r="M280" s="289"/>
    </row>
    <row r="281" spans="1:13" ht="33" customHeight="1">
      <c r="A281" s="621"/>
      <c r="B281" s="625" t="s">
        <v>334</v>
      </c>
      <c r="C281" s="625" t="s">
        <v>333</v>
      </c>
      <c r="D281" s="621"/>
      <c r="E281" s="622"/>
      <c r="F281" s="623"/>
      <c r="G281" s="60"/>
      <c r="H281" s="60"/>
      <c r="I281" s="60"/>
      <c r="J281" s="60"/>
      <c r="K281" s="60"/>
      <c r="L281" s="60"/>
      <c r="M281" s="60"/>
    </row>
    <row r="282" spans="1:13" ht="40.5">
      <c r="A282" s="258">
        <v>1</v>
      </c>
      <c r="B282" s="22" t="s">
        <v>180</v>
      </c>
      <c r="C282" s="145" t="s">
        <v>181</v>
      </c>
      <c r="D282" s="12" t="s">
        <v>182</v>
      </c>
      <c r="E282" s="258"/>
      <c r="F282" s="233">
        <f>F287</f>
        <v>7</v>
      </c>
      <c r="G282" s="268"/>
      <c r="H282" s="268"/>
      <c r="I282" s="262"/>
      <c r="J282" s="262"/>
      <c r="K282" s="262"/>
      <c r="L282" s="262"/>
      <c r="M282" s="259"/>
    </row>
    <row r="283" spans="1:13">
      <c r="A283" s="278"/>
      <c r="B283" s="299"/>
      <c r="C283" s="300" t="s">
        <v>129</v>
      </c>
      <c r="D283" s="299" t="s">
        <v>2</v>
      </c>
      <c r="E283" s="301">
        <f>10.2/100</f>
        <v>0.10199999999999999</v>
      </c>
      <c r="F283" s="220">
        <f>F282*E283</f>
        <v>0.71399999999999997</v>
      </c>
      <c r="G283" s="261"/>
      <c r="H283" s="261"/>
      <c r="I283" s="260"/>
      <c r="J283" s="260"/>
      <c r="K283" s="260"/>
      <c r="L283" s="260"/>
      <c r="M283" s="261"/>
    </row>
    <row r="284" spans="1:13">
      <c r="A284" s="278"/>
      <c r="B284" s="299" t="s">
        <v>183</v>
      </c>
      <c r="C284" s="300" t="s">
        <v>184</v>
      </c>
      <c r="D284" s="299" t="s">
        <v>185</v>
      </c>
      <c r="E284" s="302">
        <f>0.19/100</f>
        <v>1.9E-3</v>
      </c>
      <c r="F284" s="220">
        <f>F282*E284</f>
        <v>1.3299999999999999E-2</v>
      </c>
      <c r="G284" s="260"/>
      <c r="H284" s="260"/>
      <c r="I284" s="260"/>
      <c r="J284" s="260"/>
      <c r="K284" s="237"/>
      <c r="L284" s="261"/>
      <c r="M284" s="261"/>
    </row>
    <row r="285" spans="1:13">
      <c r="A285" s="278"/>
      <c r="B285" s="299" t="s">
        <v>186</v>
      </c>
      <c r="C285" s="300" t="s">
        <v>187</v>
      </c>
      <c r="D285" s="299" t="s">
        <v>185</v>
      </c>
      <c r="E285" s="302">
        <f>0.19/100</f>
        <v>1.9E-3</v>
      </c>
      <c r="F285" s="220">
        <f>F282*E285</f>
        <v>1.3299999999999999E-2</v>
      </c>
      <c r="G285" s="260"/>
      <c r="H285" s="260"/>
      <c r="I285" s="261"/>
      <c r="J285" s="261"/>
      <c r="K285" s="261"/>
      <c r="L285" s="261"/>
      <c r="M285" s="261"/>
    </row>
    <row r="286" spans="1:13">
      <c r="A286" s="278"/>
      <c r="B286" s="160" t="s">
        <v>53</v>
      </c>
      <c r="C286" s="300" t="s">
        <v>188</v>
      </c>
      <c r="D286" s="299" t="s">
        <v>4</v>
      </c>
      <c r="E286" s="302">
        <v>3.1289999999999998E-2</v>
      </c>
      <c r="F286" s="220">
        <f>F282*E286</f>
        <v>0.21903</v>
      </c>
      <c r="G286" s="260"/>
      <c r="H286" s="260"/>
      <c r="I286" s="261"/>
      <c r="J286" s="261"/>
      <c r="K286" s="260"/>
      <c r="L286" s="260"/>
      <c r="M286" s="261"/>
    </row>
    <row r="287" spans="1:13" ht="94.5">
      <c r="A287" s="258">
        <v>2</v>
      </c>
      <c r="B287" s="42" t="s">
        <v>189</v>
      </c>
      <c r="C287" s="15" t="s">
        <v>318</v>
      </c>
      <c r="D287" s="22" t="s">
        <v>190</v>
      </c>
      <c r="E287" s="258"/>
      <c r="F287" s="233">
        <f>F291+F292+F293</f>
        <v>7</v>
      </c>
      <c r="G287" s="262"/>
      <c r="H287" s="262"/>
      <c r="I287" s="262"/>
      <c r="J287" s="262"/>
      <c r="K287" s="268"/>
      <c r="L287" s="268"/>
      <c r="M287" s="259"/>
    </row>
    <row r="288" spans="1:13">
      <c r="A288" s="278"/>
      <c r="B288" s="299"/>
      <c r="C288" s="300" t="s">
        <v>129</v>
      </c>
      <c r="D288" s="299" t="s">
        <v>2</v>
      </c>
      <c r="E288" s="301">
        <f>10/10</f>
        <v>1</v>
      </c>
      <c r="F288" s="220">
        <f>F287*E288</f>
        <v>7</v>
      </c>
      <c r="G288" s="261"/>
      <c r="H288" s="261"/>
      <c r="I288" s="260"/>
      <c r="J288" s="260"/>
      <c r="K288" s="260"/>
      <c r="L288" s="260"/>
      <c r="M288" s="261"/>
    </row>
    <row r="289" spans="1:13">
      <c r="A289" s="278"/>
      <c r="B289" s="299" t="s">
        <v>191</v>
      </c>
      <c r="C289" s="300" t="s">
        <v>192</v>
      </c>
      <c r="D289" s="299" t="s">
        <v>185</v>
      </c>
      <c r="E289" s="302">
        <f>0.3/10</f>
        <v>0.03</v>
      </c>
      <c r="F289" s="220">
        <f>F287*E289</f>
        <v>0.21</v>
      </c>
      <c r="G289" s="261"/>
      <c r="H289" s="261"/>
      <c r="I289" s="261"/>
      <c r="J289" s="261"/>
      <c r="K289" s="261"/>
      <c r="L289" s="261"/>
      <c r="M289" s="261"/>
    </row>
    <row r="290" spans="1:13">
      <c r="A290" s="278"/>
      <c r="B290" s="299" t="s">
        <v>193</v>
      </c>
      <c r="C290" s="300" t="s">
        <v>194</v>
      </c>
      <c r="D290" s="299" t="s">
        <v>185</v>
      </c>
      <c r="E290" s="302">
        <f>1.12/10</f>
        <v>0.11200000000000002</v>
      </c>
      <c r="F290" s="220">
        <f>F287*E290</f>
        <v>0.78400000000000014</v>
      </c>
      <c r="G290" s="261"/>
      <c r="H290" s="261"/>
      <c r="I290" s="261"/>
      <c r="J290" s="261"/>
      <c r="K290" s="261"/>
      <c r="L290" s="261"/>
      <c r="M290" s="261"/>
    </row>
    <row r="291" spans="1:13" ht="63.75">
      <c r="A291" s="299">
        <v>2.1</v>
      </c>
      <c r="B291" s="154" t="s">
        <v>6</v>
      </c>
      <c r="C291" s="384" t="s">
        <v>244</v>
      </c>
      <c r="D291" s="78" t="s">
        <v>195</v>
      </c>
      <c r="E291" s="154"/>
      <c r="F291" s="385">
        <v>3</v>
      </c>
      <c r="G291" s="154"/>
      <c r="H291" s="153"/>
      <c r="I291" s="154"/>
      <c r="J291" s="386"/>
      <c r="K291" s="386"/>
      <c r="L291" s="386"/>
      <c r="M291" s="386"/>
    </row>
    <row r="292" spans="1:13" ht="48.75">
      <c r="A292" s="299">
        <v>2.2000000000000002</v>
      </c>
      <c r="B292" s="154" t="s">
        <v>6</v>
      </c>
      <c r="C292" s="384" t="s">
        <v>245</v>
      </c>
      <c r="D292" s="78" t="s">
        <v>195</v>
      </c>
      <c r="E292" s="154"/>
      <c r="F292" s="385">
        <v>2</v>
      </c>
      <c r="G292" s="154"/>
      <c r="H292" s="153"/>
      <c r="I292" s="154"/>
      <c r="J292" s="386"/>
      <c r="K292" s="386"/>
      <c r="L292" s="386"/>
      <c r="M292" s="386"/>
    </row>
    <row r="293" spans="1:13" ht="51">
      <c r="A293" s="299">
        <v>2.4</v>
      </c>
      <c r="B293" s="154"/>
      <c r="C293" s="384" t="s">
        <v>246</v>
      </c>
      <c r="D293" s="78" t="s">
        <v>195</v>
      </c>
      <c r="E293" s="154"/>
      <c r="F293" s="385">
        <v>2</v>
      </c>
      <c r="G293" s="154"/>
      <c r="H293" s="153"/>
      <c r="I293" s="154"/>
      <c r="J293" s="386"/>
      <c r="K293" s="386"/>
      <c r="L293" s="386"/>
      <c r="M293" s="386"/>
    </row>
    <row r="294" spans="1:13">
      <c r="A294" s="278"/>
      <c r="B294" s="299" t="s">
        <v>196</v>
      </c>
      <c r="C294" s="300" t="s">
        <v>197</v>
      </c>
      <c r="D294" s="299" t="s">
        <v>4</v>
      </c>
      <c r="E294" s="302">
        <v>0.107</v>
      </c>
      <c r="F294" s="220">
        <f>F287*E294</f>
        <v>0.749</v>
      </c>
      <c r="G294" s="261"/>
      <c r="H294" s="261"/>
      <c r="I294" s="261"/>
      <c r="J294" s="261"/>
      <c r="K294" s="260"/>
      <c r="L294" s="260"/>
      <c r="M294" s="261"/>
    </row>
    <row r="295" spans="1:13" ht="27">
      <c r="A295" s="258">
        <v>3</v>
      </c>
      <c r="B295" s="42" t="s">
        <v>198</v>
      </c>
      <c r="C295" s="15" t="s">
        <v>199</v>
      </c>
      <c r="D295" s="22" t="s">
        <v>200</v>
      </c>
      <c r="E295" s="258"/>
      <c r="F295" s="259">
        <f>F297+F298+F299+F300</f>
        <v>72</v>
      </c>
      <c r="G295" s="268"/>
      <c r="H295" s="268"/>
      <c r="I295" s="268"/>
      <c r="J295" s="268"/>
      <c r="K295" s="262"/>
      <c r="L295" s="262"/>
      <c r="M295" s="259"/>
    </row>
    <row r="296" spans="1:13">
      <c r="A296" s="305"/>
      <c r="B296" s="306"/>
      <c r="C296" s="300" t="s">
        <v>129</v>
      </c>
      <c r="D296" s="299" t="s">
        <v>2</v>
      </c>
      <c r="E296" s="301">
        <f>0.91/10</f>
        <v>9.0999999999999998E-2</v>
      </c>
      <c r="F296" s="261">
        <f>F295*E296</f>
        <v>6.5519999999999996</v>
      </c>
      <c r="G296" s="261"/>
      <c r="H296" s="261"/>
      <c r="I296" s="260"/>
      <c r="J296" s="260"/>
      <c r="K296" s="260"/>
      <c r="L296" s="260"/>
      <c r="M296" s="261"/>
    </row>
    <row r="297" spans="1:13" ht="51">
      <c r="A297" s="305"/>
      <c r="B297" s="299" t="s">
        <v>53</v>
      </c>
      <c r="C297" s="303" t="s">
        <v>321</v>
      </c>
      <c r="D297" s="23" t="s">
        <v>195</v>
      </c>
      <c r="E297" s="307"/>
      <c r="F297" s="304">
        <v>20</v>
      </c>
      <c r="G297" s="307"/>
      <c r="H297" s="307"/>
      <c r="I297" s="261"/>
      <c r="J297" s="261"/>
      <c r="K297" s="261"/>
      <c r="L297" s="261"/>
      <c r="M297" s="261"/>
    </row>
    <row r="298" spans="1:13" ht="38.25">
      <c r="A298" s="305"/>
      <c r="B298" s="299" t="s">
        <v>53</v>
      </c>
      <c r="C298" s="303" t="s">
        <v>326</v>
      </c>
      <c r="D298" s="23" t="s">
        <v>195</v>
      </c>
      <c r="E298" s="307"/>
      <c r="F298" s="304">
        <v>40</v>
      </c>
      <c r="G298" s="307"/>
      <c r="H298" s="307"/>
      <c r="I298" s="261"/>
      <c r="J298" s="261"/>
      <c r="K298" s="261"/>
      <c r="L298" s="261"/>
      <c r="M298" s="261"/>
    </row>
    <row r="299" spans="1:13">
      <c r="A299" s="305"/>
      <c r="B299" s="299" t="s">
        <v>53</v>
      </c>
      <c r="C299" s="384" t="s">
        <v>324</v>
      </c>
      <c r="D299" s="560" t="s">
        <v>28</v>
      </c>
      <c r="E299" s="613"/>
      <c r="F299" s="614">
        <v>4</v>
      </c>
      <c r="G299" s="613"/>
      <c r="H299" s="613"/>
      <c r="I299" s="615"/>
      <c r="J299" s="615"/>
      <c r="K299" s="615"/>
      <c r="L299" s="615"/>
      <c r="M299" s="615"/>
    </row>
    <row r="300" spans="1:13">
      <c r="A300" s="305"/>
      <c r="B300" s="299" t="s">
        <v>53</v>
      </c>
      <c r="C300" s="384" t="s">
        <v>325</v>
      </c>
      <c r="D300" s="560" t="s">
        <v>28</v>
      </c>
      <c r="E300" s="613"/>
      <c r="F300" s="614">
        <v>8</v>
      </c>
      <c r="G300" s="613"/>
      <c r="H300" s="613"/>
      <c r="I300" s="615"/>
      <c r="J300" s="615"/>
      <c r="K300" s="615"/>
      <c r="L300" s="615"/>
      <c r="M300" s="615"/>
    </row>
    <row r="301" spans="1:13">
      <c r="A301" s="278"/>
      <c r="B301" s="299" t="s">
        <v>196</v>
      </c>
      <c r="C301" s="300" t="s">
        <v>197</v>
      </c>
      <c r="D301" s="299" t="s">
        <v>4</v>
      </c>
      <c r="E301" s="302">
        <f>0.36/10</f>
        <v>3.5999999999999997E-2</v>
      </c>
      <c r="F301" s="220">
        <f>F287*E301</f>
        <v>0.252</v>
      </c>
      <c r="G301" s="261"/>
      <c r="H301" s="261"/>
      <c r="I301" s="261"/>
      <c r="J301" s="261"/>
      <c r="K301" s="260"/>
      <c r="L301" s="260"/>
      <c r="M301" s="261"/>
    </row>
    <row r="302" spans="1:13" ht="25.5">
      <c r="A302" s="258">
        <v>4</v>
      </c>
      <c r="B302" s="42" t="s">
        <v>17</v>
      </c>
      <c r="C302" s="74" t="s">
        <v>111</v>
      </c>
      <c r="D302" s="42" t="s">
        <v>3</v>
      </c>
      <c r="E302" s="233"/>
      <c r="F302" s="233">
        <v>1250</v>
      </c>
      <c r="G302" s="233"/>
      <c r="H302" s="233"/>
      <c r="I302" s="233"/>
      <c r="J302" s="259"/>
      <c r="K302" s="267"/>
      <c r="L302" s="267"/>
      <c r="M302" s="259"/>
    </row>
    <row r="303" spans="1:13">
      <c r="A303" s="278"/>
      <c r="B303" s="154"/>
      <c r="C303" s="158" t="s">
        <v>20</v>
      </c>
      <c r="D303" s="154" t="s">
        <v>2</v>
      </c>
      <c r="E303" s="230">
        <f>38.3/100</f>
        <v>0.38299999999999995</v>
      </c>
      <c r="F303" s="220">
        <f>F302*E303</f>
        <v>478.74999999999994</v>
      </c>
      <c r="G303" s="220"/>
      <c r="H303" s="220"/>
      <c r="I303" s="228"/>
      <c r="J303" s="260"/>
      <c r="K303" s="260"/>
      <c r="L303" s="260"/>
      <c r="M303" s="261"/>
    </row>
    <row r="304" spans="1:13">
      <c r="A304" s="278"/>
      <c r="B304" s="154"/>
      <c r="C304" s="158" t="s">
        <v>103</v>
      </c>
      <c r="D304" s="154" t="s">
        <v>4</v>
      </c>
      <c r="E304" s="230">
        <v>0.15</v>
      </c>
      <c r="F304" s="220">
        <f>F302*E304</f>
        <v>187.5</v>
      </c>
      <c r="G304" s="220"/>
      <c r="H304" s="220"/>
      <c r="I304" s="220"/>
      <c r="J304" s="261"/>
      <c r="K304" s="260"/>
      <c r="L304" s="260"/>
      <c r="M304" s="261"/>
    </row>
    <row r="305" spans="1:13" ht="54">
      <c r="A305" s="258">
        <v>5</v>
      </c>
      <c r="B305" s="22" t="s">
        <v>6</v>
      </c>
      <c r="C305" s="145" t="s">
        <v>243</v>
      </c>
      <c r="D305" s="12" t="s">
        <v>3</v>
      </c>
      <c r="E305" s="259"/>
      <c r="F305" s="233">
        <f>F302</f>
        <v>1250</v>
      </c>
      <c r="G305" s="268"/>
      <c r="H305" s="268"/>
      <c r="I305" s="262"/>
      <c r="J305" s="262"/>
      <c r="K305" s="268"/>
      <c r="L305" s="268"/>
      <c r="M305" s="262"/>
    </row>
    <row r="306" spans="1:13">
      <c r="A306" s="157"/>
      <c r="B306" s="10"/>
      <c r="C306" s="151" t="s">
        <v>0</v>
      </c>
      <c r="D306" s="10"/>
      <c r="E306" s="644"/>
      <c r="F306" s="263"/>
      <c r="G306" s="263"/>
      <c r="H306" s="263"/>
      <c r="I306" s="263"/>
      <c r="J306" s="263"/>
      <c r="K306" s="263"/>
      <c r="L306" s="263"/>
      <c r="M306" s="645"/>
    </row>
    <row r="307" spans="1:13">
      <c r="A307" s="157"/>
      <c r="B307" s="10"/>
      <c r="C307" s="151" t="s">
        <v>10</v>
      </c>
      <c r="D307" s="646"/>
      <c r="E307" s="643" t="s">
        <v>338</v>
      </c>
      <c r="F307" s="264"/>
      <c r="G307" s="264"/>
      <c r="H307" s="264"/>
      <c r="I307" s="264"/>
      <c r="J307" s="264"/>
      <c r="K307" s="264"/>
      <c r="L307" s="263"/>
      <c r="M307" s="277"/>
    </row>
    <row r="308" spans="1:13">
      <c r="A308" s="157"/>
      <c r="B308" s="10"/>
      <c r="C308" s="151" t="s">
        <v>0</v>
      </c>
      <c r="D308" s="646"/>
      <c r="E308" s="643"/>
      <c r="F308" s="264"/>
      <c r="G308" s="264"/>
      <c r="H308" s="264"/>
      <c r="I308" s="264"/>
      <c r="J308" s="264"/>
      <c r="K308" s="264"/>
      <c r="L308" s="263"/>
      <c r="M308" s="645"/>
    </row>
    <row r="309" spans="1:13">
      <c r="A309" s="157"/>
      <c r="B309" s="138"/>
      <c r="C309" s="139" t="s">
        <v>11</v>
      </c>
      <c r="D309" s="205"/>
      <c r="E309" s="265" t="s">
        <v>338</v>
      </c>
      <c r="F309" s="266"/>
      <c r="G309" s="266"/>
      <c r="H309" s="266"/>
      <c r="I309" s="266"/>
      <c r="J309" s="264"/>
      <c r="K309" s="264"/>
      <c r="L309" s="263"/>
      <c r="M309" s="277"/>
    </row>
    <row r="310" spans="1:13">
      <c r="A310" s="269"/>
      <c r="B310" s="253"/>
      <c r="C310" s="252" t="s">
        <v>18</v>
      </c>
      <c r="D310" s="272"/>
      <c r="E310" s="273"/>
      <c r="F310" s="271"/>
      <c r="G310" s="271"/>
      <c r="H310" s="271"/>
      <c r="I310" s="271"/>
      <c r="J310" s="271"/>
      <c r="K310" s="271"/>
      <c r="L310" s="270"/>
      <c r="M310" s="276"/>
    </row>
    <row r="311" spans="1:13" ht="33">
      <c r="A311" s="647"/>
      <c r="B311" s="648"/>
      <c r="C311" s="649" t="s">
        <v>335</v>
      </c>
      <c r="D311" s="648"/>
      <c r="E311" s="650"/>
      <c r="F311" s="651"/>
      <c r="G311" s="651"/>
      <c r="H311" s="652"/>
      <c r="I311" s="651"/>
      <c r="J311" s="652"/>
      <c r="K311" s="651"/>
      <c r="L311" s="651"/>
      <c r="M311" s="652"/>
    </row>
    <row r="312" spans="1:13">
      <c r="A312" s="653"/>
      <c r="B312" s="654"/>
      <c r="C312" s="655" t="s">
        <v>336</v>
      </c>
      <c r="D312" s="656"/>
      <c r="E312" s="657">
        <v>0.03</v>
      </c>
      <c r="F312" s="658"/>
      <c r="G312" s="654"/>
      <c r="H312" s="654"/>
      <c r="I312" s="654"/>
      <c r="J312" s="654"/>
      <c r="K312" s="654"/>
      <c r="L312" s="654"/>
      <c r="M312" s="659"/>
    </row>
    <row r="313" spans="1:13">
      <c r="A313" s="653"/>
      <c r="B313" s="654"/>
      <c r="C313" s="655" t="s">
        <v>9</v>
      </c>
      <c r="D313" s="656"/>
      <c r="E313" s="654"/>
      <c r="F313" s="658"/>
      <c r="G313" s="654"/>
      <c r="H313" s="654"/>
      <c r="I313" s="654"/>
      <c r="J313" s="654"/>
      <c r="K313" s="654"/>
      <c r="L313" s="654"/>
      <c r="M313" s="660"/>
    </row>
    <row r="314" spans="1:13">
      <c r="A314" s="653"/>
      <c r="B314" s="654"/>
      <c r="C314" s="655" t="s">
        <v>337</v>
      </c>
      <c r="D314" s="656"/>
      <c r="E314" s="657">
        <v>0.18</v>
      </c>
      <c r="F314" s="658"/>
      <c r="G314" s="654"/>
      <c r="H314" s="654"/>
      <c r="I314" s="654"/>
      <c r="J314" s="654"/>
      <c r="K314" s="654"/>
      <c r="L314" s="654"/>
      <c r="M314" s="659"/>
    </row>
    <row r="315" spans="1:13">
      <c r="A315" s="661"/>
      <c r="B315" s="662"/>
      <c r="C315" s="663" t="s">
        <v>9</v>
      </c>
      <c r="D315" s="664"/>
      <c r="E315" s="662"/>
      <c r="F315" s="665"/>
      <c r="G315" s="662"/>
      <c r="H315" s="662"/>
      <c r="I315" s="662"/>
      <c r="J315" s="662"/>
      <c r="K315" s="662"/>
      <c r="L315" s="662"/>
      <c r="M315" s="666"/>
    </row>
    <row r="316" spans="1:13">
      <c r="A316" s="682"/>
      <c r="B316" s="676"/>
      <c r="C316" s="677" t="s">
        <v>339</v>
      </c>
      <c r="D316" s="678"/>
      <c r="E316" s="678" t="s">
        <v>338</v>
      </c>
      <c r="F316" s="676"/>
      <c r="G316" s="676"/>
      <c r="H316" s="679"/>
      <c r="I316" s="676"/>
      <c r="J316" s="676"/>
      <c r="K316" s="676"/>
      <c r="L316" s="676"/>
      <c r="M316" s="683"/>
    </row>
    <row r="317" spans="1:13">
      <c r="A317" s="682"/>
      <c r="B317" s="676"/>
      <c r="C317" s="680" t="s">
        <v>9</v>
      </c>
      <c r="D317" s="681"/>
      <c r="E317" s="681"/>
      <c r="F317" s="676"/>
      <c r="G317" s="676"/>
      <c r="H317" s="679"/>
      <c r="I317" s="676"/>
      <c r="J317" s="676"/>
      <c r="K317" s="676"/>
      <c r="L317" s="676"/>
      <c r="M317" s="683"/>
    </row>
    <row r="320" spans="1:13">
      <c r="I320" s="667"/>
    </row>
  </sheetData>
  <mergeCells count="18">
    <mergeCell ref="A1:M1"/>
    <mergeCell ref="L3:L4"/>
    <mergeCell ref="D2:F2"/>
    <mergeCell ref="J3:J4"/>
    <mergeCell ref="B2:B4"/>
    <mergeCell ref="A2:A4"/>
    <mergeCell ref="C2:C4"/>
    <mergeCell ref="D3:D4"/>
    <mergeCell ref="E3:E4"/>
    <mergeCell ref="G3:G4"/>
    <mergeCell ref="F3:F4"/>
    <mergeCell ref="G2:H2"/>
    <mergeCell ref="K2:L2"/>
    <mergeCell ref="K3:K4"/>
    <mergeCell ref="H3:H4"/>
    <mergeCell ref="I2:J2"/>
    <mergeCell ref="M2:M4"/>
    <mergeCell ref="I3:I4"/>
  </mergeCells>
  <conditionalFormatting sqref="D13:D24">
    <cfRule type="cellIs" dxfId="0" priority="6" stopIfTrue="1" operator="equal">
      <formula>0</formula>
    </cfRule>
  </conditionalFormatting>
  <pageMargins left="0.25" right="0" top="0.31496062992126" bottom="0.183070866" header="0.118110236220472" footer="0.15748031496063"/>
  <pageSetup paperSize="9" scale="90" orientation="landscape" verticalDpi="4294967294" r:id="rId1"/>
  <headerFooter alignWithMargins="0">
    <oddFooter>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სამშენებლო</vt:lpstr>
      <vt:lpstr>სამშენებლო!Print_Area</vt:lpstr>
      <vt:lpstr>სამშენებლო!Print_Titles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2020-04-24T11:33:25Z</dcterms:modified>
</cp:coreProperties>
</file>