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adeishvili\Desktop\23-03-2020_20-57-59\"/>
    </mc:Choice>
  </mc:AlternateContent>
  <bookViews>
    <workbookView xWindow="0" yWindow="0" windowWidth="28800" windowHeight="12228" tabRatio="942" firstSheet="3" activeTab="3"/>
  </bookViews>
  <sheets>
    <sheet name="ხე-მცენ. გაწმენ. მოც. უწყისი" sheetId="41" state="hidden" r:id="rId1"/>
    <sheet name="მიერთებების მოც.უწყისი" sheetId="14" state="hidden" r:id="rId2"/>
    <sheet name="ე.შ.მოც.უწყისი" sheetId="30" state="hidden" r:id="rId3"/>
    <sheet name="მიწის სამუშაოების უწყისი " sheetId="61" r:id="rId4"/>
    <sheet name="არსებული ჭები" sheetId="74" r:id="rId5"/>
    <sheet name="პკ 0+77 ჭის რეაბილიტაცია" sheetId="83" r:id="rId6"/>
    <sheet name="დახურული ტიპის სანიაღვრე არხი" sheetId="81" r:id="rId7"/>
    <sheet name="ეზოში შესასვლელები" sheetId="82" r:id="rId8"/>
    <sheet name="საგზაო სამოსის მოწყობის უწყისი" sheetId="77" r:id="rId9"/>
    <sheet name="კრებსითი მოცულობები" sheetId="60" r:id="rId10"/>
  </sheets>
  <definedNames>
    <definedName name="_xlnm.Print_Area" localSheetId="4">'არსებული ჭები'!$A$1:$J$19</definedName>
    <definedName name="_xlnm.Print_Area" localSheetId="6">'დახურული ტიპის სანიაღვრე არხი'!$A$1:$W$16</definedName>
    <definedName name="_xlnm.Print_Area" localSheetId="2">ე.შ.მოც.უწყისი!$A$1:$N$37</definedName>
    <definedName name="_xlnm.Print_Area" localSheetId="7">'ეზოში შესასვლელები'!$A$1:$Q$14</definedName>
    <definedName name="_xlnm.Print_Area" localSheetId="9">'კრებსითი მოცულობები'!$A$1:$D$76</definedName>
    <definedName name="_xlnm.Print_Area" localSheetId="1">'მიერთებების მოც.უწყისი'!$A$1:$P$19</definedName>
    <definedName name="_xlnm.Print_Area" localSheetId="3">'მიწის სამუშაოების უწყისი '!$A$1:$E$43</definedName>
    <definedName name="_xlnm.Print_Area" localSheetId="5">'პკ 0+77 ჭის რეაბილიტაცია'!$A$1:$D$26</definedName>
    <definedName name="_xlnm.Print_Area" localSheetId="8">'საგზაო სამოსის მოწყობის უწყისი'!$A$1:$Y$13</definedName>
  </definedNames>
  <calcPr calcId="191029"/>
</workbook>
</file>

<file path=xl/calcChain.xml><?xml version="1.0" encoding="utf-8"?>
<calcChain xmlns="http://schemas.openxmlformats.org/spreadsheetml/2006/main">
  <c r="R9" i="81" l="1"/>
  <c r="R10" i="81"/>
  <c r="R11" i="81"/>
  <c r="R12" i="81"/>
  <c r="R13" i="81"/>
  <c r="R8" i="81"/>
  <c r="P9" i="81"/>
  <c r="P10" i="81"/>
  <c r="P11" i="81"/>
  <c r="P12" i="81"/>
  <c r="P13" i="81"/>
  <c r="P8" i="81"/>
  <c r="N9" i="81" l="1"/>
  <c r="N10" i="81"/>
  <c r="N11" i="81"/>
  <c r="N12" i="81"/>
  <c r="N13" i="81"/>
  <c r="N8" i="81"/>
  <c r="K9" i="81"/>
  <c r="K10" i="81"/>
  <c r="K11" i="81"/>
  <c r="K12" i="81"/>
  <c r="K13" i="81"/>
  <c r="J9" i="81"/>
  <c r="J10" i="81"/>
  <c r="J11" i="81"/>
  <c r="J12" i="81"/>
  <c r="J13" i="81"/>
  <c r="I9" i="81"/>
  <c r="I10" i="81"/>
  <c r="I11" i="81"/>
  <c r="I12" i="81"/>
  <c r="I13" i="81"/>
  <c r="I8" i="81"/>
  <c r="H9" i="81"/>
  <c r="H10" i="81"/>
  <c r="H11" i="81"/>
  <c r="H12" i="81"/>
  <c r="H13" i="81"/>
  <c r="H8" i="81"/>
  <c r="D75" i="60" l="1"/>
  <c r="L9" i="82" l="1"/>
  <c r="L10" i="82"/>
  <c r="L8" i="82"/>
  <c r="N8" i="77" l="1"/>
  <c r="M8" i="77"/>
  <c r="V8" i="81" l="1"/>
  <c r="T8" i="81"/>
  <c r="D8" i="83" l="1"/>
  <c r="D5" i="83"/>
  <c r="A5" i="83"/>
  <c r="A6" i="83" s="1"/>
  <c r="A7" i="83" s="1"/>
  <c r="A8" i="83" s="1"/>
  <c r="D4" i="83"/>
  <c r="D6" i="83" s="1"/>
  <c r="D59" i="60"/>
  <c r="D57" i="60"/>
  <c r="D43" i="60"/>
  <c r="D42" i="60"/>
  <c r="D41" i="60"/>
  <c r="A42" i="60"/>
  <c r="A43" i="60" s="1"/>
  <c r="A44" i="60" s="1"/>
  <c r="T14" i="81"/>
  <c r="D56" i="60" s="1"/>
  <c r="U14" i="81"/>
  <c r="V14" i="81"/>
  <c r="D58" i="60" s="1"/>
  <c r="W14" i="81"/>
  <c r="U8" i="81"/>
  <c r="W8" i="81" s="1"/>
  <c r="F8" i="81"/>
  <c r="E14" i="81"/>
  <c r="F14" i="81"/>
  <c r="G8" i="81"/>
  <c r="G14" i="81" s="1"/>
  <c r="M9" i="77"/>
  <c r="N9" i="77"/>
  <c r="D15" i="83" l="1"/>
  <c r="D7" i="83"/>
  <c r="D68" i="60"/>
  <c r="D65" i="60"/>
  <c r="D64" i="60"/>
  <c r="D62" i="60"/>
  <c r="A65" i="60"/>
  <c r="A66" i="60" s="1"/>
  <c r="A67" i="60" s="1"/>
  <c r="A68" i="60" s="1"/>
  <c r="U8" i="77"/>
  <c r="R8" i="77"/>
  <c r="D66" i="60" l="1"/>
  <c r="D67" i="60"/>
  <c r="O10" i="82"/>
  <c r="N10" i="82" s="1"/>
  <c r="F10" i="82"/>
  <c r="O9" i="82"/>
  <c r="N9" i="82" s="1"/>
  <c r="F9" i="82"/>
  <c r="A9" i="82"/>
  <c r="O8" i="82"/>
  <c r="Q8" i="82" s="1"/>
  <c r="P8" i="82" s="1"/>
  <c r="M8" i="82"/>
  <c r="F8" i="82"/>
  <c r="F11" i="82" s="1"/>
  <c r="B7" i="82"/>
  <c r="C7" i="82" s="1"/>
  <c r="D7" i="82" s="1"/>
  <c r="E7" i="82" s="1"/>
  <c r="F7" i="82" s="1"/>
  <c r="G7" i="82" s="1"/>
  <c r="H7" i="82" s="1"/>
  <c r="I7" i="82" s="1"/>
  <c r="J7" i="82" s="1"/>
  <c r="K7" i="82" s="1"/>
  <c r="L7" i="82" s="1"/>
  <c r="M7" i="82" s="1"/>
  <c r="N7" i="82" s="1"/>
  <c r="O7" i="82" s="1"/>
  <c r="P7" i="82" s="1"/>
  <c r="Q7" i="82" s="1"/>
  <c r="K9" i="82" l="1"/>
  <c r="M9" i="82"/>
  <c r="M11" i="82" s="1"/>
  <c r="O11" i="82"/>
  <c r="H9" i="82"/>
  <c r="K10" i="82"/>
  <c r="M10" i="82"/>
  <c r="L11" i="82"/>
  <c r="G10" i="82"/>
  <c r="Q9" i="82"/>
  <c r="P9" i="82" s="1"/>
  <c r="P11" i="82" s="1"/>
  <c r="N8" i="82"/>
  <c r="N11" i="82" s="1"/>
  <c r="G9" i="82"/>
  <c r="I9" i="82" s="1"/>
  <c r="J9" i="82" s="1"/>
  <c r="Q10" i="82"/>
  <c r="P10" i="82" s="1"/>
  <c r="H10" i="82"/>
  <c r="G8" i="82"/>
  <c r="H8" i="82"/>
  <c r="K8" i="82"/>
  <c r="D37" i="60" l="1"/>
  <c r="Q11" i="82"/>
  <c r="K11" i="82"/>
  <c r="H11" i="82"/>
  <c r="D34" i="60"/>
  <c r="D36" i="60"/>
  <c r="G11" i="82"/>
  <c r="D35" i="60"/>
  <c r="I10" i="82"/>
  <c r="J10" i="82" s="1"/>
  <c r="I8" i="82"/>
  <c r="D38" i="60" l="1"/>
  <c r="J8" i="82"/>
  <c r="J11" i="82" s="1"/>
  <c r="I11" i="82"/>
  <c r="D29" i="60"/>
  <c r="D33" i="60"/>
  <c r="D30" i="60"/>
  <c r="Q9" i="81"/>
  <c r="Q10" i="81"/>
  <c r="Q11" i="81"/>
  <c r="Q12" i="81"/>
  <c r="Q13" i="81"/>
  <c r="O9" i="81"/>
  <c r="O10" i="81"/>
  <c r="O11" i="81"/>
  <c r="O12" i="81"/>
  <c r="O13" i="81"/>
  <c r="O8" i="81"/>
  <c r="M9" i="81"/>
  <c r="M10" i="81"/>
  <c r="M11" i="81"/>
  <c r="M12" i="81"/>
  <c r="M13" i="81"/>
  <c r="M8" i="81"/>
  <c r="L9" i="81"/>
  <c r="L10" i="81"/>
  <c r="L11" i="81"/>
  <c r="L12" i="81"/>
  <c r="L13" i="81"/>
  <c r="L8" i="81"/>
  <c r="D14" i="81"/>
  <c r="C14" i="81"/>
  <c r="A9" i="81"/>
  <c r="A10" i="81" s="1"/>
  <c r="A11" i="81" s="1"/>
  <c r="A12" i="81" s="1"/>
  <c r="A13" i="81" s="1"/>
  <c r="Q8" i="81"/>
  <c r="B7" i="81"/>
  <c r="C7" i="81" s="1"/>
  <c r="D7" i="81" s="1"/>
  <c r="E7" i="81" s="1"/>
  <c r="F7" i="81" s="1"/>
  <c r="G7" i="81" s="1"/>
  <c r="H7" i="81" s="1"/>
  <c r="I7" i="81" s="1"/>
  <c r="J7" i="81" s="1"/>
  <c r="K7" i="81" s="1"/>
  <c r="L7" i="81" s="1"/>
  <c r="M7" i="81" s="1"/>
  <c r="N7" i="81" s="1"/>
  <c r="O7" i="81" s="1"/>
  <c r="P7" i="81" s="1"/>
  <c r="Q7" i="81" s="1"/>
  <c r="R7" i="81" s="1"/>
  <c r="S7" i="81" s="1"/>
  <c r="T7" i="81" s="1"/>
  <c r="U7" i="81" s="1"/>
  <c r="V7" i="81" s="1"/>
  <c r="W7" i="81" s="1"/>
  <c r="D31" i="60" l="1"/>
  <c r="D32" i="60"/>
  <c r="M14" i="81"/>
  <c r="P14" i="81"/>
  <c r="O14" i="81"/>
  <c r="L14" i="81"/>
  <c r="N14" i="81"/>
  <c r="R14" i="81"/>
  <c r="H14" i="81"/>
  <c r="Q14" i="81"/>
  <c r="D51" i="60" l="1"/>
  <c r="D48" i="60"/>
  <c r="D54" i="60"/>
  <c r="D52" i="60"/>
  <c r="S13" i="81"/>
  <c r="D44" i="60"/>
  <c r="D53" i="60"/>
  <c r="S12" i="81"/>
  <c r="D50" i="60"/>
  <c r="D49" i="60"/>
  <c r="J8" i="81"/>
  <c r="S8" i="81" s="1"/>
  <c r="I14" i="81"/>
  <c r="E16" i="61"/>
  <c r="S11" i="81" l="1"/>
  <c r="D45" i="60"/>
  <c r="S9" i="81"/>
  <c r="S10" i="81"/>
  <c r="J14" i="81"/>
  <c r="K8" i="81"/>
  <c r="S14" i="81" l="1"/>
  <c r="D55" i="60"/>
  <c r="K14" i="81"/>
  <c r="D46" i="60"/>
  <c r="A8" i="74"/>
  <c r="A9" i="74" s="1"/>
  <c r="A10" i="74" s="1"/>
  <c r="D47" i="60" l="1"/>
  <c r="C16" i="61"/>
  <c r="D16" i="61"/>
  <c r="D11" i="60" l="1"/>
  <c r="D10" i="60"/>
  <c r="A23" i="60"/>
  <c r="A24" i="60" s="1"/>
  <c r="A25" i="60" s="1"/>
  <c r="A26" i="60" s="1"/>
  <c r="A27" i="60" s="1"/>
  <c r="D12" i="60" l="1"/>
  <c r="D13" i="60" s="1"/>
  <c r="A45" i="60"/>
  <c r="A46" i="60" s="1"/>
  <c r="A47" i="60" s="1"/>
  <c r="A48" i="60" s="1"/>
  <c r="A49" i="60" s="1"/>
  <c r="A50" i="60" s="1"/>
  <c r="A51" i="60" l="1"/>
  <c r="A52" i="60" s="1"/>
  <c r="A53" i="60" s="1"/>
  <c r="A54" i="60" s="1"/>
  <c r="A55" i="60" s="1"/>
  <c r="A56" i="60" s="1"/>
  <c r="A57" i="60" s="1"/>
  <c r="A58" i="60" s="1"/>
  <c r="A59" i="60" s="1"/>
  <c r="P9" i="77" l="1"/>
  <c r="Q9" i="77"/>
  <c r="F8" i="77"/>
  <c r="D9" i="77" l="1"/>
  <c r="F9" i="77"/>
  <c r="D8" i="60" l="1"/>
  <c r="T8" i="77"/>
  <c r="O9" i="77"/>
  <c r="V8" i="77" l="1"/>
  <c r="Y8" i="77"/>
  <c r="R9" i="77"/>
  <c r="U9" i="77"/>
  <c r="T9" i="77"/>
  <c r="D24" i="60" l="1"/>
  <c r="D23" i="60"/>
  <c r="V9" i="77"/>
  <c r="Y9" i="77"/>
  <c r="B7" i="77"/>
  <c r="C7" i="77" s="1"/>
  <c r="D7" i="77" s="1"/>
  <c r="E7" i="77" s="1"/>
  <c r="F7" i="77" s="1"/>
  <c r="G7" i="77" l="1"/>
  <c r="H7" i="77" s="1"/>
  <c r="I7" i="77" s="1"/>
  <c r="J7" i="77" s="1"/>
  <c r="K7" i="77" s="1"/>
  <c r="L7" i="77" s="1"/>
  <c r="D27" i="60"/>
  <c r="D25" i="60"/>
  <c r="S8" i="77"/>
  <c r="S9" i="77" s="1"/>
  <c r="G8" i="77"/>
  <c r="J8" i="77"/>
  <c r="J9" i="77" s="1"/>
  <c r="X8" i="77"/>
  <c r="X9" i="77" s="1"/>
  <c r="G9" i="77" l="1"/>
  <c r="D16" i="60" s="1"/>
  <c r="H8" i="77"/>
  <c r="H9" i="77" s="1"/>
  <c r="P7" i="77"/>
  <c r="Q7" i="77" s="1"/>
  <c r="R7" i="77" s="1"/>
  <c r="S7" i="77" s="1"/>
  <c r="T7" i="77" s="1"/>
  <c r="U7" i="77" s="1"/>
  <c r="V7" i="77" s="1"/>
  <c r="W7" i="77" s="1"/>
  <c r="X7" i="77" s="1"/>
  <c r="Y7" i="77" s="1"/>
  <c r="M7" i="77"/>
  <c r="N7" i="77" s="1"/>
  <c r="D22" i="60"/>
  <c r="D26" i="60"/>
  <c r="D18" i="60"/>
  <c r="I8" i="77"/>
  <c r="I9" i="77" s="1"/>
  <c r="W8" i="77"/>
  <c r="W9" i="77" s="1"/>
  <c r="K8" i="77"/>
  <c r="K9" i="77" s="1"/>
  <c r="L8" i="77"/>
  <c r="L9" i="77" s="1"/>
  <c r="D19" i="60" l="1"/>
  <c r="D17" i="60"/>
  <c r="D20" i="60"/>
  <c r="D14" i="60"/>
  <c r="C6" i="74"/>
  <c r="D6" i="74" s="1"/>
  <c r="E6" i="74" s="1"/>
  <c r="F6" i="74" s="1"/>
  <c r="H6" i="74" s="1"/>
  <c r="I6" i="74" s="1"/>
  <c r="J6" i="74" s="1"/>
  <c r="A30" i="60" l="1"/>
  <c r="A31" i="60" s="1"/>
  <c r="A32" i="60" s="1"/>
  <c r="A17" i="60"/>
  <c r="A18" i="60" s="1"/>
  <c r="A19" i="60" s="1"/>
  <c r="A20" i="60" s="1"/>
  <c r="A33" i="60" l="1"/>
  <c r="A34" i="60" s="1"/>
  <c r="A35" i="60" s="1"/>
  <c r="A36" i="60" s="1"/>
  <c r="A37" i="60" s="1"/>
  <c r="A38" i="60" s="1"/>
  <c r="A9" i="61"/>
  <c r="A10" i="61" s="1"/>
  <c r="A11" i="61" s="1"/>
  <c r="A12" i="61" s="1"/>
  <c r="A13" i="61" s="1"/>
  <c r="A14" i="61" s="1"/>
  <c r="A15" i="61" s="1"/>
  <c r="A11" i="60" l="1"/>
  <c r="A12" i="60" s="1"/>
  <c r="A13" i="60" s="1"/>
  <c r="A14" i="60" s="1"/>
  <c r="G9" i="14" l="1"/>
  <c r="H8" i="14" l="1"/>
  <c r="H9" i="41"/>
  <c r="F9" i="41"/>
  <c r="I9" i="41" s="1"/>
  <c r="F8" i="41"/>
  <c r="H8" i="41" s="1"/>
  <c r="H10" i="41" s="1"/>
  <c r="G10" i="41"/>
  <c r="A9" i="41"/>
  <c r="B7" i="41"/>
  <c r="C7" i="41" s="1"/>
  <c r="D7" i="41" s="1"/>
  <c r="E7" i="41" s="1"/>
  <c r="F7" i="41" s="1"/>
  <c r="G7" i="41" s="1"/>
  <c r="H7" i="41" s="1"/>
  <c r="I7" i="41" s="1"/>
  <c r="I8" i="41" l="1"/>
  <c r="I10" i="41"/>
  <c r="F10" i="41"/>
  <c r="F8" i="14"/>
  <c r="I8" i="14" l="1"/>
  <c r="F9" i="14"/>
  <c r="J8" i="14"/>
  <c r="E28" i="30"/>
  <c r="E9" i="14"/>
  <c r="A9" i="30" l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N8" i="30"/>
  <c r="N28" i="30" s="1"/>
  <c r="M8" i="30"/>
  <c r="M28" i="30" s="1"/>
  <c r="F8" i="30"/>
  <c r="J8" i="30" s="1"/>
  <c r="B7" i="30"/>
  <c r="C7" i="30" s="1"/>
  <c r="D7" i="30" s="1"/>
  <c r="E7" i="30" s="1"/>
  <c r="F7" i="30" s="1"/>
  <c r="G7" i="30" s="1"/>
  <c r="H7" i="30" s="1"/>
  <c r="I7" i="30" s="1"/>
  <c r="J7" i="30" s="1"/>
  <c r="K7" i="30" s="1"/>
  <c r="L7" i="30" s="1"/>
  <c r="M7" i="30" s="1"/>
  <c r="N7" i="30" s="1"/>
  <c r="P8" i="14"/>
  <c r="P9" i="14" s="1"/>
  <c r="O8" i="14"/>
  <c r="O9" i="14" s="1"/>
  <c r="L8" i="14"/>
  <c r="B7" i="14"/>
  <c r="C7" i="14" s="1"/>
  <c r="D7" i="14" s="1"/>
  <c r="E7" i="14" s="1"/>
  <c r="F7" i="14" s="1"/>
  <c r="G7" i="14" s="1"/>
  <c r="H7" i="14" s="1"/>
  <c r="I7" i="14" s="1"/>
  <c r="J7" i="14" s="1"/>
  <c r="K7" i="14" s="1"/>
  <c r="L7" i="14" s="1"/>
  <c r="M7" i="14" s="1"/>
  <c r="N7" i="14" s="1"/>
  <c r="O7" i="14" s="1"/>
  <c r="P7" i="14" s="1"/>
  <c r="J28" i="30" l="1"/>
  <c r="K8" i="30"/>
  <c r="K28" i="30" s="1"/>
  <c r="H8" i="30"/>
  <c r="H28" i="30" s="1"/>
  <c r="L8" i="30"/>
  <c r="L28" i="30" s="1"/>
  <c r="L9" i="14"/>
  <c r="M8" i="14"/>
  <c r="G8" i="30"/>
  <c r="F28" i="30"/>
  <c r="N8" i="14"/>
  <c r="N9" i="14" s="1"/>
  <c r="M9" i="14"/>
  <c r="J9" i="14"/>
  <c r="I9" i="14"/>
  <c r="I8" i="30" l="1"/>
  <c r="I28" i="30" s="1"/>
  <c r="G28" i="30"/>
  <c r="K8" i="14"/>
  <c r="K9" i="14" s="1"/>
</calcChain>
</file>

<file path=xl/sharedStrings.xml><?xml version="1.0" encoding="utf-8"?>
<sst xmlns="http://schemas.openxmlformats.org/spreadsheetml/2006/main" count="456" uniqueCount="195">
  <si>
    <t>სამუშაოების დასახელება</t>
  </si>
  <si>
    <t>განზ</t>
  </si>
  <si>
    <t>რაოდ</t>
  </si>
  <si>
    <t>№</t>
  </si>
  <si>
    <t>ტნ</t>
  </si>
  <si>
    <t>იგივეს დამუშავება ხელით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</si>
  <si>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</si>
  <si>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გ.ნატრიაშვილი</t>
  </si>
  <si>
    <t>თავი I.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</si>
  <si>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</si>
  <si>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</si>
  <si>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იგივეს დამუშავება ხელით მიუდგომელ ადგილებში</t>
  </si>
  <si>
    <t>საფუძვლის მოსწორება დაპროფილება</t>
  </si>
  <si>
    <t>საფუძვლის ზედა ფენის მოწყობა ფრაქციული ღორღით 0-40 სისქით 15 სმ. კ=1,26</t>
  </si>
  <si>
    <r>
      <t>თხევადი ბიტუმის მოსხმა 1მ</t>
    </r>
    <r>
      <rPr>
        <vertAlign val="superscript"/>
        <sz val="10"/>
        <rFont val="Arial Cyr"/>
        <charset val="1"/>
      </rPr>
      <t>2</t>
    </r>
    <r>
      <rPr>
        <sz val="10"/>
        <rFont val="Arial Cyr"/>
        <charset val="204"/>
      </rPr>
      <t xml:space="preserve"> 600გრ</t>
    </r>
  </si>
  <si>
    <t>საგზაო სამოსის ზედა ფენის მოწყობა წვრილმარცვლოვანი მკვრივი ღორღოვანი  ა/ბეტონის ცხელი ნარევით ტიპი "Б" მარკა II სისქით 6 სმ.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</si>
  <si>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</si>
  <si>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შენიშვნა</t>
  </si>
  <si>
    <t xml:space="preserve">პკ + </t>
  </si>
  <si>
    <t>მარცხნივ</t>
  </si>
  <si>
    <t>მარჯვნივ</t>
  </si>
  <si>
    <t>სიგრძე</t>
  </si>
  <si>
    <t>მ</t>
  </si>
  <si>
    <r>
      <t>მ</t>
    </r>
    <r>
      <rPr>
        <vertAlign val="superscript"/>
        <sz val="10"/>
        <rFont val="Arial Cyr"/>
        <charset val="204"/>
      </rPr>
      <t>2</t>
    </r>
  </si>
  <si>
    <t>ადგილმდებარეობა</t>
  </si>
  <si>
    <t>1+00</t>
  </si>
  <si>
    <t>III კატეგორიის გრუნტის მოხსნა მექანიზმებით საგზაო სამოსის მოსაწყობად</t>
  </si>
  <si>
    <t>დატვირთვა ა/თვითმცლელებზე და ტრანსპორტირება 3 კმ. მანძილზე</t>
  </si>
  <si>
    <t>მიწის სამუშაოები</t>
  </si>
  <si>
    <t>საგზაო სამოსი</t>
  </si>
  <si>
    <t xml:space="preserve">გვერდულების მოწყობა ფრაქციული ღორღით 0-40 მმ. სიგანით 50 სმ. სისქით 6 სმ. </t>
  </si>
  <si>
    <t>სიგანე (გვერდულების ჩათვლით)</t>
  </si>
  <si>
    <t>ფართობი (გვერდულების ჩათვლით)</t>
  </si>
  <si>
    <t>0+00</t>
  </si>
  <si>
    <t>ჯამი:</t>
  </si>
  <si>
    <t>პკ + დან</t>
  </si>
  <si>
    <t>პკ + მდე</t>
  </si>
  <si>
    <t>ქ. ხონში გურამიშვილის ქუჩის დარჩენილი მონაკვეთის გზის რეაბილიტაცია</t>
  </si>
  <si>
    <t>სიგანე</t>
  </si>
  <si>
    <r>
      <t>(მ</t>
    </r>
    <r>
      <rPr>
        <vertAlign val="superscript"/>
        <sz val="10"/>
        <rFont val="Arial Cyr"/>
      </rPr>
      <t>3</t>
    </r>
    <r>
      <rPr>
        <sz val="10"/>
        <rFont val="Arial Cyr"/>
        <charset val="204"/>
      </rPr>
      <t>)</t>
    </r>
  </si>
  <si>
    <t>2+00</t>
  </si>
  <si>
    <t>ჯამი</t>
  </si>
  <si>
    <t>ეზოებში შესასვლელების ადგილმდებარეობის და საგზაო სამოსის მოწყობის სამუშაოთა მოცულობების უწყისი</t>
  </si>
  <si>
    <t>საფუძვლის ზედა ფენის მოწყობა ფრაქციული ღორღით 0-40 მმ. სისქით 15 სმ. კ=1,26</t>
  </si>
  <si>
    <t>პკ+დან</t>
  </si>
  <si>
    <t>პკ+მდე</t>
  </si>
  <si>
    <t>გ. ნატრიაშილი</t>
  </si>
  <si>
    <t>3+40</t>
  </si>
  <si>
    <t>მიერთებების ადგილმდებარეობის და საგზაო სამოსის მოწყობის მოცულობების უწყისი</t>
  </si>
  <si>
    <t>III კატეგორიის გრუნტის მოჭრა მექანიზმებით საგზაო სამოსის მოსაწყობად</t>
  </si>
  <si>
    <t xml:space="preserve">III კატეგორიის გრუნტის მოჭრა მექანიზმებით საგზაო სამოსის მოსაწყობად </t>
  </si>
  <si>
    <t>საშ. სიგანე</t>
  </si>
  <si>
    <t>ფართობი</t>
  </si>
  <si>
    <t>4+80</t>
  </si>
  <si>
    <t>4+70</t>
  </si>
  <si>
    <t xml:space="preserve">არსებული ხე–მცენერეების ამოძირკვა, დატვირთვა ა/თვითმცლელზე და გატანა სამშენებლო ტერიტორიიდან </t>
  </si>
  <si>
    <t>ტერიტორიის ხე-მცენარეებისაგან გაწმენდის სამუშაოების მოცულობათა უწყისი</t>
  </si>
  <si>
    <t>ქ. ხონში ჩოლოყაშვილის ქუჩის გზის რეაბილიტაცია</t>
  </si>
  <si>
    <t>დემონტაჟი</t>
  </si>
  <si>
    <t>დატვირთვა ა/თვითმცლელებზე და ტრანსპორტირება 3 კმ</t>
  </si>
  <si>
    <r>
      <t>მ</t>
    </r>
    <r>
      <rPr>
        <vertAlign val="superscript"/>
        <sz val="12"/>
        <color theme="1"/>
        <rFont val="Sylfaen"/>
        <family val="1"/>
        <charset val="204"/>
      </rPr>
      <t>3</t>
    </r>
  </si>
  <si>
    <r>
      <t>მ</t>
    </r>
    <r>
      <rPr>
        <vertAlign val="superscript"/>
        <sz val="12"/>
        <color theme="1"/>
        <rFont val="Sylfaen"/>
        <family val="1"/>
        <charset val="204"/>
      </rPr>
      <t>2</t>
    </r>
  </si>
  <si>
    <r>
      <t>მ</t>
    </r>
    <r>
      <rPr>
        <vertAlign val="superscript"/>
        <sz val="12"/>
        <rFont val="Sylfaen"/>
        <family val="1"/>
        <charset val="204"/>
      </rPr>
      <t>3</t>
    </r>
  </si>
  <si>
    <t>არსებული დაზიანებული ა/ბეტონის საფარის დემონტაჟი სანგრევი ჩაქუჩებით საშ.სისქით 6 სმ</t>
  </si>
  <si>
    <t>0+040.000</t>
  </si>
  <si>
    <t>0+060.000</t>
  </si>
  <si>
    <t>0+080.000</t>
  </si>
  <si>
    <t>0+100.000</t>
  </si>
  <si>
    <t>0+120.000</t>
  </si>
  <si>
    <t>0+140.000</t>
  </si>
  <si>
    <t>0+020.000</t>
  </si>
  <si>
    <t xml:space="preserve">კილომეტრი / პიკტი </t>
  </si>
  <si>
    <t xml:space="preserve">თავი III. საგზაო სამოსის მოწყობა </t>
  </si>
  <si>
    <t>თავი II. მიწის ვაკისი</t>
  </si>
  <si>
    <t>გრუნტის დამუშავება და დატვირთვა ა/თვითმცლელებზე</t>
  </si>
  <si>
    <t>მიწის ვაკისის მოსწორება დაპროფილება</t>
  </si>
  <si>
    <t>ტ</t>
  </si>
  <si>
    <r>
      <t>თხევადი ბიტუმის მოსხმა 1მ</t>
    </r>
    <r>
      <rPr>
        <vertAlign val="superscript"/>
        <sz val="11"/>
        <rFont val="Arial Cyr"/>
        <charset val="1"/>
      </rPr>
      <t>2</t>
    </r>
    <r>
      <rPr>
        <sz val="11"/>
        <rFont val="Arial Cyr"/>
        <charset val="204"/>
      </rPr>
      <t xml:space="preserve"> 600გრ</t>
    </r>
  </si>
  <si>
    <r>
      <t>მ</t>
    </r>
    <r>
      <rPr>
        <vertAlign val="superscript"/>
        <sz val="11"/>
        <rFont val="Arial Cyr"/>
        <charset val="204"/>
      </rPr>
      <t>2</t>
    </r>
  </si>
  <si>
    <t>დამუშავება და დატვირთვა ა/თვითმცლელებზე</t>
  </si>
  <si>
    <t>ტრანსპორტირება 10 კმ მანძილზე</t>
  </si>
  <si>
    <t xml:space="preserve">ტ </t>
  </si>
  <si>
    <t>საგზაო სამოსის ქვედა ფენის მოწყობა მსხვილმარცვლოვანი ფოროვან ღორღოვანი  ა/ბეტონის ცხელი ნარევით მარკა II სისქით 5 სმ.</t>
  </si>
  <si>
    <r>
      <t>თხევადი ბიტუმის მოსხმა 1მ</t>
    </r>
    <r>
      <rPr>
        <vertAlign val="superscript"/>
        <sz val="11"/>
        <rFont val="Arial Cyr"/>
        <charset val="1"/>
      </rPr>
      <t>2</t>
    </r>
    <r>
      <rPr>
        <sz val="11"/>
        <rFont val="Arial Cyr"/>
        <charset val="204"/>
      </rPr>
      <t xml:space="preserve"> 300გრ</t>
    </r>
  </si>
  <si>
    <t>გრუნტის ტრანსპორტირება 10 კმ. მანძილზე</t>
  </si>
  <si>
    <r>
      <t>თხევადი ბიტუმის მოსხმა 1მ</t>
    </r>
    <r>
      <rPr>
        <vertAlign val="superscript"/>
        <sz val="12"/>
        <rFont val="Sylfaen"/>
        <family val="1"/>
        <charset val="204"/>
      </rPr>
      <t>2</t>
    </r>
    <r>
      <rPr>
        <sz val="12"/>
        <rFont val="Sylfaen"/>
        <family val="1"/>
        <charset val="204"/>
      </rPr>
      <t xml:space="preserve"> 600 გრ</t>
    </r>
  </si>
  <si>
    <t>საფარის ქვედა ფენის მოწყობა მსხვილმარცვლოვანი ფოროვან ღორღოვანი  ა/ბეტონის ცხელი ნარევით მარკა II სისქით 5 სმ</t>
  </si>
  <si>
    <r>
      <t>თხევადი ბიტუმის მოსხმა 1მ</t>
    </r>
    <r>
      <rPr>
        <vertAlign val="superscript"/>
        <sz val="12"/>
        <rFont val="Sylfaen"/>
        <family val="1"/>
        <charset val="204"/>
      </rPr>
      <t>2</t>
    </r>
    <r>
      <rPr>
        <sz val="12"/>
        <rFont val="Sylfaen"/>
        <family val="1"/>
        <charset val="204"/>
      </rPr>
      <t xml:space="preserve"> 300 გრ</t>
    </r>
  </si>
  <si>
    <t>საფარის ზედა ფენის მოწყობა წვრილმარცვლოვანი მკვრივი ღორღოვანი  ა/ბეტონის ცხელი ნარევით ტიპი "Б" მარკა II სისქით 3</t>
  </si>
  <si>
    <t>საგზაო სამოსის ზედა ფენის მოწყობა წვრილმარცვლოვანი მკვრივი ღორღოვანი  ა/ბეტონის ცხელი ნარევით ტიპი "Б" მარკა II სისქით 3</t>
  </si>
  <si>
    <t>საგზაო სამოსის ქვედა ფენის მოწყობა მსხვილმარცვლოვანი ფოროვან ღორღოვანი ა/ბეტონის ცხელი ნარევით მარკა II სისქით 5სმ</t>
  </si>
  <si>
    <t>საგზაო სამოსის ზედა ფენის მოწყობა წვრილმარცვლოვანი მკვრივი ღორღოვანი  ა/ბეტონის ცხელი ნარევით ტიპი "Б" მარკა II სისქით 3 სმ.</t>
  </si>
  <si>
    <t>ბეტონი B25; F200; W6</t>
  </si>
  <si>
    <t>დასახელება</t>
  </si>
  <si>
    <t>მდგომარეობა</t>
  </si>
  <si>
    <t>საპროექტო გადაწყვეტა</t>
  </si>
  <si>
    <t>არს. ნიშნული</t>
  </si>
  <si>
    <t>საპრ. ნიშნული</t>
  </si>
  <si>
    <t>დამაკმაყოფილებელი</t>
  </si>
  <si>
    <t>კანალიზაციის ჭა</t>
  </si>
  <si>
    <t>ჭის №</t>
  </si>
  <si>
    <t>№1</t>
  </si>
  <si>
    <r>
      <t>ბეტონი B25 კლასის  (მ</t>
    </r>
    <r>
      <rPr>
        <vertAlign val="superscript"/>
        <sz val="10"/>
        <rFont val="Arial Cyr"/>
      </rPr>
      <t>3</t>
    </r>
    <r>
      <rPr>
        <sz val="10"/>
        <rFont val="Arial Cyr"/>
        <charset val="204"/>
      </rPr>
      <t>)</t>
    </r>
  </si>
  <si>
    <t>არსებული ჭის თავის დემონტაჟი, ბეტონის მონგრება სანგრევი ჩაქუჩებით, ჭის თავის მონტაჟი და გასწორება საპროექტო ნიშნულზე მონოლითური B25 კლასის ბეტონით</t>
  </si>
  <si>
    <t>ც</t>
  </si>
  <si>
    <t>არსებული სათვალთვალო ჭების ადგილმდებარეობის უწყისი</t>
  </si>
  <si>
    <t>ტროტუარების მოწყობა</t>
  </si>
  <si>
    <t xml:space="preserve">საფუძვლის მოწყობა ფრაქციული ღორღით 0-40მმ. სისქით 10 სმ. </t>
  </si>
  <si>
    <t>ქვიშა–ხრეშოვანი ფენის მოწყობა სისქით 10 სმ. ბორდიურების ბეტონის მომზადების ქვეშ</t>
  </si>
  <si>
    <t>ტროტუარზე სავალი ნაწილის მოწყობა ქვიშოვანი  ა/ბეტონის ცხელი ნარევით  სისქით 3 სმ.</t>
  </si>
  <si>
    <t>III კატეგორიის გრუნტის მოჭრა მექანიზმებით</t>
  </si>
  <si>
    <t xml:space="preserve"> გრუნტის ტრანსპორტირება 10 კმ. მანძილზე</t>
  </si>
  <si>
    <t>ტროტუარის სავალი ნაწილის ფართობი</t>
  </si>
  <si>
    <t>საგზაო სამოსის ფართობი</t>
  </si>
  <si>
    <t>მარცხენა ტროტუარის საშუალო სიგანე</t>
  </si>
  <si>
    <t>მარჯვენა ტროტუარის საშუალო სიგანე</t>
  </si>
  <si>
    <t>ცალი</t>
  </si>
  <si>
    <t>პკ +</t>
  </si>
  <si>
    <t>III კატეგორიის გრუნტის დამუშავება ექსკავატორით ნიაღვარმიღების ჭების და მილების მოსაწყობად</t>
  </si>
  <si>
    <t>ქვიშა-ხრეშოვანი  ფენის მოწყობა ნიაღვარმიღები ჭების ქვეშ სისქით 10 სმ</t>
  </si>
  <si>
    <t>ქვიშის საფუძვლის მოწყობა მილების ქვეშ სისქით 10 სმ</t>
  </si>
  <si>
    <t>მილების დაფარვა ქვიშით სისქით 10 სმ</t>
  </si>
  <si>
    <t>ნიაღვარმიმღები ჭების და მილების ქვაბულის შევსება ქვიშა–ხრეშოვანი ნარევით</t>
  </si>
  <si>
    <t>ნიაღვარმიმღები ჭების კედლების მოწყობა მონოლითური ბეტონით B25; F200;W6</t>
  </si>
  <si>
    <t>ნიაღვარმიმღები ჭების ძირის მოწყობა მონოლითური ბეტონით B25; F200;W6</t>
  </si>
  <si>
    <t>თავი IV. ტროტუარების მოწყობა</t>
  </si>
  <si>
    <t xml:space="preserve">ქვიშა–ხრეშოვანი ფენის მოწყობა ბორდიურების ბეტონის მომზადების ქვეშ სისქით 10 სმ. </t>
  </si>
  <si>
    <t>თავი VII. ხელოვნური ნაგებობების მოწყობა</t>
  </si>
  <si>
    <t>1. დახურული ტიპის სანიაღვრე არხის მოწყობა</t>
  </si>
  <si>
    <t>ტროტუარის სავალი ნაწილის მოწყობა ქვიშოვანი  ა/ბეტონის ცხელი ნარევით  სისქით 3 სმ.</t>
  </si>
  <si>
    <t>პლასტმასის გოფრირებული მილების მოწყობა  დ=300მმ</t>
  </si>
  <si>
    <t>პლასტმასის გოფრირებული მილი დ=300მმ</t>
  </si>
  <si>
    <t>miwis samuSaoebis uwyisi</t>
  </si>
  <si>
    <t>0+000.000</t>
  </si>
  <si>
    <r>
      <t>ჭრილი (მ</t>
    </r>
    <r>
      <rPr>
        <vertAlign val="superscript"/>
        <sz val="11"/>
        <rFont val="Arial Cyr"/>
        <charset val="204"/>
      </rPr>
      <t>3</t>
    </r>
    <r>
      <rPr>
        <sz val="11"/>
        <rFont val="Arial Cyr"/>
        <charset val="204"/>
      </rPr>
      <t>)</t>
    </r>
  </si>
  <si>
    <r>
      <t>ყრილი  (მ</t>
    </r>
    <r>
      <rPr>
        <vertAlign val="superscript"/>
        <sz val="11"/>
        <rFont val="Arial Cyr"/>
        <charset val="204"/>
      </rPr>
      <t>3</t>
    </r>
    <r>
      <rPr>
        <sz val="11"/>
        <rFont val="Arial Cyr"/>
        <charset val="204"/>
      </rPr>
      <t>)</t>
    </r>
  </si>
  <si>
    <t>№2</t>
  </si>
  <si>
    <t>№3</t>
  </si>
  <si>
    <t>№4</t>
  </si>
  <si>
    <r>
      <t xml:space="preserve"> </t>
    </r>
    <r>
      <rPr>
        <sz val="11"/>
        <color theme="1"/>
        <rFont val="AcadMtavr"/>
      </rPr>
      <t>daxuruli tipis saniaRvre arxis mowyobis adgilmdebareobis da samuSaoTa moculobebis uwyisi</t>
    </r>
  </si>
  <si>
    <r>
      <t>ნიაღვარმიმღები</t>
    </r>
    <r>
      <rPr>
        <sz val="10"/>
        <rFont val="Sylfaen"/>
        <family val="1"/>
      </rPr>
      <t xml:space="preserve"> ჭა ცხაურით 70x70სმ</t>
    </r>
  </si>
  <si>
    <t>sagzao samosis mowyobis moculobebis uwyisi</t>
  </si>
  <si>
    <t>samuSaoTa moculobebis krebsiTi uwyisi</t>
  </si>
  <si>
    <r>
      <t>მ</t>
    </r>
    <r>
      <rPr>
        <vertAlign val="superscript"/>
        <sz val="12"/>
        <color rgb="FF000000"/>
        <rFont val="Sylfaen"/>
        <family val="1"/>
      </rPr>
      <t>3</t>
    </r>
  </si>
  <si>
    <t>2. სათვალთვალო ჭების გასწორება</t>
  </si>
  <si>
    <t>III კატეგორიის გრუნტის დამუშავება ექსკავატორით ნიაღვარმიმღების ჭების და მილების მოსაწყობად</t>
  </si>
  <si>
    <t>q. quTaisSi k. gamsaxurdias quCis VI Sesaxvevis s/gzis reabilitacia</t>
  </si>
  <si>
    <t>0+27</t>
  </si>
  <si>
    <t>0+50</t>
  </si>
  <si>
    <t>0+77</t>
  </si>
  <si>
    <t>1+08</t>
  </si>
  <si>
    <t>არადამაკმაყოფილებელი</t>
  </si>
  <si>
    <t>არსებული დაზიანებული ჭის დემონტაჟი და ახალი ჭის მოწყობა რკ/ბეტონის რგოლებით და გადახურვის ფილით</t>
  </si>
  <si>
    <t>-</t>
  </si>
  <si>
    <t>0+60</t>
  </si>
  <si>
    <t>0+85</t>
  </si>
  <si>
    <t>1+04</t>
  </si>
  <si>
    <t>1+14</t>
  </si>
  <si>
    <t>1+41</t>
  </si>
  <si>
    <t xml:space="preserve">სიგანე </t>
  </si>
  <si>
    <t>III კატეგორიის გრუნტის მოჭრა მექანიზმებით სამოსის მოსაწყობად</t>
  </si>
  <si>
    <t>საფარის ქვედა ფენის მოწყობა მსხვილმარცვლოვანი ფოროვან ღორღოვანი  ა/ბეტონის ცხელი ნარევით მარკა II სისქით 5 სმ.</t>
  </si>
  <si>
    <t>საფარის ზედა ფენის მოწყობა წვრილმარცვლოვანი მკვრივი ღორღოვანი  ა/ბეტონის ცხელი ნარევით ტიპი "Б" მარკა II სისქით 3 სმ.</t>
  </si>
  <si>
    <t>0+21</t>
  </si>
  <si>
    <t>ezoSi Sesasvlelebis adgilmdebareobis da samosis mowyobis samuSaoebis uwyisi</t>
  </si>
  <si>
    <t>0+32</t>
  </si>
  <si>
    <t>1+10</t>
  </si>
  <si>
    <r>
      <t>შემასწორებელი ფენის მოწყობა ქვიშა-ხრეშოვანი ნარევით სისქით H</t>
    </r>
    <r>
      <rPr>
        <sz val="10"/>
        <rFont val="Arial Cyr"/>
      </rPr>
      <t>საშ</t>
    </r>
    <r>
      <rPr>
        <sz val="11"/>
        <rFont val="Arial Cyr"/>
        <charset val="204"/>
      </rPr>
      <t xml:space="preserve">= 20 სმ </t>
    </r>
  </si>
  <si>
    <r>
      <t>შემასწორებელი ფენის მოწყობა ქვიშა-ხრეშოვანი ნარევით სისქით H</t>
    </r>
    <r>
      <rPr>
        <vertAlign val="subscript"/>
        <sz val="12"/>
        <rFont val="Sylfaen"/>
        <family val="1"/>
        <charset val="204"/>
      </rPr>
      <t>საშ</t>
    </r>
    <r>
      <rPr>
        <sz val="12"/>
        <rFont val="Sylfaen"/>
        <family val="1"/>
        <charset val="204"/>
      </rPr>
      <t>= 20 სმ</t>
    </r>
  </si>
  <si>
    <t>თავი V. ეზოში შესასვლელების მოწყობა</t>
  </si>
  <si>
    <t xml:space="preserve">ქვაბულის დამუშავება ექსკავატორით </t>
  </si>
  <si>
    <t>ქვიშა-ხრეშოვანი  ფენის მოწყობა ჭის ქვეშ სისქით 10 სმ</t>
  </si>
  <si>
    <t>სიცარიელის შევსება ქვიშა–ხრეშოვანი ნარევით</t>
  </si>
  <si>
    <t>მილების დამუშავება გარედან ბიტუმით 2 ფენა</t>
  </si>
  <si>
    <t xml:space="preserve">გვერდულების მოწყობა ფრაქციული ღორღით 0-20 მმ. სიგანით 30 სმ. საშუალო  სისქით  8 სმ. </t>
  </si>
  <si>
    <t>დატვირთვა ა/თვითმცლელებზე</t>
  </si>
  <si>
    <t>ტრანსპორტირება 10 კმ</t>
  </si>
  <si>
    <r>
      <t>თხევადი ბიტუმის მოსხმა 1მ</t>
    </r>
    <r>
      <rPr>
        <vertAlign val="superscript"/>
        <sz val="10"/>
        <rFont val="Arial Cyr"/>
        <charset val="1"/>
      </rPr>
      <t>2</t>
    </r>
    <r>
      <rPr>
        <sz val="10"/>
        <rFont val="Arial Cyr"/>
        <charset val="204"/>
      </rPr>
      <t xml:space="preserve"> 600გრ</t>
    </r>
  </si>
  <si>
    <r>
      <t>თხევადი ბიტუმის მოსხმა 1მ</t>
    </r>
    <r>
      <rPr>
        <vertAlign val="superscript"/>
        <sz val="10"/>
        <rFont val="Arial Cyr"/>
        <charset val="1"/>
      </rPr>
      <t>2</t>
    </r>
    <r>
      <rPr>
        <sz val="10"/>
        <rFont val="Arial Cyr"/>
        <charset val="204"/>
      </rPr>
      <t xml:space="preserve"> 300გრ</t>
    </r>
  </si>
  <si>
    <r>
      <t>მ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</si>
  <si>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არსებული ა/ბეტონის საფარის ჩაჭრა და დემონტაჟი</t>
  </si>
  <si>
    <t>პკ 0+77-ზე საკანალიზაციო ჭის მოწყობა</t>
  </si>
  <si>
    <t>3. პკ 0+77-ზე კანალიზაციის ჭის მოწყობა</t>
  </si>
  <si>
    <t xml:space="preserve">საფუძვლის მოწყობა ფრაქციული ღორღით 0-40მმ. სისქით 12 სმ. </t>
  </si>
  <si>
    <t>საფუძვლის ზედა ფენის მოწყობა ფრაქციული ღორღით 0-40 სისქით 12 სმ</t>
  </si>
  <si>
    <t>ანაკრები ბეტონის ბორდიურების მოწყობა 30x15სმ. ბეტონის საგებზე</t>
  </si>
  <si>
    <t>ანაკრები რკ/ბეტონის ჭის მოწყობა ჭის ძირით 1.7x1.7x0.18მ. ჭის რგოლებით H=1.5მ, D=1.5მ. გადახურვის ფილა 2.0x2.0x0.15მ. თუჯის მრგვალი ხუფით</t>
  </si>
  <si>
    <t>ანაკრები რკ/ბეტონის ჭის რგოლებით H=1.5მ, D=1.5მ</t>
  </si>
  <si>
    <t>ანაკრები რკ/ბეტონის ჭის რგოლებით H=1.0მ, D=1.5მ</t>
  </si>
  <si>
    <t>ანაკრები რკ/ბეტონის ჭის ძირით1.7x1.7x0.18მ.</t>
  </si>
  <si>
    <t>ანაკრები რკ/ბეტონის ჭის გადახურვის ფილა 2.0x2.0x0.15მ. თუჯის მრგვალი ხუფით</t>
  </si>
  <si>
    <t>ანაკრები რკ/ბეტონის ჭის მოწყობა ჭის ძირით 1.7x1.7x0.18მ. ჭის რგოლებით H=1.5მ, D=1.5მ. გადახურვის ფილა 2.0x2.0x0.2მ. თუჯის მრგვალი ხუფით</t>
  </si>
  <si>
    <t>ანაკრები რკ/ბეტონის ჭის გადახურვის ფილა 2.0x2.0x0.2მ. თუჯის მრგვალი ხუფით</t>
  </si>
  <si>
    <t>ნიაღვარმიმღები ჭის გადახურვის მოწყობა  თუჯის ცხაურით 70x70x5სმ. თუჯის ჩარჩოთ</t>
  </si>
  <si>
    <t>ნიაღვარმიმღები ჭის გადახურვის მოწყობა  თუჯის ცხაურით 70x70x5სმ. თუჯის ჩარჩოთი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</si>
</sst>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37">
    <font>
      <sz val="10"/>
      <name val="Arial Cyr"/>
      <charset val="204"/>
    </font>
    <font>
      <sz val="10"/>
      <name val="Arial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vertAlign val="superscript"/>
      <sz val="10"/>
      <name val="Arial Cyr"/>
      <charset val="1"/>
    </font>
    <font>
      <vertAlign val="superscript"/>
      <sz val="10"/>
      <name val="Arial Cyr"/>
    </font>
    <font>
      <b/>
      <sz val="11"/>
      <name val="Arial Cyr"/>
    </font>
    <font>
      <b/>
      <sz val="12"/>
      <name val="Arial Cyr"/>
    </font>
    <font>
      <sz val="11"/>
      <color theme="1"/>
      <name val="Calibri"/>
      <family val="2"/>
      <charset val="204"/>
      <scheme val="minor"/>
    </font>
    <font>
      <vertAlign val="superscript"/>
      <sz val="10"/>
      <name val="Arial Cyr"/>
      <charset val="204"/>
    </font>
    <font>
      <sz val="12"/>
      <name val="Arial Cyr"/>
      <charset val="204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vertAlign val="superscript"/>
      <sz val="12"/>
      <color theme="1"/>
      <name val="Sylfaen"/>
      <family val="1"/>
      <charset val="204"/>
    </font>
    <font>
      <vertAlign val="superscript"/>
      <sz val="12"/>
      <name val="Sylfaen"/>
      <family val="1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vertAlign val="superscript"/>
      <sz val="11"/>
      <name val="Arial Cyr"/>
      <charset val="1"/>
    </font>
    <font>
      <vertAlign val="superscript"/>
      <sz val="11"/>
      <name val="Arial Cyr"/>
      <charset val="204"/>
    </font>
    <font>
      <sz val="12"/>
      <name val="Arial"/>
      <family val="2"/>
      <charset val="204"/>
    </font>
    <font>
      <sz val="11"/>
      <name val="Verdana"/>
      <family val="2"/>
      <charset val="204"/>
    </font>
    <font>
      <sz val="10"/>
      <name val="Arial Cyr"/>
    </font>
    <font>
      <b/>
      <sz val="10"/>
      <name val="Arial Cyr"/>
    </font>
    <font>
      <b/>
      <sz val="11"/>
      <name val="Arial"/>
      <family val="2"/>
      <charset val="204"/>
    </font>
    <font>
      <vertAlign val="subscript"/>
      <sz val="12"/>
      <name val="Sylfaen"/>
      <family val="1"/>
      <charset val="204"/>
    </font>
    <font>
      <b/>
      <sz val="12"/>
      <name val="AcadMtavr"/>
    </font>
    <font>
      <sz val="10"/>
      <name val="Verdana"/>
      <family val="2"/>
    </font>
    <font>
      <b/>
      <sz val="10"/>
      <name val="Arial Cyr"/>
      <charset val="204"/>
    </font>
    <font>
      <b/>
      <sz val="10"/>
      <name val="Verdana"/>
      <family val="2"/>
      <charset val="204"/>
    </font>
    <font>
      <b/>
      <sz val="11"/>
      <color theme="1"/>
      <name val="AcadMtavr"/>
    </font>
    <font>
      <b/>
      <sz val="11"/>
      <color theme="1"/>
      <name val="Arial"/>
      <family val="2"/>
    </font>
    <font>
      <sz val="11"/>
      <color theme="1"/>
      <name val="AcadMtavr"/>
    </font>
    <font>
      <sz val="12"/>
      <color theme="1"/>
      <name val="AcadMtavr"/>
    </font>
    <font>
      <sz val="10"/>
      <name val="Sylfaen"/>
      <family val="1"/>
    </font>
    <font>
      <b/>
      <sz val="12"/>
      <color theme="1"/>
      <name val="AcadMtavr"/>
    </font>
    <font>
      <sz val="12"/>
      <name val="Sylfaen"/>
      <family val="1"/>
    </font>
    <font>
      <vertAlign val="superscript"/>
      <sz val="12"/>
      <color rgb="FF000000"/>
      <name val="Sylfaen"/>
      <family val="1"/>
    </font>
    <font>
      <vertAlign val="superscript"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justify"/>
    </xf>
    <xf numFmtId="0" fontId="0" fillId="0" borderId="1" xfId="0" applyFont="1" applyFill="1" applyBorder="1" applyAlignment="1">
      <alignment vertical="justify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1" xfId="0" applyFill="1" applyBorder="1" applyAlignment="1">
      <alignment vertical="justify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2" fontId="0" fillId="0" borderId="1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 textRotation="90" wrapText="1"/>
    </xf>
    <xf numFmtId="2" fontId="0" fillId="0" borderId="2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2" fontId="0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Fill="1"/>
    <xf numFmtId="0" fontId="1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justify"/>
    </xf>
    <xf numFmtId="0" fontId="10" fillId="0" borderId="1" xfId="0" applyFont="1" applyFill="1" applyBorder="1" applyAlignment="1">
      <alignment horizontal="left" vertical="justify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justify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justify"/>
    </xf>
    <xf numFmtId="0" fontId="10" fillId="0" borderId="1" xfId="0" applyFont="1" applyFill="1" applyBorder="1" applyAlignment="1">
      <alignment vertical="justify"/>
    </xf>
    <xf numFmtId="0" fontId="10" fillId="0" borderId="1" xfId="0" applyFont="1" applyFill="1" applyBorder="1" applyAlignment="1">
      <alignment horizontal="center" vertical="center"/>
    </xf>
    <xf numFmtId="0" fontId="14" fillId="0" borderId="0" xfId="0" applyFont="1"/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2" fontId="18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textRotation="90" wrapText="1"/>
    </xf>
    <xf numFmtId="2" fontId="0" fillId="0" borderId="1" xfId="0" applyNumberForma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justify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justify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/>
    </xf>
    <xf numFmtId="2" fontId="3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textRotation="90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14" fillId="0" borderId="1" xfId="0" applyFont="1" applyBorder="1"/>
    <xf numFmtId="166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21" fillId="0" borderId="1" xfId="0" applyNumberFormat="1" applyFont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left" vertical="justify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justify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6" fontId="2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4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31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10</xdr:row>
      <xdr:rowOff>152400</xdr:rowOff>
    </xdr:from>
    <xdr:to>
      <xdr:col>6</xdr:col>
      <xdr:colOff>0</xdr:colOff>
      <xdr:row>19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6610350"/>
          <a:ext cx="1752600" cy="1304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9</xdr:row>
      <xdr:rowOff>142875</xdr:rowOff>
    </xdr:from>
    <xdr:to>
      <xdr:col>10</xdr:col>
      <xdr:colOff>76200</xdr:colOff>
      <xdr:row>17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4514850"/>
          <a:ext cx="1752600" cy="13049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28</xdr:row>
      <xdr:rowOff>123825</xdr:rowOff>
    </xdr:from>
    <xdr:to>
      <xdr:col>7</xdr:col>
      <xdr:colOff>504825</xdr:colOff>
      <xdr:row>35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7534275"/>
          <a:ext cx="1752600" cy="13049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1276350</xdr:colOff>
      <xdr:row>59</xdr:row>
      <xdr:rowOff>0</xdr:rowOff>
    </xdr:from>
    <xdr:ext cx="0" cy="956980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497" y="13110882"/>
          <a:ext cx="0" cy="95698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1276350</xdr:colOff>
      <xdr:row>61</xdr:row>
      <xdr:rowOff>0</xdr:rowOff>
    </xdr:from>
    <xdr:ext cx="0" cy="956980"/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32356425"/>
          <a:ext cx="0" cy="95698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SheetLayoutView="100" workbookViewId="0">
      <selection activeCell="E5" sqref="E5"/>
    </sheetView>
  </sheetViews>
  <sheetFormatPr defaultColWidth="9.109375" defaultRowHeight="13.2"/>
  <cols>
    <col min="1" max="1" width="5.44140625" style="1" customWidth="1"/>
    <col min="2" max="2" width="8.33203125" style="1" bestFit="1" customWidth="1"/>
    <col min="3" max="3" width="8.44140625" style="1" bestFit="1" customWidth="1"/>
    <col min="4" max="4" width="8.33203125" style="1" bestFit="1" customWidth="1"/>
    <col min="5" max="5" width="9.6640625" style="1" customWidth="1"/>
    <col min="6" max="8" width="9" style="1" customWidth="1"/>
    <col min="9" max="9" width="11.88671875" style="1" customWidth="1"/>
    <col min="10" max="16384" width="9.109375" style="1"/>
  </cols>
  <sheetData>
    <row r="1" spans="1:9" ht="21" customHeight="1">
      <c r="A1" s="207"/>
      <c r="B1" s="207"/>
      <c r="C1" s="207"/>
      <c r="D1" s="207"/>
      <c r="E1" s="207"/>
      <c r="F1" s="207"/>
      <c r="G1" s="207"/>
      <c r="H1" s="207"/>
      <c r="I1" s="207"/>
    </row>
    <row r="2" spans="1:9" ht="36" customHeight="1">
      <c r="A2" s="207" t="s">
        <v>56</v>
      </c>
      <c r="B2" s="207"/>
      <c r="C2" s="207"/>
      <c r="D2" s="207"/>
      <c r="E2" s="207"/>
      <c r="F2" s="207"/>
      <c r="G2" s="207"/>
      <c r="H2" s="207"/>
      <c r="I2" s="207"/>
    </row>
    <row r="3" spans="1:9" ht="14.4">
      <c r="A3" s="45"/>
      <c r="B3" s="45"/>
      <c r="C3" s="45"/>
      <c r="D3" s="45"/>
      <c r="E3" s="45"/>
      <c r="F3" s="45"/>
      <c r="G3" s="45"/>
      <c r="H3" s="45"/>
      <c r="I3" s="45"/>
    </row>
    <row r="4" spans="1:9" ht="21.75" customHeight="1">
      <c r="A4" s="208" t="s">
        <v>3</v>
      </c>
      <c r="B4" s="209" t="s">
        <v>24</v>
      </c>
      <c r="C4" s="209"/>
      <c r="D4" s="209"/>
      <c r="E4" s="209"/>
      <c r="F4" s="204" t="s">
        <v>21</v>
      </c>
      <c r="G4" s="204" t="s">
        <v>51</v>
      </c>
      <c r="H4" s="204" t="s">
        <v>52</v>
      </c>
      <c r="I4" s="206" t="s">
        <v>55</v>
      </c>
    </row>
    <row r="5" spans="1:9" ht="219" customHeight="1">
      <c r="A5" s="208"/>
      <c r="B5" s="42" t="s">
        <v>35</v>
      </c>
      <c r="C5" s="42" t="s">
        <v>36</v>
      </c>
      <c r="D5" s="42" t="s">
        <v>35</v>
      </c>
      <c r="E5" s="42" t="s">
        <v>36</v>
      </c>
      <c r="F5" s="205"/>
      <c r="G5" s="205"/>
      <c r="H5" s="205"/>
      <c r="I5" s="206"/>
    </row>
    <row r="6" spans="1:9" s="9" customFormat="1" ht="31.5" customHeight="1">
      <c r="A6" s="208"/>
      <c r="B6" s="210" t="s">
        <v>19</v>
      </c>
      <c r="C6" s="211"/>
      <c r="D6" s="200" t="s">
        <v>20</v>
      </c>
      <c r="E6" s="201"/>
      <c r="F6" s="31" t="s">
        <v>22</v>
      </c>
      <c r="G6" s="42" t="s">
        <v>22</v>
      </c>
      <c r="H6" s="49" t="s">
        <v>16</v>
      </c>
      <c r="I6" s="49" t="s">
        <v>16</v>
      </c>
    </row>
    <row r="7" spans="1:9" s="9" customFormat="1">
      <c r="A7" s="46">
        <v>1</v>
      </c>
      <c r="B7" s="27">
        <f>A7+1</f>
        <v>2</v>
      </c>
      <c r="C7" s="27">
        <f t="shared" ref="C7:F7" si="0">B7+1</f>
        <v>3</v>
      </c>
      <c r="D7" s="27">
        <f t="shared" si="0"/>
        <v>4</v>
      </c>
      <c r="E7" s="27">
        <f t="shared" si="0"/>
        <v>5</v>
      </c>
      <c r="F7" s="27">
        <f t="shared" si="0"/>
        <v>6</v>
      </c>
      <c r="G7" s="27">
        <f t="shared" ref="G7" si="1">F7+1</f>
        <v>7</v>
      </c>
      <c r="H7" s="27">
        <f t="shared" ref="H7" si="2">G7+1</f>
        <v>8</v>
      </c>
      <c r="I7" s="27">
        <f t="shared" ref="I7" si="3">H7+1</f>
        <v>9</v>
      </c>
    </row>
    <row r="8" spans="1:9" s="2" customFormat="1" ht="20.25" customHeight="1">
      <c r="A8" s="47">
        <v>1</v>
      </c>
      <c r="B8" s="27"/>
      <c r="C8" s="27"/>
      <c r="D8" s="27" t="s">
        <v>47</v>
      </c>
      <c r="E8" s="48" t="s">
        <v>53</v>
      </c>
      <c r="F8" s="43">
        <f>480-340</f>
        <v>140</v>
      </c>
      <c r="G8" s="43">
        <v>2</v>
      </c>
      <c r="H8" s="43">
        <f>F8*G8</f>
        <v>280</v>
      </c>
      <c r="I8" s="29">
        <f>F8*G8</f>
        <v>280</v>
      </c>
    </row>
    <row r="9" spans="1:9" s="2" customFormat="1">
      <c r="A9" s="47">
        <f>A8+1</f>
        <v>2</v>
      </c>
      <c r="B9" s="22" t="s">
        <v>47</v>
      </c>
      <c r="C9" s="22" t="s">
        <v>54</v>
      </c>
      <c r="D9" s="22"/>
      <c r="E9" s="49"/>
      <c r="F9" s="37">
        <f>470-340</f>
        <v>130</v>
      </c>
      <c r="G9" s="37">
        <v>1.5</v>
      </c>
      <c r="H9" s="43">
        <f>F9*G9</f>
        <v>195</v>
      </c>
      <c r="I9" s="29">
        <f>F9*G9</f>
        <v>195</v>
      </c>
    </row>
    <row r="10" spans="1:9" s="2" customFormat="1">
      <c r="A10" s="202" t="s">
        <v>34</v>
      </c>
      <c r="B10" s="203"/>
      <c r="C10" s="203"/>
      <c r="D10" s="203"/>
      <c r="E10" s="203"/>
      <c r="F10" s="3">
        <f>SUM(F8:F9)</f>
        <v>270</v>
      </c>
      <c r="G10" s="3">
        <f>SUM(G8:G9)</f>
        <v>3.5</v>
      </c>
      <c r="H10" s="3">
        <f>H8+H9</f>
        <v>475</v>
      </c>
      <c r="I10" s="3">
        <f>SUM(I8:I9)</f>
        <v>475</v>
      </c>
    </row>
    <row r="11" spans="1:9" s="2" customFormat="1">
      <c r="A11" s="1"/>
      <c r="B11" s="1"/>
      <c r="C11" s="1"/>
      <c r="D11" s="1"/>
      <c r="E11" s="1"/>
      <c r="F11" s="1"/>
      <c r="G11" s="1"/>
      <c r="H11" s="1"/>
      <c r="I11" s="1"/>
    </row>
    <row r="12" spans="1:9" s="2" customFormat="1">
      <c r="A12" s="1"/>
      <c r="B12" s="1"/>
      <c r="C12" s="1"/>
      <c r="D12" s="1"/>
      <c r="E12" s="1"/>
      <c r="F12" s="1"/>
      <c r="G12" s="1"/>
      <c r="H12" s="1"/>
      <c r="I12" s="1"/>
    </row>
    <row r="13" spans="1:9" s="2" customFormat="1">
      <c r="A13" s="1"/>
      <c r="B13" s="1"/>
      <c r="C13" s="1"/>
      <c r="D13" s="1"/>
      <c r="E13" s="1"/>
      <c r="F13" s="1"/>
      <c r="G13" t="s">
        <v>46</v>
      </c>
      <c r="H13"/>
      <c r="I13" s="1"/>
    </row>
    <row r="18" spans="11:12">
      <c r="K18" s="44"/>
    </row>
    <row r="20" spans="11:12">
      <c r="L20" s="44"/>
    </row>
    <row r="21" spans="11:12">
      <c r="L21" s="44"/>
    </row>
  </sheetData>
  <mergeCells count="11">
    <mergeCell ref="D6:E6"/>
    <mergeCell ref="A10:E10"/>
    <mergeCell ref="H4:H5"/>
    <mergeCell ref="I4:I5"/>
    <mergeCell ref="A1:I1"/>
    <mergeCell ref="A2:I2"/>
    <mergeCell ref="A4:A6"/>
    <mergeCell ref="B4:E4"/>
    <mergeCell ref="F4:F5"/>
    <mergeCell ref="G4:G5"/>
    <mergeCell ref="B6:C6"/>
  </mergeCell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5"/>
  <sheetViews>
    <sheetView zoomScale="85" zoomScaleNormal="85" zoomScaleSheetLayoutView="85" zoomScalePageLayoutView="85" workbookViewId="0">
      <selection activeCell="B14" sqref="B14"/>
    </sheetView>
  </sheetViews>
  <sheetFormatPr defaultColWidth="9.109375" defaultRowHeight="16.2"/>
  <cols>
    <col min="1" max="1" width="4.109375" style="56" customWidth="1"/>
    <col min="2" max="2" width="74.5546875" style="56" customWidth="1"/>
    <col min="3" max="3" width="8.33203125" style="58" customWidth="1"/>
    <col min="4" max="4" width="9.6640625" style="70" customWidth="1"/>
    <col min="5" max="5" width="11" style="56" bestFit="1" customWidth="1"/>
    <col min="6" max="16384" width="9.109375" style="56"/>
  </cols>
  <sheetData>
    <row r="1" spans="1:4" ht="38.25" customHeight="1">
      <c r="A1" s="245" t="s">
        <v>146</v>
      </c>
      <c r="B1" s="245"/>
      <c r="C1" s="245"/>
      <c r="D1" s="245"/>
    </row>
    <row r="2" spans="1:4">
      <c r="A2" s="246" t="s">
        <v>142</v>
      </c>
      <c r="B2" s="246"/>
      <c r="C2" s="246"/>
      <c r="D2" s="246"/>
    </row>
    <row r="3" spans="1:4">
      <c r="A3" s="57"/>
      <c r="B3" s="58"/>
      <c r="C3" s="57"/>
      <c r="D3" s="62"/>
    </row>
    <row r="4" spans="1:4" ht="15">
      <c r="A4" s="247" t="s">
        <v>3</v>
      </c>
      <c r="B4" s="247" t="s">
        <v>0</v>
      </c>
      <c r="C4" s="247" t="s">
        <v>1</v>
      </c>
      <c r="D4" s="247" t="s">
        <v>2</v>
      </c>
    </row>
    <row r="5" spans="1:4" s="58" customFormat="1" ht="15">
      <c r="A5" s="247"/>
      <c r="B5" s="247"/>
      <c r="C5" s="247"/>
      <c r="D5" s="247"/>
    </row>
    <row r="6" spans="1:4" s="58" customFormat="1">
      <c r="A6" s="86">
        <v>1</v>
      </c>
      <c r="B6" s="86">
        <v>2</v>
      </c>
      <c r="C6" s="86">
        <v>3</v>
      </c>
      <c r="D6" s="86">
        <v>4</v>
      </c>
    </row>
    <row r="7" spans="1:4" s="59" customFormat="1">
      <c r="A7" s="63"/>
      <c r="B7" s="66" t="s">
        <v>8</v>
      </c>
      <c r="C7" s="63"/>
      <c r="D7" s="64"/>
    </row>
    <row r="8" spans="1:4" s="58" customFormat="1">
      <c r="A8" s="86">
        <v>1</v>
      </c>
      <c r="B8" s="67" t="s">
        <v>9</v>
      </c>
      <c r="C8" s="86" t="s">
        <v>10</v>
      </c>
      <c r="D8" s="64">
        <f>'საგზაო სამოსის მოწყობის უწყისი'!D9/1000</f>
        <v>0.14099999999999999</v>
      </c>
    </row>
    <row r="9" spans="1:4" s="58" customFormat="1">
      <c r="A9" s="86"/>
      <c r="B9" s="66" t="s">
        <v>73</v>
      </c>
      <c r="C9" s="86"/>
      <c r="D9" s="64"/>
    </row>
    <row r="10" spans="1:4" s="58" customFormat="1" ht="32.4">
      <c r="A10" s="129">
        <v>1</v>
      </c>
      <c r="B10" s="68" t="s">
        <v>50</v>
      </c>
      <c r="C10" s="86" t="s">
        <v>60</v>
      </c>
      <c r="D10" s="74">
        <f>'მიწის სამუშაოების უწყისი '!C16*0.9</f>
        <v>247.20300000000003</v>
      </c>
    </row>
    <row r="11" spans="1:4" s="58" customFormat="1" ht="18.600000000000001">
      <c r="A11" s="86">
        <f>A10+1</f>
        <v>2</v>
      </c>
      <c r="B11" s="69" t="s">
        <v>11</v>
      </c>
      <c r="C11" s="86" t="s">
        <v>60</v>
      </c>
      <c r="D11" s="74">
        <f>'მიწის სამუშაოების უწყისი '!C16*0.1</f>
        <v>27.467000000000002</v>
      </c>
    </row>
    <row r="12" spans="1:4" s="58" customFormat="1" ht="18.600000000000001">
      <c r="A12" s="86">
        <f t="shared" ref="A12:A14" si="0">A11+1</f>
        <v>3</v>
      </c>
      <c r="B12" s="69" t="s">
        <v>74</v>
      </c>
      <c r="C12" s="86" t="s">
        <v>60</v>
      </c>
      <c r="D12" s="74">
        <f>D11+D10</f>
        <v>274.67</v>
      </c>
    </row>
    <row r="13" spans="1:4" s="58" customFormat="1">
      <c r="A13" s="86">
        <f t="shared" si="0"/>
        <v>4</v>
      </c>
      <c r="B13" s="69" t="s">
        <v>84</v>
      </c>
      <c r="C13" s="86" t="s">
        <v>81</v>
      </c>
      <c r="D13" s="74">
        <f>D12*1.85</f>
        <v>508.13950000000006</v>
      </c>
    </row>
    <row r="14" spans="1:4" s="58" customFormat="1" ht="18.600000000000001">
      <c r="A14" s="86">
        <f t="shared" si="0"/>
        <v>5</v>
      </c>
      <c r="B14" s="69" t="s">
        <v>75</v>
      </c>
      <c r="C14" s="86" t="s">
        <v>61</v>
      </c>
      <c r="D14" s="74">
        <f>'საგზაო სამოსის მოწყობის უწყისი'!L9+'საგზაო სამოსის მოწყობის უწყისი'!Y9+'საგზაო სამოსის მოწყობის უწყისი'!R9*0.15</f>
        <v>986.37</v>
      </c>
    </row>
    <row r="15" spans="1:4" s="60" customFormat="1">
      <c r="A15" s="63"/>
      <c r="B15" s="84" t="s">
        <v>72</v>
      </c>
      <c r="C15" s="63"/>
      <c r="D15" s="63"/>
    </row>
    <row r="16" spans="1:4" s="61" customFormat="1" ht="32.4">
      <c r="A16" s="86">
        <v>1</v>
      </c>
      <c r="B16" s="69" t="s">
        <v>184</v>
      </c>
      <c r="C16" s="86" t="s">
        <v>61</v>
      </c>
      <c r="D16" s="82">
        <f>'საგზაო სამოსის მოწყობის უწყისი'!G9</f>
        <v>795.24</v>
      </c>
    </row>
    <row r="17" spans="1:4" s="61" customFormat="1" ht="18.600000000000001">
      <c r="A17" s="86">
        <f t="shared" ref="A17:A20" si="1">A16+1</f>
        <v>2</v>
      </c>
      <c r="B17" s="68" t="s">
        <v>85</v>
      </c>
      <c r="C17" s="86" t="s">
        <v>81</v>
      </c>
      <c r="D17" s="64">
        <f>'საგზაო სამოსის მოწყობის უწყისი'!I9</f>
        <v>0.47714399999999996</v>
      </c>
    </row>
    <row r="18" spans="1:4" s="61" customFormat="1" ht="32.4">
      <c r="A18" s="86">
        <f t="shared" si="1"/>
        <v>3</v>
      </c>
      <c r="B18" s="68" t="s">
        <v>90</v>
      </c>
      <c r="C18" s="86" t="s">
        <v>61</v>
      </c>
      <c r="D18" s="82">
        <f>'საგზაო სამოსის მოწყობის უწყისი'!J9</f>
        <v>795.24</v>
      </c>
    </row>
    <row r="19" spans="1:4" s="61" customFormat="1" ht="18.600000000000001">
      <c r="A19" s="86">
        <f t="shared" si="1"/>
        <v>4</v>
      </c>
      <c r="B19" s="68" t="s">
        <v>87</v>
      </c>
      <c r="C19" s="86" t="s">
        <v>81</v>
      </c>
      <c r="D19" s="64">
        <f>'საგზაო სამოსის მოწყობის უწყისი'!K9</f>
        <v>0.23857199999999998</v>
      </c>
    </row>
    <row r="20" spans="1:4" s="61" customFormat="1" ht="32.4">
      <c r="A20" s="86">
        <f t="shared" si="1"/>
        <v>5</v>
      </c>
      <c r="B20" s="68" t="s">
        <v>89</v>
      </c>
      <c r="C20" s="86" t="s">
        <v>61</v>
      </c>
      <c r="D20" s="82">
        <f>'საგზაო სამოსის მოწყობის უწყისი'!L9</f>
        <v>795.24</v>
      </c>
    </row>
    <row r="21" spans="1:4" s="61" customFormat="1">
      <c r="A21" s="110"/>
      <c r="B21" s="84" t="s">
        <v>125</v>
      </c>
      <c r="C21" s="110"/>
      <c r="D21" s="82"/>
    </row>
    <row r="22" spans="1:4" s="61" customFormat="1" ht="32.4">
      <c r="A22" s="86">
        <v>1</v>
      </c>
      <c r="B22" s="67" t="s">
        <v>126</v>
      </c>
      <c r="C22" s="110" t="s">
        <v>62</v>
      </c>
      <c r="D22" s="75">
        <f>'საგზაო სამოსის მოწყობის უწყისი'!S9</f>
        <v>6.7750000000000004</v>
      </c>
    </row>
    <row r="23" spans="1:4" s="61" customFormat="1">
      <c r="A23" s="86">
        <f>A22+1</f>
        <v>2</v>
      </c>
      <c r="B23" s="68" t="s">
        <v>185</v>
      </c>
      <c r="C23" s="86" t="s">
        <v>22</v>
      </c>
      <c r="D23" s="75">
        <f>'საგზაო სამოსის მოწყობის უწყისი'!T9</f>
        <v>271</v>
      </c>
    </row>
    <row r="24" spans="1:4" s="61" customFormat="1" ht="34.799999999999997">
      <c r="A24" s="117">
        <f t="shared" ref="A24:A27" si="2">A23+1</f>
        <v>3</v>
      </c>
      <c r="B24" s="68" t="s">
        <v>168</v>
      </c>
      <c r="C24" s="110" t="s">
        <v>62</v>
      </c>
      <c r="D24" s="75">
        <f>'საგზაო სამოსის მოწყობის უწყისი'!U9</f>
        <v>33.24</v>
      </c>
    </row>
    <row r="25" spans="1:4" s="61" customFormat="1" ht="18.600000000000001">
      <c r="A25" s="117">
        <f t="shared" si="2"/>
        <v>4</v>
      </c>
      <c r="B25" s="68" t="s">
        <v>107</v>
      </c>
      <c r="C25" s="86" t="s">
        <v>61</v>
      </c>
      <c r="D25" s="75">
        <f>'საგზაო სამოსის მოწყობის უწყისი'!V9</f>
        <v>166.2</v>
      </c>
    </row>
    <row r="26" spans="1:4" s="61" customFormat="1" ht="18.600000000000001">
      <c r="A26" s="117">
        <f t="shared" si="2"/>
        <v>5</v>
      </c>
      <c r="B26" s="68" t="s">
        <v>85</v>
      </c>
      <c r="C26" s="110" t="s">
        <v>81</v>
      </c>
      <c r="D26" s="82">
        <f>'საგზაო სამოსის მოწყობის უწყისი'!X9</f>
        <v>9.9719999999999989E-2</v>
      </c>
    </row>
    <row r="27" spans="1:4" s="61" customFormat="1" ht="32.4">
      <c r="A27" s="117">
        <f t="shared" si="2"/>
        <v>6</v>
      </c>
      <c r="B27" s="68" t="s">
        <v>129</v>
      </c>
      <c r="C27" s="110" t="s">
        <v>61</v>
      </c>
      <c r="D27" s="82">
        <f>'საგზაო სამოსის მოწყობის უწყისი'!Y9</f>
        <v>166.2</v>
      </c>
    </row>
    <row r="28" spans="1:4" s="61" customFormat="1">
      <c r="A28" s="86"/>
      <c r="B28" s="84" t="s">
        <v>169</v>
      </c>
      <c r="C28" s="86"/>
      <c r="D28" s="65"/>
    </row>
    <row r="29" spans="1:4" s="61" customFormat="1" ht="18.600000000000001">
      <c r="A29" s="129">
        <v>1</v>
      </c>
      <c r="B29" s="68" t="s">
        <v>110</v>
      </c>
      <c r="C29" s="86" t="s">
        <v>60</v>
      </c>
      <c r="D29" s="73">
        <f>'ეზოში შესასვლელები'!G11</f>
        <v>21.901499999999999</v>
      </c>
    </row>
    <row r="30" spans="1:4" s="61" customFormat="1" ht="18.600000000000001">
      <c r="A30" s="86">
        <f>A29+1</f>
        <v>2</v>
      </c>
      <c r="B30" s="69" t="s">
        <v>5</v>
      </c>
      <c r="C30" s="86" t="s">
        <v>60</v>
      </c>
      <c r="D30" s="73">
        <f>'ეზოში შესასვლელები'!H11</f>
        <v>2.4335</v>
      </c>
    </row>
    <row r="31" spans="1:4" s="61" customFormat="1" ht="18.600000000000001">
      <c r="A31" s="86">
        <f t="shared" ref="A31:A38" si="3">A30+1</f>
        <v>3</v>
      </c>
      <c r="B31" s="85" t="s">
        <v>79</v>
      </c>
      <c r="C31" s="86" t="s">
        <v>60</v>
      </c>
      <c r="D31" s="74">
        <f>'ეზოში შესასვლელები'!I11</f>
        <v>24.335000000000001</v>
      </c>
    </row>
    <row r="32" spans="1:4" s="61" customFormat="1">
      <c r="A32" s="86">
        <f t="shared" si="3"/>
        <v>4</v>
      </c>
      <c r="B32" s="85" t="s">
        <v>80</v>
      </c>
      <c r="C32" s="86" t="s">
        <v>76</v>
      </c>
      <c r="D32" s="74">
        <f>'ეზოში შესასვლელები'!J11</f>
        <v>43.802999999999997</v>
      </c>
    </row>
    <row r="33" spans="1:4" s="61" customFormat="1" ht="18.600000000000001">
      <c r="A33" s="153">
        <f t="shared" si="3"/>
        <v>5</v>
      </c>
      <c r="B33" s="69" t="s">
        <v>75</v>
      </c>
      <c r="C33" s="86" t="s">
        <v>61</v>
      </c>
      <c r="D33" s="73">
        <f>'ეზოში შესასვლელები'!K11</f>
        <v>97.34</v>
      </c>
    </row>
    <row r="34" spans="1:4" s="61" customFormat="1" ht="32.4">
      <c r="A34" s="153">
        <f t="shared" si="3"/>
        <v>6</v>
      </c>
      <c r="B34" s="69" t="s">
        <v>184</v>
      </c>
      <c r="C34" s="99" t="s">
        <v>61</v>
      </c>
      <c r="D34" s="75">
        <f>'ეზოში შესასვლელები'!L11</f>
        <v>97.34</v>
      </c>
    </row>
    <row r="35" spans="1:4" s="61" customFormat="1" ht="18.600000000000001">
      <c r="A35" s="153">
        <f t="shared" si="3"/>
        <v>7</v>
      </c>
      <c r="B35" s="68" t="s">
        <v>85</v>
      </c>
      <c r="C35" s="86" t="s">
        <v>81</v>
      </c>
      <c r="D35" s="111">
        <f>'ეზოში შესასვლელები'!N11</f>
        <v>5.8403999999999991E-2</v>
      </c>
    </row>
    <row r="36" spans="1:4" s="61" customFormat="1" ht="32.4">
      <c r="A36" s="153">
        <f t="shared" si="3"/>
        <v>8</v>
      </c>
      <c r="B36" s="68" t="s">
        <v>86</v>
      </c>
      <c r="C36" s="86" t="s">
        <v>61</v>
      </c>
      <c r="D36" s="75">
        <f>'ეზოში შესასვლელები'!O11</f>
        <v>97.34</v>
      </c>
    </row>
    <row r="37" spans="1:4" s="61" customFormat="1" ht="18.600000000000001">
      <c r="A37" s="86">
        <f t="shared" si="3"/>
        <v>9</v>
      </c>
      <c r="B37" s="68" t="s">
        <v>87</v>
      </c>
      <c r="C37" s="86" t="s">
        <v>81</v>
      </c>
      <c r="D37" s="111">
        <f>'ეზოში შესასვლელები'!P11</f>
        <v>2.9201999999999995E-2</v>
      </c>
    </row>
    <row r="38" spans="1:4" s="61" customFormat="1" ht="32.4">
      <c r="A38" s="86">
        <f t="shared" si="3"/>
        <v>10</v>
      </c>
      <c r="B38" s="68" t="s">
        <v>88</v>
      </c>
      <c r="C38" s="86" t="s">
        <v>61</v>
      </c>
      <c r="D38" s="75">
        <f>'ეზოში შესასვლელები'!Q11</f>
        <v>97.34</v>
      </c>
    </row>
    <row r="39" spans="1:4" s="61" customFormat="1">
      <c r="A39" s="63"/>
      <c r="B39" s="66" t="s">
        <v>127</v>
      </c>
      <c r="C39" s="63"/>
      <c r="D39" s="72"/>
    </row>
    <row r="40" spans="1:4" s="61" customFormat="1">
      <c r="A40" s="114"/>
      <c r="B40" s="112" t="s">
        <v>128</v>
      </c>
      <c r="C40" s="114"/>
      <c r="D40" s="72"/>
    </row>
    <row r="41" spans="1:4" s="61" customFormat="1" ht="18.600000000000001">
      <c r="A41" s="153">
        <v>1</v>
      </c>
      <c r="B41" s="183" t="s">
        <v>180</v>
      </c>
      <c r="C41" s="153" t="s">
        <v>61</v>
      </c>
      <c r="D41" s="182">
        <f>'დახურული ტიპის სანიაღვრე არხი'!E14</f>
        <v>3.5</v>
      </c>
    </row>
    <row r="42" spans="1:4" s="61" customFormat="1" ht="18.600000000000001">
      <c r="A42" s="153">
        <f t="shared" ref="A42:A44" si="4">A41+1</f>
        <v>2</v>
      </c>
      <c r="B42" s="183" t="s">
        <v>175</v>
      </c>
      <c r="C42" s="153" t="s">
        <v>60</v>
      </c>
      <c r="D42" s="182">
        <f>'დახურული ტიპის სანიაღვრე არხი'!F14</f>
        <v>0.315</v>
      </c>
    </row>
    <row r="43" spans="1:4" s="61" customFormat="1">
      <c r="A43" s="153">
        <f t="shared" si="4"/>
        <v>3</v>
      </c>
      <c r="B43" s="183" t="s">
        <v>176</v>
      </c>
      <c r="C43" s="181" t="s">
        <v>76</v>
      </c>
      <c r="D43" s="182">
        <f>'დახურული ტიპის სანიაღვრე არხი'!G14</f>
        <v>0.75600000000000001</v>
      </c>
    </row>
    <row r="44" spans="1:4" s="61" customFormat="1" ht="32.4">
      <c r="A44" s="153">
        <f t="shared" si="4"/>
        <v>4</v>
      </c>
      <c r="B44" s="116" t="s">
        <v>118</v>
      </c>
      <c r="C44" s="110" t="s">
        <v>60</v>
      </c>
      <c r="D44" s="74">
        <f>'დახურული ტიპის სანიაღვრე არხი'!H14</f>
        <v>113.78880000000001</v>
      </c>
    </row>
    <row r="45" spans="1:4" s="61" customFormat="1" ht="18.600000000000001">
      <c r="A45" s="110">
        <f t="shared" ref="A45:A59" si="5">A44+1</f>
        <v>5</v>
      </c>
      <c r="B45" s="116" t="s">
        <v>5</v>
      </c>
      <c r="C45" s="110" t="s">
        <v>60</v>
      </c>
      <c r="D45" s="74">
        <f>'დახურული ტიპის სანიაღვრე არხი'!I14</f>
        <v>12.6432</v>
      </c>
    </row>
    <row r="46" spans="1:4" s="61" customFormat="1" ht="18.600000000000001">
      <c r="A46" s="110">
        <f t="shared" si="5"/>
        <v>6</v>
      </c>
      <c r="B46" s="116" t="s">
        <v>74</v>
      </c>
      <c r="C46" s="110" t="s">
        <v>60</v>
      </c>
      <c r="D46" s="74">
        <f>'დახურული ტიპის სანიაღვრე არხი'!J14</f>
        <v>126.43200000000002</v>
      </c>
    </row>
    <row r="47" spans="1:4" s="61" customFormat="1">
      <c r="A47" s="110">
        <f t="shared" si="5"/>
        <v>7</v>
      </c>
      <c r="B47" s="116" t="s">
        <v>111</v>
      </c>
      <c r="C47" s="113" t="s">
        <v>76</v>
      </c>
      <c r="D47" s="74">
        <f>'დახურული ტიპის სანიაღვრე არხი'!K14</f>
        <v>233.89920000000001</v>
      </c>
    </row>
    <row r="48" spans="1:4" s="61" customFormat="1" ht="32.4">
      <c r="A48" s="110">
        <f t="shared" si="5"/>
        <v>8</v>
      </c>
      <c r="B48" s="116" t="s">
        <v>119</v>
      </c>
      <c r="C48" s="110" t="s">
        <v>60</v>
      </c>
      <c r="D48" s="82">
        <f>'დახურული ტიპის სანიაღვრე არხი'!L14</f>
        <v>0.4860000000000001</v>
      </c>
    </row>
    <row r="49" spans="1:4" s="61" customFormat="1" ht="32.4">
      <c r="A49" s="110">
        <f t="shared" si="5"/>
        <v>9</v>
      </c>
      <c r="B49" s="116" t="s">
        <v>124</v>
      </c>
      <c r="C49" s="110" t="s">
        <v>60</v>
      </c>
      <c r="D49" s="82">
        <f>'დახურული ტიპის სანიაღვრე არხი'!M14</f>
        <v>0.9720000000000002</v>
      </c>
    </row>
    <row r="50" spans="1:4" s="61" customFormat="1" ht="32.4">
      <c r="A50" s="110">
        <f t="shared" si="5"/>
        <v>10</v>
      </c>
      <c r="B50" s="116" t="s">
        <v>123</v>
      </c>
      <c r="C50" s="110" t="s">
        <v>60</v>
      </c>
      <c r="D50" s="82">
        <f>'დახურული ტიპის სანიაღვრე არხი'!N14</f>
        <v>3.24</v>
      </c>
    </row>
    <row r="51" spans="1:4" s="61" customFormat="1" ht="32.4">
      <c r="A51" s="153">
        <f t="shared" si="5"/>
        <v>11</v>
      </c>
      <c r="B51" s="116" t="s">
        <v>194</v>
      </c>
      <c r="C51" s="110" t="s">
        <v>116</v>
      </c>
      <c r="D51" s="82">
        <f>'დახურული ტიპის სანიაღვრე არხი'!O14</f>
        <v>6</v>
      </c>
    </row>
    <row r="52" spans="1:4" s="61" customFormat="1" ht="18.600000000000001">
      <c r="A52" s="129">
        <f t="shared" si="5"/>
        <v>12</v>
      </c>
      <c r="B52" s="116" t="s">
        <v>120</v>
      </c>
      <c r="C52" s="110" t="s">
        <v>60</v>
      </c>
      <c r="D52" s="82">
        <f>'დახურული ტიპის სანიაღვრე არხი'!P14</f>
        <v>11.520000000000001</v>
      </c>
    </row>
    <row r="53" spans="1:4" s="61" customFormat="1">
      <c r="A53" s="153">
        <f t="shared" si="5"/>
        <v>13</v>
      </c>
      <c r="B53" s="116" t="s">
        <v>130</v>
      </c>
      <c r="C53" s="113" t="s">
        <v>22</v>
      </c>
      <c r="D53" s="82">
        <f>'დახურული ტიპის სანიაღვრე არხი'!Q14</f>
        <v>144</v>
      </c>
    </row>
    <row r="54" spans="1:4" s="61" customFormat="1" ht="18.600000000000001">
      <c r="A54" s="153">
        <f t="shared" si="5"/>
        <v>14</v>
      </c>
      <c r="B54" s="116" t="s">
        <v>121</v>
      </c>
      <c r="C54" s="110" t="s">
        <v>60</v>
      </c>
      <c r="D54" s="82">
        <f>'დახურული ტიპის სანიაღვრე არხი'!R14</f>
        <v>35.906400000000005</v>
      </c>
    </row>
    <row r="55" spans="1:4" s="61" customFormat="1" ht="32.4">
      <c r="A55" s="153">
        <f t="shared" si="5"/>
        <v>15</v>
      </c>
      <c r="B55" s="116" t="s">
        <v>122</v>
      </c>
      <c r="C55" s="110" t="s">
        <v>60</v>
      </c>
      <c r="D55" s="82">
        <f>'დახურული ტიპის სანიაღვრე არხი'!S14</f>
        <v>62.513999999999996</v>
      </c>
    </row>
    <row r="56" spans="1:4" s="61" customFormat="1" ht="18.600000000000001">
      <c r="A56" s="153">
        <f t="shared" si="5"/>
        <v>16</v>
      </c>
      <c r="B56" s="68" t="s">
        <v>85</v>
      </c>
      <c r="C56" s="153" t="s">
        <v>81</v>
      </c>
      <c r="D56" s="64">
        <f>'დახურული ტიპის სანიაღვრე არხი'!T14</f>
        <v>2.0999999999999999E-3</v>
      </c>
    </row>
    <row r="57" spans="1:4" s="61" customFormat="1" ht="32.4">
      <c r="A57" s="153">
        <f t="shared" si="5"/>
        <v>17</v>
      </c>
      <c r="B57" s="68" t="s">
        <v>90</v>
      </c>
      <c r="C57" s="153" t="s">
        <v>61</v>
      </c>
      <c r="D57" s="82">
        <f>'დახურული ტიპის სანიაღვრე არხი'!U14</f>
        <v>3.5</v>
      </c>
    </row>
    <row r="58" spans="1:4" s="61" customFormat="1" ht="18.600000000000001">
      <c r="A58" s="153">
        <f t="shared" si="5"/>
        <v>18</v>
      </c>
      <c r="B58" s="68" t="s">
        <v>87</v>
      </c>
      <c r="C58" s="153" t="s">
        <v>81</v>
      </c>
      <c r="D58" s="64">
        <f>'დახურული ტიპის სანიაღვრე არხი'!V14</f>
        <v>1.0499999999999999E-3</v>
      </c>
    </row>
    <row r="59" spans="1:4" s="61" customFormat="1" ht="32.4">
      <c r="A59" s="153">
        <f t="shared" si="5"/>
        <v>19</v>
      </c>
      <c r="B59" s="68" t="s">
        <v>89</v>
      </c>
      <c r="C59" s="153" t="s">
        <v>61</v>
      </c>
      <c r="D59" s="82">
        <f>'დახურული ტიპის სანიაღვრე არხი'!W14</f>
        <v>3.5</v>
      </c>
    </row>
    <row r="60" spans="1:4">
      <c r="A60" s="95"/>
      <c r="B60" s="96" t="s">
        <v>144</v>
      </c>
      <c r="C60" s="97"/>
      <c r="D60" s="98"/>
    </row>
    <row r="61" spans="1:4" ht="48.6">
      <c r="A61" s="130">
        <v>1</v>
      </c>
      <c r="B61" s="131" t="s">
        <v>103</v>
      </c>
      <c r="C61" s="130" t="s">
        <v>104</v>
      </c>
      <c r="D61" s="133">
        <v>3</v>
      </c>
    </row>
    <row r="62" spans="1:4" ht="18.600000000000001">
      <c r="A62" s="130"/>
      <c r="B62" s="131" t="s">
        <v>92</v>
      </c>
      <c r="C62" s="132" t="s">
        <v>143</v>
      </c>
      <c r="D62" s="133">
        <f>D61*0.2</f>
        <v>0.60000000000000009</v>
      </c>
    </row>
    <row r="63" spans="1:4">
      <c r="A63" s="170"/>
      <c r="B63" s="96" t="s">
        <v>182</v>
      </c>
      <c r="C63" s="171"/>
      <c r="D63" s="172"/>
    </row>
    <row r="64" spans="1:4" ht="18.600000000000001">
      <c r="A64" s="115">
        <v>1</v>
      </c>
      <c r="B64" s="173" t="s">
        <v>170</v>
      </c>
      <c r="C64" s="153" t="s">
        <v>60</v>
      </c>
      <c r="D64" s="74">
        <f>3*3*2.9*0.9</f>
        <v>23.49</v>
      </c>
    </row>
    <row r="65" spans="1:4" ht="18.600000000000001">
      <c r="A65" s="153">
        <f t="shared" ref="A65:A68" si="6">A64+1</f>
        <v>2</v>
      </c>
      <c r="B65" s="173" t="s">
        <v>5</v>
      </c>
      <c r="C65" s="153" t="s">
        <v>60</v>
      </c>
      <c r="D65" s="74">
        <f>3*3*2.9*0.1</f>
        <v>2.61</v>
      </c>
    </row>
    <row r="66" spans="1:4" ht="18.600000000000001">
      <c r="A66" s="153">
        <f t="shared" si="6"/>
        <v>3</v>
      </c>
      <c r="B66" s="173" t="s">
        <v>74</v>
      </c>
      <c r="C66" s="153" t="s">
        <v>60</v>
      </c>
      <c r="D66" s="74">
        <f>D65+D64</f>
        <v>26.099999999999998</v>
      </c>
    </row>
    <row r="67" spans="1:4">
      <c r="A67" s="153">
        <f t="shared" si="6"/>
        <v>4</v>
      </c>
      <c r="B67" s="173" t="s">
        <v>84</v>
      </c>
      <c r="C67" s="113" t="s">
        <v>76</v>
      </c>
      <c r="D67" s="74">
        <f>D66*1.85</f>
        <v>48.284999999999997</v>
      </c>
    </row>
    <row r="68" spans="1:4" ht="18.600000000000001">
      <c r="A68" s="153">
        <f t="shared" si="6"/>
        <v>5</v>
      </c>
      <c r="B68" s="173" t="s">
        <v>171</v>
      </c>
      <c r="C68" s="153" t="s">
        <v>60</v>
      </c>
      <c r="D68" s="82">
        <f>2*2*0.1</f>
        <v>0.4</v>
      </c>
    </row>
    <row r="69" spans="1:4" ht="48.6">
      <c r="A69" s="199">
        <v>6</v>
      </c>
      <c r="B69" s="184" t="s">
        <v>186</v>
      </c>
      <c r="C69" s="199" t="s">
        <v>60</v>
      </c>
      <c r="D69" s="82">
        <v>2.2999999999999998</v>
      </c>
    </row>
    <row r="70" spans="1:4">
      <c r="A70" s="199"/>
      <c r="B70" s="85" t="s">
        <v>187</v>
      </c>
      <c r="C70" s="199" t="s">
        <v>116</v>
      </c>
      <c r="D70" s="75">
        <v>1</v>
      </c>
    </row>
    <row r="71" spans="1:4">
      <c r="A71" s="199"/>
      <c r="B71" s="85" t="s">
        <v>188</v>
      </c>
      <c r="C71" s="199" t="s">
        <v>116</v>
      </c>
      <c r="D71" s="75">
        <v>1</v>
      </c>
    </row>
    <row r="72" spans="1:4">
      <c r="A72" s="199"/>
      <c r="B72" s="85" t="s">
        <v>189</v>
      </c>
      <c r="C72" s="199" t="s">
        <v>116</v>
      </c>
      <c r="D72" s="75">
        <v>1</v>
      </c>
    </row>
    <row r="73" spans="1:4" ht="32.4">
      <c r="A73" s="199"/>
      <c r="B73" s="85" t="s">
        <v>190</v>
      </c>
      <c r="C73" s="199" t="s">
        <v>116</v>
      </c>
      <c r="D73" s="75">
        <v>1</v>
      </c>
    </row>
    <row r="74" spans="1:4" ht="18.600000000000001">
      <c r="A74" s="199">
        <v>7</v>
      </c>
      <c r="B74" s="176" t="s">
        <v>173</v>
      </c>
      <c r="C74" s="199" t="s">
        <v>61</v>
      </c>
      <c r="D74" s="174">
        <v>11.8</v>
      </c>
    </row>
    <row r="75" spans="1:4" ht="18.600000000000001">
      <c r="A75" s="199">
        <v>8</v>
      </c>
      <c r="B75" s="185" t="s">
        <v>172</v>
      </c>
      <c r="C75" s="199" t="s">
        <v>60</v>
      </c>
      <c r="D75" s="82">
        <f>D66-D70*1.7*1.7*0.15-D71*0.75*0.75*3.14*1.5-D72*0.75*0.75*3.14-D73*2*2*0.15</f>
        <v>20.650874999999999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38541666666666669" right="0.20833333333333334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view="pageBreakPreview" zoomScaleSheetLayoutView="100" workbookViewId="0">
      <selection activeCell="L7" sqref="L7"/>
    </sheetView>
  </sheetViews>
  <sheetFormatPr defaultColWidth="9.109375" defaultRowHeight="13.2"/>
  <cols>
    <col min="1" max="1" width="4.109375" style="1" customWidth="1"/>
    <col min="2" max="3" width="11" style="1" customWidth="1"/>
    <col min="4" max="6" width="5.5546875" style="1" customWidth="1"/>
    <col min="7" max="7" width="7.33203125" style="1" customWidth="1"/>
    <col min="8" max="8" width="8" style="1" customWidth="1"/>
    <col min="9" max="14" width="8.6640625" style="1" customWidth="1"/>
    <col min="15" max="15" width="10.5546875" style="1" customWidth="1"/>
    <col min="16" max="16" width="8.6640625" style="1" customWidth="1"/>
    <col min="17" max="16384" width="9.109375" style="1"/>
  </cols>
  <sheetData>
    <row r="1" spans="1:16" ht="15.75" customHeight="1">
      <c r="A1" s="207" t="s">
        <v>57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6" ht="14.4">
      <c r="A2" s="207" t="s">
        <v>48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6" ht="14.4">
      <c r="A3" s="34"/>
      <c r="B3" s="34"/>
      <c r="C3" s="34"/>
      <c r="D3" s="34"/>
      <c r="E3" s="34"/>
      <c r="F3" s="34"/>
      <c r="G3" s="51"/>
      <c r="H3" s="51"/>
      <c r="I3" s="34"/>
      <c r="J3" s="34"/>
      <c r="K3" s="34"/>
      <c r="L3" s="34"/>
      <c r="M3" s="34"/>
      <c r="N3" s="34"/>
      <c r="O3" s="34"/>
      <c r="P3" s="34"/>
    </row>
    <row r="4" spans="1:16" s="2" customFormat="1" ht="21.75" customHeight="1">
      <c r="A4" s="208" t="s">
        <v>3</v>
      </c>
      <c r="B4" s="209" t="s">
        <v>24</v>
      </c>
      <c r="C4" s="209"/>
      <c r="D4" s="204" t="s">
        <v>31</v>
      </c>
      <c r="E4" s="204" t="s">
        <v>21</v>
      </c>
      <c r="F4" s="204" t="s">
        <v>32</v>
      </c>
      <c r="G4" s="213" t="s">
        <v>58</v>
      </c>
      <c r="H4" s="214"/>
      <c r="I4" s="210" t="s">
        <v>28</v>
      </c>
      <c r="J4" s="212"/>
      <c r="K4" s="212"/>
      <c r="L4" s="211"/>
      <c r="M4" s="210" t="s">
        <v>29</v>
      </c>
      <c r="N4" s="212"/>
      <c r="O4" s="212"/>
      <c r="P4" s="211"/>
    </row>
    <row r="5" spans="1:16" ht="218.25" customHeight="1">
      <c r="A5" s="208"/>
      <c r="B5" s="33" t="s">
        <v>18</v>
      </c>
      <c r="C5" s="13" t="s">
        <v>18</v>
      </c>
      <c r="D5" s="205"/>
      <c r="E5" s="205"/>
      <c r="F5" s="205"/>
      <c r="G5" s="50" t="s">
        <v>63</v>
      </c>
      <c r="H5" s="50" t="s">
        <v>59</v>
      </c>
      <c r="I5" s="26" t="s">
        <v>49</v>
      </c>
      <c r="J5" s="24" t="s">
        <v>5</v>
      </c>
      <c r="K5" s="26" t="s">
        <v>27</v>
      </c>
      <c r="L5" s="25" t="s">
        <v>12</v>
      </c>
      <c r="M5" s="26" t="s">
        <v>13</v>
      </c>
      <c r="N5" s="23" t="s">
        <v>14</v>
      </c>
      <c r="O5" s="35" t="s">
        <v>15</v>
      </c>
      <c r="P5" s="26" t="s">
        <v>30</v>
      </c>
    </row>
    <row r="6" spans="1:16" s="9" customFormat="1" ht="20.25" customHeight="1">
      <c r="A6" s="208"/>
      <c r="B6" s="22" t="s">
        <v>19</v>
      </c>
      <c r="C6" s="12" t="s">
        <v>20</v>
      </c>
      <c r="D6" s="31" t="s">
        <v>22</v>
      </c>
      <c r="E6" s="31" t="s">
        <v>22</v>
      </c>
      <c r="F6" s="31" t="s">
        <v>23</v>
      </c>
      <c r="G6" s="53" t="s">
        <v>16</v>
      </c>
      <c r="H6" s="53" t="s">
        <v>4</v>
      </c>
      <c r="I6" s="18" t="s">
        <v>6</v>
      </c>
      <c r="J6" s="18" t="s">
        <v>6</v>
      </c>
      <c r="K6" s="12" t="s">
        <v>4</v>
      </c>
      <c r="L6" s="12" t="s">
        <v>16</v>
      </c>
      <c r="M6" s="53" t="s">
        <v>16</v>
      </c>
      <c r="N6" s="12" t="s">
        <v>16</v>
      </c>
      <c r="O6" s="18" t="s">
        <v>6</v>
      </c>
      <c r="P6" s="18" t="s">
        <v>6</v>
      </c>
    </row>
    <row r="7" spans="1:16" s="9" customFormat="1">
      <c r="A7" s="13">
        <v>1</v>
      </c>
      <c r="B7" s="27">
        <f>A7+1</f>
        <v>2</v>
      </c>
      <c r="C7" s="27">
        <f t="shared" ref="C7:F7" si="0">B7+1</f>
        <v>3</v>
      </c>
      <c r="D7" s="27">
        <f t="shared" si="0"/>
        <v>4</v>
      </c>
      <c r="E7" s="27">
        <f t="shared" si="0"/>
        <v>5</v>
      </c>
      <c r="F7" s="27">
        <f t="shared" si="0"/>
        <v>6</v>
      </c>
      <c r="G7" s="27">
        <f t="shared" ref="G7" si="1">F7+1</f>
        <v>7</v>
      </c>
      <c r="H7" s="27">
        <f t="shared" ref="H7" si="2">G7+1</f>
        <v>8</v>
      </c>
      <c r="I7" s="27">
        <f t="shared" ref="I7" si="3">H7+1</f>
        <v>9</v>
      </c>
      <c r="J7" s="27">
        <f t="shared" ref="J7" si="4">I7+1</f>
        <v>10</v>
      </c>
      <c r="K7" s="27">
        <f t="shared" ref="K7" si="5">J7+1</f>
        <v>11</v>
      </c>
      <c r="L7" s="27">
        <f t="shared" ref="L7" si="6">K7+1</f>
        <v>12</v>
      </c>
      <c r="M7" s="27">
        <f t="shared" ref="M7" si="7">L7+1</f>
        <v>13</v>
      </c>
      <c r="N7" s="27">
        <f t="shared" ref="N7" si="8">M7+1</f>
        <v>14</v>
      </c>
      <c r="O7" s="27">
        <f t="shared" ref="O7" si="9">N7+1</f>
        <v>15</v>
      </c>
      <c r="P7" s="27">
        <f t="shared" ref="P7" si="10">O7+1</f>
        <v>16</v>
      </c>
    </row>
    <row r="8" spans="1:16" s="2" customFormat="1">
      <c r="A8" s="17">
        <v>1</v>
      </c>
      <c r="B8" s="27"/>
      <c r="C8" s="52" t="s">
        <v>40</v>
      </c>
      <c r="D8" s="36">
        <v>5.5</v>
      </c>
      <c r="E8" s="4">
        <v>10</v>
      </c>
      <c r="F8" s="4">
        <f>E8*D8</f>
        <v>55</v>
      </c>
      <c r="G8" s="4">
        <v>35</v>
      </c>
      <c r="H8" s="4">
        <f>G8*0.06*2.2</f>
        <v>4.620000000000001</v>
      </c>
      <c r="I8" s="29">
        <f>F8*0.15*0.9</f>
        <v>7.4249999999999998</v>
      </c>
      <c r="J8" s="29">
        <f>F8*0.15*0.1</f>
        <v>0.82500000000000007</v>
      </c>
      <c r="K8" s="32">
        <f>(I8+J8)*1.8</f>
        <v>14.85</v>
      </c>
      <c r="L8" s="29">
        <f>F8</f>
        <v>55</v>
      </c>
      <c r="M8" s="32">
        <f>L8</f>
        <v>55</v>
      </c>
      <c r="N8" s="30">
        <f>O8*0.0006</f>
        <v>2.6999999999999996E-2</v>
      </c>
      <c r="O8" s="32">
        <f>(D8-1)*E8</f>
        <v>45</v>
      </c>
      <c r="P8" s="32">
        <f>E8*1*0.06*1.26</f>
        <v>0.75600000000000001</v>
      </c>
    </row>
    <row r="9" spans="1:16" s="2" customFormat="1">
      <c r="A9" s="202" t="s">
        <v>34</v>
      </c>
      <c r="B9" s="202"/>
      <c r="C9" s="202"/>
      <c r="D9" s="38"/>
      <c r="E9" s="3">
        <f>SUM(E8:E8)</f>
        <v>10</v>
      </c>
      <c r="F9" s="3">
        <f>SUM(F8:F8)</f>
        <v>55</v>
      </c>
      <c r="G9" s="3">
        <f>SUM(G8:G8)</f>
        <v>35</v>
      </c>
      <c r="H9" s="3"/>
      <c r="I9" s="3">
        <f t="shared" ref="I9:P9" si="11">SUM(I8:I8)</f>
        <v>7.4249999999999998</v>
      </c>
      <c r="J9" s="3">
        <f t="shared" si="11"/>
        <v>0.82500000000000007</v>
      </c>
      <c r="K9" s="3">
        <f t="shared" si="11"/>
        <v>14.85</v>
      </c>
      <c r="L9" s="3">
        <f t="shared" si="11"/>
        <v>55</v>
      </c>
      <c r="M9" s="3">
        <f t="shared" si="11"/>
        <v>55</v>
      </c>
      <c r="N9" s="54">
        <f t="shared" si="11"/>
        <v>2.6999999999999996E-2</v>
      </c>
      <c r="O9" s="3">
        <f t="shared" si="11"/>
        <v>45</v>
      </c>
      <c r="P9" s="3">
        <f t="shared" si="11"/>
        <v>0.75600000000000001</v>
      </c>
    </row>
    <row r="10" spans="1:16">
      <c r="A10" s="39"/>
      <c r="B10" s="39"/>
      <c r="C10" s="3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55"/>
      <c r="O10" s="41"/>
      <c r="P10" s="41"/>
    </row>
    <row r="12" spans="1:16">
      <c r="L12" s="10" t="s">
        <v>7</v>
      </c>
    </row>
  </sheetData>
  <mergeCells count="11">
    <mergeCell ref="A9:C9"/>
    <mergeCell ref="A1:P1"/>
    <mergeCell ref="A2:P2"/>
    <mergeCell ref="A4:A6"/>
    <mergeCell ref="B4:C4"/>
    <mergeCell ref="D4:D5"/>
    <mergeCell ref="E4:E5"/>
    <mergeCell ref="F4:F5"/>
    <mergeCell ref="I4:L4"/>
    <mergeCell ref="M4:P4"/>
    <mergeCell ref="G4:H4"/>
  </mergeCells>
  <pageMargins left="0.7" right="0.7" top="0.75" bottom="0.75" header="0.3" footer="0.3"/>
  <pageSetup paperSize="9" scale="80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zoomScaleSheetLayoutView="100" workbookViewId="0">
      <selection activeCell="H5" sqref="H5"/>
    </sheetView>
  </sheetViews>
  <sheetFormatPr defaultColWidth="9.109375" defaultRowHeight="13.2"/>
  <cols>
    <col min="1" max="1" width="4.109375" style="1" customWidth="1"/>
    <col min="2" max="3" width="11" style="1" customWidth="1"/>
    <col min="4" max="6" width="5.5546875" style="1" customWidth="1"/>
    <col min="7" max="7" width="8.5546875" style="1" customWidth="1"/>
    <col min="8" max="12" width="7.88671875" style="1" customWidth="1"/>
    <col min="13" max="13" width="10.5546875" style="1" bestFit="1" customWidth="1"/>
    <col min="14" max="14" width="7.88671875" style="1" customWidth="1"/>
    <col min="15" max="16384" width="9.109375" style="1"/>
  </cols>
  <sheetData>
    <row r="1" spans="1:14" ht="15.75" customHeight="1">
      <c r="A1" s="207" t="s">
        <v>37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30" customHeight="1">
      <c r="A2" s="207" t="s">
        <v>42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 ht="14.4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5.75" customHeight="1">
      <c r="A4" s="208" t="s">
        <v>3</v>
      </c>
      <c r="B4" s="209" t="s">
        <v>24</v>
      </c>
      <c r="C4" s="209"/>
      <c r="D4" s="204" t="s">
        <v>31</v>
      </c>
      <c r="E4" s="204" t="s">
        <v>21</v>
      </c>
      <c r="F4" s="204" t="s">
        <v>32</v>
      </c>
      <c r="G4" s="210" t="s">
        <v>28</v>
      </c>
      <c r="H4" s="212"/>
      <c r="I4" s="212"/>
      <c r="J4" s="211"/>
      <c r="K4" s="210" t="s">
        <v>29</v>
      </c>
      <c r="L4" s="212"/>
      <c r="M4" s="212"/>
      <c r="N4" s="211"/>
    </row>
    <row r="5" spans="1:14" ht="216.75" customHeight="1">
      <c r="A5" s="208"/>
      <c r="B5" s="33" t="s">
        <v>18</v>
      </c>
      <c r="C5" s="13" t="s">
        <v>18</v>
      </c>
      <c r="D5" s="205"/>
      <c r="E5" s="205"/>
      <c r="F5" s="205"/>
      <c r="G5" s="26" t="s">
        <v>26</v>
      </c>
      <c r="H5" s="24" t="s">
        <v>5</v>
      </c>
      <c r="I5" s="26" t="s">
        <v>27</v>
      </c>
      <c r="J5" s="25" t="s">
        <v>12</v>
      </c>
      <c r="K5" s="26" t="s">
        <v>43</v>
      </c>
      <c r="L5" s="23" t="s">
        <v>14</v>
      </c>
      <c r="M5" s="35" t="s">
        <v>15</v>
      </c>
      <c r="N5" s="26" t="s">
        <v>30</v>
      </c>
    </row>
    <row r="6" spans="1:14" s="9" customFormat="1" ht="20.25" customHeight="1">
      <c r="A6" s="208"/>
      <c r="B6" s="22" t="s">
        <v>19</v>
      </c>
      <c r="C6" s="12" t="s">
        <v>20</v>
      </c>
      <c r="D6" s="31" t="s">
        <v>22</v>
      </c>
      <c r="E6" s="31" t="s">
        <v>22</v>
      </c>
      <c r="F6" s="31" t="s">
        <v>23</v>
      </c>
      <c r="G6" s="18" t="s">
        <v>6</v>
      </c>
      <c r="H6" s="18" t="s">
        <v>6</v>
      </c>
      <c r="I6" s="12" t="s">
        <v>4</v>
      </c>
      <c r="J6" s="12" t="s">
        <v>16</v>
      </c>
      <c r="K6" s="18" t="s">
        <v>6</v>
      </c>
      <c r="L6" s="12" t="s">
        <v>16</v>
      </c>
      <c r="M6" s="18" t="s">
        <v>6</v>
      </c>
      <c r="N6" s="18" t="s">
        <v>6</v>
      </c>
    </row>
    <row r="7" spans="1:14" s="9" customFormat="1">
      <c r="A7" s="13">
        <v>1</v>
      </c>
      <c r="B7" s="27">
        <f>A7+1</f>
        <v>2</v>
      </c>
      <c r="C7" s="27">
        <f t="shared" ref="C7:N7" si="0">B7+1</f>
        <v>3</v>
      </c>
      <c r="D7" s="27">
        <f t="shared" si="0"/>
        <v>4</v>
      </c>
      <c r="E7" s="27">
        <f t="shared" si="0"/>
        <v>5</v>
      </c>
      <c r="F7" s="27">
        <f t="shared" si="0"/>
        <v>6</v>
      </c>
      <c r="G7" s="27">
        <f t="shared" si="0"/>
        <v>7</v>
      </c>
      <c r="H7" s="27">
        <f t="shared" si="0"/>
        <v>8</v>
      </c>
      <c r="I7" s="27">
        <f t="shared" si="0"/>
        <v>9</v>
      </c>
      <c r="J7" s="27">
        <f t="shared" si="0"/>
        <v>10</v>
      </c>
      <c r="K7" s="27">
        <f>J7+1</f>
        <v>11</v>
      </c>
      <c r="L7" s="27">
        <f t="shared" si="0"/>
        <v>12</v>
      </c>
      <c r="M7" s="27">
        <f t="shared" si="0"/>
        <v>13</v>
      </c>
      <c r="N7" s="27">
        <f t="shared" si="0"/>
        <v>14</v>
      </c>
    </row>
    <row r="8" spans="1:14" s="2" customFormat="1">
      <c r="A8" s="17">
        <v>1</v>
      </c>
      <c r="B8" s="27"/>
      <c r="C8" s="28" t="s">
        <v>25</v>
      </c>
      <c r="D8" s="36">
        <v>5.5</v>
      </c>
      <c r="E8" s="4">
        <v>10</v>
      </c>
      <c r="F8" s="4">
        <f>E8*D8</f>
        <v>55</v>
      </c>
      <c r="G8" s="29">
        <f>F8*0.15*0.9</f>
        <v>7.4249999999999998</v>
      </c>
      <c r="H8" s="29">
        <f>F8*0.15*0.1</f>
        <v>0.82500000000000007</v>
      </c>
      <c r="I8" s="32">
        <f>(G8+H8)*1.8</f>
        <v>14.85</v>
      </c>
      <c r="J8" s="29">
        <f>F8</f>
        <v>55</v>
      </c>
      <c r="K8" s="32">
        <f>J8*0.15*1.26</f>
        <v>10.395</v>
      </c>
      <c r="L8" s="30">
        <f>M8*0.0006</f>
        <v>2.6999999999999996E-2</v>
      </c>
      <c r="M8" s="32">
        <f>(D8-1)*E8</f>
        <v>45</v>
      </c>
      <c r="N8" s="32">
        <f>E8*1*0.06*1.26</f>
        <v>0.75600000000000001</v>
      </c>
    </row>
    <row r="9" spans="1:14" s="2" customFormat="1">
      <c r="A9" s="17">
        <f>A8+1</f>
        <v>2</v>
      </c>
      <c r="B9" s="8"/>
      <c r="C9" s="12"/>
      <c r="D9" s="12"/>
      <c r="E9" s="4"/>
      <c r="F9" s="4"/>
      <c r="G9" s="29"/>
      <c r="H9" s="29"/>
      <c r="I9" s="32"/>
      <c r="J9" s="29"/>
      <c r="K9" s="32"/>
      <c r="L9" s="32"/>
      <c r="M9" s="32"/>
      <c r="N9" s="32"/>
    </row>
    <row r="10" spans="1:14" s="2" customFormat="1">
      <c r="A10" s="17">
        <f t="shared" ref="A10:A27" si="1">A9+1</f>
        <v>3</v>
      </c>
      <c r="B10" s="8"/>
      <c r="C10" s="12"/>
      <c r="D10" s="12"/>
      <c r="E10" s="16"/>
      <c r="F10" s="16"/>
      <c r="G10" s="32"/>
      <c r="H10" s="32"/>
      <c r="I10" s="32"/>
      <c r="J10" s="32"/>
      <c r="K10" s="32"/>
      <c r="L10" s="32"/>
      <c r="M10" s="32"/>
      <c r="N10" s="32"/>
    </row>
    <row r="11" spans="1:14" s="2" customFormat="1">
      <c r="A11" s="17">
        <f t="shared" si="1"/>
        <v>4</v>
      </c>
      <c r="B11" s="8"/>
      <c r="C11" s="12"/>
      <c r="D11" s="12"/>
      <c r="E11" s="16"/>
      <c r="F11" s="16"/>
      <c r="G11" s="32"/>
      <c r="H11" s="32"/>
      <c r="I11" s="32"/>
      <c r="J11" s="32"/>
      <c r="K11" s="32"/>
      <c r="L11" s="32"/>
      <c r="M11" s="32"/>
      <c r="N11" s="32"/>
    </row>
    <row r="12" spans="1:14" s="2" customFormat="1">
      <c r="A12" s="17">
        <f t="shared" si="1"/>
        <v>5</v>
      </c>
      <c r="B12" s="15"/>
      <c r="C12" s="13"/>
      <c r="D12" s="13"/>
      <c r="E12" s="16"/>
      <c r="F12" s="16"/>
      <c r="G12" s="32"/>
      <c r="H12" s="32"/>
      <c r="I12" s="32"/>
      <c r="J12" s="32"/>
      <c r="K12" s="32"/>
      <c r="L12" s="32"/>
      <c r="M12" s="32"/>
      <c r="N12" s="32"/>
    </row>
    <row r="13" spans="1:14" s="2" customFormat="1">
      <c r="A13" s="17">
        <f t="shared" si="1"/>
        <v>6</v>
      </c>
      <c r="B13" s="15"/>
      <c r="C13" s="13"/>
      <c r="D13" s="13"/>
      <c r="E13" s="16"/>
      <c r="F13" s="16"/>
      <c r="G13" s="32"/>
      <c r="H13" s="32"/>
      <c r="I13" s="32"/>
      <c r="J13" s="32"/>
      <c r="K13" s="32"/>
      <c r="L13" s="32"/>
      <c r="M13" s="32"/>
      <c r="N13" s="32"/>
    </row>
    <row r="14" spans="1:14" s="2" customFormat="1">
      <c r="A14" s="17">
        <f t="shared" si="1"/>
        <v>7</v>
      </c>
      <c r="B14" s="15"/>
      <c r="C14" s="13"/>
      <c r="D14" s="13"/>
      <c r="E14" s="16"/>
      <c r="F14" s="16"/>
      <c r="G14" s="32"/>
      <c r="H14" s="32"/>
      <c r="I14" s="32"/>
      <c r="J14" s="32"/>
      <c r="K14" s="32"/>
      <c r="L14" s="32"/>
      <c r="M14" s="32"/>
      <c r="N14" s="32"/>
    </row>
    <row r="15" spans="1:14" s="2" customFormat="1">
      <c r="A15" s="17">
        <f t="shared" si="1"/>
        <v>8</v>
      </c>
      <c r="B15" s="8"/>
      <c r="C15" s="13"/>
      <c r="D15" s="13"/>
      <c r="E15" s="16"/>
      <c r="F15" s="16"/>
      <c r="G15" s="32"/>
      <c r="H15" s="32"/>
      <c r="I15" s="32"/>
      <c r="J15" s="32"/>
      <c r="K15" s="32"/>
      <c r="L15" s="32"/>
      <c r="M15" s="32"/>
      <c r="N15" s="32"/>
    </row>
    <row r="16" spans="1:14" s="2" customFormat="1">
      <c r="A16" s="17">
        <f t="shared" si="1"/>
        <v>9</v>
      </c>
      <c r="B16" s="15"/>
      <c r="C16" s="13"/>
      <c r="D16" s="13"/>
      <c r="E16" s="16"/>
      <c r="F16" s="16"/>
      <c r="G16" s="19"/>
      <c r="H16" s="19"/>
      <c r="I16" s="19"/>
      <c r="J16" s="19"/>
      <c r="K16" s="19"/>
      <c r="L16" s="19"/>
      <c r="M16" s="19"/>
      <c r="N16" s="19"/>
    </row>
    <row r="17" spans="1:14" s="2" customFormat="1">
      <c r="A17" s="17">
        <f t="shared" si="1"/>
        <v>10</v>
      </c>
      <c r="B17" s="14"/>
      <c r="C17" s="13"/>
      <c r="D17" s="13"/>
      <c r="E17" s="3"/>
      <c r="F17" s="3"/>
      <c r="G17" s="19"/>
      <c r="H17" s="19"/>
      <c r="I17" s="19"/>
      <c r="J17" s="19"/>
      <c r="K17" s="19"/>
      <c r="L17" s="19"/>
      <c r="M17" s="19"/>
      <c r="N17" s="19"/>
    </row>
    <row r="18" spans="1:14">
      <c r="A18" s="17">
        <f t="shared" si="1"/>
        <v>11</v>
      </c>
      <c r="B18" s="8"/>
      <c r="C18" s="18"/>
      <c r="D18" s="18"/>
      <c r="E18" s="4"/>
      <c r="F18" s="4"/>
      <c r="G18" s="20"/>
      <c r="H18" s="20"/>
      <c r="I18" s="20"/>
      <c r="J18" s="20"/>
      <c r="K18" s="20"/>
      <c r="L18" s="20"/>
      <c r="M18" s="20"/>
      <c r="N18" s="20"/>
    </row>
    <row r="19" spans="1:14">
      <c r="A19" s="17">
        <f t="shared" si="1"/>
        <v>12</v>
      </c>
      <c r="B19" s="7"/>
      <c r="C19" s="18"/>
      <c r="D19" s="18"/>
      <c r="E19" s="4"/>
      <c r="F19" s="4"/>
      <c r="G19" s="20"/>
      <c r="H19" s="20"/>
      <c r="I19" s="20"/>
      <c r="J19" s="20"/>
      <c r="K19" s="20"/>
      <c r="L19" s="20"/>
      <c r="M19" s="20"/>
      <c r="N19" s="20"/>
    </row>
    <row r="20" spans="1:14">
      <c r="A20" s="17">
        <f t="shared" si="1"/>
        <v>13</v>
      </c>
      <c r="B20" s="8"/>
      <c r="C20" s="18"/>
      <c r="D20" s="18"/>
      <c r="E20" s="4"/>
      <c r="F20" s="4"/>
      <c r="G20" s="20"/>
      <c r="H20" s="20"/>
      <c r="I20" s="20"/>
      <c r="J20" s="20"/>
      <c r="K20" s="20"/>
      <c r="L20" s="20"/>
      <c r="M20" s="20"/>
      <c r="N20" s="20"/>
    </row>
    <row r="21" spans="1:14">
      <c r="A21" s="17">
        <f t="shared" si="1"/>
        <v>14</v>
      </c>
      <c r="B21" s="11"/>
      <c r="C21" s="18"/>
      <c r="D21" s="18"/>
      <c r="E21" s="4"/>
      <c r="F21" s="4"/>
      <c r="G21" s="21"/>
      <c r="H21" s="20"/>
      <c r="I21" s="20"/>
      <c r="J21" s="20"/>
      <c r="K21" s="20"/>
      <c r="L21" s="20"/>
      <c r="M21" s="20"/>
      <c r="N21" s="20"/>
    </row>
    <row r="22" spans="1:14">
      <c r="A22" s="17">
        <f t="shared" si="1"/>
        <v>15</v>
      </c>
      <c r="B22" s="6"/>
      <c r="C22" s="18"/>
      <c r="D22" s="18"/>
      <c r="E22" s="4"/>
      <c r="F22" s="4"/>
      <c r="G22" s="20"/>
      <c r="H22" s="20"/>
      <c r="I22" s="20"/>
      <c r="J22" s="20"/>
      <c r="K22" s="20"/>
      <c r="L22" s="20"/>
      <c r="M22" s="20"/>
      <c r="N22" s="20"/>
    </row>
    <row r="23" spans="1:14">
      <c r="A23" s="17">
        <f t="shared" si="1"/>
        <v>16</v>
      </c>
      <c r="B23" s="6"/>
      <c r="C23" s="18"/>
      <c r="D23" s="18"/>
      <c r="E23" s="4"/>
      <c r="F23" s="4"/>
      <c r="G23" s="20"/>
      <c r="H23" s="20"/>
      <c r="I23" s="20"/>
      <c r="J23" s="20"/>
      <c r="K23" s="20"/>
      <c r="L23" s="20"/>
      <c r="M23" s="20"/>
      <c r="N23" s="20"/>
    </row>
    <row r="24" spans="1:14">
      <c r="A24" s="17">
        <f t="shared" si="1"/>
        <v>17</v>
      </c>
      <c r="B24" s="6"/>
      <c r="C24" s="12"/>
      <c r="D24" s="12"/>
      <c r="E24" s="4"/>
      <c r="F24" s="4"/>
      <c r="G24" s="20"/>
      <c r="H24" s="20"/>
      <c r="I24" s="20"/>
      <c r="J24" s="20"/>
      <c r="K24" s="20"/>
      <c r="L24" s="20"/>
      <c r="M24" s="20"/>
      <c r="N24" s="20"/>
    </row>
    <row r="25" spans="1:14">
      <c r="A25" s="17">
        <f t="shared" si="1"/>
        <v>18</v>
      </c>
      <c r="B25" s="5"/>
      <c r="C25" s="17"/>
      <c r="D25" s="17"/>
      <c r="E25" s="4"/>
      <c r="F25" s="4"/>
      <c r="G25" s="20"/>
      <c r="H25" s="20"/>
      <c r="I25" s="20"/>
      <c r="J25" s="20"/>
      <c r="K25" s="20"/>
      <c r="L25" s="20"/>
      <c r="M25" s="20"/>
      <c r="N25" s="20"/>
    </row>
    <row r="26" spans="1:14">
      <c r="A26" s="17">
        <f t="shared" si="1"/>
        <v>19</v>
      </c>
      <c r="B26" s="7"/>
      <c r="C26" s="18"/>
      <c r="D26" s="18"/>
      <c r="E26" s="4"/>
      <c r="F26" s="4"/>
      <c r="G26" s="20"/>
      <c r="H26" s="20"/>
      <c r="I26" s="20"/>
      <c r="J26" s="20"/>
      <c r="K26" s="20"/>
      <c r="L26" s="20"/>
      <c r="M26" s="20"/>
      <c r="N26" s="20"/>
    </row>
    <row r="27" spans="1:14">
      <c r="A27" s="17">
        <f t="shared" si="1"/>
        <v>20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>
      <c r="A28" s="202" t="s">
        <v>34</v>
      </c>
      <c r="B28" s="202"/>
      <c r="C28" s="202"/>
      <c r="D28" s="38"/>
      <c r="E28" s="3">
        <f t="shared" ref="E28:N28" si="2">SUM(E8:E27)</f>
        <v>10</v>
      </c>
      <c r="F28" s="3">
        <f t="shared" si="2"/>
        <v>55</v>
      </c>
      <c r="G28" s="3">
        <f t="shared" si="2"/>
        <v>7.4249999999999998</v>
      </c>
      <c r="H28" s="3">
        <f t="shared" si="2"/>
        <v>0.82500000000000007</v>
      </c>
      <c r="I28" s="3">
        <f t="shared" si="2"/>
        <v>14.85</v>
      </c>
      <c r="J28" s="3">
        <f t="shared" si="2"/>
        <v>55</v>
      </c>
      <c r="K28" s="3">
        <f t="shared" si="2"/>
        <v>10.395</v>
      </c>
      <c r="L28" s="3">
        <f t="shared" si="2"/>
        <v>2.6999999999999996E-2</v>
      </c>
      <c r="M28" s="3">
        <f t="shared" si="2"/>
        <v>45</v>
      </c>
      <c r="N28" s="3">
        <f t="shared" si="2"/>
        <v>0.75600000000000001</v>
      </c>
    </row>
    <row r="29" spans="1:14">
      <c r="A29" s="39"/>
      <c r="B29" s="39"/>
      <c r="C29" s="39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1" spans="1:14">
      <c r="J31" s="10" t="s">
        <v>7</v>
      </c>
    </row>
    <row r="33" ht="25.5" customHeight="1"/>
  </sheetData>
  <mergeCells count="10">
    <mergeCell ref="A28:C28"/>
    <mergeCell ref="K4:N4"/>
    <mergeCell ref="A1:N1"/>
    <mergeCell ref="A2:N2"/>
    <mergeCell ref="A4:A6"/>
    <mergeCell ref="B4:C4"/>
    <mergeCell ref="D4:D5"/>
    <mergeCell ref="E4:E5"/>
    <mergeCell ref="F4:F5"/>
    <mergeCell ref="G4:J4"/>
  </mergeCells>
  <pageMargins left="0.7" right="0.7" top="0.75" bottom="0.75" header="0.3" footer="0.3"/>
  <pageSetup paperSize="9" scale="80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85" zoomScaleNormal="85" zoomScaleSheetLayoutView="100" zoomScalePageLayoutView="85" workbookViewId="0">
      <selection activeCell="C16" sqref="C16"/>
    </sheetView>
  </sheetViews>
  <sheetFormatPr defaultColWidth="9.109375" defaultRowHeight="15"/>
  <cols>
    <col min="1" max="1" width="8.33203125" style="58" customWidth="1"/>
    <col min="2" max="2" width="30.109375" style="77" customWidth="1"/>
    <col min="3" max="3" width="26" style="81" customWidth="1"/>
    <col min="4" max="4" width="26.6640625" style="57" customWidth="1"/>
    <col min="5" max="5" width="25.5546875" style="81" customWidth="1"/>
    <col min="6" max="16384" width="9.109375" style="56"/>
  </cols>
  <sheetData>
    <row r="1" spans="1:5" ht="32.25" customHeight="1">
      <c r="A1" s="216" t="s">
        <v>146</v>
      </c>
      <c r="B1" s="216"/>
      <c r="C1" s="216"/>
      <c r="D1" s="216"/>
      <c r="E1" s="216"/>
    </row>
    <row r="2" spans="1:5" ht="15.75" customHeight="1">
      <c r="A2" s="216" t="s">
        <v>132</v>
      </c>
      <c r="B2" s="216"/>
      <c r="C2" s="216"/>
      <c r="D2" s="216"/>
      <c r="E2" s="216"/>
    </row>
    <row r="3" spans="1:5" ht="15" customHeight="1">
      <c r="A3" s="217"/>
      <c r="B3" s="217"/>
      <c r="C3" s="217"/>
      <c r="D3" s="217"/>
      <c r="E3" s="217"/>
    </row>
    <row r="4" spans="1:5" ht="15.6">
      <c r="A4" s="71"/>
      <c r="B4" s="76"/>
      <c r="C4" s="71"/>
      <c r="D4" s="71"/>
      <c r="E4" s="71"/>
    </row>
    <row r="5" spans="1:5" ht="22.5" customHeight="1">
      <c r="A5" s="218" t="s">
        <v>3</v>
      </c>
      <c r="B5" s="218" t="s">
        <v>71</v>
      </c>
      <c r="C5" s="218" t="s">
        <v>134</v>
      </c>
      <c r="D5" s="219" t="s">
        <v>135</v>
      </c>
      <c r="E5" s="218" t="s">
        <v>17</v>
      </c>
    </row>
    <row r="6" spans="1:5" ht="10.5" customHeight="1">
      <c r="A6" s="218"/>
      <c r="B6" s="218"/>
      <c r="C6" s="218"/>
      <c r="D6" s="219"/>
      <c r="E6" s="218"/>
    </row>
    <row r="7" spans="1:5" s="57" customFormat="1">
      <c r="A7" s="119">
        <v>1</v>
      </c>
      <c r="B7" s="119">
        <v>2</v>
      </c>
      <c r="C7" s="119">
        <v>4</v>
      </c>
      <c r="D7" s="119">
        <v>5</v>
      </c>
      <c r="E7" s="119">
        <v>6</v>
      </c>
    </row>
    <row r="8" spans="1:5">
      <c r="A8" s="118">
        <v>1</v>
      </c>
      <c r="B8" s="125" t="s">
        <v>133</v>
      </c>
      <c r="C8" s="186">
        <v>0</v>
      </c>
      <c r="D8" s="126"/>
      <c r="E8" s="134"/>
    </row>
    <row r="9" spans="1:5">
      <c r="A9" s="118">
        <f t="shared" ref="A9:A15" si="0">A8+1</f>
        <v>2</v>
      </c>
      <c r="B9" s="125" t="s">
        <v>70</v>
      </c>
      <c r="C9" s="186">
        <v>40.82</v>
      </c>
      <c r="D9" s="126"/>
      <c r="E9" s="134"/>
    </row>
    <row r="10" spans="1:5">
      <c r="A10" s="118">
        <f t="shared" si="0"/>
        <v>3</v>
      </c>
      <c r="B10" s="125" t="s">
        <v>64</v>
      </c>
      <c r="C10" s="186">
        <v>27.32</v>
      </c>
      <c r="D10" s="126"/>
      <c r="E10" s="100"/>
    </row>
    <row r="11" spans="1:5">
      <c r="A11" s="118">
        <f t="shared" si="0"/>
        <v>4</v>
      </c>
      <c r="B11" s="125" t="s">
        <v>65</v>
      </c>
      <c r="C11" s="186">
        <v>46.25</v>
      </c>
      <c r="D11" s="126"/>
      <c r="E11" s="100"/>
    </row>
    <row r="12" spans="1:5">
      <c r="A12" s="118">
        <f t="shared" si="0"/>
        <v>5</v>
      </c>
      <c r="B12" s="125" t="s">
        <v>66</v>
      </c>
      <c r="C12" s="186">
        <v>50.58</v>
      </c>
      <c r="D12" s="126"/>
      <c r="E12" s="100"/>
    </row>
    <row r="13" spans="1:5">
      <c r="A13" s="118">
        <f t="shared" si="0"/>
        <v>6</v>
      </c>
      <c r="B13" s="125" t="s">
        <v>67</v>
      </c>
      <c r="C13" s="186">
        <v>38.18</v>
      </c>
      <c r="D13" s="126"/>
      <c r="E13" s="100"/>
    </row>
    <row r="14" spans="1:5">
      <c r="A14" s="118">
        <f t="shared" si="0"/>
        <v>7</v>
      </c>
      <c r="B14" s="125" t="s">
        <v>68</v>
      </c>
      <c r="C14" s="186">
        <v>37.03</v>
      </c>
      <c r="D14" s="126"/>
      <c r="E14" s="100"/>
    </row>
    <row r="15" spans="1:5">
      <c r="A15" s="118">
        <f t="shared" si="0"/>
        <v>8</v>
      </c>
      <c r="B15" s="125" t="s">
        <v>69</v>
      </c>
      <c r="C15" s="186">
        <v>34.49</v>
      </c>
      <c r="D15" s="126"/>
      <c r="E15" s="100"/>
    </row>
    <row r="16" spans="1:5" s="127" customFormat="1" ht="13.2">
      <c r="A16" s="122"/>
      <c r="B16" s="123" t="s">
        <v>41</v>
      </c>
      <c r="C16" s="124">
        <f>SUM(C8:C15)</f>
        <v>274.67</v>
      </c>
      <c r="D16" s="124">
        <f>SUM(D8:D13)</f>
        <v>0</v>
      </c>
      <c r="E16" s="124">
        <f>SUM(E8:E13)</f>
        <v>0</v>
      </c>
    </row>
    <row r="17" spans="1:5" s="77" customFormat="1">
      <c r="A17" s="78"/>
      <c r="B17" s="79"/>
      <c r="C17" s="80"/>
      <c r="D17" s="80"/>
      <c r="E17" s="80"/>
    </row>
    <row r="18" spans="1:5" s="77" customFormat="1" ht="28.5" customHeight="1">
      <c r="A18" s="215"/>
      <c r="B18" s="215"/>
      <c r="C18" s="215"/>
      <c r="D18" s="215"/>
      <c r="E18" s="215"/>
    </row>
    <row r="19" spans="1:5" s="77" customFormat="1">
      <c r="A19" s="78"/>
      <c r="B19" s="79"/>
      <c r="C19" s="80"/>
      <c r="D19" s="80"/>
      <c r="E19" s="80"/>
    </row>
    <row r="20" spans="1:5" s="77" customFormat="1">
      <c r="A20" s="78"/>
      <c r="B20" s="79"/>
      <c r="C20" s="80"/>
      <c r="D20" s="80"/>
      <c r="E20" s="80"/>
    </row>
    <row r="21" spans="1:5" s="77" customFormat="1">
      <c r="A21" s="78"/>
      <c r="B21" s="79"/>
      <c r="C21" s="80"/>
      <c r="D21" s="80"/>
      <c r="E21" s="80"/>
    </row>
    <row r="22" spans="1:5" s="77" customFormat="1">
      <c r="A22" s="78"/>
      <c r="B22" s="79"/>
      <c r="C22" s="80"/>
      <c r="D22" s="80"/>
      <c r="E22" s="80"/>
    </row>
    <row r="23" spans="1:5" s="77" customFormat="1">
      <c r="A23" s="78"/>
      <c r="B23" s="79"/>
      <c r="C23" s="80"/>
      <c r="D23" s="80"/>
      <c r="E23" s="80"/>
    </row>
    <row r="24" spans="1:5" s="77" customFormat="1">
      <c r="A24" s="78"/>
      <c r="B24" s="79"/>
      <c r="C24" s="80"/>
      <c r="D24" s="80"/>
      <c r="E24" s="80"/>
    </row>
    <row r="25" spans="1:5" s="77" customFormat="1">
      <c r="A25" s="78"/>
      <c r="B25" s="79"/>
      <c r="C25" s="80"/>
      <c r="D25" s="80"/>
      <c r="E25" s="80"/>
    </row>
    <row r="26" spans="1:5" s="77" customFormat="1">
      <c r="A26" s="78"/>
      <c r="B26" s="79"/>
      <c r="C26" s="80"/>
      <c r="D26" s="80"/>
      <c r="E26" s="80"/>
    </row>
    <row r="27" spans="1:5" s="77" customFormat="1">
      <c r="A27" s="78"/>
      <c r="B27" s="79"/>
      <c r="C27" s="80"/>
      <c r="D27" s="80"/>
      <c r="E27" s="80"/>
    </row>
  </sheetData>
  <mergeCells count="9">
    <mergeCell ref="A18:E18"/>
    <mergeCell ref="A1:E1"/>
    <mergeCell ref="A3:E3"/>
    <mergeCell ref="A5:A6"/>
    <mergeCell ref="B5:B6"/>
    <mergeCell ref="C5:C6"/>
    <mergeCell ref="D5:D6"/>
    <mergeCell ref="E5:E6"/>
    <mergeCell ref="A2:E2"/>
  </mergeCells>
  <pageMargins left="0.7" right="0.7634803921568627" top="0.40318627450980393" bottom="0.75" header="0.3" footer="0.3"/>
  <pageSetup paperSize="9" scale="7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Normal="100" zoomScaleSheetLayoutView="115" workbookViewId="0">
      <selection activeCell="D10" sqref="D10"/>
    </sheetView>
  </sheetViews>
  <sheetFormatPr defaultColWidth="9.109375" defaultRowHeight="13.2"/>
  <cols>
    <col min="1" max="1" width="4.109375" style="1" customWidth="1"/>
    <col min="2" max="2" width="5.88671875" style="1" customWidth="1"/>
    <col min="3" max="3" width="12.88671875" style="1" customWidth="1"/>
    <col min="4" max="4" width="15.6640625" style="1" customWidth="1"/>
    <col min="5" max="5" width="14.5546875" style="1" customWidth="1"/>
    <col min="6" max="6" width="36" style="1" customWidth="1"/>
    <col min="7" max="7" width="11.6640625" style="1" customWidth="1"/>
    <col min="8" max="8" width="8.88671875" style="1" customWidth="1"/>
    <col min="9" max="9" width="9.5546875" style="1" customWidth="1"/>
    <col min="10" max="10" width="12.6640625" style="1" customWidth="1"/>
    <col min="11" max="16384" width="9.109375" style="1"/>
  </cols>
  <sheetData>
    <row r="1" spans="1:10" ht="18.75" customHeight="1">
      <c r="A1" s="222" t="s">
        <v>146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0" ht="13.8">
      <c r="A2" s="223" t="s">
        <v>105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0" ht="14.4">
      <c r="A3" s="88"/>
      <c r="B3" s="88"/>
      <c r="C3" s="88"/>
      <c r="D3" s="88"/>
      <c r="E3" s="88"/>
      <c r="F3" s="88"/>
      <c r="G3" s="88"/>
      <c r="H3" s="88"/>
      <c r="I3" s="88"/>
    </row>
    <row r="4" spans="1:10" ht="26.4">
      <c r="A4" s="208" t="s">
        <v>3</v>
      </c>
      <c r="B4" s="220" t="s">
        <v>100</v>
      </c>
      <c r="C4" s="31" t="s">
        <v>24</v>
      </c>
      <c r="D4" s="224" t="s">
        <v>93</v>
      </c>
      <c r="E4" s="224" t="s">
        <v>94</v>
      </c>
      <c r="F4" s="224" t="s">
        <v>95</v>
      </c>
      <c r="G4" s="224" t="s">
        <v>102</v>
      </c>
      <c r="H4" s="224" t="s">
        <v>96</v>
      </c>
      <c r="I4" s="224" t="s">
        <v>97</v>
      </c>
      <c r="J4" s="226" t="s">
        <v>17</v>
      </c>
    </row>
    <row r="5" spans="1:10" ht="21.75" customHeight="1">
      <c r="A5" s="208"/>
      <c r="B5" s="221"/>
      <c r="C5" s="42" t="s">
        <v>18</v>
      </c>
      <c r="D5" s="225"/>
      <c r="E5" s="225"/>
      <c r="F5" s="225"/>
      <c r="G5" s="225"/>
      <c r="H5" s="225"/>
      <c r="I5" s="225"/>
      <c r="J5" s="227"/>
    </row>
    <row r="6" spans="1:10" s="9" customFormat="1">
      <c r="A6" s="89">
        <v>1</v>
      </c>
      <c r="B6" s="93"/>
      <c r="C6" s="27">
        <f>A6+1</f>
        <v>2</v>
      </c>
      <c r="D6" s="27">
        <f t="shared" ref="D6:F6" si="0">C6+1</f>
        <v>3</v>
      </c>
      <c r="E6" s="27">
        <f t="shared" si="0"/>
        <v>4</v>
      </c>
      <c r="F6" s="27">
        <f t="shared" si="0"/>
        <v>5</v>
      </c>
      <c r="G6" s="27"/>
      <c r="H6" s="27">
        <f t="shared" ref="H6" si="1">F6+1</f>
        <v>6</v>
      </c>
      <c r="I6" s="27">
        <f t="shared" ref="I6:J6" si="2">H6+1</f>
        <v>7</v>
      </c>
      <c r="J6" s="27">
        <f t="shared" si="2"/>
        <v>8</v>
      </c>
    </row>
    <row r="7" spans="1:10" s="2" customFormat="1" ht="66">
      <c r="A7" s="90">
        <v>1</v>
      </c>
      <c r="B7" s="94" t="s">
        <v>101</v>
      </c>
      <c r="C7" s="27" t="s">
        <v>147</v>
      </c>
      <c r="D7" s="91" t="s">
        <v>99</v>
      </c>
      <c r="E7" s="92" t="s">
        <v>98</v>
      </c>
      <c r="F7" s="92" t="s">
        <v>103</v>
      </c>
      <c r="G7" s="92">
        <v>0.2</v>
      </c>
      <c r="H7" s="92">
        <v>124.93</v>
      </c>
      <c r="I7" s="92">
        <v>125.1</v>
      </c>
      <c r="J7" s="19"/>
    </row>
    <row r="8" spans="1:10" s="2" customFormat="1" ht="66">
      <c r="A8" s="90">
        <f>A7+1</f>
        <v>2</v>
      </c>
      <c r="B8" s="121" t="s">
        <v>136</v>
      </c>
      <c r="C8" s="27" t="s">
        <v>148</v>
      </c>
      <c r="D8" s="91" t="s">
        <v>99</v>
      </c>
      <c r="E8" s="92" t="s">
        <v>98</v>
      </c>
      <c r="F8" s="92" t="s">
        <v>103</v>
      </c>
      <c r="G8" s="92">
        <v>0.2</v>
      </c>
      <c r="H8" s="92">
        <v>125.22</v>
      </c>
      <c r="I8" s="92">
        <v>125.17</v>
      </c>
      <c r="J8" s="19"/>
    </row>
    <row r="9" spans="1:10" s="2" customFormat="1" ht="52.8">
      <c r="A9" s="120">
        <f t="shared" ref="A9:A10" si="3">A8+1</f>
        <v>3</v>
      </c>
      <c r="B9" s="121" t="s">
        <v>137</v>
      </c>
      <c r="C9" s="27" t="s">
        <v>149</v>
      </c>
      <c r="D9" s="91" t="s">
        <v>99</v>
      </c>
      <c r="E9" s="92" t="s">
        <v>151</v>
      </c>
      <c r="F9" s="92" t="s">
        <v>152</v>
      </c>
      <c r="G9" s="92" t="s">
        <v>153</v>
      </c>
      <c r="H9" s="92">
        <v>125.31</v>
      </c>
      <c r="I9" s="92">
        <v>125.24</v>
      </c>
      <c r="J9" s="31"/>
    </row>
    <row r="10" spans="1:10" s="2" customFormat="1" ht="66">
      <c r="A10" s="120">
        <f t="shared" si="3"/>
        <v>4</v>
      </c>
      <c r="B10" s="121" t="s">
        <v>138</v>
      </c>
      <c r="C10" s="27" t="s">
        <v>150</v>
      </c>
      <c r="D10" s="91" t="s">
        <v>99</v>
      </c>
      <c r="E10" s="92" t="s">
        <v>98</v>
      </c>
      <c r="F10" s="92" t="s">
        <v>103</v>
      </c>
      <c r="G10" s="92">
        <v>0.2</v>
      </c>
      <c r="H10" s="92">
        <v>125.16</v>
      </c>
      <c r="I10" s="92">
        <v>125.3</v>
      </c>
      <c r="J10" s="19"/>
    </row>
  </sheetData>
  <mergeCells count="11">
    <mergeCell ref="B4:B5"/>
    <mergeCell ref="A1:J1"/>
    <mergeCell ref="A2:J2"/>
    <mergeCell ref="A4:A5"/>
    <mergeCell ref="D4:D5"/>
    <mergeCell ref="E4:E5"/>
    <mergeCell ref="F4:F5"/>
    <mergeCell ref="G4:G5"/>
    <mergeCell ref="H4:H5"/>
    <mergeCell ref="I4:I5"/>
    <mergeCell ref="J4:J5"/>
  </mergeCells>
  <pageMargins left="0.5625" right="0.39583333333333331" top="0.44791666666666669" bottom="0.343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zoomScaleSheetLayoutView="100" workbookViewId="0">
      <selection activeCell="B14" sqref="B14"/>
    </sheetView>
  </sheetViews>
  <sheetFormatPr defaultColWidth="9.109375" defaultRowHeight="13.2"/>
  <cols>
    <col min="1" max="1" width="5" style="1" customWidth="1"/>
    <col min="2" max="2" width="61.44140625" style="1" customWidth="1"/>
    <col min="3" max="4" width="10.5546875" style="1" customWidth="1"/>
    <col min="5" max="16384" width="9.109375" style="1"/>
  </cols>
  <sheetData>
    <row r="1" spans="1:4" ht="35.25" customHeight="1">
      <c r="A1" s="222" t="s">
        <v>146</v>
      </c>
      <c r="B1" s="222"/>
      <c r="C1" s="222"/>
      <c r="D1" s="222"/>
    </row>
    <row r="2" spans="1:4" ht="15" customHeight="1">
      <c r="A2" s="223" t="s">
        <v>181</v>
      </c>
      <c r="B2" s="223"/>
      <c r="C2" s="223"/>
      <c r="D2" s="223"/>
    </row>
    <row r="3" spans="1:4" ht="14.4">
      <c r="A3" s="150"/>
      <c r="B3" s="150"/>
      <c r="C3" s="150"/>
      <c r="D3" s="150"/>
    </row>
    <row r="4" spans="1:4" ht="18.600000000000001">
      <c r="A4" s="175">
        <v>1</v>
      </c>
      <c r="B4" s="184" t="s">
        <v>170</v>
      </c>
      <c r="C4" s="153" t="s">
        <v>60</v>
      </c>
      <c r="D4" s="74">
        <f>3*3*2.9*0.9</f>
        <v>23.49</v>
      </c>
    </row>
    <row r="5" spans="1:4" ht="18.600000000000001">
      <c r="A5" s="153">
        <f t="shared" ref="A5:A8" si="0">A4+1</f>
        <v>2</v>
      </c>
      <c r="B5" s="184" t="s">
        <v>5</v>
      </c>
      <c r="C5" s="153" t="s">
        <v>60</v>
      </c>
      <c r="D5" s="74">
        <f>3*3*2.9*0.1</f>
        <v>2.61</v>
      </c>
    </row>
    <row r="6" spans="1:4" ht="32.4">
      <c r="A6" s="153">
        <f t="shared" si="0"/>
        <v>3</v>
      </c>
      <c r="B6" s="184" t="s">
        <v>74</v>
      </c>
      <c r="C6" s="153" t="s">
        <v>60</v>
      </c>
      <c r="D6" s="74">
        <f>D5+D4</f>
        <v>26.099999999999998</v>
      </c>
    </row>
    <row r="7" spans="1:4" ht="16.2">
      <c r="A7" s="153">
        <f t="shared" si="0"/>
        <v>4</v>
      </c>
      <c r="B7" s="184" t="s">
        <v>84</v>
      </c>
      <c r="C7" s="153" t="s">
        <v>76</v>
      </c>
      <c r="D7" s="74">
        <f>D6*1.85</f>
        <v>48.284999999999997</v>
      </c>
    </row>
    <row r="8" spans="1:4" ht="18.600000000000001">
      <c r="A8" s="153">
        <f t="shared" si="0"/>
        <v>5</v>
      </c>
      <c r="B8" s="184" t="s">
        <v>171</v>
      </c>
      <c r="C8" s="153" t="s">
        <v>60</v>
      </c>
      <c r="D8" s="82">
        <f>2*2*0.1</f>
        <v>0.4</v>
      </c>
    </row>
    <row r="9" spans="1:4" ht="48.6">
      <c r="A9" s="199">
        <v>6</v>
      </c>
      <c r="B9" s="184" t="s">
        <v>191</v>
      </c>
      <c r="C9" s="199" t="s">
        <v>60</v>
      </c>
      <c r="D9" s="82">
        <v>2.2999999999999998</v>
      </c>
    </row>
    <row r="10" spans="1:4" ht="16.2">
      <c r="A10" s="199"/>
      <c r="B10" s="85" t="s">
        <v>187</v>
      </c>
      <c r="C10" s="199" t="s">
        <v>116</v>
      </c>
      <c r="D10" s="75">
        <v>1</v>
      </c>
    </row>
    <row r="11" spans="1:4" ht="16.2">
      <c r="A11" s="199"/>
      <c r="B11" s="85" t="s">
        <v>188</v>
      </c>
      <c r="C11" s="199" t="s">
        <v>116</v>
      </c>
      <c r="D11" s="75">
        <v>1</v>
      </c>
    </row>
    <row r="12" spans="1:4" ht="16.2">
      <c r="A12" s="199"/>
      <c r="B12" s="85" t="s">
        <v>189</v>
      </c>
      <c r="C12" s="199" t="s">
        <v>116</v>
      </c>
      <c r="D12" s="75">
        <v>1</v>
      </c>
    </row>
    <row r="13" spans="1:4" ht="32.4">
      <c r="A13" s="199"/>
      <c r="B13" s="85" t="s">
        <v>192</v>
      </c>
      <c r="C13" s="199" t="s">
        <v>116</v>
      </c>
      <c r="D13" s="75">
        <v>1</v>
      </c>
    </row>
    <row r="14" spans="1:4" ht="18.600000000000001">
      <c r="A14" s="199">
        <v>7</v>
      </c>
      <c r="B14" s="176" t="s">
        <v>173</v>
      </c>
      <c r="C14" s="199" t="s">
        <v>61</v>
      </c>
      <c r="D14" s="174">
        <v>11.8</v>
      </c>
    </row>
    <row r="15" spans="1:4" ht="18.600000000000001">
      <c r="A15" s="153">
        <v>8</v>
      </c>
      <c r="B15" s="185" t="s">
        <v>172</v>
      </c>
      <c r="C15" s="153" t="s">
        <v>60</v>
      </c>
      <c r="D15" s="82">
        <f>D6-D10*1.7*1.7*0.15-D11*0.75*0.75*3.14*1.5-D12*0.75*0.75*3.14-D13*2*2*0.15</f>
        <v>20.650874999999999</v>
      </c>
    </row>
  </sheetData>
  <mergeCells count="2">
    <mergeCell ref="A1:D1"/>
    <mergeCell ref="A2:D2"/>
  </mergeCells>
  <pageMargins left="0.5625" right="0.39583333333333331" top="0.44791666666666669" bottom="0.343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4"/>
  <sheetViews>
    <sheetView topLeftCell="A10" zoomScaleNormal="100" zoomScaleSheetLayoutView="115" workbookViewId="0">
      <selection activeCell="O5" sqref="O5"/>
    </sheetView>
  </sheetViews>
  <sheetFormatPr defaultRowHeight="13.2"/>
  <cols>
    <col min="1" max="1" width="4.88671875" customWidth="1"/>
    <col min="2" max="4" width="6" customWidth="1"/>
    <col min="5" max="5" width="5.88671875" bestFit="1" customWidth="1"/>
    <col min="6" max="7" width="4.5546875" customWidth="1"/>
    <col min="8" max="8" width="5.6640625" bestFit="1" customWidth="1"/>
    <col min="9" max="9" width="5.109375" customWidth="1"/>
    <col min="10" max="10" width="6.5546875" bestFit="1" customWidth="1"/>
    <col min="11" max="11" width="5.44140625" customWidth="1"/>
    <col min="12" max="13" width="6.5546875" bestFit="1" customWidth="1"/>
    <col min="14" max="14" width="6.44140625" customWidth="1"/>
    <col min="15" max="15" width="7.6640625" customWidth="1"/>
    <col min="16" max="16" width="5" customWidth="1"/>
    <col min="17" max="17" width="5.5546875" customWidth="1"/>
    <col min="18" max="18" width="5" customWidth="1"/>
    <col min="19" max="19" width="7" customWidth="1"/>
    <col min="20" max="20" width="5.88671875" customWidth="1"/>
    <col min="21" max="21" width="8.33203125" bestFit="1" customWidth="1"/>
    <col min="22" max="22" width="5.6640625" customWidth="1"/>
    <col min="23" max="23" width="10.5546875" bestFit="1" customWidth="1"/>
  </cols>
  <sheetData>
    <row r="1" spans="1:23" ht="23.25" customHeight="1">
      <c r="A1" s="228" t="s">
        <v>146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</row>
    <row r="2" spans="1:23" ht="15" customHeight="1">
      <c r="A2" s="207" t="s">
        <v>139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3" ht="14.4">
      <c r="A3" s="136"/>
      <c r="B3" s="136"/>
      <c r="C3" s="136"/>
      <c r="D3" s="136"/>
      <c r="E3" s="150"/>
      <c r="F3" s="150"/>
      <c r="G3" s="150"/>
      <c r="H3" s="136"/>
      <c r="I3" s="136"/>
      <c r="J3" s="136"/>
      <c r="K3" s="136"/>
      <c r="L3" s="1"/>
      <c r="M3" s="1"/>
      <c r="N3" s="1"/>
      <c r="O3" s="1"/>
    </row>
    <row r="4" spans="1:23" ht="24.75" customHeight="1">
      <c r="A4" s="229" t="s">
        <v>3</v>
      </c>
      <c r="B4" s="224" t="s">
        <v>117</v>
      </c>
      <c r="C4" s="231"/>
      <c r="D4" s="231"/>
      <c r="E4" s="210" t="s">
        <v>0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1"/>
    </row>
    <row r="5" spans="1:23" ht="281.25" customHeight="1">
      <c r="A5" s="229"/>
      <c r="B5" s="230"/>
      <c r="C5" s="103" t="s">
        <v>140</v>
      </c>
      <c r="D5" s="103" t="s">
        <v>131</v>
      </c>
      <c r="E5" s="103" t="s">
        <v>180</v>
      </c>
      <c r="F5" s="103" t="s">
        <v>175</v>
      </c>
      <c r="G5" s="103" t="s">
        <v>176</v>
      </c>
      <c r="H5" s="135" t="s">
        <v>145</v>
      </c>
      <c r="I5" s="135" t="s">
        <v>5</v>
      </c>
      <c r="J5" s="135" t="s">
        <v>74</v>
      </c>
      <c r="K5" s="135" t="s">
        <v>111</v>
      </c>
      <c r="L5" s="135" t="s">
        <v>119</v>
      </c>
      <c r="M5" s="108" t="s">
        <v>124</v>
      </c>
      <c r="N5" s="103" t="s">
        <v>123</v>
      </c>
      <c r="O5" s="103" t="s">
        <v>193</v>
      </c>
      <c r="P5" s="103" t="s">
        <v>120</v>
      </c>
      <c r="Q5" s="103" t="s">
        <v>130</v>
      </c>
      <c r="R5" s="103" t="s">
        <v>121</v>
      </c>
      <c r="S5" s="103" t="s">
        <v>122</v>
      </c>
      <c r="T5" s="23" t="s">
        <v>177</v>
      </c>
      <c r="U5" s="25" t="s">
        <v>82</v>
      </c>
      <c r="V5" s="23" t="s">
        <v>178</v>
      </c>
      <c r="W5" s="25" t="s">
        <v>91</v>
      </c>
    </row>
    <row r="6" spans="1:23" ht="25.5" customHeight="1">
      <c r="A6" s="229"/>
      <c r="B6" s="225"/>
      <c r="C6" s="141" t="s">
        <v>116</v>
      </c>
      <c r="D6" s="141" t="s">
        <v>22</v>
      </c>
      <c r="E6" s="18" t="s">
        <v>179</v>
      </c>
      <c r="F6" s="83" t="s">
        <v>6</v>
      </c>
      <c r="G6" s="151" t="s">
        <v>81</v>
      </c>
      <c r="H6" s="83" t="s">
        <v>6</v>
      </c>
      <c r="I6" s="83" t="s">
        <v>6</v>
      </c>
      <c r="J6" s="83" t="s">
        <v>6</v>
      </c>
      <c r="K6" s="104" t="s">
        <v>76</v>
      </c>
      <c r="L6" s="104" t="s">
        <v>6</v>
      </c>
      <c r="M6" s="104" t="s">
        <v>6</v>
      </c>
      <c r="N6" s="104" t="s">
        <v>6</v>
      </c>
      <c r="O6" s="83" t="s">
        <v>116</v>
      </c>
      <c r="P6" s="83" t="s">
        <v>6</v>
      </c>
      <c r="Q6" s="128" t="s">
        <v>22</v>
      </c>
      <c r="R6" s="83" t="s">
        <v>6</v>
      </c>
      <c r="S6" s="83" t="s">
        <v>6</v>
      </c>
      <c r="T6" s="18" t="s">
        <v>76</v>
      </c>
      <c r="U6" s="18" t="s">
        <v>179</v>
      </c>
      <c r="V6" s="18" t="s">
        <v>76</v>
      </c>
      <c r="W6" s="18" t="s">
        <v>179</v>
      </c>
    </row>
    <row r="7" spans="1:23">
      <c r="A7" s="137">
        <v>1</v>
      </c>
      <c r="B7" s="140">
        <f>A7+1</f>
        <v>2</v>
      </c>
      <c r="C7" s="152">
        <f t="shared" ref="C7:W7" si="0">B7+1</f>
        <v>3</v>
      </c>
      <c r="D7" s="152">
        <f t="shared" si="0"/>
        <v>4</v>
      </c>
      <c r="E7" s="152">
        <f t="shared" si="0"/>
        <v>5</v>
      </c>
      <c r="F7" s="152">
        <f t="shared" si="0"/>
        <v>6</v>
      </c>
      <c r="G7" s="152">
        <f t="shared" si="0"/>
        <v>7</v>
      </c>
      <c r="H7" s="152">
        <f t="shared" si="0"/>
        <v>8</v>
      </c>
      <c r="I7" s="152">
        <f t="shared" si="0"/>
        <v>9</v>
      </c>
      <c r="J7" s="152">
        <f t="shared" si="0"/>
        <v>10</v>
      </c>
      <c r="K7" s="152">
        <f t="shared" si="0"/>
        <v>11</v>
      </c>
      <c r="L7" s="152">
        <f t="shared" si="0"/>
        <v>12</v>
      </c>
      <c r="M7" s="152">
        <f t="shared" si="0"/>
        <v>13</v>
      </c>
      <c r="N7" s="152">
        <f t="shared" si="0"/>
        <v>14</v>
      </c>
      <c r="O7" s="152">
        <f t="shared" si="0"/>
        <v>15</v>
      </c>
      <c r="P7" s="152">
        <f t="shared" si="0"/>
        <v>16</v>
      </c>
      <c r="Q7" s="152">
        <f t="shared" si="0"/>
        <v>17</v>
      </c>
      <c r="R7" s="152">
        <f t="shared" si="0"/>
        <v>18</v>
      </c>
      <c r="S7" s="152">
        <f t="shared" si="0"/>
        <v>19</v>
      </c>
      <c r="T7" s="152">
        <f t="shared" si="0"/>
        <v>20</v>
      </c>
      <c r="U7" s="152">
        <f t="shared" si="0"/>
        <v>21</v>
      </c>
      <c r="V7" s="152">
        <f t="shared" si="0"/>
        <v>22</v>
      </c>
      <c r="W7" s="152">
        <f t="shared" si="0"/>
        <v>23</v>
      </c>
    </row>
    <row r="8" spans="1:23">
      <c r="A8" s="138">
        <v>1</v>
      </c>
      <c r="B8" s="137" t="s">
        <v>147</v>
      </c>
      <c r="C8" s="137">
        <v>1</v>
      </c>
      <c r="D8" s="146">
        <v>31</v>
      </c>
      <c r="E8" s="177">
        <v>3.5</v>
      </c>
      <c r="F8" s="177">
        <f>E8*0.09</f>
        <v>0.315</v>
      </c>
      <c r="G8" s="177">
        <f>F8*2.4</f>
        <v>0.75600000000000001</v>
      </c>
      <c r="H8" s="101">
        <f>C8*1.2*1.2*1.3*0.9+D8*1*0.8*0.9</f>
        <v>24.004799999999999</v>
      </c>
      <c r="I8" s="101">
        <f>C8*1.2*1.2*1.3*0.1+D8*1*0.8*0.1</f>
        <v>2.6672000000000002</v>
      </c>
      <c r="J8" s="101">
        <f>I8+H8</f>
        <v>26.672000000000001</v>
      </c>
      <c r="K8" s="102">
        <f t="shared" ref="K8:K13" si="1">J8*1.85</f>
        <v>49.343200000000003</v>
      </c>
      <c r="L8" s="3">
        <f t="shared" ref="L8:L13" si="2">C8*0.9*0.9*0.1</f>
        <v>8.1000000000000016E-2</v>
      </c>
      <c r="M8" s="3">
        <f t="shared" ref="M8:M13" si="3">C8*0.9*0.9*0.2</f>
        <v>0.16200000000000003</v>
      </c>
      <c r="N8" s="3">
        <f>C8*1.2*0.45</f>
        <v>0.54</v>
      </c>
      <c r="O8" s="145">
        <f t="shared" ref="O8:O13" si="4">C8</f>
        <v>1</v>
      </c>
      <c r="P8" s="109">
        <f>D8*0.8*0.1</f>
        <v>2.4800000000000004</v>
      </c>
      <c r="Q8" s="148">
        <f t="shared" ref="Q8:Q13" si="5">D8</f>
        <v>31</v>
      </c>
      <c r="R8" s="109">
        <f>D8*0.8*0.4-0.15*0.15*3.14*D8</f>
        <v>7.7298500000000017</v>
      </c>
      <c r="S8" s="109">
        <f>J8-R8-Q8*0.15*0.15*3.14-P8-O8*1.3*0.9*0.9</f>
        <v>13.218999999999998</v>
      </c>
      <c r="T8" s="178">
        <f>E8*0.0006</f>
        <v>2.0999999999999999E-3</v>
      </c>
      <c r="U8" s="109">
        <f>E8</f>
        <v>3.5</v>
      </c>
      <c r="V8" s="179">
        <f>E8*0.0003</f>
        <v>1.0499999999999999E-3</v>
      </c>
      <c r="W8" s="147">
        <f>U8</f>
        <v>3.5</v>
      </c>
    </row>
    <row r="9" spans="1:23">
      <c r="A9" s="138">
        <f>A8+1</f>
        <v>2</v>
      </c>
      <c r="B9" s="137" t="s">
        <v>154</v>
      </c>
      <c r="C9" s="137">
        <v>1</v>
      </c>
      <c r="D9" s="146">
        <v>32</v>
      </c>
      <c r="E9" s="146"/>
      <c r="F9" s="146"/>
      <c r="G9" s="146"/>
      <c r="H9" s="101">
        <f t="shared" ref="H9:H13" si="6">C9*1.2*1.2*1.3*0.9+D9*1*0.8*0.9</f>
        <v>24.724800000000002</v>
      </c>
      <c r="I9" s="101">
        <f t="shared" ref="I9:I13" si="7">C9*1.2*1.2*1.3*0.1+D9*1*0.8*0.1</f>
        <v>2.7472000000000003</v>
      </c>
      <c r="J9" s="101">
        <f t="shared" ref="J9:J13" si="8">I9+H9</f>
        <v>27.472000000000001</v>
      </c>
      <c r="K9" s="102">
        <f t="shared" si="1"/>
        <v>50.823200000000007</v>
      </c>
      <c r="L9" s="3">
        <f t="shared" si="2"/>
        <v>8.1000000000000016E-2</v>
      </c>
      <c r="M9" s="3">
        <f t="shared" si="3"/>
        <v>0.16200000000000003</v>
      </c>
      <c r="N9" s="3">
        <f t="shared" ref="N9:N13" si="9">C9*1.2*0.45</f>
        <v>0.54</v>
      </c>
      <c r="O9" s="145">
        <f t="shared" si="4"/>
        <v>1</v>
      </c>
      <c r="P9" s="109">
        <f t="shared" ref="P9:P13" si="10">D9*0.8*0.1</f>
        <v>2.5600000000000005</v>
      </c>
      <c r="Q9" s="148">
        <f t="shared" si="5"/>
        <v>32</v>
      </c>
      <c r="R9" s="109">
        <f t="shared" ref="R9:R13" si="11">D9*0.8*0.4-0.15*0.15*3.14*D9</f>
        <v>7.9792000000000023</v>
      </c>
      <c r="S9" s="109">
        <f t="shared" ref="S9:S13" si="12">J9-R9-Q9*0.15*0.15*3.14-P9-O9*1.3*0.9*0.9</f>
        <v>13.618999999999998</v>
      </c>
      <c r="T9" s="149"/>
      <c r="U9" s="149"/>
      <c r="V9" s="149"/>
      <c r="W9" s="149"/>
    </row>
    <row r="10" spans="1:23">
      <c r="A10" s="138">
        <f t="shared" ref="A10:A13" si="13">A9+1</f>
        <v>3</v>
      </c>
      <c r="B10" s="137" t="s">
        <v>155</v>
      </c>
      <c r="C10" s="137">
        <v>1</v>
      </c>
      <c r="D10" s="146">
        <v>25</v>
      </c>
      <c r="E10" s="146"/>
      <c r="F10" s="146"/>
      <c r="G10" s="146"/>
      <c r="H10" s="101">
        <f t="shared" si="6"/>
        <v>19.684799999999999</v>
      </c>
      <c r="I10" s="101">
        <f t="shared" si="7"/>
        <v>2.1871999999999998</v>
      </c>
      <c r="J10" s="101">
        <f t="shared" si="8"/>
        <v>21.872</v>
      </c>
      <c r="K10" s="102">
        <f t="shared" si="1"/>
        <v>40.463200000000001</v>
      </c>
      <c r="L10" s="3">
        <f t="shared" si="2"/>
        <v>8.1000000000000016E-2</v>
      </c>
      <c r="M10" s="3">
        <f t="shared" si="3"/>
        <v>0.16200000000000003</v>
      </c>
      <c r="N10" s="3">
        <f t="shared" si="9"/>
        <v>0.54</v>
      </c>
      <c r="O10" s="145">
        <f t="shared" si="4"/>
        <v>1</v>
      </c>
      <c r="P10" s="109">
        <f t="shared" si="10"/>
        <v>2</v>
      </c>
      <c r="Q10" s="148">
        <f t="shared" si="5"/>
        <v>25</v>
      </c>
      <c r="R10" s="109">
        <f t="shared" si="11"/>
        <v>6.2337499999999997</v>
      </c>
      <c r="S10" s="109">
        <f t="shared" si="12"/>
        <v>10.818999999999999</v>
      </c>
      <c r="T10" s="149"/>
      <c r="U10" s="149"/>
      <c r="V10" s="149"/>
      <c r="W10" s="149"/>
    </row>
    <row r="11" spans="1:23">
      <c r="A11" s="138">
        <f t="shared" si="13"/>
        <v>4</v>
      </c>
      <c r="B11" s="137" t="s">
        <v>156</v>
      </c>
      <c r="C11" s="137">
        <v>1</v>
      </c>
      <c r="D11" s="146">
        <v>18</v>
      </c>
      <c r="E11" s="146"/>
      <c r="F11" s="146"/>
      <c r="G11" s="146"/>
      <c r="H11" s="101">
        <f t="shared" si="6"/>
        <v>14.6448</v>
      </c>
      <c r="I11" s="101">
        <f t="shared" si="7"/>
        <v>1.6272000000000002</v>
      </c>
      <c r="J11" s="101">
        <f t="shared" si="8"/>
        <v>16.271999999999998</v>
      </c>
      <c r="K11" s="102">
        <f t="shared" si="1"/>
        <v>30.103199999999998</v>
      </c>
      <c r="L11" s="3">
        <f t="shared" si="2"/>
        <v>8.1000000000000016E-2</v>
      </c>
      <c r="M11" s="3">
        <f t="shared" si="3"/>
        <v>0.16200000000000003</v>
      </c>
      <c r="N11" s="3">
        <f t="shared" si="9"/>
        <v>0.54</v>
      </c>
      <c r="O11" s="145">
        <f t="shared" si="4"/>
        <v>1</v>
      </c>
      <c r="P11" s="109">
        <f t="shared" si="10"/>
        <v>1.4400000000000002</v>
      </c>
      <c r="Q11" s="148">
        <f t="shared" si="5"/>
        <v>18</v>
      </c>
      <c r="R11" s="109">
        <f t="shared" si="11"/>
        <v>4.4883000000000006</v>
      </c>
      <c r="S11" s="109">
        <f t="shared" si="12"/>
        <v>8.0189999999999966</v>
      </c>
      <c r="T11" s="149"/>
      <c r="U11" s="149"/>
      <c r="V11" s="149"/>
      <c r="W11" s="149"/>
    </row>
    <row r="12" spans="1:23">
      <c r="A12" s="138">
        <f t="shared" si="13"/>
        <v>5</v>
      </c>
      <c r="B12" s="137" t="s">
        <v>157</v>
      </c>
      <c r="C12" s="137">
        <v>1</v>
      </c>
      <c r="D12" s="146">
        <v>12</v>
      </c>
      <c r="E12" s="146"/>
      <c r="F12" s="146"/>
      <c r="G12" s="146"/>
      <c r="H12" s="101">
        <f t="shared" si="6"/>
        <v>10.324800000000002</v>
      </c>
      <c r="I12" s="101">
        <f t="shared" si="7"/>
        <v>1.1472000000000002</v>
      </c>
      <c r="J12" s="101">
        <f t="shared" si="8"/>
        <v>11.472000000000001</v>
      </c>
      <c r="K12" s="102">
        <f t="shared" si="1"/>
        <v>21.223200000000002</v>
      </c>
      <c r="L12" s="3">
        <f t="shared" si="2"/>
        <v>8.1000000000000016E-2</v>
      </c>
      <c r="M12" s="3">
        <f t="shared" si="3"/>
        <v>0.16200000000000003</v>
      </c>
      <c r="N12" s="3">
        <f t="shared" si="9"/>
        <v>0.54</v>
      </c>
      <c r="O12" s="145">
        <f t="shared" si="4"/>
        <v>1</v>
      </c>
      <c r="P12" s="109">
        <f t="shared" si="10"/>
        <v>0.96000000000000019</v>
      </c>
      <c r="Q12" s="148">
        <f t="shared" si="5"/>
        <v>12</v>
      </c>
      <c r="R12" s="109">
        <f t="shared" si="11"/>
        <v>2.9922000000000004</v>
      </c>
      <c r="S12" s="109">
        <f t="shared" si="12"/>
        <v>5.6190000000000015</v>
      </c>
      <c r="T12" s="149"/>
      <c r="U12" s="149"/>
      <c r="V12" s="149"/>
      <c r="W12" s="149"/>
    </row>
    <row r="13" spans="1:23">
      <c r="A13" s="138">
        <f t="shared" si="13"/>
        <v>6</v>
      </c>
      <c r="B13" s="137" t="s">
        <v>158</v>
      </c>
      <c r="C13" s="137">
        <v>1</v>
      </c>
      <c r="D13" s="146">
        <v>26</v>
      </c>
      <c r="E13" s="146"/>
      <c r="F13" s="146"/>
      <c r="G13" s="146"/>
      <c r="H13" s="101">
        <f t="shared" si="6"/>
        <v>20.404800000000002</v>
      </c>
      <c r="I13" s="101">
        <f t="shared" si="7"/>
        <v>2.2671999999999999</v>
      </c>
      <c r="J13" s="101">
        <f t="shared" si="8"/>
        <v>22.672000000000001</v>
      </c>
      <c r="K13" s="102">
        <f t="shared" si="1"/>
        <v>41.943200000000004</v>
      </c>
      <c r="L13" s="3">
        <f t="shared" si="2"/>
        <v>8.1000000000000016E-2</v>
      </c>
      <c r="M13" s="3">
        <f t="shared" si="3"/>
        <v>0.16200000000000003</v>
      </c>
      <c r="N13" s="3">
        <f t="shared" si="9"/>
        <v>0.54</v>
      </c>
      <c r="O13" s="145">
        <f t="shared" si="4"/>
        <v>1</v>
      </c>
      <c r="P13" s="109">
        <f t="shared" si="10"/>
        <v>2.08</v>
      </c>
      <c r="Q13" s="148">
        <f t="shared" si="5"/>
        <v>26</v>
      </c>
      <c r="R13" s="109">
        <f t="shared" si="11"/>
        <v>6.4831000000000003</v>
      </c>
      <c r="S13" s="147">
        <f t="shared" si="12"/>
        <v>11.218999999999999</v>
      </c>
      <c r="T13" s="149"/>
      <c r="U13" s="149"/>
      <c r="V13" s="149"/>
      <c r="W13" s="149"/>
    </row>
    <row r="14" spans="1:23">
      <c r="A14" s="202" t="s">
        <v>34</v>
      </c>
      <c r="B14" s="202"/>
      <c r="C14" s="139">
        <f>SUM(C8:C13)</f>
        <v>6</v>
      </c>
      <c r="D14" s="139">
        <f t="shared" ref="D14:W14" si="14">SUM(D8:D13)</f>
        <v>144</v>
      </c>
      <c r="E14" s="105">
        <f t="shared" si="14"/>
        <v>3.5</v>
      </c>
      <c r="F14" s="105">
        <f t="shared" si="14"/>
        <v>0.315</v>
      </c>
      <c r="G14" s="105">
        <f t="shared" si="14"/>
        <v>0.75600000000000001</v>
      </c>
      <c r="H14" s="106">
        <f t="shared" si="14"/>
        <v>113.78880000000001</v>
      </c>
      <c r="I14" s="106">
        <f t="shared" si="14"/>
        <v>12.6432</v>
      </c>
      <c r="J14" s="106">
        <f t="shared" si="14"/>
        <v>126.43200000000002</v>
      </c>
      <c r="K14" s="106">
        <f t="shared" si="14"/>
        <v>233.89920000000001</v>
      </c>
      <c r="L14" s="105">
        <f t="shared" si="14"/>
        <v>0.4860000000000001</v>
      </c>
      <c r="M14" s="105">
        <f t="shared" si="14"/>
        <v>0.9720000000000002</v>
      </c>
      <c r="N14" s="105">
        <f t="shared" si="14"/>
        <v>3.24</v>
      </c>
      <c r="O14" s="105">
        <f t="shared" si="14"/>
        <v>6</v>
      </c>
      <c r="P14" s="105">
        <f t="shared" si="14"/>
        <v>11.520000000000001</v>
      </c>
      <c r="Q14" s="105">
        <f t="shared" si="14"/>
        <v>144</v>
      </c>
      <c r="R14" s="105">
        <f t="shared" si="14"/>
        <v>35.906400000000005</v>
      </c>
      <c r="S14" s="105">
        <f t="shared" si="14"/>
        <v>62.513999999999996</v>
      </c>
      <c r="T14" s="180">
        <f t="shared" si="14"/>
        <v>2.0999999999999999E-3</v>
      </c>
      <c r="U14" s="105">
        <f t="shared" si="14"/>
        <v>3.5</v>
      </c>
      <c r="V14" s="180">
        <f t="shared" si="14"/>
        <v>1.0499999999999999E-3</v>
      </c>
      <c r="W14" s="105">
        <f t="shared" si="14"/>
        <v>3.5</v>
      </c>
    </row>
  </sheetData>
  <mergeCells count="7">
    <mergeCell ref="A1:W1"/>
    <mergeCell ref="A2:W2"/>
    <mergeCell ref="A14:B14"/>
    <mergeCell ref="A4:A6"/>
    <mergeCell ref="B4:B6"/>
    <mergeCell ref="C4:D4"/>
    <mergeCell ref="E4:W4"/>
  </mergeCells>
  <pageMargins left="0.28093750000000001" right="4.1666666666666664E-2" top="0.75" bottom="0.75" header="0.3" footer="0.3"/>
  <pageSetup scale="9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1"/>
  <sheetViews>
    <sheetView zoomScaleNormal="100" zoomScaleSheetLayoutView="100" zoomScalePageLayoutView="85" workbookViewId="0">
      <selection activeCell="M8" sqref="M8"/>
    </sheetView>
  </sheetViews>
  <sheetFormatPr defaultColWidth="9.109375" defaultRowHeight="13.8"/>
  <cols>
    <col min="1" max="1" width="4.33203125" style="87" customWidth="1"/>
    <col min="2" max="2" width="10.33203125" style="87" bestFit="1" customWidth="1"/>
    <col min="3" max="3" width="10.44140625" style="87" bestFit="1" customWidth="1"/>
    <col min="4" max="4" width="8.109375" style="87" customWidth="1"/>
    <col min="5" max="5" width="6" style="87" customWidth="1"/>
    <col min="6" max="6" width="7.88671875" style="87" customWidth="1"/>
    <col min="7" max="7" width="7.109375" style="87" customWidth="1"/>
    <col min="8" max="8" width="7.6640625" style="87" customWidth="1"/>
    <col min="9" max="9" width="7.5546875" style="87" customWidth="1"/>
    <col min="10" max="10" width="8.6640625" style="87" customWidth="1"/>
    <col min="11" max="11" width="7.33203125" style="87" customWidth="1"/>
    <col min="12" max="12" width="9.109375" style="87" customWidth="1"/>
    <col min="13" max="14" width="7.5546875" style="87" customWidth="1"/>
    <col min="15" max="15" width="11.6640625" style="87" bestFit="1" customWidth="1"/>
    <col min="16" max="16" width="7.5546875" style="87" customWidth="1"/>
    <col min="17" max="17" width="11.6640625" style="87" bestFit="1" customWidth="1"/>
    <col min="18" max="18" width="7.33203125" style="87" customWidth="1"/>
    <col min="19" max="19" width="7" style="87" customWidth="1"/>
    <col min="20" max="20" width="7.6640625" style="87" customWidth="1"/>
    <col min="21" max="21" width="6.109375" style="87" customWidth="1"/>
    <col min="22" max="22" width="7.88671875" style="87" customWidth="1"/>
    <col min="23" max="16384" width="9.109375" style="87"/>
  </cols>
  <sheetData>
    <row r="1" spans="1:23" ht="15" customHeight="1">
      <c r="A1" s="234" t="s">
        <v>146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165"/>
      <c r="S1" s="165"/>
      <c r="T1" s="165"/>
      <c r="U1" s="165"/>
      <c r="V1" s="165"/>
      <c r="W1" s="165"/>
    </row>
    <row r="2" spans="1:23" ht="15" customHeight="1">
      <c r="A2" s="234" t="s">
        <v>164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165"/>
      <c r="S2" s="165"/>
      <c r="T2" s="165"/>
      <c r="U2" s="165"/>
      <c r="V2" s="165"/>
      <c r="W2" s="165"/>
    </row>
    <row r="3" spans="1:23" ht="14.4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23">
      <c r="A4" s="219" t="s">
        <v>3</v>
      </c>
      <c r="B4" s="219" t="s">
        <v>24</v>
      </c>
      <c r="C4" s="219"/>
      <c r="D4" s="235" t="s">
        <v>159</v>
      </c>
      <c r="E4" s="235" t="s">
        <v>21</v>
      </c>
      <c r="F4" s="235" t="s">
        <v>52</v>
      </c>
      <c r="G4" s="232" t="s">
        <v>28</v>
      </c>
      <c r="H4" s="232"/>
      <c r="I4" s="232"/>
      <c r="J4" s="232"/>
      <c r="K4" s="232"/>
      <c r="L4" s="232" t="s">
        <v>29</v>
      </c>
      <c r="M4" s="232"/>
      <c r="N4" s="232"/>
      <c r="O4" s="232"/>
      <c r="P4" s="232"/>
      <c r="Q4" s="232"/>
    </row>
    <row r="5" spans="1:23" ht="254.25" customHeight="1">
      <c r="A5" s="219"/>
      <c r="B5" s="143" t="s">
        <v>18</v>
      </c>
      <c r="C5" s="144" t="s">
        <v>18</v>
      </c>
      <c r="D5" s="235"/>
      <c r="E5" s="235"/>
      <c r="F5" s="235"/>
      <c r="G5" s="154" t="s">
        <v>160</v>
      </c>
      <c r="H5" s="155" t="s">
        <v>5</v>
      </c>
      <c r="I5" s="154" t="s">
        <v>79</v>
      </c>
      <c r="J5" s="154" t="s">
        <v>80</v>
      </c>
      <c r="K5" s="154" t="s">
        <v>75</v>
      </c>
      <c r="L5" s="233" t="s">
        <v>183</v>
      </c>
      <c r="M5" s="233"/>
      <c r="N5" s="155" t="s">
        <v>77</v>
      </c>
      <c r="O5" s="154" t="s">
        <v>161</v>
      </c>
      <c r="P5" s="155" t="s">
        <v>83</v>
      </c>
      <c r="Q5" s="154" t="s">
        <v>162</v>
      </c>
    </row>
    <row r="6" spans="1:23" ht="16.2">
      <c r="A6" s="219"/>
      <c r="B6" s="156" t="s">
        <v>19</v>
      </c>
      <c r="C6" s="157" t="s">
        <v>20</v>
      </c>
      <c r="D6" s="143" t="s">
        <v>22</v>
      </c>
      <c r="E6" s="143" t="s">
        <v>22</v>
      </c>
      <c r="F6" s="143" t="s">
        <v>78</v>
      </c>
      <c r="G6" s="157" t="s">
        <v>6</v>
      </c>
      <c r="H6" s="157" t="s">
        <v>6</v>
      </c>
      <c r="I6" s="157" t="s">
        <v>6</v>
      </c>
      <c r="J6" s="157" t="s">
        <v>81</v>
      </c>
      <c r="K6" s="157" t="s">
        <v>16</v>
      </c>
      <c r="L6" s="157" t="s">
        <v>16</v>
      </c>
      <c r="M6" s="157" t="s">
        <v>6</v>
      </c>
      <c r="N6" s="157" t="s">
        <v>76</v>
      </c>
      <c r="O6" s="157" t="s">
        <v>16</v>
      </c>
      <c r="P6" s="157" t="s">
        <v>76</v>
      </c>
      <c r="Q6" s="157" t="s">
        <v>16</v>
      </c>
    </row>
    <row r="7" spans="1:23">
      <c r="A7" s="144">
        <v>1</v>
      </c>
      <c r="B7" s="107">
        <f>A7+1</f>
        <v>2</v>
      </c>
      <c r="C7" s="107">
        <f t="shared" ref="C7:Q7" si="0">B7+1</f>
        <v>3</v>
      </c>
      <c r="D7" s="107">
        <f t="shared" si="0"/>
        <v>4</v>
      </c>
      <c r="E7" s="107">
        <f t="shared" si="0"/>
        <v>5</v>
      </c>
      <c r="F7" s="107">
        <f t="shared" si="0"/>
        <v>6</v>
      </c>
      <c r="G7" s="107">
        <f t="shared" si="0"/>
        <v>7</v>
      </c>
      <c r="H7" s="107">
        <f t="shared" si="0"/>
        <v>8</v>
      </c>
      <c r="I7" s="107">
        <f t="shared" si="0"/>
        <v>9</v>
      </c>
      <c r="J7" s="107">
        <f t="shared" si="0"/>
        <v>10</v>
      </c>
      <c r="K7" s="107">
        <f t="shared" si="0"/>
        <v>11</v>
      </c>
      <c r="L7" s="107">
        <f t="shared" si="0"/>
        <v>12</v>
      </c>
      <c r="M7" s="107">
        <f t="shared" si="0"/>
        <v>13</v>
      </c>
      <c r="N7" s="107">
        <f t="shared" si="0"/>
        <v>14</v>
      </c>
      <c r="O7" s="107">
        <f t="shared" si="0"/>
        <v>15</v>
      </c>
      <c r="P7" s="107">
        <f t="shared" si="0"/>
        <v>16</v>
      </c>
      <c r="Q7" s="107">
        <f t="shared" si="0"/>
        <v>17</v>
      </c>
    </row>
    <row r="8" spans="1:23">
      <c r="A8" s="144">
        <v>1</v>
      </c>
      <c r="B8" s="107"/>
      <c r="C8" s="107" t="s">
        <v>163</v>
      </c>
      <c r="D8" s="164">
        <v>2.2000000000000002</v>
      </c>
      <c r="E8" s="158">
        <v>6.5</v>
      </c>
      <c r="F8" s="159">
        <f>E8*D8</f>
        <v>14.3</v>
      </c>
      <c r="G8" s="160">
        <f>L8*0.25*0.9</f>
        <v>3.2175000000000002</v>
      </c>
      <c r="H8" s="160">
        <f>L8*0.25*0.1</f>
        <v>0.35750000000000004</v>
      </c>
      <c r="I8" s="161">
        <f>(G8+H8)</f>
        <v>3.5750000000000002</v>
      </c>
      <c r="J8" s="162">
        <f>I8*1.8</f>
        <v>6.4350000000000005</v>
      </c>
      <c r="K8" s="160">
        <f>L8</f>
        <v>14.3</v>
      </c>
      <c r="L8" s="160">
        <f>D8*E8</f>
        <v>14.3</v>
      </c>
      <c r="M8" s="162">
        <f>L8*0.12</f>
        <v>1.716</v>
      </c>
      <c r="N8" s="163">
        <f>O8*0.0006</f>
        <v>8.5799999999999991E-3</v>
      </c>
      <c r="O8" s="161">
        <f>D8*E8</f>
        <v>14.3</v>
      </c>
      <c r="P8" s="163">
        <f>Q8*0.0003</f>
        <v>4.2899999999999995E-3</v>
      </c>
      <c r="Q8" s="161">
        <f>O8</f>
        <v>14.3</v>
      </c>
    </row>
    <row r="9" spans="1:23">
      <c r="A9" s="144">
        <f>A8+1</f>
        <v>2</v>
      </c>
      <c r="B9" s="107"/>
      <c r="C9" s="107" t="s">
        <v>165</v>
      </c>
      <c r="D9" s="164">
        <v>2.4</v>
      </c>
      <c r="E9" s="158">
        <v>5.7</v>
      </c>
      <c r="F9" s="159">
        <f t="shared" ref="F9:F10" si="1">E9*D9</f>
        <v>13.68</v>
      </c>
      <c r="G9" s="160">
        <f t="shared" ref="G9:G10" si="2">L9*0.25*0.9</f>
        <v>3.0779999999999998</v>
      </c>
      <c r="H9" s="160">
        <f t="shared" ref="H9:H10" si="3">L9*0.25*0.1</f>
        <v>0.34200000000000003</v>
      </c>
      <c r="I9" s="161">
        <f t="shared" ref="I9:I10" si="4">(G9+H9)</f>
        <v>3.42</v>
      </c>
      <c r="J9" s="162">
        <f t="shared" ref="J9:J10" si="5">I9*1.8</f>
        <v>6.1559999999999997</v>
      </c>
      <c r="K9" s="160">
        <f t="shared" ref="K9:K10" si="6">L9</f>
        <v>13.68</v>
      </c>
      <c r="L9" s="160">
        <f t="shared" ref="L9:L10" si="7">D9*E9</f>
        <v>13.68</v>
      </c>
      <c r="M9" s="162">
        <f t="shared" ref="M9:M10" si="8">L9*0.12</f>
        <v>1.6415999999999999</v>
      </c>
      <c r="N9" s="163">
        <f t="shared" ref="N9:N10" si="9">O9*0.0006</f>
        <v>8.2079999999999983E-3</v>
      </c>
      <c r="O9" s="161">
        <f t="shared" ref="O9:O10" si="10">D9*E9</f>
        <v>13.68</v>
      </c>
      <c r="P9" s="163">
        <f t="shared" ref="P9:P10" si="11">Q9*0.0003</f>
        <v>4.1039999999999991E-3</v>
      </c>
      <c r="Q9" s="161">
        <f t="shared" ref="Q9:Q10" si="12">O9</f>
        <v>13.68</v>
      </c>
    </row>
    <row r="10" spans="1:23">
      <c r="A10" s="144">
        <v>3</v>
      </c>
      <c r="B10" s="107"/>
      <c r="C10" s="107" t="s">
        <v>166</v>
      </c>
      <c r="D10" s="164">
        <v>6.8</v>
      </c>
      <c r="E10" s="158">
        <v>10.199999999999999</v>
      </c>
      <c r="F10" s="159">
        <f t="shared" si="1"/>
        <v>69.36</v>
      </c>
      <c r="G10" s="160">
        <f t="shared" si="2"/>
        <v>15.606</v>
      </c>
      <c r="H10" s="160">
        <f t="shared" si="3"/>
        <v>1.734</v>
      </c>
      <c r="I10" s="161">
        <f t="shared" si="4"/>
        <v>17.34</v>
      </c>
      <c r="J10" s="162">
        <f t="shared" si="5"/>
        <v>31.212</v>
      </c>
      <c r="K10" s="160">
        <f t="shared" si="6"/>
        <v>69.36</v>
      </c>
      <c r="L10" s="160">
        <f t="shared" si="7"/>
        <v>69.36</v>
      </c>
      <c r="M10" s="162">
        <f t="shared" si="8"/>
        <v>8.3231999999999999</v>
      </c>
      <c r="N10" s="163">
        <f t="shared" si="9"/>
        <v>4.1615999999999993E-2</v>
      </c>
      <c r="O10" s="161">
        <f t="shared" si="10"/>
        <v>69.36</v>
      </c>
      <c r="P10" s="163">
        <f t="shared" si="11"/>
        <v>2.0807999999999997E-2</v>
      </c>
      <c r="Q10" s="161">
        <f t="shared" si="12"/>
        <v>69.36</v>
      </c>
    </row>
    <row r="11" spans="1:23">
      <c r="A11" s="166"/>
      <c r="B11" s="236" t="s">
        <v>34</v>
      </c>
      <c r="C11" s="237"/>
      <c r="D11" s="167"/>
      <c r="E11" s="167"/>
      <c r="F11" s="167">
        <f t="shared" ref="F11:Q11" si="13">SUM(F8:F10)</f>
        <v>97.34</v>
      </c>
      <c r="G11" s="168">
        <f t="shared" si="13"/>
        <v>21.901499999999999</v>
      </c>
      <c r="H11" s="168">
        <f t="shared" si="13"/>
        <v>2.4335</v>
      </c>
      <c r="I11" s="168">
        <f t="shared" si="13"/>
        <v>24.335000000000001</v>
      </c>
      <c r="J11" s="168">
        <f t="shared" si="13"/>
        <v>43.802999999999997</v>
      </c>
      <c r="K11" s="168">
        <f t="shared" si="13"/>
        <v>97.34</v>
      </c>
      <c r="L11" s="167">
        <f t="shared" si="13"/>
        <v>97.34</v>
      </c>
      <c r="M11" s="167">
        <f t="shared" si="13"/>
        <v>11.6808</v>
      </c>
      <c r="N11" s="169">
        <f t="shared" si="13"/>
        <v>5.8403999999999991E-2</v>
      </c>
      <c r="O11" s="167">
        <f t="shared" si="13"/>
        <v>97.34</v>
      </c>
      <c r="P11" s="169">
        <f t="shared" si="13"/>
        <v>2.9201999999999995E-2</v>
      </c>
      <c r="Q11" s="167">
        <f t="shared" si="13"/>
        <v>97.34</v>
      </c>
    </row>
  </sheetData>
  <mergeCells count="11">
    <mergeCell ref="B11:C11"/>
    <mergeCell ref="A4:A6"/>
    <mergeCell ref="B4:C4"/>
    <mergeCell ref="D4:D5"/>
    <mergeCell ref="E4:E5"/>
    <mergeCell ref="G4:K4"/>
    <mergeCell ref="L4:Q4"/>
    <mergeCell ref="L5:M5"/>
    <mergeCell ref="A1:Q1"/>
    <mergeCell ref="A2:Q2"/>
    <mergeCell ref="F4:F5"/>
  </mergeCells>
  <pageMargins left="0.39215686274509803" right="0.20833333333333334" top="0.31862745098039214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0"/>
  <sheetViews>
    <sheetView view="pageLayout" topLeftCell="A4" zoomScale="85" zoomScaleNormal="100" zoomScaleSheetLayoutView="100" zoomScalePageLayoutView="85" workbookViewId="0">
      <selection activeCell="F15" sqref="F15"/>
    </sheetView>
  </sheetViews>
  <sheetFormatPr defaultColWidth="9.109375" defaultRowHeight="13.8"/>
  <cols>
    <col min="1" max="1" width="3.6640625" style="189" customWidth="1"/>
    <col min="2" max="2" width="10.33203125" style="189" bestFit="1" customWidth="1"/>
    <col min="3" max="3" width="10.44140625" style="189" bestFit="1" customWidth="1"/>
    <col min="4" max="4" width="8.109375" style="189" customWidth="1"/>
    <col min="5" max="5" width="6" style="189" customWidth="1"/>
    <col min="6" max="6" width="7.88671875" style="189" customWidth="1"/>
    <col min="7" max="7" width="7.109375" style="189" customWidth="1"/>
    <col min="8" max="8" width="7.6640625" style="189" customWidth="1"/>
    <col min="9" max="9" width="7.5546875" style="189" customWidth="1"/>
    <col min="10" max="10" width="8.6640625" style="189" customWidth="1"/>
    <col min="11" max="11" width="7.33203125" style="189" customWidth="1"/>
    <col min="12" max="12" width="9.109375" style="189" customWidth="1"/>
    <col min="13" max="14" width="6.5546875" style="189" customWidth="1"/>
    <col min="15" max="18" width="7.5546875" style="189" customWidth="1"/>
    <col min="19" max="20" width="7.33203125" style="189" customWidth="1"/>
    <col min="21" max="21" width="7" style="189" customWidth="1"/>
    <col min="22" max="22" width="7.6640625" style="189" customWidth="1"/>
    <col min="23" max="23" width="6.109375" style="189" customWidth="1"/>
    <col min="24" max="24" width="7.88671875" style="189" customWidth="1"/>
    <col min="25" max="16384" width="9.109375" style="189"/>
  </cols>
  <sheetData>
    <row r="1" spans="1:26" ht="16.2">
      <c r="A1" s="238" t="s">
        <v>146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</row>
    <row r="2" spans="1:26" ht="16.2">
      <c r="A2" s="238" t="s">
        <v>141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</row>
    <row r="3" spans="1:26" ht="14.4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</row>
    <row r="4" spans="1:26" ht="18" customHeight="1">
      <c r="A4" s="241" t="s">
        <v>3</v>
      </c>
      <c r="B4" s="241" t="s">
        <v>24</v>
      </c>
      <c r="C4" s="241"/>
      <c r="D4" s="242" t="s">
        <v>29</v>
      </c>
      <c r="E4" s="243"/>
      <c r="F4" s="243"/>
      <c r="G4" s="243"/>
      <c r="H4" s="243"/>
      <c r="I4" s="243"/>
      <c r="J4" s="243"/>
      <c r="K4" s="243"/>
      <c r="L4" s="243"/>
      <c r="M4" s="243"/>
      <c r="N4" s="244"/>
      <c r="O4" s="232" t="s">
        <v>106</v>
      </c>
      <c r="P4" s="232"/>
      <c r="Q4" s="232"/>
      <c r="R4" s="232"/>
      <c r="S4" s="232"/>
      <c r="T4" s="232"/>
      <c r="U4" s="232"/>
      <c r="V4" s="232"/>
      <c r="W4" s="232"/>
      <c r="X4" s="232"/>
      <c r="Y4" s="232"/>
    </row>
    <row r="5" spans="1:26" ht="298.5" customHeight="1">
      <c r="A5" s="241"/>
      <c r="B5" s="240" t="s">
        <v>44</v>
      </c>
      <c r="C5" s="240" t="s">
        <v>45</v>
      </c>
      <c r="D5" s="188" t="s">
        <v>21</v>
      </c>
      <c r="E5" s="188" t="s">
        <v>38</v>
      </c>
      <c r="F5" s="188" t="s">
        <v>113</v>
      </c>
      <c r="G5" s="233" t="s">
        <v>183</v>
      </c>
      <c r="H5" s="233"/>
      <c r="I5" s="155" t="s">
        <v>77</v>
      </c>
      <c r="J5" s="188" t="s">
        <v>82</v>
      </c>
      <c r="K5" s="155" t="s">
        <v>83</v>
      </c>
      <c r="L5" s="188" t="s">
        <v>91</v>
      </c>
      <c r="M5" s="233" t="s">
        <v>174</v>
      </c>
      <c r="N5" s="233"/>
      <c r="O5" s="188" t="s">
        <v>21</v>
      </c>
      <c r="P5" s="188" t="s">
        <v>114</v>
      </c>
      <c r="Q5" s="188" t="s">
        <v>115</v>
      </c>
      <c r="R5" s="188" t="s">
        <v>112</v>
      </c>
      <c r="S5" s="188" t="s">
        <v>108</v>
      </c>
      <c r="T5" s="188" t="s">
        <v>185</v>
      </c>
      <c r="U5" s="188" t="s">
        <v>167</v>
      </c>
      <c r="V5" s="233" t="s">
        <v>107</v>
      </c>
      <c r="W5" s="233"/>
      <c r="X5" s="155" t="s">
        <v>77</v>
      </c>
      <c r="Y5" s="188" t="s">
        <v>109</v>
      </c>
    </row>
    <row r="6" spans="1:26" ht="16.2">
      <c r="A6" s="241"/>
      <c r="B6" s="240"/>
      <c r="C6" s="240"/>
      <c r="D6" s="191" t="s">
        <v>22</v>
      </c>
      <c r="E6" s="191" t="s">
        <v>22</v>
      </c>
      <c r="F6" s="191" t="s">
        <v>78</v>
      </c>
      <c r="G6" s="157" t="s">
        <v>16</v>
      </c>
      <c r="H6" s="157" t="s">
        <v>6</v>
      </c>
      <c r="I6" s="157" t="s">
        <v>76</v>
      </c>
      <c r="J6" s="157" t="s">
        <v>16</v>
      </c>
      <c r="K6" s="157" t="s">
        <v>76</v>
      </c>
      <c r="L6" s="157" t="s">
        <v>16</v>
      </c>
      <c r="M6" s="157" t="s">
        <v>16</v>
      </c>
      <c r="N6" s="157" t="s">
        <v>6</v>
      </c>
      <c r="O6" s="157" t="s">
        <v>22</v>
      </c>
      <c r="P6" s="157" t="s">
        <v>22</v>
      </c>
      <c r="Q6" s="157" t="s">
        <v>22</v>
      </c>
      <c r="R6" s="157" t="s">
        <v>22</v>
      </c>
      <c r="S6" s="157" t="s">
        <v>6</v>
      </c>
      <c r="T6" s="157" t="s">
        <v>22</v>
      </c>
      <c r="U6" s="37" t="s">
        <v>39</v>
      </c>
      <c r="V6" s="157" t="s">
        <v>16</v>
      </c>
      <c r="W6" s="157" t="s">
        <v>6</v>
      </c>
      <c r="X6" s="157" t="s">
        <v>76</v>
      </c>
      <c r="Y6" s="157" t="s">
        <v>16</v>
      </c>
    </row>
    <row r="7" spans="1:26">
      <c r="A7" s="157">
        <v>1</v>
      </c>
      <c r="B7" s="187">
        <f>A7+1</f>
        <v>2</v>
      </c>
      <c r="C7" s="187">
        <f t="shared" ref="C7:D7" si="0">B7+1</f>
        <v>3</v>
      </c>
      <c r="D7" s="187">
        <f t="shared" si="0"/>
        <v>4</v>
      </c>
      <c r="E7" s="187">
        <f t="shared" ref="E7" si="1">D7+1</f>
        <v>5</v>
      </c>
      <c r="F7" s="187">
        <f t="shared" ref="F7:G7" si="2">E7+1</f>
        <v>6</v>
      </c>
      <c r="G7" s="187">
        <f t="shared" si="2"/>
        <v>7</v>
      </c>
      <c r="H7" s="187">
        <f t="shared" ref="H7" si="3">G7+1</f>
        <v>8</v>
      </c>
      <c r="I7" s="187">
        <f t="shared" ref="I7" si="4">H7+1</f>
        <v>9</v>
      </c>
      <c r="J7" s="187">
        <f t="shared" ref="J7" si="5">I7+1</f>
        <v>10</v>
      </c>
      <c r="K7" s="187">
        <f t="shared" ref="K7" si="6">J7+1</f>
        <v>11</v>
      </c>
      <c r="L7" s="187">
        <f t="shared" ref="L7:N7" si="7">K7+1</f>
        <v>12</v>
      </c>
      <c r="M7" s="187">
        <f t="shared" si="7"/>
        <v>13</v>
      </c>
      <c r="N7" s="187">
        <f t="shared" si="7"/>
        <v>14</v>
      </c>
      <c r="O7" s="187">
        <v>14</v>
      </c>
      <c r="P7" s="187">
        <f t="shared" ref="P7:S7" si="8">O7+1</f>
        <v>15</v>
      </c>
      <c r="Q7" s="187">
        <f t="shared" si="8"/>
        <v>16</v>
      </c>
      <c r="R7" s="187">
        <f t="shared" si="8"/>
        <v>17</v>
      </c>
      <c r="S7" s="187">
        <f t="shared" si="8"/>
        <v>18</v>
      </c>
      <c r="T7" s="187">
        <f t="shared" ref="T7" si="9">S7+1</f>
        <v>19</v>
      </c>
      <c r="U7" s="187">
        <f t="shared" ref="U7" si="10">T7+1</f>
        <v>20</v>
      </c>
      <c r="V7" s="187">
        <f t="shared" ref="V7" si="11">U7+1</f>
        <v>21</v>
      </c>
      <c r="W7" s="187">
        <f t="shared" ref="W7" si="12">V7+1</f>
        <v>22</v>
      </c>
      <c r="X7" s="187">
        <f t="shared" ref="X7" si="13">W7+1</f>
        <v>23</v>
      </c>
      <c r="Y7" s="187">
        <f t="shared" ref="Y7" si="14">X7+1</f>
        <v>24</v>
      </c>
    </row>
    <row r="8" spans="1:26">
      <c r="A8" s="157">
        <v>1</v>
      </c>
      <c r="B8" s="187" t="s">
        <v>33</v>
      </c>
      <c r="C8" s="187" t="s">
        <v>158</v>
      </c>
      <c r="D8" s="159">
        <v>141</v>
      </c>
      <c r="E8" s="164">
        <v>5.64</v>
      </c>
      <c r="F8" s="159">
        <f>E8*D8</f>
        <v>795.24</v>
      </c>
      <c r="G8" s="160">
        <f>F8</f>
        <v>795.24</v>
      </c>
      <c r="H8" s="160">
        <f>G8*0.12</f>
        <v>95.428799999999995</v>
      </c>
      <c r="I8" s="192">
        <f>G8*0.0006</f>
        <v>0.47714399999999996</v>
      </c>
      <c r="J8" s="160">
        <f>F8</f>
        <v>795.24</v>
      </c>
      <c r="K8" s="192">
        <f>J8*0.0003</f>
        <v>0.23857199999999998</v>
      </c>
      <c r="L8" s="160">
        <f t="shared" ref="L8" si="15">J8</f>
        <v>795.24</v>
      </c>
      <c r="M8" s="160">
        <f>2.5*0.5*2</f>
        <v>2.5</v>
      </c>
      <c r="N8" s="160">
        <f>M8*0.08</f>
        <v>0.2</v>
      </c>
      <c r="O8" s="159">
        <v>138.5</v>
      </c>
      <c r="P8" s="157"/>
      <c r="Q8" s="159">
        <v>1.2</v>
      </c>
      <c r="R8" s="159">
        <f>Q8*O8</f>
        <v>166.2</v>
      </c>
      <c r="S8" s="160">
        <f>T8*0.25*0.1</f>
        <v>6.7750000000000004</v>
      </c>
      <c r="T8" s="160">
        <f>O8*2-6</f>
        <v>271</v>
      </c>
      <c r="U8" s="160">
        <f>R8*0.2</f>
        <v>33.24</v>
      </c>
      <c r="V8" s="160">
        <f>R8</f>
        <v>166.2</v>
      </c>
      <c r="W8" s="160">
        <f>V8*0.1</f>
        <v>16.62</v>
      </c>
      <c r="X8" s="192">
        <f>Y8*0.0006</f>
        <v>9.9719999999999989E-2</v>
      </c>
      <c r="Y8" s="160">
        <f>R8</f>
        <v>166.2</v>
      </c>
      <c r="Z8" s="193"/>
    </row>
    <row r="9" spans="1:26" s="197" customFormat="1">
      <c r="A9" s="239" t="s">
        <v>34</v>
      </c>
      <c r="B9" s="239"/>
      <c r="C9" s="239"/>
      <c r="D9" s="194">
        <f>SUM(D8:D8)</f>
        <v>141</v>
      </c>
      <c r="E9" s="194"/>
      <c r="F9" s="194">
        <f t="shared" ref="F9:Y9" si="16">SUM(F8:F8)</f>
        <v>795.24</v>
      </c>
      <c r="G9" s="194">
        <f t="shared" si="16"/>
        <v>795.24</v>
      </c>
      <c r="H9" s="194">
        <f t="shared" si="16"/>
        <v>95.428799999999995</v>
      </c>
      <c r="I9" s="195">
        <f t="shared" si="16"/>
        <v>0.47714399999999996</v>
      </c>
      <c r="J9" s="194">
        <f t="shared" si="16"/>
        <v>795.24</v>
      </c>
      <c r="K9" s="195">
        <f t="shared" si="16"/>
        <v>0.23857199999999998</v>
      </c>
      <c r="L9" s="194">
        <f t="shared" si="16"/>
        <v>795.24</v>
      </c>
      <c r="M9" s="194">
        <f t="shared" ref="M9" si="17">SUM(M8:M8)</f>
        <v>2.5</v>
      </c>
      <c r="N9" s="194">
        <f t="shared" ref="N9" si="18">SUM(N8:N8)</f>
        <v>0.2</v>
      </c>
      <c r="O9" s="196">
        <f t="shared" si="16"/>
        <v>138.5</v>
      </c>
      <c r="P9" s="196">
        <f t="shared" si="16"/>
        <v>0</v>
      </c>
      <c r="Q9" s="196">
        <f t="shared" si="16"/>
        <v>1.2</v>
      </c>
      <c r="R9" s="196">
        <f t="shared" si="16"/>
        <v>166.2</v>
      </c>
      <c r="S9" s="194">
        <f t="shared" si="16"/>
        <v>6.7750000000000004</v>
      </c>
      <c r="T9" s="194">
        <f t="shared" si="16"/>
        <v>271</v>
      </c>
      <c r="U9" s="194">
        <f t="shared" si="16"/>
        <v>33.24</v>
      </c>
      <c r="V9" s="194">
        <f t="shared" si="16"/>
        <v>166.2</v>
      </c>
      <c r="W9" s="194">
        <f t="shared" si="16"/>
        <v>16.62</v>
      </c>
      <c r="X9" s="195">
        <f t="shared" si="16"/>
        <v>9.9719999999999989E-2</v>
      </c>
      <c r="Y9" s="194">
        <f t="shared" si="16"/>
        <v>166.2</v>
      </c>
    </row>
    <row r="10" spans="1:26">
      <c r="G10" s="198"/>
      <c r="H10" s="198"/>
    </row>
  </sheetData>
  <mergeCells count="12">
    <mergeCell ref="A1:Y1"/>
    <mergeCell ref="A2:Y2"/>
    <mergeCell ref="A9:C9"/>
    <mergeCell ref="B5:B6"/>
    <mergeCell ref="C5:C6"/>
    <mergeCell ref="A4:A6"/>
    <mergeCell ref="B4:C4"/>
    <mergeCell ref="G5:H5"/>
    <mergeCell ref="V5:W5"/>
    <mergeCell ref="O4:Y4"/>
    <mergeCell ref="M5:N5"/>
    <mergeCell ref="D4:N4"/>
  </mergeCells>
  <pageMargins left="0.26691176470588235" right="0.17794117647058824" top="0.24553571428571427" bottom="0.75" header="0.3" footer="0.3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ხე-მცენ. გაწმენ. მოც. უწყისი</vt:lpstr>
      <vt:lpstr>მიერთებების მოც.უწყისი</vt:lpstr>
      <vt:lpstr>ე.შ.მოც.უწყისი</vt:lpstr>
      <vt:lpstr>მიწის სამუშაოების უწყისი </vt:lpstr>
      <vt:lpstr>არსებული ჭები</vt:lpstr>
      <vt:lpstr>პკ 0+77 ჭის რეაბილიტაცია</vt:lpstr>
      <vt:lpstr>დახურული ტიპის სანიაღვრე არხი</vt:lpstr>
      <vt:lpstr>ეზოში შესასვლელები</vt:lpstr>
      <vt:lpstr>საგზაო სამოსის მოწყობის უწყისი</vt:lpstr>
      <vt:lpstr>კრებსითი მოცულობები</vt:lpstr>
      <vt:lpstr>'არსებული ჭები'!Print_Area</vt:lpstr>
      <vt:lpstr>'დახურული ტიპის სანიაღვრე არხი'!Print_Area</vt:lpstr>
      <vt:lpstr>ე.შ.მოც.უწყისი!Print_Area</vt:lpstr>
      <vt:lpstr>'ეზოში შესასვლელები'!Print_Area</vt:lpstr>
      <vt:lpstr>'კრებსითი მოცულობები'!Print_Area</vt:lpstr>
      <vt:lpstr>'მიერთებების მოც.უწყისი'!Print_Area</vt:lpstr>
      <vt:lpstr>'მიწის სამუშაოების უწყისი '!Print_Area</vt:lpstr>
      <vt:lpstr>'პკ 0+77 ჭის რეაბილიტაცია'!Print_Area</vt:lpstr>
      <vt:lpstr>'საგზაო სამოსის მოწყობის უწყისი'!Print_Area</vt:lpstr>
    </vt:vector>
  </TitlesOfParts>
  <Company>Топоматик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Евсюков</dc:creator>
  <cp:lastModifiedBy>Irakli Adeishvili</cp:lastModifiedBy>
  <cp:lastPrinted>2020-03-06T17:58:49Z</cp:lastPrinted>
  <dcterms:created xsi:type="dcterms:W3CDTF">2004-01-01T02:48:21Z</dcterms:created>
  <dcterms:modified xsi:type="dcterms:W3CDTF">2020-03-24T09:04:16Z</dcterms:modified>
</cp:coreProperties>
</file>