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640" windowHeight="12255" tabRatio="831"/>
  </bookViews>
  <sheets>
    <sheet name="krebsiti" sheetId="8" r:id="rId1"/>
    <sheet name="#1" sheetId="16" r:id="rId2"/>
    <sheet name="#2" sheetId="17" r:id="rId3"/>
    <sheet name="#3" sheetId="6" r:id="rId4"/>
  </sheets>
  <definedNames>
    <definedName name="_xlnm.Print_Area" localSheetId="1">'#1'!$A$1:$M$267</definedName>
    <definedName name="_xlnm.Print_Area" localSheetId="2">'#2'!$A$1:$M$101</definedName>
    <definedName name="_xlnm.Print_Area" localSheetId="3">'#3'!$A$1:$M$157</definedName>
    <definedName name="_xlnm.Print_Area" localSheetId="0">krebsiti!$A$1:$E$21</definedName>
    <definedName name="_xlnm.Print_Titles" localSheetId="1">'#1'!$9:$9</definedName>
    <definedName name="_xlnm.Print_Titles" localSheetId="2">'#2'!$9:$9</definedName>
    <definedName name="_xlnm.Print_Titles" localSheetId="3">'#3'!$9:$9</definedName>
    <definedName name="_xlnm.Print_Titles" localSheetId="0">krebsiti!$7:$7</definedName>
  </definedNames>
  <calcPr calcId="152511"/>
  <fileRecoveryPr autoRecover="0"/>
</workbook>
</file>

<file path=xl/calcChain.xml><?xml version="1.0" encoding="utf-8"?>
<calcChain xmlns="http://schemas.openxmlformats.org/spreadsheetml/2006/main">
  <c r="F69" i="16" l="1"/>
  <c r="F73" i="16" s="1"/>
  <c r="H73" i="16" s="1"/>
  <c r="M73" i="16" s="1"/>
  <c r="F65" i="16"/>
  <c r="F68" i="16" s="1"/>
  <c r="H68" i="16" s="1"/>
  <c r="M68" i="16" s="1"/>
  <c r="F240" i="16"/>
  <c r="F243" i="16" s="1"/>
  <c r="H243" i="16" s="1"/>
  <c r="M243" i="16" s="1"/>
  <c r="F235" i="16"/>
  <c r="F236" i="16" s="1"/>
  <c r="J236" i="16" s="1"/>
  <c r="M236" i="16" s="1"/>
  <c r="F230" i="16"/>
  <c r="F234" i="16" s="1"/>
  <c r="H234" i="16" s="1"/>
  <c r="M234" i="16" s="1"/>
  <c r="E233" i="16"/>
  <c r="F223" i="16"/>
  <c r="F226" i="16" s="1"/>
  <c r="H226" i="16" s="1"/>
  <c r="M226" i="16" s="1"/>
  <c r="F218" i="16"/>
  <c r="F219" i="16" s="1"/>
  <c r="J219" i="16" s="1"/>
  <c r="M219" i="16" s="1"/>
  <c r="F221" i="16"/>
  <c r="F222" i="16" s="1"/>
  <c r="J222" i="16" s="1"/>
  <c r="M222" i="16" s="1"/>
  <c r="F242" i="16" l="1"/>
  <c r="L242" i="16" s="1"/>
  <c r="M242" i="16" s="1"/>
  <c r="F244" i="16"/>
  <c r="H244" i="16" s="1"/>
  <c r="M244" i="16" s="1"/>
  <c r="F224" i="16"/>
  <c r="J224" i="16" s="1"/>
  <c r="M224" i="16" s="1"/>
  <c r="F237" i="16"/>
  <c r="L237" i="16" s="1"/>
  <c r="M237" i="16" s="1"/>
  <c r="F245" i="16"/>
  <c r="H245" i="16" s="1"/>
  <c r="M245" i="16" s="1"/>
  <c r="F67" i="16"/>
  <c r="L67" i="16" s="1"/>
  <c r="M67" i="16" s="1"/>
  <c r="F70" i="16"/>
  <c r="J70" i="16" s="1"/>
  <c r="M70" i="16" s="1"/>
  <c r="F72" i="16"/>
  <c r="H72" i="16" s="1"/>
  <c r="M72" i="16" s="1"/>
  <c r="F71" i="16"/>
  <c r="L71" i="16" s="1"/>
  <c r="M71" i="16" s="1"/>
  <c r="F228" i="16"/>
  <c r="F229" i="16" s="1"/>
  <c r="J229" i="16" s="1"/>
  <c r="M229" i="16" s="1"/>
  <c r="F227" i="16"/>
  <c r="H227" i="16" s="1"/>
  <c r="M227" i="16" s="1"/>
  <c r="F239" i="16"/>
  <c r="H239" i="16" s="1"/>
  <c r="M239" i="16" s="1"/>
  <c r="F241" i="16"/>
  <c r="J241" i="16" s="1"/>
  <c r="M241" i="16" s="1"/>
  <c r="F238" i="16"/>
  <c r="H238" i="16" s="1"/>
  <c r="M238" i="16" s="1"/>
  <c r="F232" i="16"/>
  <c r="L232" i="16" s="1"/>
  <c r="M232" i="16" s="1"/>
  <c r="F233" i="16"/>
  <c r="H233" i="16" s="1"/>
  <c r="M233" i="16" s="1"/>
  <c r="F231" i="16"/>
  <c r="J231" i="16" s="1"/>
  <c r="M231" i="16" s="1"/>
  <c r="F225" i="16"/>
  <c r="L225" i="16" s="1"/>
  <c r="M225" i="16" s="1"/>
  <c r="F66" i="16"/>
  <c r="J66" i="16" s="1"/>
  <c r="M66" i="16" s="1"/>
  <c r="F220" i="16"/>
  <c r="L220" i="16" s="1"/>
  <c r="M220" i="16" s="1"/>
  <c r="H128" i="6" l="1"/>
  <c r="M128" i="6" s="1"/>
  <c r="F125" i="6"/>
  <c r="F127" i="6" s="1"/>
  <c r="L127" i="6" s="1"/>
  <c r="M127" i="6" s="1"/>
  <c r="F115" i="6"/>
  <c r="J43" i="16"/>
  <c r="M43" i="16" s="1"/>
  <c r="J42" i="16"/>
  <c r="M42" i="16" s="1"/>
  <c r="F149" i="16"/>
  <c r="F135" i="16"/>
  <c r="F139" i="16" s="1"/>
  <c r="H139" i="16" s="1"/>
  <c r="M139" i="16" s="1"/>
  <c r="F129" i="16"/>
  <c r="F122" i="16"/>
  <c r="F142" i="16" s="1"/>
  <c r="F145" i="16" s="1"/>
  <c r="H145" i="16" s="1"/>
  <c r="M145" i="16" s="1"/>
  <c r="F117" i="16"/>
  <c r="F110" i="16"/>
  <c r="F103" i="16"/>
  <c r="F44" i="16"/>
  <c r="F91" i="16"/>
  <c r="F64" i="16"/>
  <c r="H64" i="16" s="1"/>
  <c r="M64" i="16" s="1"/>
  <c r="F57" i="16"/>
  <c r="F52" i="16"/>
  <c r="F53" i="16" s="1"/>
  <c r="J53" i="16" s="1"/>
  <c r="M53" i="16" s="1"/>
  <c r="E63" i="16"/>
  <c r="E62" i="16"/>
  <c r="E61" i="16"/>
  <c r="F61" i="16" s="1"/>
  <c r="H61" i="16" s="1"/>
  <c r="M61" i="16" s="1"/>
  <c r="E60" i="16"/>
  <c r="E59" i="16"/>
  <c r="E58" i="16"/>
  <c r="E55" i="16"/>
  <c r="F37" i="16"/>
  <c r="F35" i="16"/>
  <c r="F29" i="16"/>
  <c r="F25" i="16"/>
  <c r="F22" i="16"/>
  <c r="F98" i="16"/>
  <c r="F87" i="16"/>
  <c r="E128" i="16"/>
  <c r="E124" i="16"/>
  <c r="E123" i="16"/>
  <c r="F202" i="16"/>
  <c r="F127" i="16" l="1"/>
  <c r="H127" i="16" s="1"/>
  <c r="M127" i="16" s="1"/>
  <c r="F58" i="16"/>
  <c r="J58" i="16" s="1"/>
  <c r="M58" i="16" s="1"/>
  <c r="F59" i="16"/>
  <c r="L59" i="16" s="1"/>
  <c r="M59" i="16" s="1"/>
  <c r="F63" i="16"/>
  <c r="H63" i="16" s="1"/>
  <c r="M63" i="16" s="1"/>
  <c r="F62" i="16"/>
  <c r="H62" i="16" s="1"/>
  <c r="M62" i="16" s="1"/>
  <c r="F124" i="16"/>
  <c r="L124" i="16" s="1"/>
  <c r="M124" i="16" s="1"/>
  <c r="F125" i="16"/>
  <c r="H125" i="16" s="1"/>
  <c r="M125" i="16" s="1"/>
  <c r="F128" i="16"/>
  <c r="H128" i="16" s="1"/>
  <c r="M128" i="16" s="1"/>
  <c r="F136" i="16"/>
  <c r="J136" i="16" s="1"/>
  <c r="M136" i="16" s="1"/>
  <c r="F129" i="6"/>
  <c r="H129" i="6" s="1"/>
  <c r="M129" i="6" s="1"/>
  <c r="F126" i="6"/>
  <c r="J126" i="6" s="1"/>
  <c r="M126" i="6" s="1"/>
  <c r="F138" i="16"/>
  <c r="H138" i="16" s="1"/>
  <c r="M138" i="16" s="1"/>
  <c r="F140" i="16"/>
  <c r="H140" i="16" s="1"/>
  <c r="M140" i="16" s="1"/>
  <c r="F141" i="16"/>
  <c r="H141" i="16" s="1"/>
  <c r="M141" i="16" s="1"/>
  <c r="F123" i="16"/>
  <c r="J123" i="16" s="1"/>
  <c r="M123" i="16" s="1"/>
  <c r="F60" i="16"/>
  <c r="H60" i="16" s="1"/>
  <c r="M60" i="16" s="1"/>
  <c r="F56" i="16"/>
  <c r="H56" i="16" s="1"/>
  <c r="M56" i="16" s="1"/>
  <c r="F54" i="16"/>
  <c r="L54" i="16" s="1"/>
  <c r="M54" i="16" s="1"/>
  <c r="F55" i="16"/>
  <c r="H55" i="16" s="1"/>
  <c r="M55" i="16" s="1"/>
  <c r="F144" i="16"/>
  <c r="L144" i="16" s="1"/>
  <c r="M144" i="16" s="1"/>
  <c r="F148" i="16"/>
  <c r="H148" i="16" s="1"/>
  <c r="M148" i="16" s="1"/>
  <c r="F143" i="16"/>
  <c r="J143" i="16" s="1"/>
  <c r="M143" i="16" s="1"/>
  <c r="F147" i="16"/>
  <c r="H147" i="16" s="1"/>
  <c r="M147" i="16" s="1"/>
  <c r="F146" i="16"/>
  <c r="H146" i="16" s="1"/>
  <c r="M146" i="16" s="1"/>
  <c r="F137" i="16"/>
  <c r="L137" i="16" s="1"/>
  <c r="M137" i="16" s="1"/>
  <c r="F126" i="16"/>
  <c r="H126" i="16" s="1"/>
  <c r="M126" i="16" s="1"/>
  <c r="F116" i="16" l="1"/>
  <c r="H116" i="16" s="1"/>
  <c r="M116" i="16" s="1"/>
  <c r="F115" i="16"/>
  <c r="H115" i="16" s="1"/>
  <c r="M115" i="16" s="1"/>
  <c r="F114" i="16"/>
  <c r="H114" i="16" s="1"/>
  <c r="M114" i="16" s="1"/>
  <c r="F113" i="16"/>
  <c r="H113" i="16" s="1"/>
  <c r="M113" i="16" s="1"/>
  <c r="F112" i="16"/>
  <c r="L112" i="16" s="1"/>
  <c r="M112" i="16" s="1"/>
  <c r="F111" i="16"/>
  <c r="J111" i="16" s="1"/>
  <c r="M111" i="16" s="1"/>
  <c r="F78" i="16"/>
  <c r="F16" i="16"/>
  <c r="F79" i="16"/>
  <c r="F45" i="16" l="1"/>
  <c r="J45" i="16" s="1"/>
  <c r="M45" i="16" s="1"/>
  <c r="F32" i="16" l="1"/>
  <c r="F19" i="16"/>
  <c r="F46" i="16" l="1"/>
  <c r="F48" i="16"/>
  <c r="F33" i="16"/>
  <c r="J33" i="16" s="1"/>
  <c r="M33" i="16" s="1"/>
  <c r="F34" i="16"/>
  <c r="L34" i="16" s="1"/>
  <c r="M34" i="16" s="1"/>
  <c r="F144" i="6"/>
  <c r="J144" i="6" s="1"/>
  <c r="M144" i="6" s="1"/>
  <c r="H143" i="6"/>
  <c r="M143" i="6" s="1"/>
  <c r="H141" i="6"/>
  <c r="M141" i="6" s="1"/>
  <c r="L136" i="6"/>
  <c r="J136" i="6"/>
  <c r="H136" i="6"/>
  <c r="H135" i="6"/>
  <c r="M135" i="6" s="1"/>
  <c r="H134" i="6"/>
  <c r="M134" i="6" s="1"/>
  <c r="L132" i="6"/>
  <c r="M132" i="6" s="1"/>
  <c r="F130" i="6"/>
  <c r="F131" i="6" s="1"/>
  <c r="J131" i="6" s="1"/>
  <c r="M131" i="6" s="1"/>
  <c r="H123" i="6"/>
  <c r="M123" i="6" s="1"/>
  <c r="M120" i="6"/>
  <c r="F120" i="6"/>
  <c r="F119" i="6"/>
  <c r="H119" i="6" s="1"/>
  <c r="M119" i="6" s="1"/>
  <c r="H118" i="6"/>
  <c r="M118" i="6" s="1"/>
  <c r="L117" i="6"/>
  <c r="M117" i="6" s="1"/>
  <c r="F117" i="6"/>
  <c r="F116" i="6"/>
  <c r="J116" i="6" s="1"/>
  <c r="M116" i="6" s="1"/>
  <c r="F113" i="6"/>
  <c r="H113" i="6" s="1"/>
  <c r="M113" i="6" s="1"/>
  <c r="F112" i="6"/>
  <c r="H112" i="6" s="1"/>
  <c r="M112" i="6" s="1"/>
  <c r="F110" i="6"/>
  <c r="H110" i="6" s="1"/>
  <c r="M110" i="6" s="1"/>
  <c r="F109" i="6"/>
  <c r="F111" i="6" s="1"/>
  <c r="H111" i="6" s="1"/>
  <c r="M111" i="6" s="1"/>
  <c r="E106" i="6"/>
  <c r="E101" i="6"/>
  <c r="F101" i="6" s="1"/>
  <c r="F100" i="6"/>
  <c r="L100" i="6" s="1"/>
  <c r="M100" i="6" s="1"/>
  <c r="F99" i="6"/>
  <c r="J99" i="6" s="1"/>
  <c r="M99" i="6" s="1"/>
  <c r="F97" i="6"/>
  <c r="H97" i="6" s="1"/>
  <c r="M97" i="6" s="1"/>
  <c r="H96" i="6"/>
  <c r="M96" i="6" s="1"/>
  <c r="H95" i="6"/>
  <c r="M95" i="6" s="1"/>
  <c r="H94" i="6"/>
  <c r="M94" i="6" s="1"/>
  <c r="H93" i="6"/>
  <c r="M93" i="6" s="1"/>
  <c r="H92" i="6"/>
  <c r="M92" i="6" s="1"/>
  <c r="H91" i="6"/>
  <c r="M91" i="6" s="1"/>
  <c r="H90" i="6"/>
  <c r="M90" i="6" s="1"/>
  <c r="H89" i="6"/>
  <c r="M89" i="6" s="1"/>
  <c r="H88" i="6"/>
  <c r="M88" i="6" s="1"/>
  <c r="F87" i="6"/>
  <c r="H87" i="6" s="1"/>
  <c r="M87" i="6" s="1"/>
  <c r="F86" i="6"/>
  <c r="L86" i="6" s="1"/>
  <c r="M86" i="6" s="1"/>
  <c r="F85" i="6"/>
  <c r="J85" i="6" s="1"/>
  <c r="M85" i="6" s="1"/>
  <c r="H82" i="6"/>
  <c r="M82" i="6" s="1"/>
  <c r="F79" i="6"/>
  <c r="F83" i="6" s="1"/>
  <c r="H83" i="6" s="1"/>
  <c r="M83" i="6" s="1"/>
  <c r="E78" i="6"/>
  <c r="F78" i="6" s="1"/>
  <c r="H78" i="6" s="1"/>
  <c r="M78" i="6" s="1"/>
  <c r="E77" i="6"/>
  <c r="F77" i="6" s="1"/>
  <c r="H77" i="6" s="1"/>
  <c r="M77" i="6" s="1"/>
  <c r="F76" i="6"/>
  <c r="H76" i="6" s="1"/>
  <c r="M76" i="6" s="1"/>
  <c r="E75" i="6"/>
  <c r="F75" i="6" s="1"/>
  <c r="L75" i="6" s="1"/>
  <c r="M75" i="6" s="1"/>
  <c r="E74" i="6"/>
  <c r="F74" i="6" s="1"/>
  <c r="J74" i="6" s="1"/>
  <c r="M74" i="6" s="1"/>
  <c r="F72" i="6"/>
  <c r="H72" i="6" s="1"/>
  <c r="M72" i="6" s="1"/>
  <c r="E71" i="6"/>
  <c r="F71" i="6" s="1"/>
  <c r="H71" i="6" s="1"/>
  <c r="M71" i="6" s="1"/>
  <c r="F70" i="6"/>
  <c r="H70" i="6" s="1"/>
  <c r="M70" i="6" s="1"/>
  <c r="F69" i="6"/>
  <c r="L69" i="6" s="1"/>
  <c r="M69" i="6" s="1"/>
  <c r="F68" i="6"/>
  <c r="J68" i="6" s="1"/>
  <c r="M68" i="6" s="1"/>
  <c r="F64" i="6"/>
  <c r="H64" i="6" s="1"/>
  <c r="M64" i="6" s="1"/>
  <c r="F63" i="6"/>
  <c r="L63" i="6" s="1"/>
  <c r="M63" i="6" s="1"/>
  <c r="F62" i="6"/>
  <c r="J62" i="6" s="1"/>
  <c r="M62" i="6" s="1"/>
  <c r="F56" i="6"/>
  <c r="F58" i="6" s="1"/>
  <c r="L58" i="6" s="1"/>
  <c r="M58" i="6" s="1"/>
  <c r="E54" i="6"/>
  <c r="E49" i="6"/>
  <c r="F49" i="6" s="1"/>
  <c r="F48" i="6"/>
  <c r="L48" i="6" s="1"/>
  <c r="M48" i="6" s="1"/>
  <c r="F47" i="6"/>
  <c r="J47" i="6" s="1"/>
  <c r="M47" i="6" s="1"/>
  <c r="H44" i="6"/>
  <c r="H43" i="6"/>
  <c r="M43" i="6" s="1"/>
  <c r="H42" i="6"/>
  <c r="M42" i="6" s="1"/>
  <c r="F39" i="6"/>
  <c r="F40" i="6" s="1"/>
  <c r="J40" i="6" s="1"/>
  <c r="M40" i="6" s="1"/>
  <c r="F38" i="6"/>
  <c r="H38" i="6" s="1"/>
  <c r="M38" i="6" s="1"/>
  <c r="H37" i="6"/>
  <c r="M37" i="6" s="1"/>
  <c r="H36" i="6"/>
  <c r="M36" i="6" s="1"/>
  <c r="H35" i="6"/>
  <c r="M35" i="6" s="1"/>
  <c r="H34" i="6"/>
  <c r="M34" i="6" s="1"/>
  <c r="H33" i="6"/>
  <c r="M33" i="6" s="1"/>
  <c r="H32" i="6"/>
  <c r="M32" i="6" s="1"/>
  <c r="H31" i="6"/>
  <c r="M31" i="6" s="1"/>
  <c r="H30" i="6"/>
  <c r="M30" i="6" s="1"/>
  <c r="H29" i="6"/>
  <c r="M29" i="6" s="1"/>
  <c r="H28" i="6"/>
  <c r="M28" i="6" s="1"/>
  <c r="F27" i="6"/>
  <c r="H27" i="6" s="1"/>
  <c r="F26" i="6"/>
  <c r="L26" i="6" s="1"/>
  <c r="M26" i="6" s="1"/>
  <c r="F25" i="6"/>
  <c r="J25" i="6" s="1"/>
  <c r="F23" i="6"/>
  <c r="H23" i="6" s="1"/>
  <c r="M23" i="6" s="1"/>
  <c r="F22" i="6"/>
  <c r="H22" i="6" s="1"/>
  <c r="M22" i="6" s="1"/>
  <c r="F21" i="6"/>
  <c r="H21" i="6" s="1"/>
  <c r="M21" i="6" s="1"/>
  <c r="F20" i="6"/>
  <c r="L20" i="6" s="1"/>
  <c r="M20" i="6" s="1"/>
  <c r="F19" i="6"/>
  <c r="J19" i="6" s="1"/>
  <c r="M19" i="6" s="1"/>
  <c r="E17" i="6"/>
  <c r="F17" i="6" s="1"/>
  <c r="H17" i="6" s="1"/>
  <c r="M17" i="6" s="1"/>
  <c r="F16" i="6"/>
  <c r="H16" i="6" s="1"/>
  <c r="M16" i="6" s="1"/>
  <c r="F15" i="6"/>
  <c r="H15" i="6" s="1"/>
  <c r="M15" i="6" s="1"/>
  <c r="E14" i="6"/>
  <c r="F14" i="6" s="1"/>
  <c r="L14" i="6" s="1"/>
  <c r="M14" i="6" s="1"/>
  <c r="E13" i="6"/>
  <c r="F13" i="6" s="1"/>
  <c r="J13" i="6" s="1"/>
  <c r="M13" i="6" s="1"/>
  <c r="A1" i="6"/>
  <c r="H89" i="17"/>
  <c r="M89" i="17" s="1"/>
  <c r="M86" i="17"/>
  <c r="F86" i="17"/>
  <c r="F88" i="17" s="1"/>
  <c r="L88" i="17" s="1"/>
  <c r="M88" i="17" s="1"/>
  <c r="H85" i="17"/>
  <c r="M85" i="17" s="1"/>
  <c r="F84" i="17"/>
  <c r="H84" i="17" s="1"/>
  <c r="M84" i="17" s="1"/>
  <c r="F83" i="17"/>
  <c r="H83" i="17" s="1"/>
  <c r="M83" i="17" s="1"/>
  <c r="F82" i="17"/>
  <c r="J82" i="17" s="1"/>
  <c r="M82" i="17" s="1"/>
  <c r="H80" i="17"/>
  <c r="M80" i="17" s="1"/>
  <c r="H79" i="17"/>
  <c r="M79" i="17" s="1"/>
  <c r="H78" i="17"/>
  <c r="M78" i="17" s="1"/>
  <c r="H77" i="17"/>
  <c r="M77" i="17" s="1"/>
  <c r="H76" i="17"/>
  <c r="M76" i="17" s="1"/>
  <c r="H75" i="17"/>
  <c r="M75" i="17" s="1"/>
  <c r="E74" i="17"/>
  <c r="E73" i="17"/>
  <c r="E72" i="17"/>
  <c r="F71" i="17"/>
  <c r="H69" i="17"/>
  <c r="M69" i="17" s="1"/>
  <c r="F66" i="17"/>
  <c r="F68" i="17" s="1"/>
  <c r="L68" i="17" s="1"/>
  <c r="E65" i="17"/>
  <c r="F64" i="17"/>
  <c r="H64" i="17" s="1"/>
  <c r="M64" i="17" s="1"/>
  <c r="H63" i="17"/>
  <c r="M63" i="17" s="1"/>
  <c r="H62" i="17"/>
  <c r="M62" i="17" s="1"/>
  <c r="F60" i="17"/>
  <c r="E59" i="17"/>
  <c r="F58" i="17"/>
  <c r="H58" i="17" s="1"/>
  <c r="M58" i="17" s="1"/>
  <c r="H57" i="17"/>
  <c r="M57" i="17" s="1"/>
  <c r="H56" i="17"/>
  <c r="M56" i="17" s="1"/>
  <c r="H55" i="17"/>
  <c r="M55" i="17" s="1"/>
  <c r="F53" i="17"/>
  <c r="H51" i="17"/>
  <c r="M51" i="17" s="1"/>
  <c r="H50" i="17"/>
  <c r="M50" i="17" s="1"/>
  <c r="H49" i="17"/>
  <c r="M49" i="17" s="1"/>
  <c r="H48" i="17"/>
  <c r="M48" i="17" s="1"/>
  <c r="H47" i="17"/>
  <c r="M47" i="17" s="1"/>
  <c r="H46" i="17"/>
  <c r="M46" i="17" s="1"/>
  <c r="H45" i="17"/>
  <c r="M45" i="17" s="1"/>
  <c r="H44" i="17"/>
  <c r="M44" i="17" s="1"/>
  <c r="H43" i="17"/>
  <c r="M43" i="17" s="1"/>
  <c r="H42" i="17"/>
  <c r="M42" i="17" s="1"/>
  <c r="H41" i="17"/>
  <c r="M41" i="17" s="1"/>
  <c r="H40" i="17"/>
  <c r="M40" i="17" s="1"/>
  <c r="H39" i="17"/>
  <c r="H38" i="17"/>
  <c r="M38" i="17" s="1"/>
  <c r="H37" i="17"/>
  <c r="M37" i="17" s="1"/>
  <c r="H36" i="17"/>
  <c r="M36" i="17" s="1"/>
  <c r="F34" i="17"/>
  <c r="F35" i="17" s="1"/>
  <c r="J35" i="17" s="1"/>
  <c r="H30" i="17"/>
  <c r="M30" i="17" s="1"/>
  <c r="H29" i="17"/>
  <c r="M29" i="17" s="1"/>
  <c r="F26" i="17"/>
  <c r="F28" i="17" s="1"/>
  <c r="L28" i="17" s="1"/>
  <c r="M28" i="17" s="1"/>
  <c r="H24" i="17"/>
  <c r="M24" i="17" s="1"/>
  <c r="F21" i="17"/>
  <c r="F25" i="17" s="1"/>
  <c r="H25" i="17" s="1"/>
  <c r="M25" i="17" s="1"/>
  <c r="H18" i="17"/>
  <c r="M18" i="17" s="1"/>
  <c r="H17" i="17"/>
  <c r="M17" i="17" s="1"/>
  <c r="H16" i="17"/>
  <c r="M16" i="17" s="1"/>
  <c r="H15" i="17"/>
  <c r="M15" i="17" s="1"/>
  <c r="H14" i="17"/>
  <c r="M14" i="17" s="1"/>
  <c r="F11" i="17"/>
  <c r="F12" i="17" s="1"/>
  <c r="J12" i="17" s="1"/>
  <c r="M12" i="17" s="1"/>
  <c r="A1" i="17"/>
  <c r="F250" i="16"/>
  <c r="F252" i="16" s="1"/>
  <c r="L252" i="16" s="1"/>
  <c r="M252" i="16" s="1"/>
  <c r="F249" i="16"/>
  <c r="J249" i="16" s="1"/>
  <c r="M249" i="16" s="1"/>
  <c r="F150" i="16"/>
  <c r="J150" i="16" s="1"/>
  <c r="M150" i="16" s="1"/>
  <c r="F215" i="16"/>
  <c r="H215" i="16" s="1"/>
  <c r="M215" i="16" s="1"/>
  <c r="D207" i="16"/>
  <c r="F205" i="16"/>
  <c r="J205" i="16" s="1"/>
  <c r="M205" i="16" s="1"/>
  <c r="E131" i="16"/>
  <c r="E130" i="16"/>
  <c r="F133" i="16"/>
  <c r="H133" i="16" s="1"/>
  <c r="M133" i="16" s="1"/>
  <c r="F203" i="16"/>
  <c r="H203" i="16" s="1"/>
  <c r="M203" i="16" s="1"/>
  <c r="H202" i="16"/>
  <c r="M202" i="16" s="1"/>
  <c r="F201" i="16"/>
  <c r="H201" i="16" s="1"/>
  <c r="M201" i="16" s="1"/>
  <c r="E200" i="16"/>
  <c r="F200" i="16" s="1"/>
  <c r="L200" i="16" s="1"/>
  <c r="M200" i="16" s="1"/>
  <c r="E199" i="16"/>
  <c r="F199" i="16" s="1"/>
  <c r="J199" i="16" s="1"/>
  <c r="M199" i="16" s="1"/>
  <c r="F121" i="16"/>
  <c r="H121" i="16" s="1"/>
  <c r="M121" i="16" s="1"/>
  <c r="F196" i="16"/>
  <c r="H196" i="16" s="1"/>
  <c r="M196" i="16" s="1"/>
  <c r="F190" i="16"/>
  <c r="L190" i="16" s="1"/>
  <c r="M190" i="16" s="1"/>
  <c r="F109" i="16"/>
  <c r="H109" i="16" s="1"/>
  <c r="M109" i="16" s="1"/>
  <c r="E102" i="16"/>
  <c r="E101" i="16"/>
  <c r="E100" i="16"/>
  <c r="E99" i="16"/>
  <c r="F102" i="16"/>
  <c r="H102" i="16" s="1"/>
  <c r="M102" i="16" s="1"/>
  <c r="F94" i="16"/>
  <c r="L94" i="16" s="1"/>
  <c r="M94" i="16" s="1"/>
  <c r="F88" i="16"/>
  <c r="J88" i="16" s="1"/>
  <c r="M88" i="16" s="1"/>
  <c r="H79" i="16"/>
  <c r="M79" i="16" s="1"/>
  <c r="H78" i="16"/>
  <c r="M78" i="16" s="1"/>
  <c r="F41" i="16"/>
  <c r="J41" i="16" s="1"/>
  <c r="M41" i="16" s="1"/>
  <c r="F36" i="16"/>
  <c r="J36" i="16" s="1"/>
  <c r="M36" i="16" s="1"/>
  <c r="F39" i="16"/>
  <c r="L39" i="16" s="1"/>
  <c r="M39" i="16" s="1"/>
  <c r="F38" i="16"/>
  <c r="J38" i="16" s="1"/>
  <c r="M38" i="16" s="1"/>
  <c r="F30" i="16"/>
  <c r="J30" i="16" s="1"/>
  <c r="M30" i="16" s="1"/>
  <c r="F31" i="16"/>
  <c r="L31" i="16" s="1"/>
  <c r="M31" i="16" s="1"/>
  <c r="F26" i="16"/>
  <c r="J26" i="16" s="1"/>
  <c r="M26" i="16" s="1"/>
  <c r="F23" i="16"/>
  <c r="J23" i="16" s="1"/>
  <c r="M23" i="16" s="1"/>
  <c r="F24" i="16"/>
  <c r="L24" i="16" s="1"/>
  <c r="M24" i="16" s="1"/>
  <c r="F20" i="16"/>
  <c r="J20" i="16" s="1"/>
  <c r="M20" i="16" s="1"/>
  <c r="F21" i="16"/>
  <c r="L21" i="16" s="1"/>
  <c r="M21" i="16" s="1"/>
  <c r="E17" i="16"/>
  <c r="F15" i="16"/>
  <c r="L15" i="16" s="1"/>
  <c r="F14" i="16"/>
  <c r="J14" i="16" s="1"/>
  <c r="A1" i="16"/>
  <c r="F72" i="17" l="1"/>
  <c r="J72" i="17" s="1"/>
  <c r="M72" i="17" s="1"/>
  <c r="F74" i="17"/>
  <c r="L74" i="17" s="1"/>
  <c r="M74" i="17" s="1"/>
  <c r="F73" i="17"/>
  <c r="L73" i="17" s="1"/>
  <c r="M73" i="17" s="1"/>
  <c r="F65" i="17"/>
  <c r="H65" i="17" s="1"/>
  <c r="M65" i="17" s="1"/>
  <c r="F31" i="17"/>
  <c r="H31" i="17" s="1"/>
  <c r="M31" i="17" s="1"/>
  <c r="F59" i="17"/>
  <c r="H59" i="17" s="1"/>
  <c r="M59" i="17" s="1"/>
  <c r="F87" i="17"/>
  <c r="J87" i="17" s="1"/>
  <c r="M87" i="17" s="1"/>
  <c r="F90" i="17"/>
  <c r="H90" i="17" s="1"/>
  <c r="M90" i="17" s="1"/>
  <c r="F23" i="17"/>
  <c r="L23" i="17" s="1"/>
  <c r="M23" i="17" s="1"/>
  <c r="F22" i="17"/>
  <c r="J22" i="17" s="1"/>
  <c r="M22" i="17" s="1"/>
  <c r="F27" i="17"/>
  <c r="J27" i="17" s="1"/>
  <c r="M27" i="17" s="1"/>
  <c r="F54" i="17"/>
  <c r="J54" i="17" s="1"/>
  <c r="M54" i="17" s="1"/>
  <c r="F57" i="6"/>
  <c r="J57" i="6" s="1"/>
  <c r="M57" i="6" s="1"/>
  <c r="J109" i="6"/>
  <c r="M109" i="6" s="1"/>
  <c r="F13" i="17"/>
  <c r="L13" i="17" s="1"/>
  <c r="M13" i="17" s="1"/>
  <c r="F55" i="6"/>
  <c r="H55" i="6" s="1"/>
  <c r="M55" i="6" s="1"/>
  <c r="F50" i="6"/>
  <c r="J50" i="6" s="1"/>
  <c r="M50" i="6" s="1"/>
  <c r="F51" i="6"/>
  <c r="L51" i="6" s="1"/>
  <c r="M51" i="6" s="1"/>
  <c r="F52" i="6"/>
  <c r="H52" i="6" s="1"/>
  <c r="M52" i="6" s="1"/>
  <c r="F54" i="6"/>
  <c r="H54" i="6" s="1"/>
  <c r="M54" i="6" s="1"/>
  <c r="F53" i="6"/>
  <c r="H53" i="6" s="1"/>
  <c r="M53" i="6" s="1"/>
  <c r="F103" i="6"/>
  <c r="L103" i="6" s="1"/>
  <c r="M103" i="6" s="1"/>
  <c r="F104" i="6"/>
  <c r="H104" i="6" s="1"/>
  <c r="M104" i="6" s="1"/>
  <c r="F106" i="6"/>
  <c r="H106" i="6" s="1"/>
  <c r="M106" i="6" s="1"/>
  <c r="F105" i="6"/>
  <c r="H105" i="6" s="1"/>
  <c r="M105" i="6" s="1"/>
  <c r="F107" i="6"/>
  <c r="H107" i="6" s="1"/>
  <c r="M107" i="6" s="1"/>
  <c r="F102" i="6"/>
  <c r="J102" i="6" s="1"/>
  <c r="M102" i="6" s="1"/>
  <c r="F41" i="6"/>
  <c r="L41" i="6" s="1"/>
  <c r="M41" i="6" s="1"/>
  <c r="F45" i="6"/>
  <c r="H45" i="6" s="1"/>
  <c r="M45" i="6" s="1"/>
  <c r="F60" i="6"/>
  <c r="H60" i="6" s="1"/>
  <c r="M60" i="6" s="1"/>
  <c r="F81" i="6"/>
  <c r="L81" i="6" s="1"/>
  <c r="M81" i="6" s="1"/>
  <c r="F59" i="6"/>
  <c r="H59" i="6" s="1"/>
  <c r="M59" i="6" s="1"/>
  <c r="F80" i="6"/>
  <c r="J80" i="6" s="1"/>
  <c r="M80" i="6" s="1"/>
  <c r="M136" i="6"/>
  <c r="F133" i="6"/>
  <c r="H133" i="6" s="1"/>
  <c r="M133" i="6" s="1"/>
  <c r="H140" i="6"/>
  <c r="M140" i="6" s="1"/>
  <c r="F137" i="6"/>
  <c r="F121" i="6"/>
  <c r="J121" i="6" s="1"/>
  <c r="M121" i="6" s="1"/>
  <c r="F124" i="6"/>
  <c r="H124" i="6" s="1"/>
  <c r="M124" i="6" s="1"/>
  <c r="F122" i="6"/>
  <c r="L122" i="6" s="1"/>
  <c r="M122" i="6" s="1"/>
  <c r="M27" i="6"/>
  <c r="M25" i="6"/>
  <c r="M68" i="17"/>
  <c r="F67" i="17"/>
  <c r="J67" i="17" s="1"/>
  <c r="M67" i="17" s="1"/>
  <c r="F70" i="17"/>
  <c r="H70" i="17" s="1"/>
  <c r="M70" i="17" s="1"/>
  <c r="F61" i="17"/>
  <c r="J61" i="17" s="1"/>
  <c r="M61" i="17" s="1"/>
  <c r="M35" i="17"/>
  <c r="M39" i="17"/>
  <c r="F212" i="16"/>
  <c r="H212" i="16" s="1"/>
  <c r="M212" i="16" s="1"/>
  <c r="F213" i="16"/>
  <c r="H213" i="16" s="1"/>
  <c r="M213" i="16" s="1"/>
  <c r="F74" i="16"/>
  <c r="F77" i="16" s="1"/>
  <c r="L77" i="16" s="1"/>
  <c r="M77" i="16" s="1"/>
  <c r="F130" i="16"/>
  <c r="J130" i="16" s="1"/>
  <c r="M130" i="16" s="1"/>
  <c r="F106" i="16"/>
  <c r="H106" i="16" s="1"/>
  <c r="M106" i="16" s="1"/>
  <c r="F96" i="16"/>
  <c r="H96" i="16" s="1"/>
  <c r="M96" i="16" s="1"/>
  <c r="F90" i="16"/>
  <c r="H90" i="16" s="1"/>
  <c r="M90" i="16" s="1"/>
  <c r="F191" i="16"/>
  <c r="H191" i="16" s="1"/>
  <c r="M191" i="16" s="1"/>
  <c r="F131" i="16"/>
  <c r="L131" i="16" s="1"/>
  <c r="M131" i="16" s="1"/>
  <c r="F192" i="16"/>
  <c r="H192" i="16" s="1"/>
  <c r="M192" i="16" s="1"/>
  <c r="F134" i="16"/>
  <c r="H134" i="16" s="1"/>
  <c r="M134" i="16" s="1"/>
  <c r="F92" i="16"/>
  <c r="J92" i="16" s="1"/>
  <c r="M92" i="16" s="1"/>
  <c r="F197" i="16"/>
  <c r="H197" i="16" s="1"/>
  <c r="M197" i="16" s="1"/>
  <c r="F95" i="16"/>
  <c r="H95" i="16" s="1"/>
  <c r="M95" i="16" s="1"/>
  <c r="F99" i="16"/>
  <c r="J99" i="16" s="1"/>
  <c r="M99" i="16" s="1"/>
  <c r="F101" i="16"/>
  <c r="H101" i="16" s="1"/>
  <c r="M101" i="16" s="1"/>
  <c r="F104" i="16"/>
  <c r="J104" i="16" s="1"/>
  <c r="M104" i="16" s="1"/>
  <c r="F194" i="16"/>
  <c r="J194" i="16" s="1"/>
  <c r="M194" i="16" s="1"/>
  <c r="F152" i="16"/>
  <c r="H152" i="16" s="1"/>
  <c r="M152" i="16" s="1"/>
  <c r="F251" i="16"/>
  <c r="J251" i="16" s="1"/>
  <c r="M251" i="16" s="1"/>
  <c r="F100" i="16"/>
  <c r="L100" i="16" s="1"/>
  <c r="M100" i="16" s="1"/>
  <c r="F107" i="16"/>
  <c r="H107" i="16" s="1"/>
  <c r="M107" i="16" s="1"/>
  <c r="F108" i="16"/>
  <c r="H108" i="16" s="1"/>
  <c r="M108" i="16" s="1"/>
  <c r="F17" i="16"/>
  <c r="J17" i="16" s="1"/>
  <c r="M17" i="16" s="1"/>
  <c r="F47" i="16"/>
  <c r="J47" i="16" s="1"/>
  <c r="M47" i="16" s="1"/>
  <c r="F18" i="16"/>
  <c r="L18" i="16" s="1"/>
  <c r="M18" i="16" s="1"/>
  <c r="F49" i="16"/>
  <c r="J49" i="16" s="1"/>
  <c r="M49" i="16" s="1"/>
  <c r="F28" i="16"/>
  <c r="H28" i="16" s="1"/>
  <c r="F84" i="16"/>
  <c r="H84" i="16" s="1"/>
  <c r="M84" i="16" s="1"/>
  <c r="F85" i="16"/>
  <c r="H85" i="16" s="1"/>
  <c r="M85" i="16" s="1"/>
  <c r="F81" i="16"/>
  <c r="J81" i="16" s="1"/>
  <c r="M81" i="16" s="1"/>
  <c r="F86" i="16"/>
  <c r="H86" i="16" s="1"/>
  <c r="M86" i="16" s="1"/>
  <c r="F83" i="16"/>
  <c r="H83" i="16" s="1"/>
  <c r="M83" i="16" s="1"/>
  <c r="F82" i="16"/>
  <c r="L82" i="16" s="1"/>
  <c r="M82" i="16" s="1"/>
  <c r="F27" i="16"/>
  <c r="L27" i="16" s="1"/>
  <c r="M27" i="16" s="1"/>
  <c r="F93" i="16"/>
  <c r="L93" i="16" s="1"/>
  <c r="M93" i="16" s="1"/>
  <c r="F97" i="16"/>
  <c r="H97" i="16" s="1"/>
  <c r="M97" i="16" s="1"/>
  <c r="F105" i="16"/>
  <c r="L105" i="16" s="1"/>
  <c r="M105" i="16" s="1"/>
  <c r="F189" i="16"/>
  <c r="J189" i="16" s="1"/>
  <c r="M189" i="16" s="1"/>
  <c r="F195" i="16"/>
  <c r="L195" i="16" s="1"/>
  <c r="M195" i="16" s="1"/>
  <c r="F120" i="16"/>
  <c r="H120" i="16" s="1"/>
  <c r="M120" i="16" s="1"/>
  <c r="F132" i="16"/>
  <c r="H132" i="16" s="1"/>
  <c r="M132" i="16" s="1"/>
  <c r="F208" i="16"/>
  <c r="H208" i="16" s="1"/>
  <c r="M208" i="16" s="1"/>
  <c r="F210" i="16"/>
  <c r="J210" i="16" s="1"/>
  <c r="M210" i="16" s="1"/>
  <c r="F214" i="16"/>
  <c r="H214" i="16" s="1"/>
  <c r="M214" i="16" s="1"/>
  <c r="F153" i="16"/>
  <c r="H153" i="16" s="1"/>
  <c r="M153" i="16" s="1"/>
  <c r="F119" i="16"/>
  <c r="L119" i="16" s="1"/>
  <c r="M119" i="16" s="1"/>
  <c r="F206" i="16"/>
  <c r="L206" i="16" s="1"/>
  <c r="M206" i="16" s="1"/>
  <c r="F207" i="16"/>
  <c r="H207" i="16" s="1"/>
  <c r="M207" i="16" s="1"/>
  <c r="F89" i="16"/>
  <c r="L89" i="16" s="1"/>
  <c r="M89" i="16" s="1"/>
  <c r="F118" i="16"/>
  <c r="J118" i="16" s="1"/>
  <c r="M118" i="16" s="1"/>
  <c r="F151" i="16"/>
  <c r="L151" i="16" s="1"/>
  <c r="M151" i="16" s="1"/>
  <c r="F211" i="16"/>
  <c r="L211" i="16" s="1"/>
  <c r="M211" i="16" s="1"/>
  <c r="M15" i="16"/>
  <c r="M14" i="16"/>
  <c r="L92" i="17" l="1"/>
  <c r="J92" i="17"/>
  <c r="M95" i="17" s="1"/>
  <c r="H254" i="16"/>
  <c r="M255" i="16" s="1"/>
  <c r="F138" i="6"/>
  <c r="J138" i="6" s="1"/>
  <c r="M138" i="6" s="1"/>
  <c r="F142" i="6"/>
  <c r="H142" i="6" s="1"/>
  <c r="F139" i="6"/>
  <c r="L139" i="6" s="1"/>
  <c r="H92" i="17"/>
  <c r="M93" i="17" s="1"/>
  <c r="M92" i="17"/>
  <c r="F75" i="16"/>
  <c r="J75" i="16" s="1"/>
  <c r="M75" i="16" s="1"/>
  <c r="F76" i="16"/>
  <c r="L76" i="16" s="1"/>
  <c r="M76" i="16" s="1"/>
  <c r="F50" i="16"/>
  <c r="L50" i="16" s="1"/>
  <c r="M50" i="16" s="1"/>
  <c r="M28" i="16"/>
  <c r="M94" i="17" l="1"/>
  <c r="M96" i="17" s="1"/>
  <c r="M97" i="17" s="1"/>
  <c r="M98" i="17" s="1"/>
  <c r="J146" i="6"/>
  <c r="M139" i="6"/>
  <c r="M146" i="6" s="1"/>
  <c r="L146" i="6"/>
  <c r="M142" i="6"/>
  <c r="H146" i="6"/>
  <c r="M147" i="6" s="1"/>
  <c r="J254" i="16"/>
  <c r="L254" i="16"/>
  <c r="M254" i="16"/>
  <c r="M256" i="16" s="1"/>
  <c r="M257" i="16" s="1"/>
  <c r="M258" i="16" s="1"/>
  <c r="M148" i="6" l="1"/>
  <c r="M149" i="6" s="1"/>
  <c r="M150" i="6" s="1"/>
  <c r="M151" i="6" s="1"/>
  <c r="M152" i="6" s="1"/>
  <c r="E9" i="8"/>
  <c r="M259" i="16"/>
  <c r="M260" i="16" s="1"/>
  <c r="E10" i="8" l="1"/>
  <c r="E8" i="8"/>
  <c r="E13" i="8" l="1"/>
  <c r="E14" i="8" l="1"/>
  <c r="E15" i="8" s="1"/>
</calcChain>
</file>

<file path=xl/sharedStrings.xml><?xml version="1.0" encoding="utf-8"?>
<sst xmlns="http://schemas.openxmlformats.org/spreadsheetml/2006/main" count="1068" uniqueCount="424">
  <si>
    <t>##</t>
  </si>
  <si>
    <t>დასაბუთება</t>
  </si>
  <si>
    <t>სამუშაოს დასახელება</t>
  </si>
  <si>
    <t>განზ/ ერთეული</t>
  </si>
  <si>
    <t>ნორმა განზ.ერთეულზე</t>
  </si>
  <si>
    <t>მოცულობა</t>
  </si>
  <si>
    <t>მასალა</t>
  </si>
  <si>
    <t>ხელფასი</t>
  </si>
  <si>
    <t>სულ დანახარჯები</t>
  </si>
  <si>
    <t>ერთეულის</t>
  </si>
  <si>
    <t>სულ</t>
  </si>
  <si>
    <t>g/m</t>
  </si>
  <si>
    <t>gauTvaliswinebeli xarjebi</t>
  </si>
  <si>
    <t>c</t>
  </si>
  <si>
    <t>kbm</t>
  </si>
  <si>
    <t>kvm</t>
  </si>
  <si>
    <t>kg</t>
  </si>
  <si>
    <t>tn</t>
  </si>
  <si>
    <t>zumfara</t>
  </si>
  <si>
    <t>sul</t>
  </si>
  <si>
    <t>laminirebuli iatakis mowyoba</t>
  </si>
  <si>
    <t>lari</t>
  </si>
  <si>
    <t>ც</t>
  </si>
  <si>
    <t>Sromis danaxarjebi</t>
  </si>
  <si>
    <t>sxva manqanebi</t>
  </si>
  <si>
    <t>kac/sT</t>
  </si>
  <si>
    <t>manq/sT</t>
  </si>
  <si>
    <t>manqana-meqanizmebi</t>
  </si>
  <si>
    <t>sxva masala</t>
  </si>
  <si>
    <t xml:space="preserve">Sromis danaxarjebi </t>
  </si>
  <si>
    <t>sxva manqana</t>
  </si>
  <si>
    <t xml:space="preserve">sxva manqana </t>
  </si>
  <si>
    <t>manqanebi</t>
  </si>
  <si>
    <t>sxva masalebi</t>
  </si>
  <si>
    <t xml:space="preserve">Sromis danaxarjebi  </t>
  </si>
  <si>
    <t>11-8-1-2</t>
  </si>
  <si>
    <t>11-20-3</t>
  </si>
  <si>
    <t>emulsiuri saRebavi</t>
  </si>
  <si>
    <t>15-168-7</t>
  </si>
  <si>
    <t xml:space="preserve">fiTxi </t>
  </si>
  <si>
    <t>sabazro</t>
  </si>
  <si>
    <t>snf 15,15</t>
  </si>
  <si>
    <t>9-14-5</t>
  </si>
  <si>
    <t>11-27-5</t>
  </si>
  <si>
    <t>5</t>
  </si>
  <si>
    <t>8</t>
  </si>
  <si>
    <t>11-42-1</t>
  </si>
  <si>
    <t xml:space="preserve">kafelis fila                </t>
  </si>
  <si>
    <t>webocementi yinvagamZle</t>
  </si>
  <si>
    <t>keramogranitis fila</t>
  </si>
  <si>
    <t>Senobis el montaJis samuSaoebi</t>
  </si>
  <si>
    <t>zednadebi xarjebi                 (muSa mosamsaxureTa ZiriTadi xelfasidan)</t>
  </si>
  <si>
    <t>gegmiuri dagroveba</t>
  </si>
  <si>
    <t>lokaluri ხ ა რ ჯ თ ა ღ რ ი ც ვ ხ ვ ა #3</t>
  </si>
  <si>
    <t>მ</t>
  </si>
  <si>
    <t>krebsiTi xarjTaRicxva</t>
  </si>
  <si>
    <t>saxarjTaRricxvo gaangariSebis #</t>
  </si>
  <si>
    <t>samuSaoebisa da danaxarjebis dasaxeleba</t>
  </si>
  <si>
    <t>saxarjTaRricxvo Rirebuleba</t>
  </si>
  <si>
    <t>lk 1</t>
  </si>
  <si>
    <t>lk 2</t>
  </si>
  <si>
    <t>jami</t>
  </si>
  <si>
    <t>lk 3</t>
  </si>
  <si>
    <t>lk 4</t>
  </si>
  <si>
    <t>zednadebi xarjebi</t>
  </si>
  <si>
    <t>9</t>
  </si>
  <si>
    <t>kompl</t>
  </si>
  <si>
    <t>sarke, xelis saSrobi, qaRaldisa da sapnis spenserebi</t>
  </si>
  <si>
    <t>Sromis danaxarji</t>
  </si>
  <si>
    <t>lk 5</t>
  </si>
  <si>
    <t>lokaluri ხ ა რ ჯ თ ა ღ რ ი ც ვ ხ ვ ა #2</t>
  </si>
  <si>
    <t>wert</t>
  </si>
  <si>
    <t xml:space="preserve">iatakis mopirkeTeba keramogranitis filiT </t>
  </si>
  <si>
    <t>santeqnikuri mowyobilobebis montaJi</t>
  </si>
  <si>
    <t>saerTo samSeneblo samuSaoebi</t>
  </si>
  <si>
    <t>3</t>
  </si>
  <si>
    <t>keramikuli filis plintusis mowyoba</t>
  </si>
  <si>
    <t>amstrongis tipis Sekiduli Weris mowyoba</t>
  </si>
  <si>
    <t>wvrilmarcvlovani         betoni b.25</t>
  </si>
  <si>
    <t>cali</t>
  </si>
  <si>
    <t>0465</t>
  </si>
  <si>
    <t>amwe saavtomobilo svlaze 6,3t</t>
  </si>
  <si>
    <t>0625</t>
  </si>
  <si>
    <t>jalambari (libiotka) 3t  eleqtroreversiuli</t>
  </si>
  <si>
    <t>m3</t>
  </si>
  <si>
    <t>cementis xsnari m-200</t>
  </si>
  <si>
    <t>r21-87</t>
  </si>
  <si>
    <t>samSeneblo nagvis datvirTva xeliT avtoTviTmclelze</t>
  </si>
  <si>
    <t>11-36-3</t>
  </si>
  <si>
    <t>15-15-3</t>
  </si>
  <si>
    <t>k/sT</t>
  </si>
  <si>
    <t>liTonis profilebi</t>
  </si>
  <si>
    <t>grZ.m.</t>
  </si>
  <si>
    <t>samSeneblo WanWiki</t>
  </si>
  <si>
    <t>kg.</t>
  </si>
  <si>
    <t>34-59-7
34-61-3
gamoy.</t>
  </si>
  <si>
    <t>amstrongis tipis Sekiduli Weri</t>
  </si>
  <si>
    <t>შრომის დანახარჯი</t>
  </si>
  <si>
    <t>კაც/სთ</t>
  </si>
  <si>
    <t>ლარი</t>
  </si>
  <si>
    <t>სხვა მასალები</t>
  </si>
  <si>
    <t>გ/მ</t>
  </si>
  <si>
    <t xml:space="preserve"> სხვა მანქანები</t>
  </si>
  <si>
    <t>სხვა მანქანები</t>
  </si>
  <si>
    <t>46-19-3</t>
  </si>
  <si>
    <t>xvrelebis gamotexva</t>
  </si>
  <si>
    <t>adg.</t>
  </si>
  <si>
    <t xml:space="preserve">sxva manqana  </t>
  </si>
  <si>
    <t>xvrelebis aRdgena cementis xsnariT</t>
  </si>
  <si>
    <t>46-22-5</t>
  </si>
  <si>
    <t>samSeneblo lursmani</t>
  </si>
  <si>
    <t>4,1,356</t>
  </si>
  <si>
    <t>plastikati b=25 feradi</t>
  </si>
  <si>
    <t>plastikatis Sekiduli Weris mowyoba (feradi)</t>
  </si>
  <si>
    <t>მილების პლასტმასის სამაგრი დეტალები</t>
  </si>
  <si>
    <t>დამატ.
2- გამოშ.
16-24-3</t>
  </si>
  <si>
    <t>16–12–1</t>
  </si>
  <si>
    <t>სფერული ვენტილების მონტაჟი</t>
  </si>
  <si>
    <t xml:space="preserve">პოლიეთილენის  ფასონური ნაწილების მოწყობა </t>
  </si>
  <si>
    <t>სხვა მასალა</t>
  </si>
  <si>
    <t>17-4-1</t>
  </si>
  <si>
    <t>man.</t>
  </si>
  <si>
    <t>კომპ</t>
  </si>
  <si>
    <t>17-1-5</t>
  </si>
  <si>
    <t>ხელსაბანebis montaJi</t>
  </si>
  <si>
    <t>17-3-3</t>
  </si>
  <si>
    <t>wylis შემრევebიs montaJi</t>
  </si>
  <si>
    <t>17-1-9</t>
  </si>
  <si>
    <t>trapebis montaJi</t>
  </si>
  <si>
    <t>kanalizaciis qselis montaJi</t>
  </si>
  <si>
    <t>sakanalizacio plastmasis milebis damontaJeba 50 mm</t>
  </si>
  <si>
    <t>plasmasis mili d=100mm</t>
  </si>
  <si>
    <t>m</t>
  </si>
  <si>
    <t>სამგრი დეტალები</t>
  </si>
  <si>
    <t>კგ</t>
  </si>
  <si>
    <t>sakanalizacio plastmasis milebis damontaJeba 100 mm</t>
  </si>
  <si>
    <t>16-6-2</t>
  </si>
  <si>
    <t>16-12-2</t>
  </si>
  <si>
    <t xml:space="preserve">fasonuri nawilebi </t>
  </si>
  <si>
    <t>wyalsadenis qselis daerTeba arsebul gare qselze</t>
  </si>
  <si>
    <t>16-20-1</t>
  </si>
  <si>
    <t>milsadenis gidravlikuri gamocda</t>
  </si>
  <si>
    <t>100 g/m</t>
  </si>
  <si>
    <t>wyali</t>
  </si>
  <si>
    <t>კ/სთ</t>
  </si>
  <si>
    <t>მანქანები</t>
  </si>
  <si>
    <t>16-22</t>
  </si>
  <si>
    <t>16-6-1</t>
  </si>
  <si>
    <t>მანქ /სთ</t>
  </si>
  <si>
    <t>21-23-8</t>
  </si>
  <si>
    <t>21-23-3</t>
  </si>
  <si>
    <t>21-18-1.</t>
  </si>
  <si>
    <t>გრძ.მ.</t>
  </si>
  <si>
    <t>maq/sT</t>
  </si>
  <si>
    <t>8-414-1</t>
  </si>
  <si>
    <t>SromiTi resursebi</t>
  </si>
  <si>
    <t>ჩამრთველების montaJi</t>
  </si>
  <si>
    <t>saStepselo rozetebis montaJi</t>
  </si>
  <si>
    <t>21-26-6 gamoy</t>
  </si>
  <si>
    <t>სანათების მონტაჟი</t>
  </si>
  <si>
    <t>damiwebis konturis mowyoba</t>
  </si>
  <si>
    <t>haeris gamwovis montaJi</t>
  </si>
  <si>
    <t>10-276-2gam</t>
  </si>
  <si>
    <t>0635</t>
  </si>
  <si>
    <t>0633</t>
  </si>
  <si>
    <t xml:space="preserve">hidravlikuri amwevi </t>
  </si>
  <si>
    <t>amwevi anZuri tvirTamweobiT 0.5 t</t>
  </si>
  <si>
    <t>6,1,47</t>
  </si>
  <si>
    <t>trapi plastmasis d=50mm</t>
  </si>
  <si>
    <t>6,1,41</t>
  </si>
  <si>
    <t>Senobis el montaJi</t>
  </si>
  <si>
    <t>normatiuli resursi</t>
  </si>
  <si>
    <t>erTeulze</t>
  </si>
  <si>
    <t>xis masala</t>
  </si>
  <si>
    <t>Senobis Sida kedlebis damuSaveba da SeRebva emulsiuri saRebaviT</t>
  </si>
  <si>
    <t>kuTxeebis damcavi kuTxovana</t>
  </si>
  <si>
    <t>21-27-4</t>
  </si>
  <si>
    <t>20-22-3.</t>
  </si>
  <si>
    <t>wylis შემრევი xelsabanis</t>
  </si>
  <si>
    <t>wylis შემრევი duSis</t>
  </si>
  <si>
    <t>სფერული ვენტილი დ= 32 მმ</t>
  </si>
  <si>
    <t>23-22-2</t>
  </si>
  <si>
    <t>arsebul kanalizaciis qselSi SeWra (makompleqtebeli nawilebiT)</t>
  </si>
  <si>
    <t>SeWra</t>
  </si>
  <si>
    <t>gazinTuli ZenZi</t>
  </si>
  <si>
    <t>qviSa xreSi</t>
  </si>
  <si>
    <t>fuga (Semavsebeli)</t>
  </si>
  <si>
    <t xml:space="preserve">qafplastis Weris karnizis mowyoba             </t>
  </si>
  <si>
    <t>6</t>
  </si>
  <si>
    <t>betoni ბ.7,5</t>
  </si>
  <si>
    <t>Senobis Sida wyalsadenisa da kanalizaciis qselis montaJis samuSaoebi</t>
  </si>
  <si>
    <t>10</t>
  </si>
  <si>
    <t>1</t>
  </si>
  <si>
    <t>2</t>
  </si>
  <si>
    <t>4</t>
  </si>
  <si>
    <t>7</t>
  </si>
  <si>
    <t>gamanawilebeli kolofebis montaJi</t>
  </si>
  <si>
    <t>plasmasis mili d=50mm</t>
  </si>
  <si>
    <t>Senobis Sida da gare wyalsadenisa da kanalizaciis qselis montaJi</t>
  </si>
  <si>
    <t>el.ganaTebis  qselis montaJi</t>
  </si>
  <si>
    <t xml:space="preserve">uwyveti denis wyaros  SeZena montaJi </t>
  </si>
  <si>
    <t>სპილენძის სადენების montaJi</t>
  </si>
  <si>
    <t>gaTboba - ventilacia - kondicirebis  montajis samuSaoebi</t>
  </si>
  <si>
    <t>pl. muxli d-32</t>
  </si>
  <si>
    <t>pl. muxli d-25</t>
  </si>
  <si>
    <t>Е1-22</t>
  </si>
  <si>
    <t>46-31-2</t>
  </si>
  <si>
    <t>46-15-2</t>
  </si>
  <si>
    <t>Zalovani farebisa da qvefarebis montaJi</t>
  </si>
  <si>
    <t>uJangavi foladis kabelarxi
200X3000 mm</t>
  </si>
  <si>
    <t>uJangavi foladis kabelarxi
100X3000 mm</t>
  </si>
  <si>
    <t>uJangavi foladis kabelarxi
50X3000 mm</t>
  </si>
  <si>
    <t>uJangavi foladis kabelarxis ankeri</t>
  </si>
  <si>
    <t>2,1</t>
  </si>
  <si>
    <t>2,2</t>
  </si>
  <si>
    <t>proeqtiT</t>
  </si>
  <si>
    <t>demontaJis samuSaoebi</t>
  </si>
  <si>
    <t>11-42-1 gamoy</t>
  </si>
  <si>
    <t>12</t>
  </si>
  <si>
    <t>СНиП
IV-6-82
8-471-1</t>
  </si>
  <si>
    <t>uJangavi foladis kabelarxis ankeris dubeli d-10mm</t>
  </si>
  <si>
    <t>Zalovani eleqtro qselis montaJi</t>
  </si>
  <si>
    <t>СНиП
IV-6-82
8-472-2</t>
  </si>
  <si>
    <t>Senobis saxanZro usafrTxoebis qselis, videomonitoringisa da iternetis qselis montaJi</t>
  </si>
  <si>
    <t>16</t>
  </si>
  <si>
    <t>15</t>
  </si>
  <si>
    <t>14</t>
  </si>
  <si>
    <t>13</t>
  </si>
  <si>
    <t>19</t>
  </si>
  <si>
    <t>masalis transportirebis xarjebi (samSeneblo masalebis Rirebulebidan)</t>
  </si>
  <si>
    <t>eleqtro montaJis samuSaoebi</t>
  </si>
  <si>
    <t>8,3,20</t>
  </si>
  <si>
    <t>damiwebis vertikaluri eleqtrodebis montaJi</t>
  </si>
  <si>
    <t>horizontaluri damiwebis konturis mowyoba (zolovani foladiT)</t>
  </si>
  <si>
    <r>
      <t xml:space="preserve">დამიწების მოთუთიებული სალტე </t>
    </r>
    <r>
      <rPr>
        <b/>
        <sz val="11"/>
        <rFont val="Calibri"/>
        <family val="2"/>
        <charset val="204"/>
        <scheme val="minor"/>
      </rPr>
      <t>40x4მმ</t>
    </r>
  </si>
  <si>
    <t>Е20-1-255</t>
  </si>
  <si>
    <r>
      <t>m</t>
    </r>
    <r>
      <rPr>
        <vertAlign val="superscript"/>
        <sz val="10"/>
        <rFont val="AcadNusx"/>
      </rPr>
      <t>3</t>
    </r>
  </si>
  <si>
    <r>
      <t>m</t>
    </r>
    <r>
      <rPr>
        <vertAlign val="superscript"/>
        <sz val="10"/>
        <rFont val="AcadNusx"/>
      </rPr>
      <t>2</t>
    </r>
  </si>
  <si>
    <t>11</t>
  </si>
  <si>
    <t>metaloplastmasis fanjris blokebis mowyoba (feradi-yavisferi,  6 sm sisqis, ormagi minapaketi)</t>
  </si>
  <si>
    <t>metaloplastmasis karebis blokebis mowyoba (feradi-yavisferi,  6 sm sisqis,)</t>
  </si>
  <si>
    <t>sul pirdapiri danaxarjebi</t>
  </si>
  <si>
    <t>samSeneblo samuSaoebi            lari</t>
  </si>
  <si>
    <t>46-30-2</t>
  </si>
  <si>
    <t>samSeneblo samuSaoebis damTavrebis Semdeg teritoriis saboloo dasufTaveba, samSeneblo narCenebis Segroveba, gamotana, avtoTviTmclelze dasatvirTavad</t>
  </si>
  <si>
    <t>masalis transportirebis xarjebi</t>
  </si>
  <si>
    <t>sul xarjTaRricxva #2</t>
  </si>
  <si>
    <t>sul xarjTaRricxva #1</t>
  </si>
  <si>
    <r>
      <t xml:space="preserve">დამიწების მოთუთიებული ღერო, </t>
    </r>
    <r>
      <rPr>
        <b/>
        <sz val="11"/>
        <rFont val="Calibri"/>
        <family val="2"/>
        <charset val="204"/>
        <scheme val="minor"/>
      </rPr>
      <t>50x50x5mm, 2500mm</t>
    </r>
  </si>
  <si>
    <t>18-6-1</t>
  </si>
  <si>
    <t>pl.ventili დ= 20 მმ</t>
  </si>
  <si>
    <r>
      <t xml:space="preserve">laminirebuli  plintusi, montaJi    </t>
    </r>
    <r>
      <rPr>
        <b/>
        <sz val="11"/>
        <color theme="1"/>
        <rFont val="Calibri"/>
        <family val="2"/>
        <charset val="204"/>
        <scheme val="minor"/>
      </rPr>
      <t>h</t>
    </r>
    <r>
      <rPr>
        <b/>
        <sz val="11"/>
        <color theme="1"/>
        <rFont val="AcadNusx"/>
      </rPr>
      <t xml:space="preserve">=5-7 sm, sisqiT 2,5mm    </t>
    </r>
  </si>
  <si>
    <r>
      <t xml:space="preserve">kuTxeebis damcavi kuTxovanebis mowyoba </t>
    </r>
    <r>
      <rPr>
        <sz val="11"/>
        <rFont val="AcadNusx"/>
      </rPr>
      <t>(4X4X150sm.)</t>
    </r>
  </si>
  <si>
    <r>
      <t>erTklaviSiani CamrTveli
250v/10a; dacvis klasi</t>
    </r>
    <r>
      <rPr>
        <sz val="11"/>
        <rFont val="Calibri"/>
        <family val="2"/>
        <charset val="204"/>
        <scheme val="minor"/>
      </rPr>
      <t xml:space="preserve"> IP 20</t>
    </r>
  </si>
  <si>
    <r>
      <t>orklaviSiani CamrTveli
250v/10a; dacvis klasi</t>
    </r>
    <r>
      <rPr>
        <sz val="11"/>
        <rFont val="Calibri"/>
        <family val="2"/>
        <charset val="204"/>
        <scheme val="minor"/>
      </rPr>
      <t xml:space="preserve"> IP 20</t>
    </r>
  </si>
  <si>
    <r>
      <t>gamanawilebeli kolofi
dacvis klasi</t>
    </r>
    <r>
      <rPr>
        <sz val="11"/>
        <rFont val="Calibri"/>
        <family val="2"/>
        <charset val="204"/>
        <scheme val="minor"/>
      </rPr>
      <t xml:space="preserve"> IP 20</t>
    </r>
  </si>
  <si>
    <r>
      <t xml:space="preserve">pl. muxli </t>
    </r>
    <r>
      <rPr>
        <sz val="11"/>
        <color theme="1"/>
        <rFont val="Calibri"/>
        <family val="2"/>
        <charset val="204"/>
        <scheme val="minor"/>
      </rPr>
      <t>a</t>
    </r>
    <r>
      <rPr>
        <sz val="11"/>
        <color theme="1"/>
        <rFont val="AcadNusx"/>
      </rPr>
      <t>-90</t>
    </r>
    <r>
      <rPr>
        <vertAlign val="superscript"/>
        <sz val="11"/>
        <color theme="1"/>
        <rFont val="AcadNusx"/>
      </rPr>
      <t xml:space="preserve">0 </t>
    </r>
    <r>
      <rPr>
        <sz val="11"/>
        <color theme="1"/>
        <rFont val="AcadNusx"/>
      </rPr>
      <t>d-50</t>
    </r>
  </si>
  <si>
    <r>
      <t xml:space="preserve">pl. muxli </t>
    </r>
    <r>
      <rPr>
        <sz val="11"/>
        <color theme="1"/>
        <rFont val="Calibri"/>
        <family val="2"/>
        <charset val="204"/>
        <scheme val="minor"/>
      </rPr>
      <t>a</t>
    </r>
    <r>
      <rPr>
        <sz val="11"/>
        <color theme="1"/>
        <rFont val="AcadNusx"/>
      </rPr>
      <t>-90</t>
    </r>
    <r>
      <rPr>
        <vertAlign val="superscript"/>
        <sz val="11"/>
        <color theme="1"/>
        <rFont val="AcadNusx"/>
      </rPr>
      <t xml:space="preserve">0 </t>
    </r>
    <r>
      <rPr>
        <sz val="11"/>
        <color theme="1"/>
        <rFont val="AcadNusx"/>
      </rPr>
      <t>d-100</t>
    </r>
  </si>
  <si>
    <r>
      <t xml:space="preserve">pl. samkapi </t>
    </r>
    <r>
      <rPr>
        <sz val="11"/>
        <color theme="1"/>
        <rFont val="Calibri"/>
        <family val="2"/>
        <charset val="204"/>
        <scheme val="minor"/>
      </rPr>
      <t>a</t>
    </r>
    <r>
      <rPr>
        <sz val="11"/>
        <color theme="1"/>
        <rFont val="AcadNusx"/>
      </rPr>
      <t>-45</t>
    </r>
    <r>
      <rPr>
        <vertAlign val="superscript"/>
        <sz val="11"/>
        <color theme="1"/>
        <rFont val="AcadNusx"/>
      </rPr>
      <t xml:space="preserve">0 </t>
    </r>
    <r>
      <rPr>
        <sz val="11"/>
        <color theme="1"/>
        <rFont val="AcadNusx"/>
      </rPr>
      <t>d-100*50</t>
    </r>
  </si>
  <si>
    <t>46-32-1</t>
  </si>
  <si>
    <t>46-32-3</t>
  </si>
  <si>
    <t>46-27-6</t>
  </si>
  <si>
    <t xml:space="preserve">metlaxis iatakebis demontaJi </t>
  </si>
  <si>
    <t>kedlebidan nalesis moxsna</t>
  </si>
  <si>
    <t>r 14-801</t>
  </si>
  <si>
    <t>kedlidan saRebavis fenilis moxsna</t>
  </si>
  <si>
    <t>demontaJis samuSaoebis damTavrebis Semdeg teritoriis dasufTaveba, samSeneblo narCenebis Segroveba, gamotana, avtoTviTmclelze dasatvirTavad</t>
  </si>
  <si>
    <t>snf 15</t>
  </si>
  <si>
    <t>reabilitaciisa da keTilmowyobis samuSaoebi</t>
  </si>
  <si>
    <t>#1-2</t>
  </si>
  <si>
    <t xml:space="preserve">amomrTveli avtomati 250v/10a, erTpolusa,                    ВА47-29 1Р С10А </t>
  </si>
  <si>
    <t xml:space="preserve">amomrTveli avtomati 250v/16a, erTpolusa                    ВА47-29 1Р С16А </t>
  </si>
  <si>
    <t>antikoroziuli mastika</t>
  </si>
  <si>
    <t>8,2,67</t>
  </si>
  <si>
    <t>mTavari Zalovani kabeli
aluminis ZarRviani foladis broniT
3X95-1X70 mm2                       АВВГ БР 395-1*70</t>
  </si>
  <si>
    <t>8,3,12   8,3,53</t>
  </si>
  <si>
    <t>kabeli spilenZis ZarRviani uwvadi
aratoqsikuri saizolacio masaliT
4*25-1X16 mm2  ВВГ БР 4*25-1*16</t>
  </si>
  <si>
    <t>8,3,25</t>
  </si>
  <si>
    <t>kabeli spilenZis ZarRviani uwvadi
aratoqsikuri saizolacio masaliT
4*6 mm2  ВВГ БР 4*6</t>
  </si>
  <si>
    <t>8,3,21</t>
  </si>
  <si>
    <r>
      <t>kabeli spilenZis ZarRviani uwvadi
aratoqsikuri saizolacio masaliT
3X2.5 mm2</t>
    </r>
    <r>
      <rPr>
        <vertAlign val="superscript"/>
        <sz val="11"/>
        <rFont val="AcadNusx"/>
      </rPr>
      <t xml:space="preserve">  </t>
    </r>
    <r>
      <rPr>
        <sz val="11"/>
        <rFont val="AcadNusx"/>
      </rPr>
      <t>ВВГ НГ 3*2,5მმ</t>
    </r>
    <r>
      <rPr>
        <vertAlign val="superscript"/>
        <sz val="11"/>
        <rFont val="AcadNusx"/>
      </rPr>
      <t>2</t>
    </r>
  </si>
  <si>
    <r>
      <t>kabeli spilenZis ZarRviani uwvadi
aratoqsikuri saizolacio masaliT
3X1.5 mm2</t>
    </r>
    <r>
      <rPr>
        <vertAlign val="superscript"/>
        <sz val="11"/>
        <rFont val="AcadNusx"/>
      </rPr>
      <t xml:space="preserve">   </t>
    </r>
    <r>
      <rPr>
        <sz val="11"/>
        <rFont val="AcadNusx"/>
      </rPr>
      <t>ВВГ НГ 3*1,5მმ</t>
    </r>
    <r>
      <rPr>
        <vertAlign val="superscript"/>
        <sz val="11"/>
        <rFont val="AcadNusx"/>
      </rPr>
      <t>2</t>
    </r>
  </si>
  <si>
    <t>gofrirebuli saizolacio mili d-63</t>
  </si>
  <si>
    <t>gofrirebuli saizolacio mili d-32</t>
  </si>
  <si>
    <t>gofrirebuli saizolacio mili d-25</t>
  </si>
  <si>
    <t>gofrirebuli saizolacio mili d-20</t>
  </si>
  <si>
    <t>kabelis plasmasis samagri xamuTiT
∅6 mm   ∅6mm/60mm</t>
  </si>
  <si>
    <r>
      <t xml:space="preserve">saStefselo rozeti damiwebiT 250v/16a; dacvis klasi </t>
    </r>
    <r>
      <rPr>
        <sz val="11"/>
        <rFont val="Calibri"/>
        <family val="2"/>
        <charset val="204"/>
        <scheme val="minor"/>
      </rPr>
      <t>IP 20</t>
    </r>
  </si>
  <si>
    <r>
      <t xml:space="preserve">dublirebuli saStefselo rozeti damiwebiT 250v/16a; dacvis klasi </t>
    </r>
    <r>
      <rPr>
        <sz val="11"/>
        <rFont val="Calibri"/>
        <family val="2"/>
        <charset val="204"/>
        <scheme val="minor"/>
      </rPr>
      <t>IP 20</t>
    </r>
  </si>
  <si>
    <r>
      <t xml:space="preserve">saSrefselo komutaciis kolofi dacvis klasi  </t>
    </r>
    <r>
      <rPr>
        <sz val="11"/>
        <rFont val="Calibri"/>
        <family val="2"/>
        <charset val="204"/>
        <scheme val="minor"/>
      </rPr>
      <t>IP 20</t>
    </r>
  </si>
  <si>
    <t>ცali</t>
  </si>
  <si>
    <r>
      <t xml:space="preserve">gare samontaJo dioduri sanaTi, wriuli, d-15sm 220v 15vat </t>
    </r>
    <r>
      <rPr>
        <sz val="11"/>
        <rFont val="Calibri"/>
        <family val="2"/>
        <charset val="204"/>
        <scheme val="minor"/>
      </rPr>
      <t>IP 44</t>
    </r>
  </si>
  <si>
    <t xml:space="preserve">haeris gamwovi 250m3/sT; </t>
  </si>
  <si>
    <r>
      <t>eletro gamanawilebeli fari</t>
    </r>
    <r>
      <rPr>
        <b/>
        <sz val="11"/>
        <rFont val="Calibri"/>
        <family val="2"/>
        <charset val="204"/>
        <scheme val="minor"/>
      </rPr>
      <t xml:space="preserve">  DB</t>
    </r>
    <r>
      <rPr>
        <b/>
        <sz val="11"/>
        <rFont val="AcadNusx"/>
      </rPr>
      <t xml:space="preserve"> #1  36 moduliani 380-220v furnitura,  dacvis klasi</t>
    </r>
    <r>
      <rPr>
        <b/>
        <sz val="11"/>
        <rFont val="Calibri"/>
        <family val="2"/>
        <charset val="204"/>
        <scheme val="minor"/>
      </rPr>
      <t xml:space="preserve"> IP55 500X300X200</t>
    </r>
  </si>
  <si>
    <t xml:space="preserve">diferencialuri avtomaturi amomrTveli 400v/100a,  eleqtro karada  АБДТ С100 4Р 30мА  </t>
  </si>
  <si>
    <t xml:space="preserve">amomrTveli avtomati 400v/120a, eleqtro karada  ВА47-29 3Р С120А              </t>
  </si>
  <si>
    <r>
      <t>sameuli saStefselo rozeti damiwebiT
250v/16a; dacvis klasi</t>
    </r>
    <r>
      <rPr>
        <sz val="11"/>
        <rFont val="Calibri"/>
        <family val="2"/>
        <charset val="204"/>
        <scheme val="minor"/>
      </rPr>
      <t xml:space="preserve"> IP 45</t>
    </r>
  </si>
  <si>
    <r>
      <t xml:space="preserve">saSrefselo komutaciis kolofi dacvis klasi        </t>
    </r>
    <r>
      <rPr>
        <sz val="11"/>
        <rFont val="Calibri"/>
        <family val="2"/>
        <charset val="204"/>
        <scheme val="minor"/>
      </rPr>
      <t>IP 20</t>
    </r>
  </si>
  <si>
    <r>
      <t xml:space="preserve">Weris dioduri sanaTi, wriuli, d-25sm 220v 18vat </t>
    </r>
    <r>
      <rPr>
        <sz val="11"/>
        <rFont val="Calibri"/>
        <family val="2"/>
        <charset val="204"/>
        <scheme val="minor"/>
      </rPr>
      <t>IP 20</t>
    </r>
  </si>
  <si>
    <r>
      <t xml:space="preserve">Weris dioduri sanaTi 60X60 sm 220v; 40 vat; </t>
    </r>
    <r>
      <rPr>
        <sz val="11"/>
        <rFont val="Calibri"/>
        <family val="2"/>
        <charset val="204"/>
        <scheme val="minor"/>
      </rPr>
      <t>IP 20</t>
    </r>
  </si>
  <si>
    <r>
      <t xml:space="preserve">avariuli wriuli dioduri (akumlatoriT)
∅10 sm sanaTi 220v; 15 vat;  </t>
    </r>
    <r>
      <rPr>
        <sz val="11"/>
        <rFont val="Calibri"/>
        <family val="2"/>
        <charset val="204"/>
        <scheme val="minor"/>
      </rPr>
      <t>IP28</t>
    </r>
  </si>
  <si>
    <r>
      <t xml:space="preserve">Weris dioduri sanaTi wriuli d-10sm 220v 15vat </t>
    </r>
    <r>
      <rPr>
        <sz val="11"/>
        <rFont val="Calibri"/>
        <family val="2"/>
        <charset val="204"/>
        <scheme val="minor"/>
      </rPr>
      <t>IP 44</t>
    </r>
  </si>
  <si>
    <r>
      <t>Weris dioduri sanaTi 40X20 sm 220v; 20 vat;</t>
    </r>
    <r>
      <rPr>
        <sz val="11"/>
        <rFont val="Calibri"/>
        <family val="2"/>
        <charset val="204"/>
        <scheme val="minor"/>
      </rPr>
      <t xml:space="preserve"> IP 65</t>
    </r>
  </si>
  <si>
    <r>
      <rPr>
        <sz val="11"/>
        <rFont val="AcadNusx"/>
      </rPr>
      <t>ganaTebis avariuli uwyveti denis
wyaro 220v 1000va;</t>
    </r>
    <r>
      <rPr>
        <sz val="11"/>
        <rFont val="Calibri"/>
        <family val="2"/>
        <charset val="204"/>
        <scheme val="minor"/>
      </rPr>
      <t xml:space="preserve">                        (UPS) IP 65</t>
    </r>
  </si>
  <si>
    <t>akumlatoris batarea 12 v 120 a/sT</t>
  </si>
  <si>
    <t>lk #3</t>
  </si>
  <si>
    <t>Senobis Sida wyalsadenisa da kanalizaciis qselis montaJi</t>
  </si>
  <si>
    <t>wyalsadenis qselis montaJi</t>
  </si>
  <si>
    <t>დამატ.2- გამოშ.       16-24-4</t>
  </si>
  <si>
    <t>ცივი წყლის პლ მილების მოntaJi d-32</t>
  </si>
  <si>
    <t>მილი პლ. d-32</t>
  </si>
  <si>
    <t>16–3–1</t>
  </si>
  <si>
    <t>pl. gadamyvani d-25</t>
  </si>
  <si>
    <t>pl. gadamyvani d-32</t>
  </si>
  <si>
    <t>pl. samkapi d-25</t>
  </si>
  <si>
    <t>pl. samkapi d-32</t>
  </si>
  <si>
    <t>Stuceri g/x d-20</t>
  </si>
  <si>
    <t>Stuceri g/x d-25</t>
  </si>
  <si>
    <t>mili gadamyavi d-20 S/x</t>
  </si>
  <si>
    <t>d-6 Surupi pl budiT</t>
  </si>
  <si>
    <t>ventili 3/8"</t>
  </si>
  <si>
    <t>wvrilmarcvlovani betoni b.25</t>
  </si>
  <si>
    <r>
      <t xml:space="preserve">pl. samkapi </t>
    </r>
    <r>
      <rPr>
        <sz val="11"/>
        <color theme="1"/>
        <rFont val="Calibri"/>
        <family val="2"/>
        <charset val="204"/>
        <scheme val="minor"/>
      </rPr>
      <t>a</t>
    </r>
    <r>
      <rPr>
        <sz val="11"/>
        <color theme="1"/>
        <rFont val="AcadNusx"/>
      </rPr>
      <t>-90</t>
    </r>
    <r>
      <rPr>
        <vertAlign val="superscript"/>
        <sz val="11"/>
        <color theme="1"/>
        <rFont val="AcadNusx"/>
      </rPr>
      <t xml:space="preserve">0 </t>
    </r>
    <r>
      <rPr>
        <sz val="11"/>
        <color theme="1"/>
        <rFont val="AcadNusx"/>
      </rPr>
      <t>d-50*50*50</t>
    </r>
  </si>
  <si>
    <r>
      <t xml:space="preserve">pl. samkapi </t>
    </r>
    <r>
      <rPr>
        <sz val="11"/>
        <color theme="1"/>
        <rFont val="Calibri"/>
        <family val="2"/>
        <charset val="204"/>
        <scheme val="minor"/>
      </rPr>
      <t>a</t>
    </r>
    <r>
      <rPr>
        <sz val="11"/>
        <color theme="1"/>
        <rFont val="AcadNusx"/>
      </rPr>
      <t>-90</t>
    </r>
    <r>
      <rPr>
        <vertAlign val="superscript"/>
        <sz val="11"/>
        <color theme="1"/>
        <rFont val="AcadNusx"/>
      </rPr>
      <t xml:space="preserve">0 </t>
    </r>
    <r>
      <rPr>
        <sz val="11"/>
        <color theme="1"/>
        <rFont val="AcadNusx"/>
      </rPr>
      <t>d-100*50*100</t>
    </r>
  </si>
  <si>
    <r>
      <t xml:space="preserve">pl. samkapi </t>
    </r>
    <r>
      <rPr>
        <sz val="11"/>
        <color theme="1"/>
        <rFont val="Calibri"/>
        <family val="2"/>
        <charset val="204"/>
        <scheme val="minor"/>
      </rPr>
      <t>a</t>
    </r>
    <r>
      <rPr>
        <sz val="11"/>
        <color theme="1"/>
        <rFont val="AcadNusx"/>
      </rPr>
      <t>-90</t>
    </r>
    <r>
      <rPr>
        <vertAlign val="superscript"/>
        <sz val="11"/>
        <color theme="1"/>
        <rFont val="AcadNusx"/>
      </rPr>
      <t xml:space="preserve">0 </t>
    </r>
    <r>
      <rPr>
        <sz val="11"/>
        <color theme="1"/>
        <rFont val="AcadNusx"/>
      </rPr>
      <t>d-100*100*100</t>
    </r>
  </si>
  <si>
    <r>
      <t xml:space="preserve">pl. spec samkapi </t>
    </r>
    <r>
      <rPr>
        <vertAlign val="superscript"/>
        <sz val="11"/>
        <color theme="1"/>
        <rFont val="AcadNusx"/>
      </rPr>
      <t xml:space="preserve"> </t>
    </r>
    <r>
      <rPr>
        <sz val="11"/>
        <color theme="1"/>
        <rFont val="AcadNusx"/>
      </rPr>
      <t>d-100</t>
    </r>
    <r>
      <rPr>
        <sz val="11"/>
        <color theme="1"/>
        <rFont val="Calibri"/>
        <family val="2"/>
        <charset val="1"/>
        <scheme val="minor"/>
      </rPr>
      <t/>
    </r>
  </si>
  <si>
    <t>gadamyvani  100*50</t>
  </si>
  <si>
    <t>gadamyvani  50*50</t>
  </si>
  <si>
    <t xml:space="preserve">უნიტაზebიs montaJi </t>
  </si>
  <si>
    <t>gamacxelebeli bakis montaJi</t>
  </si>
  <si>
    <t>el wylis gacxelebeli baki 100l</t>
  </si>
  <si>
    <t>el wylis gacxelebeli baki 50l</t>
  </si>
  <si>
    <t>el wylis gacxelebeli baki 20l</t>
  </si>
  <si>
    <t>samSeneblo masalis transportirebis xrjebi  (samSeneblo masalis Rirebulebidan)</t>
  </si>
  <si>
    <t xml:space="preserve">zednadebi xarjebi                 </t>
  </si>
  <si>
    <t>sul xarjTaTricxva #3</t>
  </si>
  <si>
    <t>მილი პლ. Ppolipropilenis  d-20</t>
  </si>
  <si>
    <t>წყლის პლ polipropilenis მილების მოntaJi d-20</t>
  </si>
  <si>
    <t>polieTilenis fasonuri nawilebi d-50-100</t>
  </si>
  <si>
    <t>polieTilenis fasonuri nawilebi</t>
  </si>
  <si>
    <t>arsebuli fanjris blokebis demontaJi</t>
  </si>
  <si>
    <t>kafelis mopirketebis demontaJi</t>
  </si>
  <si>
    <t>r-      25-13-5</t>
  </si>
  <si>
    <t>m2</t>
  </si>
  <si>
    <t>Riobis mowyoba blokis wyobis kedelSi</t>
  </si>
  <si>
    <t>46-16-3</t>
  </si>
  <si>
    <t>iatakis moWimva cementis xsnariT              m-200 30mm</t>
  </si>
  <si>
    <t>15_52_5</t>
  </si>
  <si>
    <t>15_55_9</t>
  </si>
  <si>
    <t>Senobis Sida kedlebis Selesva qviSa-cementis xsnariT</t>
  </si>
  <si>
    <t>1431</t>
  </si>
  <si>
    <t>xsnaris tumbo  3kbm/sT</t>
  </si>
  <si>
    <t>m/sT</t>
  </si>
  <si>
    <t>qviSa-cementis xsnari          m-100</t>
  </si>
  <si>
    <t>mavTulis bade</t>
  </si>
  <si>
    <t>10-20-1 gamoy</t>
  </si>
  <si>
    <t>toli</t>
  </si>
  <si>
    <t xml:space="preserve">kar fanjrebis ferdoebis Selesva qviSa-cementis xsnariT </t>
  </si>
  <si>
    <t>dazianebuli plastikatis Sekiduli Weris demontaJi</t>
  </si>
  <si>
    <t>linoleumis dazianebuli iatakis demontaJi</t>
  </si>
  <si>
    <t xml:space="preserve">arsebuli karebis blokebis demontaJi, </t>
  </si>
  <si>
    <t>46-29-1</t>
  </si>
  <si>
    <t xml:space="preserve">filiT mopirketebis qveS betonis safuZvlis demontaJi </t>
  </si>
  <si>
    <t>1-80-3</t>
  </si>
  <si>
    <t>*</t>
  </si>
  <si>
    <r>
      <t xml:space="preserve">samzareulos sakuWnaosa da </t>
    </r>
    <r>
      <rPr>
        <b/>
        <sz val="10"/>
        <color theme="1"/>
        <rFont val="Calibri"/>
        <family val="2"/>
        <charset val="204"/>
        <scheme val="minor"/>
      </rPr>
      <t>WC</t>
    </r>
    <r>
      <rPr>
        <b/>
        <sz val="10"/>
        <color theme="1"/>
        <rFont val="AcadNusx"/>
      </rPr>
      <t>-s reabilitacia</t>
    </r>
  </si>
  <si>
    <t>metaloplastmasis fanjrisa da karebis  blokebis montaji</t>
  </si>
  <si>
    <t xml:space="preserve">mdf-is karis bloki </t>
  </si>
  <si>
    <t>mdf-is karebis blokebis montaJi</t>
  </si>
  <si>
    <t xml:space="preserve">iatakis mopirkeTeba metlaxis filiT </t>
  </si>
  <si>
    <t>metlaxis fila</t>
  </si>
  <si>
    <t>TabaSir_muyaos fila nestgamZle</t>
  </si>
  <si>
    <t xml:space="preserve">sxva masalebi  </t>
  </si>
  <si>
    <t>nestgamZle TabaSirmuyaos Sekiduli Weris mowyoba</t>
  </si>
  <si>
    <t>15-168-10</t>
  </si>
  <si>
    <t>TabaSirmuyaos  Sekiduli Weris damuSaveba da           SeRebva emulsiurio saRebaviT</t>
  </si>
  <si>
    <t xml:space="preserve">TabaSirmuyaos fiTxi </t>
  </si>
  <si>
    <t>qviSa-cementis xsnari  m-100</t>
  </si>
  <si>
    <t>11-1-6</t>
  </si>
  <si>
    <t>RorRi</t>
  </si>
  <si>
    <t xml:space="preserve">samSeneblo nagvis gatana 15 km-ze </t>
  </si>
  <si>
    <t>betoni b.25</t>
  </si>
  <si>
    <t>yalibis fari 25mm</t>
  </si>
  <si>
    <t>xe masala</t>
  </si>
  <si>
    <t>tn.</t>
  </si>
  <si>
    <t>6-16-1</t>
  </si>
  <si>
    <t>samzareuloSi iatakis dadablebis miziT gruntis moWra xeliT</t>
  </si>
  <si>
    <t>RorRis safuZvlis mowyoba rk.betonis iatakis qveS 10sm sisqis   (samzareuloSi)</t>
  </si>
  <si>
    <t xml:space="preserve">rk betonis iatakis mowyoba 12sm sisqis   (samzareuloSi) </t>
  </si>
  <si>
    <t>kedlebis mopirketeba keramikuli filiT               kafeliT</t>
  </si>
  <si>
    <t>Turquli unitazis demontaJi</t>
  </si>
  <si>
    <t>xelsabanis demontaJi (SemreviT)</t>
  </si>
  <si>
    <t>xelsabani (sabavSvo) fexiT qaSanuris,sifoniT, ori drekadi miliT d-15 l=40sm</t>
  </si>
  <si>
    <t xml:space="preserve">unitazi (sabavSvo) Camrecxi avziT drekadi miliT d-15 l=40sm  </t>
  </si>
  <si>
    <t>17-6-2</t>
  </si>
  <si>
    <t>WyrWlis sarecxelis montaji</t>
  </si>
  <si>
    <t>6,1,26</t>
  </si>
  <si>
    <t xml:space="preserve">WurWlis sarecxeli, sxmuli marmarilos, orseqciani, laminirebuli karadiT </t>
  </si>
  <si>
    <t>borjomis municipalitetis sofel WobisxevSi sabavSvo baRis Senobis samzareulosa da tualetis reabilitacia</t>
  </si>
  <si>
    <t>Senobis ukana kedlis gidroizolacia</t>
  </si>
  <si>
    <t>4,2,64</t>
  </si>
  <si>
    <t>antiseptikuri xsnari</t>
  </si>
  <si>
    <t>10-38-2 misad</t>
  </si>
  <si>
    <t xml:space="preserve">betonis fenilis moxsna </t>
  </si>
  <si>
    <t>46-24-1</t>
  </si>
  <si>
    <t>8-4-7</t>
  </si>
  <si>
    <t>betonze wasasmeli drekadi gidroizolacia</t>
  </si>
  <si>
    <t>Senobis ukana kedlisa da saZirkvlis gidroizolacia</t>
  </si>
  <si>
    <t xml:space="preserve">gruntis ukuCayra </t>
  </si>
  <si>
    <t>1-81-3</t>
  </si>
  <si>
    <t>betonis fenilis mowyoba Senobis ukana kedelsa da rk.betonis arsebul sayrden kedels Soris</t>
  </si>
  <si>
    <t>Senobis ukana kedlis zedapirebis mopirketeba bunebrivi bazaltis qviT</t>
  </si>
  <si>
    <t>15-5-7</t>
  </si>
  <si>
    <t>bunebrivi bazaltis fila 30mm sisqis</t>
  </si>
  <si>
    <t>samzareulos ukana kedlis (Sida mxridan) gidroizolacia</t>
  </si>
  <si>
    <r>
      <rPr>
        <b/>
        <sz val="11"/>
        <rFont val="AcadNusx"/>
      </rPr>
      <t xml:space="preserve">samzareulos ukana kedlis (Sida mxridan) antiseptikuri damuSaveba </t>
    </r>
    <r>
      <rPr>
        <sz val="11"/>
        <rFont val="AcadNusx"/>
      </rPr>
      <t>(orjeradad cementis xsnariT lesvamde da lesvis Semdeg)</t>
    </r>
  </si>
  <si>
    <r>
      <t xml:space="preserve">qafplastis Weris karnizi       </t>
    </r>
    <r>
      <rPr>
        <sz val="11"/>
        <color theme="1"/>
        <rFont val="Calibri"/>
        <family val="2"/>
        <charset val="204"/>
        <scheme val="minor"/>
      </rPr>
      <t>h</t>
    </r>
    <r>
      <rPr>
        <sz val="11"/>
        <color theme="1"/>
        <rFont val="AcadNusx"/>
      </rPr>
      <t xml:space="preserve">=10-15sm   </t>
    </r>
  </si>
  <si>
    <r>
      <t xml:space="preserve">laminirebuli iatakis fari (maRali xarisxis)   </t>
    </r>
    <r>
      <rPr>
        <sz val="11"/>
        <color theme="1"/>
        <rFont val="Calibri"/>
        <family val="2"/>
        <charset val="204"/>
        <scheme val="minor"/>
      </rPr>
      <t>K-31-33</t>
    </r>
  </si>
  <si>
    <r>
      <t xml:space="preserve">plintusi laminirebuli           </t>
    </r>
    <r>
      <rPr>
        <sz val="11"/>
        <color theme="1"/>
        <rFont val="Calibri"/>
        <family val="2"/>
        <charset val="204"/>
        <scheme val="minor"/>
      </rPr>
      <t>h</t>
    </r>
    <r>
      <rPr>
        <sz val="11"/>
        <color theme="1"/>
        <rFont val="AcadNusx"/>
      </rPr>
      <t xml:space="preserve">=5-7 sm, sisqiT 2,5mm    </t>
    </r>
  </si>
  <si>
    <t>gruntis moxsna Senobis ukana kedlidan, saZirkvlis gamoCenis mizniT teritoriaze dayriT</t>
  </si>
  <si>
    <t xml:space="preserve">RorRis safuZvlis mowyoba rk.betonis iatakis qveS 10sm sisqis </t>
  </si>
  <si>
    <t>lokaluri ხ ა რ ჯ თ ა ღ რ ი ც ხ ვ ა #1</t>
  </si>
  <si>
    <t>lk #1</t>
  </si>
  <si>
    <r>
      <t xml:space="preserve">armatura </t>
    </r>
    <r>
      <rPr>
        <sz val="11"/>
        <rFont val="Times New Roman"/>
        <family val="1"/>
        <charset val="204"/>
      </rPr>
      <t xml:space="preserve">A-III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</si>
</sst>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-* #,##0.00\ _L_a_r_i_-;\-* #,##0.00\ _L_a_r_i_-;_-* &quot;-&quot;??\ _L_a_r_i_-;_-@_-"/>
    <numFmt numFmtId="165" formatCode="_-* #,##0.00\ _₾_-;\-* #,##0.00\ _₾_-;_-* &quot;-&quot;??\ _₾_-;_-@_-"/>
    <numFmt numFmtId="166" formatCode="0.0"/>
    <numFmt numFmtId="167" formatCode="0.000"/>
    <numFmt numFmtId="168" formatCode="_-* #,##0.00_р_._-;\-* #,##0.00_р_._-;_-* &quot;-&quot;??_р_._-;_-@_-"/>
    <numFmt numFmtId="169" formatCode="_-* #,##0.00_-;\-* #,##0.00_-;_-* &quot;-&quot;??_-;_-@_-"/>
    <numFmt numFmtId="170" formatCode="_-* #,##0.000_-;\-* #,##0.000_-;_-* &quot;-&quot;??_-;_-@_-"/>
    <numFmt numFmtId="171" formatCode="_-* #,##0.0000_-;\-* #,##0.0000_-;_-* &quot;-&quot;??_-;_-@_-"/>
  </numFmts>
  <fonts count="9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name val="AcadNusx"/>
    </font>
    <font>
      <sz val="10"/>
      <color theme="1"/>
      <name val="AcadNusx"/>
    </font>
    <font>
      <sz val="10"/>
      <name val="AcadNusx"/>
    </font>
    <font>
      <b/>
      <sz val="12"/>
      <name val="AcadNusx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AcadNusx"/>
    </font>
    <font>
      <sz val="11"/>
      <color theme="1"/>
      <name val="AcadNusx"/>
    </font>
    <font>
      <b/>
      <sz val="11"/>
      <color theme="1"/>
      <name val="AcadNusx"/>
    </font>
    <font>
      <sz val="11"/>
      <name val="Calibri"/>
      <family val="2"/>
      <charset val="204"/>
      <scheme val="minor"/>
    </font>
    <font>
      <b/>
      <sz val="10"/>
      <color theme="1"/>
      <name val="AcadNusx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AcadNusx"/>
    </font>
    <font>
      <sz val="10"/>
      <name val="Sylfae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b/>
      <sz val="10"/>
      <name val="AcadNusx"/>
    </font>
    <font>
      <vertAlign val="superscript"/>
      <sz val="10"/>
      <name val="AcadNusx"/>
    </font>
    <font>
      <sz val="10"/>
      <color rgb="FF000000"/>
      <name val="AcadNusx"/>
    </font>
    <font>
      <sz val="10"/>
      <color rgb="FFFF0000"/>
      <name val="AcadNusx"/>
    </font>
    <font>
      <sz val="10"/>
      <name val="Calibri"/>
      <family val="2"/>
      <charset val="204"/>
      <scheme val="minor"/>
    </font>
    <font>
      <sz val="11"/>
      <color rgb="FFFF0000"/>
      <name val="AcadNusx"/>
    </font>
    <font>
      <b/>
      <sz val="10"/>
      <color rgb="FF000000"/>
      <name val="AcadNusx"/>
    </font>
    <font>
      <b/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Sylfaen"/>
      <family val="1"/>
      <charset val="204"/>
    </font>
    <font>
      <b/>
      <sz val="10"/>
      <color theme="1"/>
      <name val="Times New Roman"/>
      <family val="1"/>
    </font>
    <font>
      <vertAlign val="superscript"/>
      <sz val="11"/>
      <name val="AcadNusx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</font>
    <font>
      <sz val="11"/>
      <color rgb="FF000000"/>
      <name val="AcadNusx"/>
    </font>
    <font>
      <b/>
      <sz val="11"/>
      <color rgb="FF000000"/>
      <name val="AcadNusx"/>
    </font>
    <font>
      <vertAlign val="superscript"/>
      <sz val="11"/>
      <color theme="1"/>
      <name val="AcadNusx"/>
    </font>
    <font>
      <b/>
      <sz val="11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color theme="0"/>
      <name val="AcadNusx"/>
    </font>
    <font>
      <sz val="9"/>
      <name val="AcadNusx"/>
    </font>
    <font>
      <sz val="10"/>
      <name val="Calibri"/>
      <family val="2"/>
    </font>
    <font>
      <b/>
      <sz val="10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i/>
      <sz val="10"/>
      <name val="AcadNusx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09">
    <xf numFmtId="0" fontId="0" fillId="0" borderId="0"/>
    <xf numFmtId="165" fontId="8" fillId="0" borderId="0" applyFont="0" applyFill="0" applyBorder="0" applyAlignment="0" applyProtection="0"/>
    <xf numFmtId="0" fontId="9" fillId="0" borderId="0"/>
    <xf numFmtId="0" fontId="15" fillId="0" borderId="0"/>
    <xf numFmtId="0" fontId="16" fillId="0" borderId="0"/>
    <xf numFmtId="0" fontId="17" fillId="0" borderId="0"/>
    <xf numFmtId="0" fontId="22" fillId="0" borderId="0"/>
    <xf numFmtId="0" fontId="23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3" fillId="17" borderId="0" applyNumberFormat="0" applyBorder="0" applyAlignment="0" applyProtection="0"/>
    <xf numFmtId="0" fontId="43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43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43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43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43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43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43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43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43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43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43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44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45" fillId="26" borderId="8" applyNumberFormat="0" applyAlignment="0" applyProtection="0"/>
    <xf numFmtId="0" fontId="27" fillId="26" borderId="8" applyNumberFormat="0" applyAlignment="0" applyProtection="0"/>
    <xf numFmtId="0" fontId="27" fillId="26" borderId="8" applyNumberFormat="0" applyAlignment="0" applyProtection="0"/>
    <xf numFmtId="0" fontId="27" fillId="26" borderId="8" applyNumberFormat="0" applyAlignment="0" applyProtection="0"/>
    <xf numFmtId="0" fontId="27" fillId="26" borderId="8" applyNumberFormat="0" applyAlignment="0" applyProtection="0"/>
    <xf numFmtId="0" fontId="27" fillId="26" borderId="8" applyNumberFormat="0" applyAlignment="0" applyProtection="0"/>
    <xf numFmtId="0" fontId="27" fillId="26" borderId="8" applyNumberFormat="0" applyAlignment="0" applyProtection="0"/>
    <xf numFmtId="0" fontId="27" fillId="26" borderId="8" applyNumberFormat="0" applyAlignment="0" applyProtection="0"/>
    <xf numFmtId="0" fontId="27" fillId="26" borderId="8" applyNumberFormat="0" applyAlignment="0" applyProtection="0"/>
    <xf numFmtId="0" fontId="27" fillId="26" borderId="8" applyNumberFormat="0" applyAlignment="0" applyProtection="0"/>
    <xf numFmtId="0" fontId="27" fillId="26" borderId="8" applyNumberFormat="0" applyAlignment="0" applyProtection="0"/>
    <xf numFmtId="0" fontId="27" fillId="26" borderId="8" applyNumberFormat="0" applyAlignment="0" applyProtection="0"/>
    <xf numFmtId="0" fontId="27" fillId="26" borderId="8" applyNumberFormat="0" applyAlignment="0" applyProtection="0"/>
    <xf numFmtId="0" fontId="27" fillId="26" borderId="8" applyNumberFormat="0" applyAlignment="0" applyProtection="0"/>
    <xf numFmtId="0" fontId="46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43" fontId="22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8" fontId="16" fillId="0" borderId="0" applyFont="0" applyFill="0" applyBorder="0" applyAlignment="0" applyProtection="0"/>
    <xf numFmtId="170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8" fontId="16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5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2" fillId="0" borderId="0" applyFont="0" applyFill="0" applyBorder="0" applyAlignment="0" applyProtection="0"/>
    <xf numFmtId="166" fontId="60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22" fillId="0" borderId="0" applyFont="0" applyFill="0" applyBorder="0" applyAlignment="0" applyProtection="0"/>
    <xf numFmtId="166" fontId="6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49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50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51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5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2" fillId="13" borderId="8" applyNumberFormat="0" applyAlignment="0" applyProtection="0"/>
    <xf numFmtId="0" fontId="34" fillId="13" borderId="8" applyNumberFormat="0" applyAlignment="0" applyProtection="0"/>
    <xf numFmtId="0" fontId="34" fillId="13" borderId="8" applyNumberFormat="0" applyAlignment="0" applyProtection="0"/>
    <xf numFmtId="0" fontId="34" fillId="13" borderId="8" applyNumberFormat="0" applyAlignment="0" applyProtection="0"/>
    <xf numFmtId="0" fontId="34" fillId="13" borderId="8" applyNumberFormat="0" applyAlignment="0" applyProtection="0"/>
    <xf numFmtId="0" fontId="34" fillId="13" borderId="8" applyNumberFormat="0" applyAlignment="0" applyProtection="0"/>
    <xf numFmtId="0" fontId="34" fillId="13" borderId="8" applyNumberFormat="0" applyAlignment="0" applyProtection="0"/>
    <xf numFmtId="0" fontId="34" fillId="13" borderId="8" applyNumberFormat="0" applyAlignment="0" applyProtection="0"/>
    <xf numFmtId="0" fontId="34" fillId="13" borderId="8" applyNumberFormat="0" applyAlignment="0" applyProtection="0"/>
    <xf numFmtId="0" fontId="34" fillId="13" borderId="8" applyNumberFormat="0" applyAlignment="0" applyProtection="0"/>
    <xf numFmtId="0" fontId="34" fillId="13" borderId="8" applyNumberFormat="0" applyAlignment="0" applyProtection="0"/>
    <xf numFmtId="0" fontId="34" fillId="13" borderId="8" applyNumberFormat="0" applyAlignment="0" applyProtection="0"/>
    <xf numFmtId="0" fontId="34" fillId="13" borderId="8" applyNumberFormat="0" applyAlignment="0" applyProtection="0"/>
    <xf numFmtId="0" fontId="34" fillId="13" borderId="8" applyNumberFormat="0" applyAlignment="0" applyProtection="0"/>
    <xf numFmtId="0" fontId="53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54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1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22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37" fillId="0" borderId="0"/>
    <xf numFmtId="0" fontId="22" fillId="0" borderId="0"/>
    <xf numFmtId="0" fontId="61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22" fillId="0" borderId="0"/>
    <xf numFmtId="0" fontId="15" fillId="0" borderId="0"/>
    <xf numFmtId="0" fontId="62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15" fillId="0" borderId="0"/>
    <xf numFmtId="0" fontId="60" fillId="0" borderId="0"/>
    <xf numFmtId="0" fontId="15" fillId="0" borderId="0"/>
    <xf numFmtId="0" fontId="60" fillId="0" borderId="0"/>
    <xf numFmtId="0" fontId="9" fillId="0" borderId="0"/>
    <xf numFmtId="0" fontId="9" fillId="0" borderId="0"/>
    <xf numFmtId="0" fontId="9" fillId="0" borderId="0"/>
    <xf numFmtId="0" fontId="6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29" borderId="14" applyNumberFormat="0" applyFont="0" applyAlignment="0" applyProtection="0"/>
    <xf numFmtId="0" fontId="15" fillId="29" borderId="14" applyNumberFormat="0" applyFont="0" applyAlignment="0" applyProtection="0"/>
    <xf numFmtId="0" fontId="15" fillId="29" borderId="14" applyNumberFormat="0" applyFont="0" applyAlignment="0" applyProtection="0"/>
    <xf numFmtId="0" fontId="15" fillId="29" borderId="14" applyNumberFormat="0" applyFont="0" applyAlignment="0" applyProtection="0"/>
    <xf numFmtId="0" fontId="15" fillId="29" borderId="14" applyNumberFormat="0" applyFont="0" applyAlignment="0" applyProtection="0"/>
    <xf numFmtId="0" fontId="15" fillId="29" borderId="14" applyNumberFormat="0" applyFont="0" applyAlignment="0" applyProtection="0"/>
    <xf numFmtId="0" fontId="15" fillId="29" borderId="14" applyNumberFormat="0" applyFont="0" applyAlignment="0" applyProtection="0"/>
    <xf numFmtId="0" fontId="15" fillId="29" borderId="14" applyNumberFormat="0" applyFont="0" applyAlignment="0" applyProtection="0"/>
    <xf numFmtId="0" fontId="15" fillId="29" borderId="14" applyNumberFormat="0" applyFont="0" applyAlignment="0" applyProtection="0"/>
    <xf numFmtId="0" fontId="15" fillId="29" borderId="14" applyNumberFormat="0" applyFont="0" applyAlignment="0" applyProtection="0"/>
    <xf numFmtId="0" fontId="15" fillId="29" borderId="14" applyNumberFormat="0" applyFont="0" applyAlignment="0" applyProtection="0"/>
    <xf numFmtId="0" fontId="15" fillId="29" borderId="14" applyNumberFormat="0" applyFont="0" applyAlignment="0" applyProtection="0"/>
    <xf numFmtId="0" fontId="15" fillId="29" borderId="14" applyNumberFormat="0" applyFont="0" applyAlignment="0" applyProtection="0"/>
    <xf numFmtId="0" fontId="15" fillId="29" borderId="14" applyNumberFormat="0" applyFont="0" applyAlignment="0" applyProtection="0"/>
    <xf numFmtId="0" fontId="55" fillId="26" borderId="15" applyNumberFormat="0" applyAlignment="0" applyProtection="0"/>
    <xf numFmtId="0" fontId="38" fillId="26" borderId="15" applyNumberFormat="0" applyAlignment="0" applyProtection="0"/>
    <xf numFmtId="0" fontId="38" fillId="26" borderId="15" applyNumberFormat="0" applyAlignment="0" applyProtection="0"/>
    <xf numFmtId="0" fontId="38" fillId="26" borderId="15" applyNumberFormat="0" applyAlignment="0" applyProtection="0"/>
    <xf numFmtId="0" fontId="38" fillId="26" borderId="15" applyNumberFormat="0" applyAlignment="0" applyProtection="0"/>
    <xf numFmtId="0" fontId="38" fillId="26" borderId="15" applyNumberFormat="0" applyAlignment="0" applyProtection="0"/>
    <xf numFmtId="0" fontId="38" fillId="26" borderId="15" applyNumberFormat="0" applyAlignment="0" applyProtection="0"/>
    <xf numFmtId="0" fontId="38" fillId="26" borderId="15" applyNumberFormat="0" applyAlignment="0" applyProtection="0"/>
    <xf numFmtId="0" fontId="38" fillId="26" borderId="15" applyNumberFormat="0" applyAlignment="0" applyProtection="0"/>
    <xf numFmtId="0" fontId="38" fillId="26" borderId="15" applyNumberFormat="0" applyAlignment="0" applyProtection="0"/>
    <xf numFmtId="0" fontId="38" fillId="26" borderId="15" applyNumberFormat="0" applyAlignment="0" applyProtection="0"/>
    <xf numFmtId="0" fontId="38" fillId="26" borderId="15" applyNumberFormat="0" applyAlignment="0" applyProtection="0"/>
    <xf numFmtId="0" fontId="38" fillId="26" borderId="15" applyNumberFormat="0" applyAlignment="0" applyProtection="0"/>
    <xf numFmtId="0" fontId="38" fillId="26" borderId="15" applyNumberFormat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9" fillId="0" borderId="0"/>
    <xf numFmtId="0" fontId="5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5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/>
    <xf numFmtId="0" fontId="22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8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9" fillId="0" borderId="0"/>
    <xf numFmtId="0" fontId="22" fillId="0" borderId="0"/>
    <xf numFmtId="0" fontId="15" fillId="0" borderId="0"/>
    <xf numFmtId="0" fontId="15" fillId="0" borderId="0"/>
    <xf numFmtId="0" fontId="60" fillId="0" borderId="0"/>
    <xf numFmtId="0" fontId="3" fillId="0" borderId="0"/>
    <xf numFmtId="0" fontId="3" fillId="0" borderId="0"/>
    <xf numFmtId="0" fontId="15" fillId="0" borderId="0"/>
    <xf numFmtId="0" fontId="64" fillId="7" borderId="0" applyNumberFormat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5" fillId="0" borderId="0"/>
    <xf numFmtId="0" fontId="15" fillId="0" borderId="0"/>
    <xf numFmtId="0" fontId="2" fillId="0" borderId="0"/>
    <xf numFmtId="0" fontId="60" fillId="0" borderId="0"/>
    <xf numFmtId="0" fontId="15" fillId="0" borderId="0"/>
  </cellStyleXfs>
  <cellXfs count="526">
    <xf numFmtId="0" fontId="0" fillId="0" borderId="0" xfId="0"/>
    <xf numFmtId="0" fontId="0" fillId="0" borderId="0" xfId="0" applyNumberForma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49" fontId="67" fillId="0" borderId="6" xfId="0" applyNumberFormat="1" applyFont="1" applyBorder="1" applyAlignment="1">
      <alignment horizontal="center" vertical="center" wrapText="1"/>
    </xf>
    <xf numFmtId="49" fontId="67" fillId="0" borderId="7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5" fillId="6" borderId="1" xfId="0" applyNumberFormat="1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14" fillId="5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49" fontId="14" fillId="4" borderId="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 wrapText="1"/>
    </xf>
    <xf numFmtId="49" fontId="13" fillId="0" borderId="0" xfId="0" applyNumberFormat="1" applyFont="1" applyFill="1"/>
    <xf numFmtId="49" fontId="14" fillId="0" borderId="0" xfId="0" applyNumberFormat="1" applyFont="1" applyAlignment="1">
      <alignment vertical="center" wrapText="1"/>
    </xf>
    <xf numFmtId="49" fontId="65" fillId="4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/>
    <xf numFmtId="2" fontId="10" fillId="0" borderId="0" xfId="0" applyNumberFormat="1" applyFont="1" applyFill="1" applyAlignment="1">
      <alignment horizontal="center" vertical="center" wrapText="1"/>
    </xf>
    <xf numFmtId="49" fontId="69" fillId="0" borderId="0" xfId="0" applyNumberFormat="1" applyFont="1" applyFill="1" applyAlignment="1">
      <alignment horizontal="center" vertical="center" wrapText="1"/>
    </xf>
    <xf numFmtId="2" fontId="20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6" borderId="3" xfId="0" applyNumberFormat="1" applyFont="1" applyFill="1" applyBorder="1" applyAlignment="1">
      <alignment horizontal="center" vertical="center" wrapText="1"/>
    </xf>
    <xf numFmtId="0" fontId="6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4" fillId="4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65" fillId="0" borderId="1" xfId="0" applyNumberFormat="1" applyFont="1" applyFill="1" applyBorder="1" applyAlignment="1">
      <alignment horizontal="center" vertical="center" wrapText="1"/>
    </xf>
    <xf numFmtId="0" fontId="6" fillId="0" borderId="1" xfId="648" applyNumberFormat="1" applyFont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8" fillId="0" borderId="1" xfId="0" applyNumberFormat="1" applyFont="1" applyFill="1" applyBorder="1" applyAlignment="1">
      <alignment horizontal="center" vertical="center" wrapText="1"/>
    </xf>
    <xf numFmtId="0" fontId="6" fillId="0" borderId="1" xfId="3" applyNumberFormat="1" applyFont="1" applyFill="1" applyBorder="1" applyAlignment="1">
      <alignment horizontal="center" vertical="center" wrapText="1"/>
    </xf>
    <xf numFmtId="49" fontId="65" fillId="6" borderId="1" xfId="0" applyNumberFormat="1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6" fillId="30" borderId="7" xfId="0" applyNumberFormat="1" applyFont="1" applyFill="1" applyBorder="1" applyAlignment="1">
      <alignment horizontal="center" vertical="center" wrapText="1"/>
    </xf>
    <xf numFmtId="0" fontId="67" fillId="0" borderId="7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left" vertical="center" wrapText="1"/>
    </xf>
    <xf numFmtId="49" fontId="69" fillId="0" borderId="0" xfId="0" applyNumberFormat="1" applyFont="1" applyFill="1" applyAlignment="1">
      <alignment wrapText="1"/>
    </xf>
    <xf numFmtId="49" fontId="67" fillId="4" borderId="7" xfId="0" applyNumberFormat="1" applyFont="1" applyFill="1" applyBorder="1" applyAlignment="1">
      <alignment horizontal="center" vertical="center" wrapText="1"/>
    </xf>
    <xf numFmtId="0" fontId="67" fillId="4" borderId="7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9" fillId="0" borderId="0" xfId="0" applyNumberFormat="1" applyFont="1" applyFill="1" applyAlignment="1">
      <alignment horizontal="center" vertical="center" wrapText="1"/>
    </xf>
    <xf numFmtId="49" fontId="65" fillId="0" borderId="6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70" fillId="0" borderId="1" xfId="0" applyNumberFormat="1" applyFont="1" applyFill="1" applyBorder="1" applyAlignment="1">
      <alignment horizontal="center" vertical="center" wrapText="1"/>
    </xf>
    <xf numFmtId="49" fontId="65" fillId="0" borderId="1" xfId="1" applyNumberFormat="1" applyFont="1" applyFill="1" applyBorder="1" applyAlignment="1">
      <alignment horizontal="center" vertical="center" wrapText="1"/>
    </xf>
    <xf numFmtId="49" fontId="20" fillId="0" borderId="1" xfId="1" applyNumberFormat="1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2" fontId="11" fillId="0" borderId="1" xfId="1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left" vertical="center" wrapText="1"/>
    </xf>
    <xf numFmtId="0" fontId="10" fillId="0" borderId="1" xfId="1" applyNumberFormat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vertical="center" wrapText="1"/>
    </xf>
    <xf numFmtId="49" fontId="21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 applyProtection="1">
      <alignment horizontal="center" vertical="center" wrapText="1"/>
    </xf>
    <xf numFmtId="49" fontId="20" fillId="0" borderId="1" xfId="1" applyNumberFormat="1" applyFont="1" applyFill="1" applyBorder="1" applyAlignment="1">
      <alignment vertical="center" wrapText="1"/>
    </xf>
    <xf numFmtId="2" fontId="20" fillId="4" borderId="1" xfId="0" applyNumberFormat="1" applyFont="1" applyFill="1" applyBorder="1" applyAlignment="1">
      <alignment horizontal="center" vertical="center" wrapText="1"/>
    </xf>
    <xf numFmtId="49" fontId="6" fillId="0" borderId="1" xfId="683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 wrapText="1"/>
    </xf>
    <xf numFmtId="49" fontId="6" fillId="30" borderId="6" xfId="0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 applyProtection="1">
      <alignment horizontal="center" vertical="center" wrapText="1"/>
    </xf>
    <xf numFmtId="0" fontId="6" fillId="0" borderId="1" xfId="2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6" fillId="30" borderId="7" xfId="0" applyNumberFormat="1" applyFont="1" applyFill="1" applyBorder="1" applyAlignment="1">
      <alignment horizontal="center" vertical="center" wrapText="1"/>
    </xf>
    <xf numFmtId="0" fontId="65" fillId="6" borderId="1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67" fillId="0" borderId="6" xfId="0" applyNumberFormat="1" applyFont="1" applyBorder="1" applyAlignment="1">
      <alignment horizontal="center" vertical="center" wrapText="1"/>
    </xf>
    <xf numFmtId="49" fontId="65" fillId="0" borderId="0" xfId="0" applyNumberFormat="1" applyFont="1" applyFill="1" applyAlignment="1">
      <alignment horizontal="center" vertical="center" wrapText="1"/>
    </xf>
    <xf numFmtId="49" fontId="65" fillId="0" borderId="1" xfId="2" quotePrefix="1" applyNumberFormat="1" applyFont="1" applyFill="1" applyBorder="1" applyAlignment="1" applyProtection="1">
      <alignment horizontal="center" vertical="center" wrapText="1"/>
    </xf>
    <xf numFmtId="49" fontId="65" fillId="6" borderId="3" xfId="0" applyNumberFormat="1" applyFont="1" applyFill="1" applyBorder="1" applyAlignment="1">
      <alignment horizontal="center" vertical="center" wrapText="1"/>
    </xf>
    <xf numFmtId="49" fontId="71" fillId="0" borderId="6" xfId="0" applyNumberFormat="1" applyFont="1" applyBorder="1" applyAlignment="1">
      <alignment horizontal="center" vertical="center" wrapText="1"/>
    </xf>
    <xf numFmtId="49" fontId="71" fillId="0" borderId="7" xfId="0" applyNumberFormat="1" applyFont="1" applyBorder="1" applyAlignment="1">
      <alignment horizontal="center" vertical="center" wrapText="1"/>
    </xf>
    <xf numFmtId="49" fontId="71" fillId="4" borderId="7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vertical="center" wrapText="1"/>
    </xf>
    <xf numFmtId="49" fontId="68" fillId="0" borderId="1" xfId="0" applyNumberFormat="1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Border="1" applyAlignment="1">
      <alignment vertical="center" wrapText="1"/>
    </xf>
    <xf numFmtId="0" fontId="10" fillId="0" borderId="1" xfId="3" applyNumberFormat="1" applyFont="1" applyFill="1" applyBorder="1" applyAlignment="1">
      <alignment horizontal="center" vertical="center" wrapText="1"/>
    </xf>
    <xf numFmtId="2" fontId="10" fillId="0" borderId="1" xfId="3" applyNumberFormat="1" applyFont="1" applyFill="1" applyBorder="1" applyAlignment="1">
      <alignment horizontal="center" vertical="center" wrapText="1"/>
    </xf>
    <xf numFmtId="49" fontId="10" fillId="30" borderId="1" xfId="0" applyNumberFormat="1" applyFont="1" applyFill="1" applyBorder="1" applyAlignment="1">
      <alignment vertical="center" wrapText="1"/>
    </xf>
    <xf numFmtId="49" fontId="20" fillId="6" borderId="1" xfId="0" applyNumberFormat="1" applyFont="1" applyFill="1" applyBorder="1" applyAlignment="1">
      <alignment horizontal="center" vertical="center" wrapText="1"/>
    </xf>
    <xf numFmtId="0" fontId="10" fillId="6" borderId="1" xfId="0" applyNumberFormat="1" applyFont="1" applyFill="1" applyBorder="1" applyAlignment="1">
      <alignment horizontal="center" vertical="center" wrapText="1"/>
    </xf>
    <xf numFmtId="0" fontId="20" fillId="0" borderId="1" xfId="1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20" fillId="5" borderId="1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 applyProtection="1">
      <alignment vertical="center" wrapText="1"/>
    </xf>
    <xf numFmtId="49" fontId="10" fillId="0" borderId="1" xfId="3" applyNumberFormat="1" applyFont="1" applyFill="1" applyBorder="1" applyAlignment="1">
      <alignment horizontal="left" vertical="center" wrapText="1"/>
    </xf>
    <xf numFmtId="2" fontId="10" fillId="0" borderId="1" xfId="798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0" fontId="14" fillId="0" borderId="6" xfId="0" applyNumberFormat="1" applyFont="1" applyFill="1" applyBorder="1" applyAlignment="1">
      <alignment horizontal="center" vertical="center" wrapText="1"/>
    </xf>
    <xf numFmtId="49" fontId="65" fillId="0" borderId="0" xfId="0" applyNumberFormat="1" applyFont="1" applyFill="1" applyAlignment="1">
      <alignment vertical="center" wrapText="1"/>
    </xf>
    <xf numFmtId="0" fontId="12" fillId="0" borderId="0" xfId="0" applyNumberFormat="1" applyFont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49" fontId="6" fillId="0" borderId="1" xfId="648" applyNumberFormat="1" applyFont="1" applyBorder="1" applyAlignment="1">
      <alignment horizontal="center" vertical="center" wrapText="1"/>
    </xf>
    <xf numFmtId="49" fontId="6" fillId="0" borderId="1" xfId="905" applyNumberFormat="1" applyFont="1" applyBorder="1" applyAlignment="1">
      <alignment horizontal="center" vertical="center" wrapText="1"/>
    </xf>
    <xf numFmtId="49" fontId="65" fillId="0" borderId="1" xfId="683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0" fillId="5" borderId="1" xfId="0" applyNumberFormat="1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0" fontId="20" fillId="0" borderId="3" xfId="0" applyNumberFormat="1" applyFont="1" applyFill="1" applyBorder="1" applyAlignment="1">
      <alignment horizontal="center" vertical="center" wrapText="1"/>
    </xf>
    <xf numFmtId="0" fontId="10" fillId="0" borderId="1" xfId="904" applyNumberFormat="1" applyFont="1" applyFill="1" applyBorder="1" applyAlignment="1">
      <alignment horizontal="center" vertical="center" wrapText="1"/>
    </xf>
    <xf numFmtId="0" fontId="20" fillId="3" borderId="1" xfId="0" applyNumberFormat="1" applyFont="1" applyFill="1" applyBorder="1" applyAlignment="1">
      <alignment horizontal="center" vertical="center" wrapText="1"/>
    </xf>
    <xf numFmtId="2" fontId="10" fillId="6" borderId="1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Border="1" applyAlignment="1" applyProtection="1">
      <alignment horizontal="left" vertical="center" wrapText="1"/>
    </xf>
    <xf numFmtId="49" fontId="10" fillId="3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Border="1" applyAlignment="1" applyProtection="1">
      <alignment vertical="center" wrapText="1"/>
    </xf>
    <xf numFmtId="49" fontId="20" fillId="3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vertical="center" wrapText="1"/>
    </xf>
    <xf numFmtId="49" fontId="20" fillId="30" borderId="1" xfId="0" applyNumberFormat="1" applyFont="1" applyFill="1" applyBorder="1" applyAlignment="1">
      <alignment vertical="center" wrapText="1"/>
    </xf>
    <xf numFmtId="49" fontId="10" fillId="0" borderId="1" xfId="2" applyNumberFormat="1" applyFont="1" applyFill="1" applyBorder="1" applyAlignment="1" applyProtection="1">
      <alignment horizontal="left" vertical="center" wrapText="1"/>
    </xf>
    <xf numFmtId="49" fontId="20" fillId="0" borderId="1" xfId="2" applyNumberFormat="1" applyFont="1" applyFill="1" applyBorder="1" applyAlignment="1" applyProtection="1">
      <alignment horizontal="left" vertical="center" wrapText="1"/>
    </xf>
    <xf numFmtId="49" fontId="20" fillId="0" borderId="1" xfId="0" applyNumberFormat="1" applyFont="1" applyFill="1" applyBorder="1" applyAlignment="1" applyProtection="1">
      <alignment horizontal="left" vertical="center" wrapText="1"/>
    </xf>
    <xf numFmtId="49" fontId="20" fillId="0" borderId="1" xfId="0" applyNumberFormat="1" applyFont="1" applyFill="1" applyBorder="1" applyAlignment="1" applyProtection="1">
      <alignment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 applyProtection="1">
      <alignment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49" fontId="81" fillId="0" borderId="1" xfId="0" applyNumberFormat="1" applyFont="1" applyBorder="1" applyAlignment="1">
      <alignment horizontal="left" vertical="center" wrapText="1"/>
    </xf>
    <xf numFmtId="49" fontId="10" fillId="30" borderId="3" xfId="0" applyNumberFormat="1" applyFont="1" applyFill="1" applyBorder="1" applyAlignment="1">
      <alignment horizontal="left" vertical="center" wrapText="1"/>
    </xf>
    <xf numFmtId="49" fontId="10" fillId="6" borderId="3" xfId="0" applyNumberFormat="1" applyFont="1" applyFill="1" applyBorder="1" applyAlignment="1">
      <alignment horizontal="left" vertical="center" wrapText="1"/>
    </xf>
    <xf numFmtId="49" fontId="20" fillId="6" borderId="1" xfId="0" applyNumberFormat="1" applyFont="1" applyFill="1" applyBorder="1" applyAlignment="1">
      <alignment horizontal="left" vertical="center" wrapText="1"/>
    </xf>
    <xf numFmtId="49" fontId="10" fillId="6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Border="1" applyAlignment="1">
      <alignment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right" vertical="center" wrapText="1"/>
    </xf>
    <xf numFmtId="49" fontId="81" fillId="0" borderId="6" xfId="0" applyNumberFormat="1" applyFont="1" applyBorder="1" applyAlignment="1">
      <alignment horizontal="center" vertical="center" wrapText="1"/>
    </xf>
    <xf numFmtId="49" fontId="81" fillId="0" borderId="7" xfId="0" applyNumberFormat="1" applyFont="1" applyBorder="1" applyAlignment="1">
      <alignment horizontal="center" vertical="center" wrapText="1"/>
    </xf>
    <xf numFmtId="49" fontId="13" fillId="0" borderId="0" xfId="0" applyNumberFormat="1" applyFont="1" applyFill="1" applyAlignment="1">
      <alignment wrapText="1"/>
    </xf>
    <xf numFmtId="2" fontId="12" fillId="0" borderId="0" xfId="0" applyNumberFormat="1" applyFont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2" fontId="11" fillId="0" borderId="6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2" fontId="81" fillId="0" borderId="6" xfId="0" applyNumberFormat="1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2" fontId="81" fillId="0" borderId="6" xfId="0" applyNumberFormat="1" applyFont="1" applyBorder="1" applyAlignment="1">
      <alignment horizontal="center" vertical="center" wrapText="1"/>
    </xf>
    <xf numFmtId="0" fontId="82" fillId="0" borderId="7" xfId="0" applyNumberFormat="1" applyFont="1" applyFill="1" applyBorder="1" applyAlignment="1">
      <alignment horizontal="center" vertical="center" wrapText="1"/>
    </xf>
    <xf numFmtId="2" fontId="81" fillId="0" borderId="7" xfId="0" applyNumberFormat="1" applyFont="1" applyBorder="1" applyAlignment="1">
      <alignment horizontal="center" vertical="center" wrapText="1"/>
    </xf>
    <xf numFmtId="0" fontId="82" fillId="4" borderId="7" xfId="0" applyNumberFormat="1" applyFont="1" applyFill="1" applyBorder="1" applyAlignment="1">
      <alignment horizontal="center" vertical="center" wrapText="1"/>
    </xf>
    <xf numFmtId="2" fontId="81" fillId="4" borderId="7" xfId="0" applyNumberFormat="1" applyFont="1" applyFill="1" applyBorder="1" applyAlignment="1">
      <alignment horizontal="center" vertical="center" wrapText="1"/>
    </xf>
    <xf numFmtId="2" fontId="82" fillId="32" borderId="7" xfId="0" applyNumberFormat="1" applyFont="1" applyFill="1" applyBorder="1" applyAlignment="1">
      <alignment horizontal="center" vertical="center" wrapText="1"/>
    </xf>
    <xf numFmtId="0" fontId="70" fillId="0" borderId="1" xfId="0" applyNumberFormat="1" applyFont="1" applyFill="1" applyBorder="1" applyAlignment="1">
      <alignment horizontal="center" vertical="center" wrapText="1"/>
    </xf>
    <xf numFmtId="49" fontId="67" fillId="0" borderId="1" xfId="0" applyNumberFormat="1" applyFont="1" applyBorder="1" applyAlignment="1">
      <alignment horizontal="center" vertical="center" wrapText="1"/>
    </xf>
    <xf numFmtId="49" fontId="67" fillId="0" borderId="3" xfId="0" applyNumberFormat="1" applyFont="1" applyBorder="1" applyAlignment="1">
      <alignment horizontal="center" vertical="center" wrapText="1"/>
    </xf>
    <xf numFmtId="49" fontId="67" fillId="4" borderId="3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20" fillId="4" borderId="1" xfId="0" applyNumberFormat="1" applyFont="1" applyFill="1" applyBorder="1" applyAlignment="1">
      <alignment horizontal="center" vertical="center" wrapText="1"/>
    </xf>
    <xf numFmtId="49" fontId="10" fillId="0" borderId="1" xfId="648" applyNumberFormat="1" applyFont="1" applyBorder="1" applyAlignment="1">
      <alignment horizontal="left" vertical="center" wrapText="1"/>
    </xf>
    <xf numFmtId="49" fontId="10" fillId="6" borderId="1" xfId="635" applyNumberFormat="1" applyFont="1" applyFill="1" applyBorder="1" applyAlignment="1">
      <alignment horizontal="left" vertical="center" wrapText="1"/>
    </xf>
    <xf numFmtId="49" fontId="75" fillId="0" borderId="1" xfId="648" applyNumberFormat="1" applyFont="1" applyFill="1" applyBorder="1" applyAlignment="1">
      <alignment horizontal="left" vertical="center" wrapText="1"/>
    </xf>
    <xf numFmtId="0" fontId="65" fillId="0" borderId="1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1" xfId="904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2" fontId="10" fillId="0" borderId="1" xfId="648" applyNumberFormat="1" applyFont="1" applyFill="1" applyBorder="1" applyAlignment="1">
      <alignment horizontal="center" vertical="center" wrapText="1"/>
    </xf>
    <xf numFmtId="0" fontId="10" fillId="0" borderId="1" xfId="648" applyNumberFormat="1" applyFont="1" applyFill="1" applyBorder="1" applyAlignment="1">
      <alignment horizontal="center" vertical="center" wrapText="1"/>
    </xf>
    <xf numFmtId="0" fontId="20" fillId="4" borderId="1" xfId="0" applyNumberFormat="1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  <xf numFmtId="2" fontId="11" fillId="0" borderId="0" xfId="0" applyNumberFormat="1" applyFont="1" applyAlignment="1">
      <alignment vertical="center" wrapText="1"/>
    </xf>
    <xf numFmtId="49" fontId="20" fillId="0" borderId="7" xfId="0" applyNumberFormat="1" applyFont="1" applyFill="1" applyBorder="1" applyAlignment="1">
      <alignment horizontal="right" vertical="center" wrapText="1"/>
    </xf>
    <xf numFmtId="49" fontId="6" fillId="0" borderId="1" xfId="2" quotePrefix="1" applyNumberFormat="1" applyFont="1" applyFill="1" applyBorder="1" applyAlignment="1" applyProtection="1">
      <alignment horizontal="center" vertical="center" wrapText="1"/>
    </xf>
    <xf numFmtId="49" fontId="80" fillId="0" borderId="1" xfId="0" applyNumberFormat="1" applyFont="1" applyFill="1" applyBorder="1" applyAlignment="1">
      <alignment horizontal="center" vertical="center" wrapText="1"/>
    </xf>
    <xf numFmtId="49" fontId="20" fillId="0" borderId="1" xfId="683" applyNumberFormat="1" applyFont="1" applyFill="1" applyBorder="1" applyAlignment="1">
      <alignment vertical="center" wrapText="1"/>
    </xf>
    <xf numFmtId="0" fontId="65" fillId="0" borderId="1" xfId="683" applyNumberFormat="1" applyFont="1" applyFill="1" applyBorder="1" applyAlignment="1">
      <alignment horizontal="center" vertical="center" wrapText="1"/>
    </xf>
    <xf numFmtId="0" fontId="69" fillId="0" borderId="0" xfId="0" applyNumberFormat="1" applyFont="1" applyFill="1" applyAlignment="1">
      <alignment wrapText="1"/>
    </xf>
    <xf numFmtId="2" fontId="10" fillId="6" borderId="1" xfId="635" applyNumberFormat="1" applyFont="1" applyFill="1" applyBorder="1" applyAlignment="1">
      <alignment horizontal="center" vertical="center" wrapText="1"/>
    </xf>
    <xf numFmtId="2" fontId="20" fillId="0" borderId="1" xfId="683" applyNumberFormat="1" applyFont="1" applyFill="1" applyBorder="1" applyAlignment="1">
      <alignment horizontal="center" vertical="center" wrapText="1"/>
    </xf>
    <xf numFmtId="2" fontId="10" fillId="6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2" fontId="20" fillId="3" borderId="1" xfId="0" applyNumberFormat="1" applyFont="1" applyFill="1" applyBorder="1" applyAlignment="1">
      <alignment horizontal="center" vertical="center" wrapText="1"/>
    </xf>
    <xf numFmtId="0" fontId="10" fillId="6" borderId="1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center" vertical="center"/>
    </xf>
    <xf numFmtId="49" fontId="10" fillId="6" borderId="1" xfId="635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3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2" fontId="10" fillId="0" borderId="6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49" fontId="10" fillId="6" borderId="1" xfId="635" applyNumberFormat="1" applyFont="1" applyFill="1" applyBorder="1" applyAlignment="1">
      <alignment horizontal="center" vertical="center" wrapText="1"/>
    </xf>
    <xf numFmtId="49" fontId="10" fillId="0" borderId="1" xfId="635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5" fillId="0" borderId="1" xfId="0" applyNumberFormat="1" applyFont="1" applyFill="1" applyBorder="1" applyAlignment="1">
      <alignment horizontal="center" vertical="center" wrapText="1"/>
    </xf>
    <xf numFmtId="49" fontId="10" fillId="6" borderId="2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49" fontId="20" fillId="0" borderId="3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2" fontId="85" fillId="0" borderId="1" xfId="0" applyNumberFormat="1" applyFont="1" applyBorder="1" applyAlignment="1">
      <alignment horizontal="center" vertical="center" wrapText="1"/>
    </xf>
    <xf numFmtId="49" fontId="65" fillId="30" borderId="6" xfId="0" applyNumberFormat="1" applyFont="1" applyFill="1" applyBorder="1" applyAlignment="1">
      <alignment horizontal="center" vertical="center" wrapText="1"/>
    </xf>
    <xf numFmtId="0" fontId="65" fillId="0" borderId="1" xfId="0" applyNumberFormat="1" applyFont="1" applyBorder="1" applyAlignment="1" applyProtection="1">
      <alignment horizontal="center" vertical="center" wrapText="1"/>
    </xf>
    <xf numFmtId="0" fontId="65" fillId="0" borderId="1" xfId="2" applyNumberFormat="1" applyFont="1" applyFill="1" applyBorder="1" applyAlignment="1" applyProtection="1">
      <alignment horizontal="center" vertical="center" wrapText="1"/>
    </xf>
    <xf numFmtId="49" fontId="76" fillId="0" borderId="1" xfId="0" applyNumberFormat="1" applyFont="1" applyFill="1" applyBorder="1" applyAlignment="1">
      <alignment horizontal="center" vertical="center"/>
    </xf>
    <xf numFmtId="49" fontId="76" fillId="0" borderId="0" xfId="0" applyNumberFormat="1" applyFont="1" applyFill="1" applyAlignment="1">
      <alignment horizontal="center" vertical="center"/>
    </xf>
    <xf numFmtId="49" fontId="20" fillId="0" borderId="1" xfId="2" applyNumberFormat="1" applyFont="1" applyFill="1" applyBorder="1" applyAlignment="1" applyProtection="1">
      <alignment vertical="center" wrapText="1"/>
    </xf>
    <xf numFmtId="0" fontId="20" fillId="3" borderId="1" xfId="0" applyNumberFormat="1" applyFont="1" applyFill="1" applyBorder="1" applyAlignment="1">
      <alignment vertical="center" wrapText="1"/>
    </xf>
    <xf numFmtId="2" fontId="20" fillId="3" borderId="1" xfId="0" applyNumberFormat="1" applyFont="1" applyFill="1" applyBorder="1" applyAlignment="1">
      <alignment vertical="center" wrapText="1"/>
    </xf>
    <xf numFmtId="0" fontId="85" fillId="0" borderId="2" xfId="0" applyFont="1" applyBorder="1" applyAlignment="1">
      <alignment horizontal="center" vertical="center"/>
    </xf>
    <xf numFmtId="0" fontId="20" fillId="6" borderId="1" xfId="0" applyNumberFormat="1" applyFont="1" applyFill="1" applyBorder="1" applyAlignment="1">
      <alignment horizontal="center" vertical="center" wrapText="1"/>
    </xf>
    <xf numFmtId="2" fontId="11" fillId="6" borderId="1" xfId="0" applyNumberFormat="1" applyFont="1" applyFill="1" applyBorder="1" applyAlignment="1">
      <alignment horizontal="center" vertical="center" wrapText="1"/>
    </xf>
    <xf numFmtId="0" fontId="85" fillId="0" borderId="4" xfId="0" applyFont="1" applyBorder="1" applyAlignment="1">
      <alignment horizontal="center" vertical="center"/>
    </xf>
    <xf numFmtId="0" fontId="20" fillId="31" borderId="1" xfId="0" applyNumberFormat="1" applyFont="1" applyFill="1" applyBorder="1" applyAlignment="1">
      <alignment horizontal="center" vertical="center" wrapText="1"/>
    </xf>
    <xf numFmtId="0" fontId="85" fillId="0" borderId="3" xfId="0" applyFont="1" applyBorder="1" applyAlignment="1">
      <alignment horizontal="center" vertical="center"/>
    </xf>
    <xf numFmtId="0" fontId="85" fillId="5" borderId="1" xfId="0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 wrapText="1"/>
    </xf>
    <xf numFmtId="2" fontId="13" fillId="6" borderId="1" xfId="0" applyNumberFormat="1" applyFont="1" applyFill="1" applyBorder="1" applyAlignment="1">
      <alignment horizontal="center" vertical="center" wrapText="1"/>
    </xf>
    <xf numFmtId="0" fontId="85" fillId="0" borderId="1" xfId="0" applyFont="1" applyBorder="1" applyAlignment="1">
      <alignment horizontal="center" vertical="center"/>
    </xf>
    <xf numFmtId="49" fontId="20" fillId="6" borderId="1" xfId="0" applyNumberFormat="1" applyFont="1" applyFill="1" applyBorder="1" applyAlignment="1" applyProtection="1">
      <alignment horizontal="center" vertical="center" wrapText="1"/>
    </xf>
    <xf numFmtId="0" fontId="75" fillId="6" borderId="1" xfId="0" applyNumberFormat="1" applyFont="1" applyFill="1" applyBorder="1" applyAlignment="1" applyProtection="1">
      <alignment horizontal="center" vertical="center" wrapText="1"/>
    </xf>
    <xf numFmtId="49" fontId="10" fillId="5" borderId="1" xfId="796" applyNumberFormat="1" applyFont="1" applyFill="1" applyBorder="1" applyAlignment="1">
      <alignment horizontal="center" vertical="center" wrapText="1"/>
    </xf>
    <xf numFmtId="0" fontId="10" fillId="5" borderId="1" xfId="648" applyNumberFormat="1" applyFont="1" applyFill="1" applyBorder="1" applyAlignment="1">
      <alignment horizontal="center" vertical="center" wrapText="1"/>
    </xf>
    <xf numFmtId="2" fontId="20" fillId="6" borderId="1" xfId="0" applyNumberFormat="1" applyFont="1" applyFill="1" applyBorder="1" applyAlignment="1">
      <alignment horizontal="center" vertical="center" wrapText="1"/>
    </xf>
    <xf numFmtId="2" fontId="10" fillId="6" borderId="1" xfId="648" applyNumberFormat="1" applyFont="1" applyFill="1" applyBorder="1" applyAlignment="1">
      <alignment horizontal="center" vertical="center" wrapText="1"/>
    </xf>
    <xf numFmtId="2" fontId="10" fillId="6" borderId="1" xfId="797" applyNumberFormat="1" applyFont="1" applyFill="1" applyBorder="1" applyAlignment="1">
      <alignment horizontal="center" vertical="center" wrapText="1"/>
    </xf>
    <xf numFmtId="49" fontId="20" fillId="6" borderId="1" xfId="648" applyNumberFormat="1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 applyProtection="1">
      <alignment horizontal="center" vertical="center" wrapText="1"/>
    </xf>
    <xf numFmtId="0" fontId="10" fillId="6" borderId="1" xfId="0" applyNumberFormat="1" applyFont="1" applyFill="1" applyBorder="1" applyAlignment="1" applyProtection="1">
      <alignment horizontal="center" vertical="center" wrapText="1"/>
    </xf>
    <xf numFmtId="49" fontId="10" fillId="6" borderId="1" xfId="0" applyNumberFormat="1" applyFont="1" applyFill="1" applyBorder="1" applyAlignment="1" applyProtection="1">
      <alignment horizontal="left" vertical="center" wrapText="1"/>
    </xf>
    <xf numFmtId="0" fontId="0" fillId="5" borderId="1" xfId="0" applyFill="1" applyBorder="1" applyAlignment="1">
      <alignment horizontal="center" vertical="center"/>
    </xf>
    <xf numFmtId="49" fontId="10" fillId="6" borderId="1" xfId="648" applyNumberFormat="1" applyFont="1" applyFill="1" applyBorder="1" applyAlignment="1">
      <alignment horizontal="center" vertical="center" wrapText="1"/>
    </xf>
    <xf numFmtId="0" fontId="10" fillId="6" borderId="1" xfId="648" applyNumberFormat="1" applyFont="1" applyFill="1" applyBorder="1" applyAlignment="1">
      <alignment horizontal="center" vertical="center" wrapText="1"/>
    </xf>
    <xf numFmtId="0" fontId="20" fillId="6" borderId="1" xfId="648" applyNumberFormat="1" applyFont="1" applyFill="1" applyBorder="1" applyAlignment="1">
      <alignment horizontal="center" vertical="center" wrapText="1"/>
    </xf>
    <xf numFmtId="49" fontId="10" fillId="6" borderId="1" xfId="648" applyNumberFormat="1" applyFont="1" applyFill="1" applyBorder="1" applyAlignment="1">
      <alignment horizontal="left" vertical="center" wrapText="1"/>
    </xf>
    <xf numFmtId="49" fontId="10" fillId="6" borderId="1" xfId="880" applyNumberFormat="1" applyFont="1" applyFill="1" applyBorder="1" applyAlignment="1">
      <alignment horizontal="center" vertical="center" wrapText="1"/>
    </xf>
    <xf numFmtId="0" fontId="10" fillId="6" borderId="1" xfId="880" applyNumberFormat="1" applyFont="1" applyFill="1" applyBorder="1" applyAlignment="1">
      <alignment horizontal="center" vertical="center" wrapText="1"/>
    </xf>
    <xf numFmtId="2" fontId="10" fillId="6" borderId="1" xfId="880" applyNumberFormat="1" applyFont="1" applyFill="1" applyBorder="1" applyAlignment="1">
      <alignment horizontal="center" vertical="center" wrapText="1"/>
    </xf>
    <xf numFmtId="2" fontId="10" fillId="6" borderId="1" xfId="796" applyNumberFormat="1" applyFont="1" applyFill="1" applyBorder="1" applyAlignment="1">
      <alignment horizontal="center" vertical="center" wrapText="1"/>
    </xf>
    <xf numFmtId="2" fontId="10" fillId="6" borderId="1" xfId="798" applyNumberFormat="1" applyFont="1" applyFill="1" applyBorder="1" applyAlignment="1">
      <alignment horizontal="center" vertical="center" wrapText="1"/>
    </xf>
    <xf numFmtId="49" fontId="10" fillId="6" borderId="1" xfId="635" applyNumberFormat="1" applyFont="1" applyFill="1" applyBorder="1" applyAlignment="1">
      <alignment horizontal="center"/>
    </xf>
    <xf numFmtId="0" fontId="10" fillId="6" borderId="1" xfId="635" applyNumberFormat="1" applyFont="1" applyFill="1" applyBorder="1" applyAlignment="1">
      <alignment horizontal="center"/>
    </xf>
    <xf numFmtId="2" fontId="10" fillId="6" borderId="1" xfId="635" applyNumberFormat="1" applyFont="1" applyFill="1" applyBorder="1" applyAlignment="1">
      <alignment horizontal="center"/>
    </xf>
    <xf numFmtId="0" fontId="10" fillId="6" borderId="1" xfId="635" applyNumberFormat="1" applyFont="1" applyFill="1" applyBorder="1" applyAlignment="1">
      <alignment horizontal="center" vertical="center"/>
    </xf>
    <xf numFmtId="2" fontId="10" fillId="6" borderId="1" xfId="635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 wrapText="1"/>
    </xf>
    <xf numFmtId="49" fontId="20" fillId="4" borderId="3" xfId="0" applyNumberFormat="1" applyFont="1" applyFill="1" applyBorder="1" applyAlignment="1">
      <alignment horizontal="center" vertical="center" wrapText="1"/>
    </xf>
    <xf numFmtId="49" fontId="65" fillId="0" borderId="7" xfId="0" applyNumberFormat="1" applyFont="1" applyFill="1" applyBorder="1" applyAlignment="1">
      <alignment horizontal="center" vertical="center" wrapText="1"/>
    </xf>
    <xf numFmtId="0" fontId="65" fillId="0" borderId="7" xfId="0" applyNumberFormat="1" applyFont="1" applyFill="1" applyBorder="1" applyAlignment="1">
      <alignment horizontal="center" vertical="center" wrapText="1"/>
    </xf>
    <xf numFmtId="0" fontId="20" fillId="0" borderId="7" xfId="0" applyNumberFormat="1" applyFont="1" applyFill="1" applyBorder="1" applyAlignment="1">
      <alignment horizontal="center" vertical="center" wrapText="1"/>
    </xf>
    <xf numFmtId="2" fontId="20" fillId="0" borderId="7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left" vertical="center" wrapText="1"/>
    </xf>
    <xf numFmtId="0" fontId="11" fillId="6" borderId="1" xfId="0" applyNumberFormat="1" applyFont="1" applyFill="1" applyBorder="1" applyAlignment="1">
      <alignment horizontal="center" vertical="center" wrapText="1"/>
    </xf>
    <xf numFmtId="2" fontId="78" fillId="6" borderId="1" xfId="0" applyNumberFormat="1" applyFont="1" applyFill="1" applyBorder="1" applyAlignment="1">
      <alignment horizontal="center" vertical="center" wrapText="1"/>
    </xf>
    <xf numFmtId="49" fontId="10" fillId="6" borderId="1" xfId="4" applyNumberFormat="1" applyFont="1" applyFill="1" applyBorder="1" applyAlignment="1">
      <alignment horizontal="center" vertical="center" wrapText="1"/>
    </xf>
    <xf numFmtId="49" fontId="20" fillId="6" borderId="1" xfId="4" applyNumberFormat="1" applyFont="1" applyFill="1" applyBorder="1" applyAlignment="1">
      <alignment horizontal="center" vertical="center" wrapText="1"/>
    </xf>
    <xf numFmtId="0" fontId="20" fillId="6" borderId="1" xfId="4" applyNumberFormat="1" applyFont="1" applyFill="1" applyBorder="1" applyAlignment="1">
      <alignment horizontal="center" vertical="center" wrapText="1"/>
    </xf>
    <xf numFmtId="49" fontId="10" fillId="6" borderId="1" xfId="5" applyNumberFormat="1" applyFont="1" applyFill="1" applyBorder="1" applyAlignment="1">
      <alignment horizontal="left" vertical="center" wrapText="1"/>
    </xf>
    <xf numFmtId="49" fontId="10" fillId="6" borderId="1" xfId="5" applyNumberFormat="1" applyFont="1" applyFill="1" applyBorder="1" applyAlignment="1">
      <alignment horizontal="center" vertical="center" wrapText="1"/>
    </xf>
    <xf numFmtId="0" fontId="10" fillId="6" borderId="1" xfId="5" applyNumberFormat="1" applyFont="1" applyFill="1" applyBorder="1" applyAlignment="1">
      <alignment horizontal="center" vertical="center" wrapText="1"/>
    </xf>
    <xf numFmtId="0" fontId="86" fillId="6" borderId="1" xfId="4" applyNumberFormat="1" applyFont="1" applyFill="1" applyBorder="1" applyAlignment="1">
      <alignment horizontal="center" vertical="center" wrapText="1"/>
    </xf>
    <xf numFmtId="0" fontId="10" fillId="6" borderId="1" xfId="902" applyNumberFormat="1" applyFont="1" applyFill="1" applyBorder="1" applyAlignment="1" applyProtection="1">
      <alignment horizontal="center" vertical="center" wrapText="1"/>
    </xf>
    <xf numFmtId="2" fontId="10" fillId="6" borderId="1" xfId="902" applyNumberFormat="1" applyFont="1" applyFill="1" applyBorder="1" applyAlignment="1" applyProtection="1">
      <alignment horizontal="center" vertical="center" wrapText="1"/>
    </xf>
    <xf numFmtId="49" fontId="14" fillId="6" borderId="1" xfId="0" applyNumberFormat="1" applyFont="1" applyFill="1" applyBorder="1" applyAlignment="1">
      <alignment horizontal="center" vertical="center" wrapText="1"/>
    </xf>
    <xf numFmtId="49" fontId="10" fillId="6" borderId="2" xfId="4" applyNumberFormat="1" applyFont="1" applyFill="1" applyBorder="1" applyAlignment="1">
      <alignment horizontal="center" vertical="center" wrapText="1"/>
    </xf>
    <xf numFmtId="49" fontId="20" fillId="6" borderId="2" xfId="4" applyNumberFormat="1" applyFont="1" applyFill="1" applyBorder="1" applyAlignment="1">
      <alignment horizontal="center" vertical="center" wrapText="1"/>
    </xf>
    <xf numFmtId="0" fontId="86" fillId="6" borderId="2" xfId="4" applyNumberFormat="1" applyFont="1" applyFill="1" applyBorder="1" applyAlignment="1">
      <alignment horizontal="center" vertical="center" wrapText="1"/>
    </xf>
    <xf numFmtId="0" fontId="20" fillId="6" borderId="2" xfId="4" applyNumberFormat="1" applyFont="1" applyFill="1" applyBorder="1" applyAlignment="1">
      <alignment horizontal="center" vertical="center" wrapText="1"/>
    </xf>
    <xf numFmtId="2" fontId="10" fillId="6" borderId="2" xfId="0" applyNumberFormat="1" applyFont="1" applyFill="1" applyBorder="1" applyAlignment="1">
      <alignment horizontal="center" vertical="center" wrapText="1"/>
    </xf>
    <xf numFmtId="2" fontId="11" fillId="6" borderId="2" xfId="0" applyNumberFormat="1" applyFont="1" applyFill="1" applyBorder="1" applyAlignment="1">
      <alignment horizontal="center" vertical="center" wrapText="1"/>
    </xf>
    <xf numFmtId="2" fontId="79" fillId="6" borderId="1" xfId="0" applyNumberFormat="1" applyFont="1" applyFill="1" applyBorder="1" applyAlignment="1">
      <alignment horizontal="center" vertical="center" wrapText="1"/>
    </xf>
    <xf numFmtId="49" fontId="13" fillId="6" borderId="4" xfId="0" applyNumberFormat="1" applyFont="1" applyFill="1" applyBorder="1" applyAlignment="1">
      <alignment horizontal="left" vertical="center" wrapText="1"/>
    </xf>
    <xf numFmtId="49" fontId="13" fillId="6" borderId="4" xfId="0" applyNumberFormat="1" applyFont="1" applyFill="1" applyBorder="1" applyAlignment="1">
      <alignment horizontal="center" vertical="center" wrapText="1"/>
    </xf>
    <xf numFmtId="0" fontId="13" fillId="6" borderId="4" xfId="0" applyNumberFormat="1" applyFont="1" applyFill="1" applyBorder="1" applyAlignment="1">
      <alignment horizontal="center" vertical="center" wrapText="1"/>
    </xf>
    <xf numFmtId="2" fontId="13" fillId="6" borderId="4" xfId="0" applyNumberFormat="1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center" wrapText="1"/>
    </xf>
    <xf numFmtId="49" fontId="6" fillId="6" borderId="1" xfId="4" applyNumberFormat="1" applyFont="1" applyFill="1" applyBorder="1" applyAlignment="1">
      <alignment horizontal="center" vertical="center" wrapText="1"/>
    </xf>
    <xf numFmtId="49" fontId="65" fillId="6" borderId="1" xfId="4" applyNumberFormat="1" applyFont="1" applyFill="1" applyBorder="1" applyAlignment="1">
      <alignment horizontal="center" vertical="center" wrapText="1"/>
    </xf>
    <xf numFmtId="0" fontId="65" fillId="6" borderId="1" xfId="4" applyNumberFormat="1" applyFont="1" applyFill="1" applyBorder="1" applyAlignment="1">
      <alignment horizontal="center" vertical="center" wrapText="1"/>
    </xf>
    <xf numFmtId="2" fontId="72" fillId="6" borderId="1" xfId="0" applyNumberFormat="1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left" vertical="center" wrapText="1"/>
    </xf>
    <xf numFmtId="2" fontId="15" fillId="6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2" fontId="10" fillId="0" borderId="1" xfId="902" applyNumberFormat="1" applyFont="1" applyFill="1" applyBorder="1" applyAlignment="1">
      <alignment horizontal="center" vertical="center" wrapText="1"/>
    </xf>
    <xf numFmtId="167" fontId="10" fillId="0" borderId="1" xfId="0" applyNumberFormat="1" applyFont="1" applyFill="1" applyBorder="1" applyAlignment="1">
      <alignment horizontal="center" vertical="center" wrapText="1"/>
    </xf>
    <xf numFmtId="167" fontId="20" fillId="4" borderId="1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>
      <alignment horizontal="center" vertical="center" wrapText="1"/>
    </xf>
    <xf numFmtId="2" fontId="20" fillId="0" borderId="6" xfId="0" applyNumberFormat="1" applyFont="1" applyFill="1" applyBorder="1" applyAlignment="1">
      <alignment horizontal="center" vertical="center" wrapText="1"/>
    </xf>
    <xf numFmtId="49" fontId="20" fillId="0" borderId="6" xfId="0" applyNumberFormat="1" applyFont="1" applyFill="1" applyBorder="1" applyAlignment="1">
      <alignment horizontal="right" vertical="center" wrapText="1"/>
    </xf>
    <xf numFmtId="49" fontId="20" fillId="0" borderId="1" xfId="0" applyNumberFormat="1" applyFont="1" applyFill="1" applyBorder="1" applyAlignment="1">
      <alignment horizontal="right" vertical="center" wrapText="1"/>
    </xf>
    <xf numFmtId="49" fontId="65" fillId="4" borderId="3" xfId="0" applyNumberFormat="1" applyFont="1" applyFill="1" applyBorder="1" applyAlignment="1">
      <alignment horizontal="center" vertical="center" wrapText="1"/>
    </xf>
    <xf numFmtId="49" fontId="65" fillId="4" borderId="7" xfId="0" applyNumberFormat="1" applyFont="1" applyFill="1" applyBorder="1" applyAlignment="1">
      <alignment horizontal="center" vertical="center" wrapText="1"/>
    </xf>
    <xf numFmtId="0" fontId="20" fillId="4" borderId="7" xfId="0" applyNumberFormat="1" applyFont="1" applyFill="1" applyBorder="1" applyAlignment="1">
      <alignment horizontal="center" vertical="center" wrapText="1"/>
    </xf>
    <xf numFmtId="167" fontId="20" fillId="4" borderId="7" xfId="0" applyNumberFormat="1" applyFont="1" applyFill="1" applyBorder="1" applyAlignment="1">
      <alignment horizontal="center" vertical="center" wrapText="1"/>
    </xf>
    <xf numFmtId="2" fontId="20" fillId="4" borderId="7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49" fontId="65" fillId="0" borderId="1" xfId="0" applyNumberFormat="1" applyFont="1" applyFill="1" applyBorder="1" applyAlignment="1">
      <alignment horizontal="center" vertical="center" wrapText="1"/>
    </xf>
    <xf numFmtId="49" fontId="65" fillId="0" borderId="1" xfId="2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49" fontId="6" fillId="6" borderId="3" xfId="0" applyNumberFormat="1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49" fontId="65" fillId="33" borderId="1" xfId="0" applyNumberFormat="1" applyFont="1" applyFill="1" applyBorder="1" applyAlignment="1">
      <alignment horizontal="center" vertical="center" wrapText="1"/>
    </xf>
    <xf numFmtId="49" fontId="20" fillId="33" borderId="1" xfId="0" applyNumberFormat="1" applyFont="1" applyFill="1" applyBorder="1" applyAlignment="1">
      <alignment horizontal="center" vertical="center" wrapText="1"/>
    </xf>
    <xf numFmtId="0" fontId="85" fillId="34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49" fontId="65" fillId="0" borderId="1" xfId="656" applyNumberFormat="1" applyFont="1" applyFill="1" applyBorder="1" applyAlignment="1">
      <alignment horizontal="center" vertical="center" wrapText="1"/>
    </xf>
    <xf numFmtId="49" fontId="20" fillId="0" borderId="1" xfId="906" applyNumberFormat="1" applyFont="1" applyFill="1" applyBorder="1" applyAlignment="1">
      <alignment horizontal="left" vertical="center" wrapText="1"/>
    </xf>
    <xf numFmtId="49" fontId="6" fillId="0" borderId="1" xfId="656" applyNumberFormat="1" applyFont="1" applyFill="1" applyBorder="1" applyAlignment="1">
      <alignment horizontal="center" vertical="center" wrapText="1"/>
    </xf>
    <xf numFmtId="0" fontId="10" fillId="0" borderId="1" xfId="656" applyNumberFormat="1" applyFont="1" applyFill="1" applyBorder="1" applyAlignment="1">
      <alignment horizontal="center" vertical="center" wrapText="1"/>
    </xf>
    <xf numFmtId="2" fontId="10" fillId="0" borderId="1" xfId="905" applyNumberFormat="1" applyFont="1" applyFill="1" applyBorder="1" applyAlignment="1">
      <alignment horizontal="center" vertical="center" wrapText="1"/>
    </xf>
    <xf numFmtId="2" fontId="10" fillId="0" borderId="1" xfId="908" applyNumberFormat="1" applyFont="1" applyFill="1" applyBorder="1" applyAlignment="1">
      <alignment horizontal="center" vertical="center" wrapText="1"/>
    </xf>
    <xf numFmtId="49" fontId="10" fillId="0" borderId="1" xfId="906" applyNumberFormat="1" applyFont="1" applyFill="1" applyBorder="1" applyAlignment="1">
      <alignment horizontal="left" vertical="center" wrapText="1"/>
    </xf>
    <xf numFmtId="49" fontId="65" fillId="0" borderId="1" xfId="3" applyNumberFormat="1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vertical="center" wrapText="1"/>
    </xf>
    <xf numFmtId="49" fontId="10" fillId="6" borderId="1" xfId="0" applyNumberFormat="1" applyFont="1" applyFill="1" applyBorder="1" applyAlignment="1">
      <alignment vertical="center" wrapText="1"/>
    </xf>
    <xf numFmtId="0" fontId="84" fillId="0" borderId="1" xfId="0" applyNumberFormat="1" applyFont="1" applyFill="1" applyBorder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49" fontId="20" fillId="0" borderId="1" xfId="4" applyNumberFormat="1" applyFont="1" applyFill="1" applyBorder="1" applyAlignment="1">
      <alignment vertical="center" wrapText="1"/>
    </xf>
    <xf numFmtId="0" fontId="65" fillId="0" borderId="1" xfId="4" applyNumberFormat="1" applyFont="1" applyFill="1" applyBorder="1" applyAlignment="1">
      <alignment horizontal="center" vertical="center" wrapText="1"/>
    </xf>
    <xf numFmtId="0" fontId="20" fillId="0" borderId="1" xfId="4" applyNumberFormat="1" applyFont="1" applyFill="1" applyBorder="1" applyAlignment="1">
      <alignment horizontal="center" vertical="center" wrapText="1"/>
    </xf>
    <xf numFmtId="2" fontId="79" fillId="0" borderId="1" xfId="0" applyNumberFormat="1" applyFont="1" applyFill="1" applyBorder="1" applyAlignment="1">
      <alignment horizontal="center" vertical="center" wrapText="1"/>
    </xf>
    <xf numFmtId="2" fontId="78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0" fontId="65" fillId="0" borderId="1" xfId="3" applyNumberFormat="1" applyFont="1" applyFill="1" applyBorder="1" applyAlignment="1">
      <alignment horizontal="center" vertical="center" wrapText="1"/>
    </xf>
    <xf numFmtId="49" fontId="6" fillId="0" borderId="1" xfId="0" quotePrefix="1" applyNumberFormat="1" applyFont="1" applyFill="1" applyBorder="1" applyAlignment="1" applyProtection="1">
      <alignment horizontal="center" vertical="center" wrapText="1"/>
    </xf>
    <xf numFmtId="49" fontId="20" fillId="0" borderId="1" xfId="635" applyNumberFormat="1" applyFont="1" applyFill="1" applyBorder="1" applyAlignment="1">
      <alignment horizontal="left" vertical="center" wrapText="1"/>
    </xf>
    <xf numFmtId="49" fontId="6" fillId="0" borderId="1" xfId="635" applyNumberFormat="1" applyFont="1" applyFill="1" applyBorder="1" applyAlignment="1">
      <alignment horizontal="center" vertical="center" wrapText="1"/>
    </xf>
    <xf numFmtId="49" fontId="89" fillId="34" borderId="1" xfId="0" applyNumberFormat="1" applyFont="1" applyFill="1" applyBorder="1" applyAlignment="1">
      <alignment horizontal="center" vertical="center" wrapText="1"/>
    </xf>
    <xf numFmtId="49" fontId="90" fillId="34" borderId="1" xfId="0" applyNumberFormat="1" applyFont="1" applyFill="1" applyBorder="1" applyAlignment="1">
      <alignment horizontal="center" vertical="center" wrapText="1"/>
    </xf>
    <xf numFmtId="49" fontId="12" fillId="34" borderId="1" xfId="0" applyNumberFormat="1" applyFont="1" applyFill="1" applyBorder="1" applyAlignment="1">
      <alignment horizontal="center" vertical="center" wrapText="1"/>
    </xf>
    <xf numFmtId="0" fontId="6" fillId="0" borderId="1" xfId="656" applyNumberFormat="1" applyFont="1" applyFill="1" applyBorder="1" applyAlignment="1">
      <alignment horizontal="center" vertical="center" wrapText="1"/>
    </xf>
    <xf numFmtId="49" fontId="91" fillId="0" borderId="1" xfId="0" applyNumberFormat="1" applyFont="1" applyFill="1" applyBorder="1" applyAlignment="1">
      <alignment horizontal="center" vertical="center" wrapText="1"/>
    </xf>
    <xf numFmtId="0" fontId="20" fillId="0" borderId="1" xfId="3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Alignment="1">
      <alignment vertical="center" wrapText="1"/>
    </xf>
    <xf numFmtId="0" fontId="65" fillId="33" borderId="1" xfId="0" applyNumberFormat="1" applyFont="1" applyFill="1" applyBorder="1" applyAlignment="1">
      <alignment horizontal="center" vertical="center" wrapText="1"/>
    </xf>
    <xf numFmtId="0" fontId="20" fillId="33" borderId="1" xfId="0" applyNumberFormat="1" applyFont="1" applyFill="1" applyBorder="1" applyAlignment="1">
      <alignment horizontal="center" vertical="center" wrapText="1"/>
    </xf>
    <xf numFmtId="0" fontId="90" fillId="34" borderId="1" xfId="0" applyNumberFormat="1" applyFont="1" applyFill="1" applyBorder="1" applyAlignment="1">
      <alignment horizontal="center" vertical="center" wrapText="1"/>
    </xf>
    <xf numFmtId="0" fontId="90" fillId="0" borderId="1" xfId="0" applyNumberFormat="1" applyFont="1" applyFill="1" applyBorder="1" applyAlignment="1">
      <alignment horizontal="center" vertical="center" wrapText="1"/>
    </xf>
    <xf numFmtId="0" fontId="65" fillId="0" borderId="0" xfId="0" applyNumberFormat="1" applyFont="1" applyFill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9" fontId="12" fillId="2" borderId="6" xfId="0" applyNumberFormat="1" applyFont="1" applyFill="1" applyBorder="1" applyAlignment="1">
      <alignment horizontal="center" vertical="center" wrapText="1"/>
    </xf>
    <xf numFmtId="0" fontId="82" fillId="2" borderId="6" xfId="0" applyNumberFormat="1" applyFont="1" applyFill="1" applyBorder="1" applyAlignment="1">
      <alignment horizontal="center" vertical="center" wrapText="1"/>
    </xf>
    <xf numFmtId="0" fontId="82" fillId="2" borderId="7" xfId="0" applyNumberFormat="1" applyFont="1" applyFill="1" applyBorder="1" applyAlignment="1">
      <alignment horizontal="center" vertical="center" wrapText="1"/>
    </xf>
    <xf numFmtId="9" fontId="20" fillId="2" borderId="6" xfId="0" applyNumberFormat="1" applyFont="1" applyFill="1" applyBorder="1" applyAlignment="1">
      <alignment horizontal="center" vertical="center" wrapText="1"/>
    </xf>
    <xf numFmtId="49" fontId="87" fillId="6" borderId="1" xfId="0" applyNumberFormat="1" applyFont="1" applyFill="1" applyBorder="1" applyAlignment="1">
      <alignment horizontal="center" vertical="center" wrapText="1"/>
    </xf>
    <xf numFmtId="2" fontId="11" fillId="0" borderId="24" xfId="0" applyNumberFormat="1" applyFont="1" applyBorder="1" applyAlignment="1">
      <alignment horizontal="center" vertical="center" wrapText="1"/>
    </xf>
    <xf numFmtId="2" fontId="11" fillId="0" borderId="25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11" fillId="0" borderId="26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2" fontId="11" fillId="0" borderId="21" xfId="0" applyNumberFormat="1" applyFont="1" applyBorder="1" applyAlignment="1">
      <alignment horizontal="center" vertical="center" wrapText="1"/>
    </xf>
    <xf numFmtId="2" fontId="11" fillId="0" borderId="22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2" fontId="11" fillId="0" borderId="28" xfId="0" applyNumberFormat="1" applyFont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49" fontId="11" fillId="4" borderId="17" xfId="0" applyNumberFormat="1" applyFont="1" applyFill="1" applyBorder="1" applyAlignment="1">
      <alignment horizontal="center" vertical="center" wrapText="1"/>
    </xf>
    <xf numFmtId="49" fontId="11" fillId="4" borderId="18" xfId="0" applyNumberFormat="1" applyFont="1" applyFill="1" applyBorder="1" applyAlignment="1">
      <alignment horizontal="center" vertical="center" wrapText="1"/>
    </xf>
    <xf numFmtId="49" fontId="12" fillId="4" borderId="18" xfId="0" applyNumberFormat="1" applyFont="1" applyFill="1" applyBorder="1" applyAlignment="1">
      <alignment horizontal="center" vertical="center" wrapText="1"/>
    </xf>
    <xf numFmtId="2" fontId="12" fillId="4" borderId="18" xfId="0" applyNumberFormat="1" applyFont="1" applyFill="1" applyBorder="1" applyAlignment="1">
      <alignment horizontal="center" vertical="center" wrapText="1"/>
    </xf>
    <xf numFmtId="2" fontId="12" fillId="4" borderId="26" xfId="0" applyNumberFormat="1" applyFont="1" applyFill="1" applyBorder="1" applyAlignment="1">
      <alignment horizontal="center" vertical="center" wrapText="1"/>
    </xf>
    <xf numFmtId="49" fontId="81" fillId="0" borderId="21" xfId="0" applyNumberFormat="1" applyFont="1" applyBorder="1" applyAlignment="1">
      <alignment horizontal="center" vertical="center" wrapText="1"/>
    </xf>
    <xf numFmtId="9" fontId="12" fillId="2" borderId="21" xfId="0" applyNumberFormat="1" applyFont="1" applyFill="1" applyBorder="1" applyAlignment="1">
      <alignment horizontal="center" vertical="center" wrapText="1"/>
    </xf>
    <xf numFmtId="2" fontId="81" fillId="0" borderId="22" xfId="0" applyNumberFormat="1" applyFont="1" applyBorder="1" applyAlignment="1">
      <alignment horizontal="center" vertical="center" wrapText="1"/>
    </xf>
    <xf numFmtId="49" fontId="11" fillId="3" borderId="17" xfId="0" applyNumberFormat="1" applyFont="1" applyFill="1" applyBorder="1" applyAlignment="1">
      <alignment horizontal="center" vertical="center" wrapText="1"/>
    </xf>
    <xf numFmtId="49" fontId="11" fillId="3" borderId="18" xfId="0" applyNumberFormat="1" applyFont="1" applyFill="1" applyBorder="1" applyAlignment="1">
      <alignment horizontal="center" vertical="center" wrapText="1"/>
    </xf>
    <xf numFmtId="49" fontId="12" fillId="3" borderId="18" xfId="0" applyNumberFormat="1" applyFont="1" applyFill="1" applyBorder="1" applyAlignment="1">
      <alignment horizontal="center" vertical="center" wrapText="1"/>
    </xf>
    <xf numFmtId="0" fontId="11" fillId="3" borderId="18" xfId="0" applyNumberFormat="1" applyFont="1" applyFill="1" applyBorder="1" applyAlignment="1">
      <alignment horizontal="center" vertical="center" wrapText="1"/>
    </xf>
    <xf numFmtId="2" fontId="12" fillId="3" borderId="26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2" fontId="11" fillId="0" borderId="21" xfId="0" applyNumberFormat="1" applyFont="1" applyBorder="1" applyAlignment="1">
      <alignment horizontal="center" vertical="center" wrapText="1"/>
    </xf>
    <xf numFmtId="2" fontId="11" fillId="0" borderId="22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88" fillId="0" borderId="2" xfId="0" applyNumberFormat="1" applyFont="1" applyFill="1" applyBorder="1" applyAlignment="1">
      <alignment horizontal="center" vertical="center" wrapText="1"/>
    </xf>
    <xf numFmtId="49" fontId="88" fillId="0" borderId="4" xfId="0" applyNumberFormat="1" applyFont="1" applyFill="1" applyBorder="1" applyAlignment="1">
      <alignment horizontal="center" vertical="center" wrapText="1"/>
    </xf>
    <xf numFmtId="49" fontId="88" fillId="0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90" fillId="0" borderId="2" xfId="0" applyNumberFormat="1" applyFont="1" applyFill="1" applyBorder="1" applyAlignment="1">
      <alignment horizontal="center" vertical="center" wrapText="1"/>
    </xf>
    <xf numFmtId="49" fontId="90" fillId="0" borderId="4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49" fontId="65" fillId="0" borderId="2" xfId="0" applyNumberFormat="1" applyFont="1" applyFill="1" applyBorder="1" applyAlignment="1">
      <alignment horizontal="center" vertical="top" wrapText="1"/>
    </xf>
    <xf numFmtId="49" fontId="65" fillId="0" borderId="4" xfId="0" applyNumberFormat="1" applyFont="1" applyFill="1" applyBorder="1" applyAlignment="1">
      <alignment horizontal="center" vertical="top" wrapText="1"/>
    </xf>
    <xf numFmtId="49" fontId="65" fillId="0" borderId="3" xfId="0" applyNumberFormat="1" applyFont="1" applyFill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2" fontId="11" fillId="0" borderId="6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14" fillId="3" borderId="5" xfId="0" applyNumberFormat="1" applyFont="1" applyFill="1" applyBorder="1" applyAlignment="1">
      <alignment horizontal="center" vertical="center" wrapText="1"/>
    </xf>
    <xf numFmtId="49" fontId="14" fillId="3" borderId="19" xfId="0" applyNumberFormat="1" applyFont="1" applyFill="1" applyBorder="1" applyAlignment="1">
      <alignment horizontal="center" vertical="center" wrapText="1"/>
    </xf>
    <xf numFmtId="49" fontId="14" fillId="3" borderId="6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49" fontId="6" fillId="6" borderId="2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3" xfId="0" applyNumberFormat="1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49" fontId="6" fillId="0" borderId="2" xfId="683" applyNumberFormat="1" applyFont="1" applyFill="1" applyBorder="1" applyAlignment="1">
      <alignment horizontal="center" vertical="center" wrapText="1"/>
    </xf>
    <xf numFmtId="49" fontId="6" fillId="0" borderId="4" xfId="683" applyNumberFormat="1" applyFont="1" applyFill="1" applyBorder="1" applyAlignment="1">
      <alignment horizontal="center" vertical="center" wrapText="1"/>
    </xf>
    <xf numFmtId="49" fontId="6" fillId="0" borderId="3" xfId="683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49" fontId="6" fillId="0" borderId="2" xfId="4" applyNumberFormat="1" applyFont="1" applyFill="1" applyBorder="1" applyAlignment="1">
      <alignment horizontal="center" vertical="center" wrapText="1"/>
    </xf>
    <xf numFmtId="49" fontId="6" fillId="0" borderId="4" xfId="4" applyNumberFormat="1" applyFont="1" applyFill="1" applyBorder="1" applyAlignment="1">
      <alignment horizontal="center" vertical="center" wrapText="1"/>
    </xf>
    <xf numFmtId="49" fontId="6" fillId="0" borderId="3" xfId="4" applyNumberFormat="1" applyFont="1" applyFill="1" applyBorder="1" applyAlignment="1">
      <alignment horizontal="center" vertical="center" wrapText="1"/>
    </xf>
  </cellXfs>
  <cellStyles count="909">
    <cellStyle name="20% - Accent1" xfId="7"/>
    <cellStyle name="20% - Accent1 2" xfId="8"/>
    <cellStyle name="20% - Accent1 2 2" xfId="9"/>
    <cellStyle name="20% - Accent1 2 2 2" xfId="10"/>
    <cellStyle name="20% - Accent1 2 3" xfId="11"/>
    <cellStyle name="20% - Accent1 2 3 2" xfId="12"/>
    <cellStyle name="20% - Accent1 2 4" xfId="13"/>
    <cellStyle name="20% - Accent1 2 4 2" xfId="14"/>
    <cellStyle name="20% - Accent1 2 5" xfId="15"/>
    <cellStyle name="20% - Accent1 2 5 2" xfId="16"/>
    <cellStyle name="20% - Accent1 2 6" xfId="17"/>
    <cellStyle name="20% - Accent1 3" xfId="18"/>
    <cellStyle name="20% - Accent1 3 2" xfId="19"/>
    <cellStyle name="20% - Accent1 4" xfId="20"/>
    <cellStyle name="20% - Accent1 4 2" xfId="21"/>
    <cellStyle name="20% - Accent1 4 2 2" xfId="22"/>
    <cellStyle name="20% - Accent1 4 3" xfId="23"/>
    <cellStyle name="20% - Accent1 5" xfId="24"/>
    <cellStyle name="20% - Accent1 5 2" xfId="25"/>
    <cellStyle name="20% - Accent1 6" xfId="26"/>
    <cellStyle name="20% - Accent1 6 2" xfId="27"/>
    <cellStyle name="20% - Accent1 7" xfId="28"/>
    <cellStyle name="20% - Accent1 7 2" xfId="29"/>
    <cellStyle name="20% - Accent1_Q.W. ADMINISTRACIULI SENOBA" xfId="30"/>
    <cellStyle name="20% - Accent2" xfId="31"/>
    <cellStyle name="20% - Accent2 2" xfId="32"/>
    <cellStyle name="20% - Accent2 2 2" xfId="33"/>
    <cellStyle name="20% - Accent2 2 2 2" xfId="34"/>
    <cellStyle name="20% - Accent2 2 3" xfId="35"/>
    <cellStyle name="20% - Accent2 2 3 2" xfId="36"/>
    <cellStyle name="20% - Accent2 2 4" xfId="37"/>
    <cellStyle name="20% - Accent2 2 4 2" xfId="38"/>
    <cellStyle name="20% - Accent2 2 5" xfId="39"/>
    <cellStyle name="20% - Accent2 2 5 2" xfId="40"/>
    <cellStyle name="20% - Accent2 2 6" xfId="41"/>
    <cellStyle name="20% - Accent2 3" xfId="42"/>
    <cellStyle name="20% - Accent2 3 2" xfId="43"/>
    <cellStyle name="20% - Accent2 4" xfId="44"/>
    <cellStyle name="20% - Accent2 4 2" xfId="45"/>
    <cellStyle name="20% - Accent2 4 2 2" xfId="46"/>
    <cellStyle name="20% - Accent2 4 3" xfId="47"/>
    <cellStyle name="20% - Accent2 5" xfId="48"/>
    <cellStyle name="20% - Accent2 5 2" xfId="49"/>
    <cellStyle name="20% - Accent2 6" xfId="50"/>
    <cellStyle name="20% - Accent2 6 2" xfId="51"/>
    <cellStyle name="20% - Accent2 7" xfId="52"/>
    <cellStyle name="20% - Accent2 7 2" xfId="53"/>
    <cellStyle name="20% - Accent2_Q.W. ADMINISTRACIULI SENOBA" xfId="54"/>
    <cellStyle name="20% - Accent3" xfId="55"/>
    <cellStyle name="20% - Accent3 2" xfId="56"/>
    <cellStyle name="20% - Accent3 2 2" xfId="57"/>
    <cellStyle name="20% - Accent3 2 2 2" xfId="58"/>
    <cellStyle name="20% - Accent3 2 3" xfId="59"/>
    <cellStyle name="20% - Accent3 2 3 2" xfId="60"/>
    <cellStyle name="20% - Accent3 2 4" xfId="61"/>
    <cellStyle name="20% - Accent3 2 4 2" xfId="62"/>
    <cellStyle name="20% - Accent3 2 5" xfId="63"/>
    <cellStyle name="20% - Accent3 2 5 2" xfId="64"/>
    <cellStyle name="20% - Accent3 2 6" xfId="65"/>
    <cellStyle name="20% - Accent3 3" xfId="66"/>
    <cellStyle name="20% - Accent3 3 2" xfId="67"/>
    <cellStyle name="20% - Accent3 4" xfId="68"/>
    <cellStyle name="20% - Accent3 4 2" xfId="69"/>
    <cellStyle name="20% - Accent3 4 2 2" xfId="70"/>
    <cellStyle name="20% - Accent3 4 3" xfId="71"/>
    <cellStyle name="20% - Accent3 5" xfId="72"/>
    <cellStyle name="20% - Accent3 5 2" xfId="73"/>
    <cellStyle name="20% - Accent3 6" xfId="74"/>
    <cellStyle name="20% - Accent3 6 2" xfId="75"/>
    <cellStyle name="20% - Accent3 7" xfId="76"/>
    <cellStyle name="20% - Accent3 7 2" xfId="77"/>
    <cellStyle name="20% - Accent3_Q.W. ADMINISTRACIULI SENOBA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2 3 2" xfId="84"/>
    <cellStyle name="20% - Accent4 2 4" xfId="85"/>
    <cellStyle name="20% - Accent4 2 4 2" xfId="86"/>
    <cellStyle name="20% - Accent4 2 5" xfId="87"/>
    <cellStyle name="20% - Accent4 2 5 2" xfId="88"/>
    <cellStyle name="20% - Accent4 2 6" xfId="89"/>
    <cellStyle name="20% - Accent4 3" xfId="90"/>
    <cellStyle name="20% - Accent4 3 2" xfId="91"/>
    <cellStyle name="20% - Accent4 4" xfId="92"/>
    <cellStyle name="20% - Accent4 4 2" xfId="93"/>
    <cellStyle name="20% - Accent4 4 2 2" xfId="94"/>
    <cellStyle name="20% - Accent4 4 3" xfId="95"/>
    <cellStyle name="20% - Accent4 5" xfId="96"/>
    <cellStyle name="20% - Accent4 5 2" xfId="97"/>
    <cellStyle name="20% - Accent4 6" xfId="98"/>
    <cellStyle name="20% - Accent4 6 2" xfId="99"/>
    <cellStyle name="20% - Accent4 7" xfId="100"/>
    <cellStyle name="20% - Accent4 7 2" xfId="101"/>
    <cellStyle name="20% - Accent4_Q.W. ADMINISTRACIULI SENOBA" xfId="102"/>
    <cellStyle name="20% - Accent5" xfId="103"/>
    <cellStyle name="20% - Accent5 2" xfId="104"/>
    <cellStyle name="20% - Accent5 2 2" xfId="105"/>
    <cellStyle name="20% - Accent5 2 2 2" xfId="106"/>
    <cellStyle name="20% - Accent5 2 3" xfId="107"/>
    <cellStyle name="20% - Accent5 2 3 2" xfId="108"/>
    <cellStyle name="20% - Accent5 2 4" xfId="109"/>
    <cellStyle name="20% - Accent5 2 4 2" xfId="110"/>
    <cellStyle name="20% - Accent5 2 5" xfId="111"/>
    <cellStyle name="20% - Accent5 2 5 2" xfId="112"/>
    <cellStyle name="20% - Accent5 2 6" xfId="113"/>
    <cellStyle name="20% - Accent5 3" xfId="114"/>
    <cellStyle name="20% - Accent5 3 2" xfId="115"/>
    <cellStyle name="20% - Accent5 4" xfId="116"/>
    <cellStyle name="20% - Accent5 4 2" xfId="117"/>
    <cellStyle name="20% - Accent5 4 2 2" xfId="118"/>
    <cellStyle name="20% - Accent5 4 3" xfId="119"/>
    <cellStyle name="20% - Accent5 5" xfId="120"/>
    <cellStyle name="20% - Accent5 5 2" xfId="121"/>
    <cellStyle name="20% - Accent5 6" xfId="122"/>
    <cellStyle name="20% - Accent5 6 2" xfId="123"/>
    <cellStyle name="20% - Accent5 7" xfId="124"/>
    <cellStyle name="20% - Accent5 7 2" xfId="125"/>
    <cellStyle name="20% - Accent5_Q.W. ADMINISTRACIULI SENOBA" xfId="126"/>
    <cellStyle name="20% - Accent6" xfId="127"/>
    <cellStyle name="20% - Accent6 2" xfId="128"/>
    <cellStyle name="20% - Accent6 2 2" xfId="129"/>
    <cellStyle name="20% - Accent6 2 2 2" xfId="130"/>
    <cellStyle name="20% - Accent6 2 3" xfId="131"/>
    <cellStyle name="20% - Accent6 2 3 2" xfId="132"/>
    <cellStyle name="20% - Accent6 2 4" xfId="133"/>
    <cellStyle name="20% - Accent6 2 4 2" xfId="134"/>
    <cellStyle name="20% - Accent6 2 5" xfId="135"/>
    <cellStyle name="20% - Accent6 2 5 2" xfId="136"/>
    <cellStyle name="20% - Accent6 2 6" xfId="137"/>
    <cellStyle name="20% - Accent6 3" xfId="138"/>
    <cellStyle name="20% - Accent6 3 2" xfId="139"/>
    <cellStyle name="20% - Accent6 4" xfId="140"/>
    <cellStyle name="20% - Accent6 4 2" xfId="141"/>
    <cellStyle name="20% - Accent6 4 2 2" xfId="142"/>
    <cellStyle name="20% - Accent6 4 3" xfId="143"/>
    <cellStyle name="20% - Accent6 5" xfId="144"/>
    <cellStyle name="20% - Accent6 5 2" xfId="145"/>
    <cellStyle name="20% - Accent6 6" xfId="146"/>
    <cellStyle name="20% - Accent6 6 2" xfId="147"/>
    <cellStyle name="20% - Accent6 7" xfId="148"/>
    <cellStyle name="20% - Accent6 7 2" xfId="149"/>
    <cellStyle name="20% - Accent6_Q.W. ADMINISTRACIULI SENOBA" xfId="150"/>
    <cellStyle name="40% - Accent1" xfId="151"/>
    <cellStyle name="40% - Accent1 2" xfId="152"/>
    <cellStyle name="40% - Accent1 2 2" xfId="153"/>
    <cellStyle name="40% - Accent1 2 2 2" xfId="154"/>
    <cellStyle name="40% - Accent1 2 3" xfId="155"/>
    <cellStyle name="40% - Accent1 2 3 2" xfId="156"/>
    <cellStyle name="40% - Accent1 2 4" xfId="157"/>
    <cellStyle name="40% - Accent1 2 4 2" xfId="158"/>
    <cellStyle name="40% - Accent1 2 5" xfId="159"/>
    <cellStyle name="40% - Accent1 2 5 2" xfId="160"/>
    <cellStyle name="40% - Accent1 2 6" xfId="161"/>
    <cellStyle name="40% - Accent1 3" xfId="162"/>
    <cellStyle name="40% - Accent1 3 2" xfId="163"/>
    <cellStyle name="40% - Accent1 4" xfId="164"/>
    <cellStyle name="40% - Accent1 4 2" xfId="165"/>
    <cellStyle name="40% - Accent1 4 2 2" xfId="166"/>
    <cellStyle name="40% - Accent1 4 3" xfId="167"/>
    <cellStyle name="40% - Accent1 5" xfId="168"/>
    <cellStyle name="40% - Accent1 5 2" xfId="169"/>
    <cellStyle name="40% - Accent1 6" xfId="170"/>
    <cellStyle name="40% - Accent1 6 2" xfId="171"/>
    <cellStyle name="40% - Accent1 7" xfId="172"/>
    <cellStyle name="40% - Accent1 7 2" xfId="173"/>
    <cellStyle name="40% - Accent1_Q.W. ADMINISTRACIULI SENOBA" xfId="174"/>
    <cellStyle name="40% - Accent2" xfId="175"/>
    <cellStyle name="40% - Accent2 2" xfId="176"/>
    <cellStyle name="40% - Accent2 2 2" xfId="177"/>
    <cellStyle name="40% - Accent2 2 2 2" xfId="178"/>
    <cellStyle name="40% - Accent2 2 3" xfId="179"/>
    <cellStyle name="40% - Accent2 2 3 2" xfId="180"/>
    <cellStyle name="40% - Accent2 2 4" xfId="181"/>
    <cellStyle name="40% - Accent2 2 4 2" xfId="182"/>
    <cellStyle name="40% - Accent2 2 5" xfId="183"/>
    <cellStyle name="40% - Accent2 2 5 2" xfId="184"/>
    <cellStyle name="40% - Accent2 2 6" xfId="185"/>
    <cellStyle name="40% - Accent2 3" xfId="186"/>
    <cellStyle name="40% - Accent2 3 2" xfId="187"/>
    <cellStyle name="40% - Accent2 4" xfId="188"/>
    <cellStyle name="40% - Accent2 4 2" xfId="189"/>
    <cellStyle name="40% - Accent2 4 2 2" xfId="190"/>
    <cellStyle name="40% - Accent2 4 3" xfId="191"/>
    <cellStyle name="40% - Accent2 5" xfId="192"/>
    <cellStyle name="40% - Accent2 5 2" xfId="193"/>
    <cellStyle name="40% - Accent2 6" xfId="194"/>
    <cellStyle name="40% - Accent2 6 2" xfId="195"/>
    <cellStyle name="40% - Accent2 7" xfId="196"/>
    <cellStyle name="40% - Accent2 7 2" xfId="197"/>
    <cellStyle name="40% - Accent2_Q.W. ADMINISTRACIULI SENOBA" xfId="198"/>
    <cellStyle name="40% - Accent3" xfId="199"/>
    <cellStyle name="40% - Accent3 2" xfId="200"/>
    <cellStyle name="40% - Accent3 2 2" xfId="201"/>
    <cellStyle name="40% - Accent3 2 2 2" xfId="202"/>
    <cellStyle name="40% - Accent3 2 3" xfId="203"/>
    <cellStyle name="40% - Accent3 2 3 2" xfId="204"/>
    <cellStyle name="40% - Accent3 2 4" xfId="205"/>
    <cellStyle name="40% - Accent3 2 4 2" xfId="206"/>
    <cellStyle name="40% - Accent3 2 5" xfId="207"/>
    <cellStyle name="40% - Accent3 2 5 2" xfId="208"/>
    <cellStyle name="40% - Accent3 2 6" xfId="209"/>
    <cellStyle name="40% - Accent3 3" xfId="210"/>
    <cellStyle name="40% - Accent3 3 2" xfId="211"/>
    <cellStyle name="40% - Accent3 4" xfId="212"/>
    <cellStyle name="40% - Accent3 4 2" xfId="213"/>
    <cellStyle name="40% - Accent3 4 2 2" xfId="214"/>
    <cellStyle name="40% - Accent3 4 3" xfId="215"/>
    <cellStyle name="40% - Accent3 5" xfId="216"/>
    <cellStyle name="40% - Accent3 5 2" xfId="217"/>
    <cellStyle name="40% - Accent3 6" xfId="218"/>
    <cellStyle name="40% - Accent3 6 2" xfId="219"/>
    <cellStyle name="40% - Accent3 7" xfId="220"/>
    <cellStyle name="40% - Accent3 7 2" xfId="221"/>
    <cellStyle name="40% - Accent3_Q.W. ADMINISTRACIULI SENOBA" xfId="222"/>
    <cellStyle name="40% - Accent4" xfId="223"/>
    <cellStyle name="40% - Accent4 2" xfId="224"/>
    <cellStyle name="40% - Accent4 2 2" xfId="225"/>
    <cellStyle name="40% - Accent4 2 2 2" xfId="226"/>
    <cellStyle name="40% - Accent4 2 3" xfId="227"/>
    <cellStyle name="40% - Accent4 2 3 2" xfId="228"/>
    <cellStyle name="40% - Accent4 2 4" xfId="229"/>
    <cellStyle name="40% - Accent4 2 4 2" xfId="230"/>
    <cellStyle name="40% - Accent4 2 5" xfId="231"/>
    <cellStyle name="40% - Accent4 2 5 2" xfId="232"/>
    <cellStyle name="40% - Accent4 2 6" xfId="233"/>
    <cellStyle name="40% - Accent4 3" xfId="234"/>
    <cellStyle name="40% - Accent4 3 2" xfId="235"/>
    <cellStyle name="40% - Accent4 4" xfId="236"/>
    <cellStyle name="40% - Accent4 4 2" xfId="237"/>
    <cellStyle name="40% - Accent4 4 2 2" xfId="238"/>
    <cellStyle name="40% - Accent4 4 3" xfId="239"/>
    <cellStyle name="40% - Accent4 5" xfId="240"/>
    <cellStyle name="40% - Accent4 5 2" xfId="241"/>
    <cellStyle name="40% - Accent4 6" xfId="242"/>
    <cellStyle name="40% - Accent4 6 2" xfId="243"/>
    <cellStyle name="40% - Accent4 7" xfId="244"/>
    <cellStyle name="40% - Accent4 7 2" xfId="245"/>
    <cellStyle name="40% - Accent4_Q.W. ADMINISTRACIULI SENOBA" xfId="246"/>
    <cellStyle name="40% - Accent5" xfId="247"/>
    <cellStyle name="40% - Accent5 2" xfId="248"/>
    <cellStyle name="40% - Accent5 2 2" xfId="249"/>
    <cellStyle name="40% - Accent5 2 2 2" xfId="250"/>
    <cellStyle name="40% - Accent5 2 3" xfId="251"/>
    <cellStyle name="40% - Accent5 2 3 2" xfId="252"/>
    <cellStyle name="40% - Accent5 2 4" xfId="253"/>
    <cellStyle name="40% - Accent5 2 4 2" xfId="254"/>
    <cellStyle name="40% - Accent5 2 5" xfId="255"/>
    <cellStyle name="40% - Accent5 2 5 2" xfId="256"/>
    <cellStyle name="40% - Accent5 2 6" xfId="257"/>
    <cellStyle name="40% - Accent5 3" xfId="258"/>
    <cellStyle name="40% - Accent5 3 2" xfId="259"/>
    <cellStyle name="40% - Accent5 4" xfId="260"/>
    <cellStyle name="40% - Accent5 4 2" xfId="261"/>
    <cellStyle name="40% - Accent5 4 2 2" xfId="262"/>
    <cellStyle name="40% - Accent5 4 3" xfId="263"/>
    <cellStyle name="40% - Accent5 5" xfId="264"/>
    <cellStyle name="40% - Accent5 5 2" xfId="265"/>
    <cellStyle name="40% - Accent5 6" xfId="266"/>
    <cellStyle name="40% - Accent5 6 2" xfId="267"/>
    <cellStyle name="40% - Accent5 7" xfId="268"/>
    <cellStyle name="40% - Accent5 7 2" xfId="269"/>
    <cellStyle name="40% - Accent5_Q.W. ADMINISTRACIULI SENOBA" xfId="270"/>
    <cellStyle name="40% - Accent6" xfId="271"/>
    <cellStyle name="40% - Accent6 2" xfId="272"/>
    <cellStyle name="40% - Accent6 2 2" xfId="273"/>
    <cellStyle name="40% - Accent6 2 2 2" xfId="274"/>
    <cellStyle name="40% - Accent6 2 3" xfId="275"/>
    <cellStyle name="40% - Accent6 2 3 2" xfId="276"/>
    <cellStyle name="40% - Accent6 2 4" xfId="277"/>
    <cellStyle name="40% - Accent6 2 4 2" xfId="278"/>
    <cellStyle name="40% - Accent6 2 5" xfId="279"/>
    <cellStyle name="40% - Accent6 2 5 2" xfId="280"/>
    <cellStyle name="40% - Accent6 2 6" xfId="281"/>
    <cellStyle name="40% - Accent6 3" xfId="282"/>
    <cellStyle name="40% - Accent6 3 2" xfId="283"/>
    <cellStyle name="40% - Accent6 4" xfId="284"/>
    <cellStyle name="40% - Accent6 4 2" xfId="285"/>
    <cellStyle name="40% - Accent6 4 2 2" xfId="286"/>
    <cellStyle name="40% - Accent6 4 3" xfId="287"/>
    <cellStyle name="40% - Accent6 5" xfId="288"/>
    <cellStyle name="40% - Accent6 5 2" xfId="289"/>
    <cellStyle name="40% - Accent6 6" xfId="290"/>
    <cellStyle name="40% - Accent6 6 2" xfId="291"/>
    <cellStyle name="40% - Accent6 7" xfId="292"/>
    <cellStyle name="40% - Accent6 7 2" xfId="293"/>
    <cellStyle name="40% - Accent6_Q.W. ADMINISTRACIULI SENOBA" xfId="294"/>
    <cellStyle name="60% - Accent1" xfId="295"/>
    <cellStyle name="60% - Accent1 2" xfId="296"/>
    <cellStyle name="60% - Accent1 2 2" xfId="297"/>
    <cellStyle name="60% - Accent1 2 3" xfId="298"/>
    <cellStyle name="60% - Accent1 2 4" xfId="299"/>
    <cellStyle name="60% - Accent1 2 5" xfId="300"/>
    <cellStyle name="60% - Accent1 3" xfId="301"/>
    <cellStyle name="60% - Accent1 4" xfId="302"/>
    <cellStyle name="60% - Accent1 4 2" xfId="303"/>
    <cellStyle name="60% - Accent1 5" xfId="304"/>
    <cellStyle name="60% - Accent1 6" xfId="305"/>
    <cellStyle name="60% - Accent1 7" xfId="306"/>
    <cellStyle name="60% - Accent2" xfId="307"/>
    <cellStyle name="60% - Accent2 2" xfId="308"/>
    <cellStyle name="60% - Accent2 2 2" xfId="309"/>
    <cellStyle name="60% - Accent2 2 3" xfId="310"/>
    <cellStyle name="60% - Accent2 2 4" xfId="311"/>
    <cellStyle name="60% - Accent2 2 5" xfId="312"/>
    <cellStyle name="60% - Accent2 3" xfId="313"/>
    <cellStyle name="60% - Accent2 4" xfId="314"/>
    <cellStyle name="60% - Accent2 4 2" xfId="315"/>
    <cellStyle name="60% - Accent2 5" xfId="316"/>
    <cellStyle name="60% - Accent2 6" xfId="317"/>
    <cellStyle name="60% - Accent2 7" xfId="318"/>
    <cellStyle name="60% - Accent3" xfId="319"/>
    <cellStyle name="60% - Accent3 2" xfId="320"/>
    <cellStyle name="60% - Accent3 2 2" xfId="321"/>
    <cellStyle name="60% - Accent3 2 3" xfId="322"/>
    <cellStyle name="60% - Accent3 2 4" xfId="323"/>
    <cellStyle name="60% - Accent3 2 5" xfId="324"/>
    <cellStyle name="60% - Accent3 3" xfId="325"/>
    <cellStyle name="60% - Accent3 4" xfId="326"/>
    <cellStyle name="60% - Accent3 4 2" xfId="327"/>
    <cellStyle name="60% - Accent3 5" xfId="328"/>
    <cellStyle name="60% - Accent3 6" xfId="329"/>
    <cellStyle name="60% - Accent3 7" xfId="330"/>
    <cellStyle name="60% - Accent4" xfId="331"/>
    <cellStyle name="60% - Accent4 2" xfId="332"/>
    <cellStyle name="60% - Accent4 2 2" xfId="333"/>
    <cellStyle name="60% - Accent4 2 3" xfId="334"/>
    <cellStyle name="60% - Accent4 2 4" xfId="335"/>
    <cellStyle name="60% - Accent4 2 5" xfId="336"/>
    <cellStyle name="60% - Accent4 3" xfId="337"/>
    <cellStyle name="60% - Accent4 4" xfId="338"/>
    <cellStyle name="60% - Accent4 4 2" xfId="339"/>
    <cellStyle name="60% - Accent4 5" xfId="340"/>
    <cellStyle name="60% - Accent4 6" xfId="341"/>
    <cellStyle name="60% - Accent4 7" xfId="342"/>
    <cellStyle name="60% - Accent5" xfId="343"/>
    <cellStyle name="60% - Accent5 2" xfId="344"/>
    <cellStyle name="60% - Accent5 2 2" xfId="345"/>
    <cellStyle name="60% - Accent5 2 3" xfId="346"/>
    <cellStyle name="60% - Accent5 2 4" xfId="347"/>
    <cellStyle name="60% - Accent5 2 5" xfId="348"/>
    <cellStyle name="60% - Accent5 3" xfId="349"/>
    <cellStyle name="60% - Accent5 4" xfId="350"/>
    <cellStyle name="60% - Accent5 4 2" xfId="351"/>
    <cellStyle name="60% - Accent5 5" xfId="352"/>
    <cellStyle name="60% - Accent5 6" xfId="353"/>
    <cellStyle name="60% - Accent5 7" xfId="354"/>
    <cellStyle name="60% - Accent6" xfId="355"/>
    <cellStyle name="60% - Accent6 2" xfId="356"/>
    <cellStyle name="60% - Accent6 2 2" xfId="357"/>
    <cellStyle name="60% - Accent6 2 3" xfId="358"/>
    <cellStyle name="60% - Accent6 2 4" xfId="359"/>
    <cellStyle name="60% - Accent6 2 5" xfId="360"/>
    <cellStyle name="60% - Accent6 3" xfId="361"/>
    <cellStyle name="60% - Accent6 4" xfId="362"/>
    <cellStyle name="60% - Accent6 4 2" xfId="363"/>
    <cellStyle name="60% - Accent6 5" xfId="364"/>
    <cellStyle name="60% - Accent6 6" xfId="365"/>
    <cellStyle name="60% - Accent6 7" xfId="366"/>
    <cellStyle name="Accent1" xfId="367"/>
    <cellStyle name="Accent1 2" xfId="368"/>
    <cellStyle name="Accent1 2 2" xfId="369"/>
    <cellStyle name="Accent1 2 3" xfId="370"/>
    <cellStyle name="Accent1 2 4" xfId="371"/>
    <cellStyle name="Accent1 2 5" xfId="372"/>
    <cellStyle name="Accent1 3" xfId="373"/>
    <cellStyle name="Accent1 4" xfId="374"/>
    <cellStyle name="Accent1 4 2" xfId="375"/>
    <cellStyle name="Accent1 5" xfId="376"/>
    <cellStyle name="Accent1 6" xfId="377"/>
    <cellStyle name="Accent1 7" xfId="378"/>
    <cellStyle name="Accent2" xfId="379"/>
    <cellStyle name="Accent2 2" xfId="380"/>
    <cellStyle name="Accent2 2 2" xfId="381"/>
    <cellStyle name="Accent2 2 3" xfId="382"/>
    <cellStyle name="Accent2 2 4" xfId="383"/>
    <cellStyle name="Accent2 2 5" xfId="384"/>
    <cellStyle name="Accent2 3" xfId="385"/>
    <cellStyle name="Accent2 4" xfId="386"/>
    <cellStyle name="Accent2 4 2" xfId="387"/>
    <cellStyle name="Accent2 5" xfId="388"/>
    <cellStyle name="Accent2 6" xfId="389"/>
    <cellStyle name="Accent2 7" xfId="390"/>
    <cellStyle name="Accent3" xfId="391"/>
    <cellStyle name="Accent3 2" xfId="392"/>
    <cellStyle name="Accent3 2 2" xfId="393"/>
    <cellStyle name="Accent3 2 3" xfId="394"/>
    <cellStyle name="Accent3 2 4" xfId="395"/>
    <cellStyle name="Accent3 2 5" xfId="396"/>
    <cellStyle name="Accent3 3" xfId="397"/>
    <cellStyle name="Accent3 4" xfId="398"/>
    <cellStyle name="Accent3 4 2" xfId="399"/>
    <cellStyle name="Accent3 5" xfId="400"/>
    <cellStyle name="Accent3 6" xfId="401"/>
    <cellStyle name="Accent3 7" xfId="402"/>
    <cellStyle name="Accent4" xfId="403"/>
    <cellStyle name="Accent4 2" xfId="404"/>
    <cellStyle name="Accent4 2 2" xfId="405"/>
    <cellStyle name="Accent4 2 3" xfId="406"/>
    <cellStyle name="Accent4 2 4" xfId="407"/>
    <cellStyle name="Accent4 2 5" xfId="408"/>
    <cellStyle name="Accent4 3" xfId="409"/>
    <cellStyle name="Accent4 4" xfId="410"/>
    <cellStyle name="Accent4 4 2" xfId="411"/>
    <cellStyle name="Accent4 5" xfId="412"/>
    <cellStyle name="Accent4 6" xfId="413"/>
    <cellStyle name="Accent4 7" xfId="414"/>
    <cellStyle name="Accent5" xfId="415"/>
    <cellStyle name="Accent5 2" xfId="416"/>
    <cellStyle name="Accent5 2 2" xfId="417"/>
    <cellStyle name="Accent5 2 3" xfId="418"/>
    <cellStyle name="Accent5 2 4" xfId="419"/>
    <cellStyle name="Accent5 2 5" xfId="420"/>
    <cellStyle name="Accent5 3" xfId="421"/>
    <cellStyle name="Accent5 4" xfId="422"/>
    <cellStyle name="Accent5 4 2" xfId="423"/>
    <cellStyle name="Accent5 5" xfId="424"/>
    <cellStyle name="Accent5 6" xfId="425"/>
    <cellStyle name="Accent5 7" xfId="426"/>
    <cellStyle name="Accent6" xfId="427"/>
    <cellStyle name="Accent6 2" xfId="428"/>
    <cellStyle name="Accent6 2 2" xfId="429"/>
    <cellStyle name="Accent6 2 3" xfId="430"/>
    <cellStyle name="Accent6 2 4" xfId="431"/>
    <cellStyle name="Accent6 2 5" xfId="432"/>
    <cellStyle name="Accent6 3" xfId="433"/>
    <cellStyle name="Accent6 4" xfId="434"/>
    <cellStyle name="Accent6 4 2" xfId="435"/>
    <cellStyle name="Accent6 5" xfId="436"/>
    <cellStyle name="Accent6 6" xfId="437"/>
    <cellStyle name="Accent6 7" xfId="438"/>
    <cellStyle name="Bad" xfId="439"/>
    <cellStyle name="Bad 2" xfId="440"/>
    <cellStyle name="Bad 2 2" xfId="441"/>
    <cellStyle name="Bad 2 3" xfId="442"/>
    <cellStyle name="Bad 2 4" xfId="443"/>
    <cellStyle name="Bad 2 5" xfId="444"/>
    <cellStyle name="Bad 3" xfId="445"/>
    <cellStyle name="Bad 4" xfId="446"/>
    <cellStyle name="Bad 4 2" xfId="447"/>
    <cellStyle name="Bad 5" xfId="448"/>
    <cellStyle name="Bad 6" xfId="449"/>
    <cellStyle name="Bad 7" xfId="450"/>
    <cellStyle name="Calculation" xfId="451"/>
    <cellStyle name="Calculation 2" xfId="452"/>
    <cellStyle name="Calculation 2 2" xfId="453"/>
    <cellStyle name="Calculation 2 3" xfId="454"/>
    <cellStyle name="Calculation 2 4" xfId="455"/>
    <cellStyle name="Calculation 2 5" xfId="456"/>
    <cellStyle name="Calculation 2_anakia II etapi.xls sm. defeqturi" xfId="457"/>
    <cellStyle name="Calculation 3" xfId="458"/>
    <cellStyle name="Calculation 4" xfId="459"/>
    <cellStyle name="Calculation 4 2" xfId="460"/>
    <cellStyle name="Calculation 4_anakia II etapi.xls sm. defeqturi" xfId="461"/>
    <cellStyle name="Calculation 5" xfId="462"/>
    <cellStyle name="Calculation 6" xfId="463"/>
    <cellStyle name="Calculation 7" xfId="464"/>
    <cellStyle name="Check Cell" xfId="465"/>
    <cellStyle name="Check Cell 2" xfId="466"/>
    <cellStyle name="Check Cell 2 2" xfId="467"/>
    <cellStyle name="Check Cell 2 3" xfId="468"/>
    <cellStyle name="Check Cell 2 4" xfId="469"/>
    <cellStyle name="Check Cell 2 5" xfId="470"/>
    <cellStyle name="Check Cell 2_anakia II etapi.xls sm. defeqturi" xfId="471"/>
    <cellStyle name="Check Cell 3" xfId="472"/>
    <cellStyle name="Check Cell 4" xfId="473"/>
    <cellStyle name="Check Cell 4 2" xfId="474"/>
    <cellStyle name="Check Cell 4_anakia II etapi.xls sm. defeqturi" xfId="475"/>
    <cellStyle name="Check Cell 5" xfId="476"/>
    <cellStyle name="Check Cell 6" xfId="477"/>
    <cellStyle name="Check Cell 7" xfId="478"/>
    <cellStyle name="Comma" xfId="1" builtinId="3"/>
    <cellStyle name="Comma 10" xfId="480"/>
    <cellStyle name="Comma 10 2" xfId="481"/>
    <cellStyle name="Comma 11" xfId="482"/>
    <cellStyle name="Comma 12" xfId="483"/>
    <cellStyle name="Comma 12 2" xfId="484"/>
    <cellStyle name="Comma 12 3" xfId="485"/>
    <cellStyle name="Comma 12 4" xfId="486"/>
    <cellStyle name="Comma 12 5" xfId="487"/>
    <cellStyle name="Comma 12 6" xfId="488"/>
    <cellStyle name="Comma 12 7" xfId="489"/>
    <cellStyle name="Comma 12 8" xfId="490"/>
    <cellStyle name="Comma 13" xfId="491"/>
    <cellStyle name="Comma 14" xfId="492"/>
    <cellStyle name="Comma 15" xfId="493"/>
    <cellStyle name="Comma 15 2" xfId="494"/>
    <cellStyle name="Comma 16" xfId="495"/>
    <cellStyle name="Comma 17" xfId="496"/>
    <cellStyle name="Comma 17 2" xfId="497"/>
    <cellStyle name="Comma 18" xfId="498"/>
    <cellStyle name="Comma 19" xfId="499"/>
    <cellStyle name="Comma 2" xfId="500"/>
    <cellStyle name="Comma 2 2" xfId="501"/>
    <cellStyle name="Comma 2 2 2" xfId="502"/>
    <cellStyle name="Comma 2 2 3" xfId="503"/>
    <cellStyle name="Comma 2 3" xfId="504"/>
    <cellStyle name="Comma 20" xfId="505"/>
    <cellStyle name="Comma 3" xfId="506"/>
    <cellStyle name="Comma 4" xfId="507"/>
    <cellStyle name="Comma 5" xfId="508"/>
    <cellStyle name="Comma 6" xfId="509"/>
    <cellStyle name="Comma 7" xfId="510"/>
    <cellStyle name="Comma 8" xfId="511"/>
    <cellStyle name="Comma 9" xfId="512"/>
    <cellStyle name="Explanatory Text" xfId="513"/>
    <cellStyle name="Explanatory Text 2" xfId="514"/>
    <cellStyle name="Explanatory Text 2 2" xfId="515"/>
    <cellStyle name="Explanatory Text 2 3" xfId="516"/>
    <cellStyle name="Explanatory Text 2 4" xfId="517"/>
    <cellStyle name="Explanatory Text 2 5" xfId="518"/>
    <cellStyle name="Explanatory Text 3" xfId="519"/>
    <cellStyle name="Explanatory Text 4" xfId="520"/>
    <cellStyle name="Explanatory Text 4 2" xfId="521"/>
    <cellStyle name="Explanatory Text 5" xfId="522"/>
    <cellStyle name="Explanatory Text 6" xfId="523"/>
    <cellStyle name="Explanatory Text 7" xfId="524"/>
    <cellStyle name="Good" xfId="525"/>
    <cellStyle name="Good 2" xfId="526"/>
    <cellStyle name="Good 2 2" xfId="527"/>
    <cellStyle name="Good 2 3" xfId="528"/>
    <cellStyle name="Good 2 4" xfId="529"/>
    <cellStyle name="Good 2 5" xfId="530"/>
    <cellStyle name="Good 3" xfId="531"/>
    <cellStyle name="Good 4" xfId="532"/>
    <cellStyle name="Good 4 2" xfId="533"/>
    <cellStyle name="Good 5" xfId="534"/>
    <cellStyle name="Good 6" xfId="535"/>
    <cellStyle name="Good 7" xfId="536"/>
    <cellStyle name="Heading 1" xfId="537"/>
    <cellStyle name="Heading 1 2" xfId="538"/>
    <cellStyle name="Heading 1 2 2" xfId="539"/>
    <cellStyle name="Heading 1 2 3" xfId="540"/>
    <cellStyle name="Heading 1 2 4" xfId="541"/>
    <cellStyle name="Heading 1 2 5" xfId="542"/>
    <cellStyle name="Heading 1 2_anakia II etapi.xls sm. defeqturi" xfId="543"/>
    <cellStyle name="Heading 1 3" xfId="544"/>
    <cellStyle name="Heading 1 4" xfId="545"/>
    <cellStyle name="Heading 1 4 2" xfId="546"/>
    <cellStyle name="Heading 1 4_anakia II etapi.xls sm. defeqturi" xfId="547"/>
    <cellStyle name="Heading 1 5" xfId="548"/>
    <cellStyle name="Heading 1 6" xfId="549"/>
    <cellStyle name="Heading 1 7" xfId="550"/>
    <cellStyle name="Heading 2" xfId="551"/>
    <cellStyle name="Heading 2 2" xfId="552"/>
    <cellStyle name="Heading 2 2 2" xfId="553"/>
    <cellStyle name="Heading 2 2 3" xfId="554"/>
    <cellStyle name="Heading 2 2 4" xfId="555"/>
    <cellStyle name="Heading 2 2 5" xfId="556"/>
    <cellStyle name="Heading 2 2_anakia II etapi.xls sm. defeqturi" xfId="557"/>
    <cellStyle name="Heading 2 3" xfId="558"/>
    <cellStyle name="Heading 2 4" xfId="559"/>
    <cellStyle name="Heading 2 4 2" xfId="560"/>
    <cellStyle name="Heading 2 4_anakia II etapi.xls sm. defeqturi" xfId="561"/>
    <cellStyle name="Heading 2 5" xfId="562"/>
    <cellStyle name="Heading 2 6" xfId="563"/>
    <cellStyle name="Heading 2 7" xfId="564"/>
    <cellStyle name="Heading 3" xfId="565"/>
    <cellStyle name="Heading 3 2" xfId="566"/>
    <cellStyle name="Heading 3 2 2" xfId="567"/>
    <cellStyle name="Heading 3 2 3" xfId="568"/>
    <cellStyle name="Heading 3 2 4" xfId="569"/>
    <cellStyle name="Heading 3 2 5" xfId="570"/>
    <cellStyle name="Heading 3 2_anakia II etapi.xls sm. defeqturi" xfId="571"/>
    <cellStyle name="Heading 3 3" xfId="572"/>
    <cellStyle name="Heading 3 4" xfId="573"/>
    <cellStyle name="Heading 3 4 2" xfId="574"/>
    <cellStyle name="Heading 3 4_anakia II etapi.xls sm. defeqturi" xfId="575"/>
    <cellStyle name="Heading 3 5" xfId="576"/>
    <cellStyle name="Heading 3 6" xfId="577"/>
    <cellStyle name="Heading 3 7" xfId="578"/>
    <cellStyle name="Heading 4" xfId="579"/>
    <cellStyle name="Heading 4 2" xfId="580"/>
    <cellStyle name="Heading 4 2 2" xfId="581"/>
    <cellStyle name="Heading 4 2 3" xfId="582"/>
    <cellStyle name="Heading 4 2 4" xfId="583"/>
    <cellStyle name="Heading 4 2 5" xfId="584"/>
    <cellStyle name="Heading 4 3" xfId="585"/>
    <cellStyle name="Heading 4 4" xfId="586"/>
    <cellStyle name="Heading 4 4 2" xfId="587"/>
    <cellStyle name="Heading 4 5" xfId="588"/>
    <cellStyle name="Heading 4 6" xfId="589"/>
    <cellStyle name="Heading 4 7" xfId="590"/>
    <cellStyle name="Hyperlink 2" xfId="591"/>
    <cellStyle name="Input" xfId="592"/>
    <cellStyle name="Input 2" xfId="593"/>
    <cellStyle name="Input 2 2" xfId="594"/>
    <cellStyle name="Input 2 3" xfId="595"/>
    <cellStyle name="Input 2 4" xfId="596"/>
    <cellStyle name="Input 2 5" xfId="597"/>
    <cellStyle name="Input 2_anakia II etapi.xls sm. defeqturi" xfId="598"/>
    <cellStyle name="Input 3" xfId="599"/>
    <cellStyle name="Input 4" xfId="600"/>
    <cellStyle name="Input 4 2" xfId="601"/>
    <cellStyle name="Input 4_anakia II etapi.xls sm. defeqturi" xfId="602"/>
    <cellStyle name="Input 5" xfId="603"/>
    <cellStyle name="Input 6" xfId="604"/>
    <cellStyle name="Input 7" xfId="605"/>
    <cellStyle name="Linked Cell" xfId="606"/>
    <cellStyle name="Linked Cell 2" xfId="607"/>
    <cellStyle name="Linked Cell 2 2" xfId="608"/>
    <cellStyle name="Linked Cell 2 3" xfId="609"/>
    <cellStyle name="Linked Cell 2 4" xfId="610"/>
    <cellStyle name="Linked Cell 2 5" xfId="611"/>
    <cellStyle name="Linked Cell 2_anakia II etapi.xls sm. defeqturi" xfId="612"/>
    <cellStyle name="Linked Cell 3" xfId="613"/>
    <cellStyle name="Linked Cell 4" xfId="614"/>
    <cellStyle name="Linked Cell 4 2" xfId="615"/>
    <cellStyle name="Linked Cell 4_anakia II etapi.xls sm. defeqturi" xfId="616"/>
    <cellStyle name="Linked Cell 5" xfId="617"/>
    <cellStyle name="Linked Cell 6" xfId="618"/>
    <cellStyle name="Linked Cell 7" xfId="619"/>
    <cellStyle name="Neutral" xfId="620"/>
    <cellStyle name="Neutral 2" xfId="621"/>
    <cellStyle name="Neutral 2 2" xfId="622"/>
    <cellStyle name="Neutral 2 3" xfId="623"/>
    <cellStyle name="Neutral 2 4" xfId="624"/>
    <cellStyle name="Neutral 2 5" xfId="625"/>
    <cellStyle name="Neutral 3" xfId="626"/>
    <cellStyle name="Neutral 4" xfId="627"/>
    <cellStyle name="Neutral 4 2" xfId="628"/>
    <cellStyle name="Neutral 5" xfId="629"/>
    <cellStyle name="Neutral 6" xfId="630"/>
    <cellStyle name="Neutral 7" xfId="631"/>
    <cellStyle name="Normal" xfId="0" builtinId="0"/>
    <cellStyle name="Normal 10" xfId="632"/>
    <cellStyle name="Normal 10 2" xfId="633"/>
    <cellStyle name="Normal 11" xfId="634"/>
    <cellStyle name="Normal 11 2" xfId="635"/>
    <cellStyle name="Normal 11 2 2" xfId="636"/>
    <cellStyle name="Normal 11 3" xfId="637"/>
    <cellStyle name="Normal 11_GAZI-2010" xfId="638"/>
    <cellStyle name="Normal 12" xfId="639"/>
    <cellStyle name="Normal 12 2" xfId="640"/>
    <cellStyle name="Normal 12_gazis gare qseli" xfId="641"/>
    <cellStyle name="Normal 13" xfId="642"/>
    <cellStyle name="Normal 13 2" xfId="643"/>
    <cellStyle name="Normal 13 2 2" xfId="644"/>
    <cellStyle name="Normal 13 2 3" xfId="645"/>
    <cellStyle name="Normal 13 3" xfId="646"/>
    <cellStyle name="Normal 13 3 2" xfId="647"/>
    <cellStyle name="Normal 13 3 3" xfId="648"/>
    <cellStyle name="Normal 13 3 3 2" xfId="649"/>
    <cellStyle name="Normal 13 3 3 3" xfId="650"/>
    <cellStyle name="Normal 13 3 4" xfId="651"/>
    <cellStyle name="Normal 13 3 5" xfId="652"/>
    <cellStyle name="Normal 13 4" xfId="653"/>
    <cellStyle name="Normal 13 5" xfId="654"/>
    <cellStyle name="Normal 13 5 2" xfId="655"/>
    <cellStyle name="Normal 13 5 3" xfId="656"/>
    <cellStyle name="Normal 13 5 3 2" xfId="657"/>
    <cellStyle name="Normal 13 5 3 3" xfId="658"/>
    <cellStyle name="Normal 13 5 3 4" xfId="659"/>
    <cellStyle name="Normal 13 5 4" xfId="660"/>
    <cellStyle name="Normal 13 6" xfId="661"/>
    <cellStyle name="Normal 13 7" xfId="662"/>
    <cellStyle name="Normal 13 8" xfId="663"/>
    <cellStyle name="Normal 13_# 6-1 27.01.12 - копия (1)" xfId="664"/>
    <cellStyle name="Normal 14" xfId="665"/>
    <cellStyle name="Normal 14 2" xfId="666"/>
    <cellStyle name="Normal 14 3" xfId="667"/>
    <cellStyle name="Normal 14 3 2" xfId="668"/>
    <cellStyle name="Normal 14 4" xfId="669"/>
    <cellStyle name="Normal 14 5" xfId="670"/>
    <cellStyle name="Normal 14 6" xfId="671"/>
    <cellStyle name="Normal 14_anakia II etapi.xls sm. defeqturi" xfId="672"/>
    <cellStyle name="Normal 15" xfId="673"/>
    <cellStyle name="Normal 16" xfId="674"/>
    <cellStyle name="Normal 16 2" xfId="675"/>
    <cellStyle name="Normal 16 3" xfId="676"/>
    <cellStyle name="Normal 16 4" xfId="677"/>
    <cellStyle name="Normal 16_# 6-1 27.01.12 - копия (1)" xfId="678"/>
    <cellStyle name="Normal 17" xfId="679"/>
    <cellStyle name="Normal 18" xfId="680"/>
    <cellStyle name="Normal 19" xfId="681"/>
    <cellStyle name="Normal 2" xfId="5"/>
    <cellStyle name="Normal 2 10" xfId="683"/>
    <cellStyle name="Normal 2 11" xfId="684"/>
    <cellStyle name="Normal 2 12" xfId="682"/>
    <cellStyle name="Normal 2 2" xfId="685"/>
    <cellStyle name="Normal 2 2 2" xfId="686"/>
    <cellStyle name="Normal 2 2 3" xfId="687"/>
    <cellStyle name="Normal 2 2 4" xfId="688"/>
    <cellStyle name="Normal 2 2 5" xfId="689"/>
    <cellStyle name="Normal 2 2 6" xfId="690"/>
    <cellStyle name="Normal 2 2 7" xfId="691"/>
    <cellStyle name="Normal 2 2_2D4CD000" xfId="692"/>
    <cellStyle name="Normal 2 3" xfId="693"/>
    <cellStyle name="Normal 2 4" xfId="694"/>
    <cellStyle name="Normal 2 5" xfId="695"/>
    <cellStyle name="Normal 2 6" xfId="696"/>
    <cellStyle name="Normal 2 7" xfId="697"/>
    <cellStyle name="Normal 2 7 2" xfId="698"/>
    <cellStyle name="Normal 2 7 3" xfId="699"/>
    <cellStyle name="Normal 2 7_anakia II etapi.xls sm. defeqturi" xfId="700"/>
    <cellStyle name="Normal 2 8" xfId="701"/>
    <cellStyle name="Normal 2 9" xfId="702"/>
    <cellStyle name="Normal 2_anakia II etapi.xls sm. defeqturi" xfId="703"/>
    <cellStyle name="Normal 20" xfId="704"/>
    <cellStyle name="Normal 21" xfId="705"/>
    <cellStyle name="Normal 22" xfId="706"/>
    <cellStyle name="Normal 23" xfId="707"/>
    <cellStyle name="Normal 24" xfId="708"/>
    <cellStyle name="Normal 25" xfId="709"/>
    <cellStyle name="Normal 26" xfId="710"/>
    <cellStyle name="Normal 27" xfId="711"/>
    <cellStyle name="Normal 28" xfId="712"/>
    <cellStyle name="Normal 29" xfId="713"/>
    <cellStyle name="Normal 29 2" xfId="714"/>
    <cellStyle name="Normal 3" xfId="2"/>
    <cellStyle name="Normal 3 2" xfId="715"/>
    <cellStyle name="Normal 3 2 2" xfId="716"/>
    <cellStyle name="Normal 3 2_anakia II etapi.xls sm. defeqturi" xfId="717"/>
    <cellStyle name="Normal 3 3" xfId="718"/>
    <cellStyle name="Normal 30" xfId="719"/>
    <cellStyle name="Normal 30 2" xfId="720"/>
    <cellStyle name="Normal 31" xfId="721"/>
    <cellStyle name="Normal 32" xfId="722"/>
    <cellStyle name="Normal 32 2" xfId="723"/>
    <cellStyle name="Normal 32 2 2" xfId="724"/>
    <cellStyle name="Normal 32 3" xfId="725"/>
    <cellStyle name="Normal 32 3 2" xfId="726"/>
    <cellStyle name="Normal 32 3 2 2" xfId="727"/>
    <cellStyle name="Normal 32 4" xfId="728"/>
    <cellStyle name="Normal 32_# 6-1 27.01.12 - копия (1)" xfId="729"/>
    <cellStyle name="Normal 33" xfId="730"/>
    <cellStyle name="Normal 33 2" xfId="731"/>
    <cellStyle name="Normal 34" xfId="732"/>
    <cellStyle name="Normal 35" xfId="733"/>
    <cellStyle name="Normal 35 2" xfId="734"/>
    <cellStyle name="Normal 35 3" xfId="735"/>
    <cellStyle name="Normal 36" xfId="736"/>
    <cellStyle name="Normal 36 2" xfId="737"/>
    <cellStyle name="Normal 36 2 2" xfId="738"/>
    <cellStyle name="Normal 36 2 2 2" xfId="906"/>
    <cellStyle name="Normal 36 2 3" xfId="739"/>
    <cellStyle name="Normal 36 2 4" xfId="740"/>
    <cellStyle name="Normal 36 3" xfId="741"/>
    <cellStyle name="Normal 36 4" xfId="742"/>
    <cellStyle name="Normal 37" xfId="743"/>
    <cellStyle name="Normal 37 2" xfId="744"/>
    <cellStyle name="Normal 38" xfId="745"/>
    <cellStyle name="Normal 38 2" xfId="746"/>
    <cellStyle name="Normal 38 2 2" xfId="747"/>
    <cellStyle name="Normal 38 3" xfId="748"/>
    <cellStyle name="Normal 38 3 2" xfId="749"/>
    <cellStyle name="Normal 38 4" xfId="750"/>
    <cellStyle name="Normal 39" xfId="751"/>
    <cellStyle name="Normal 39 2" xfId="752"/>
    <cellStyle name="Normal 4" xfId="753"/>
    <cellStyle name="Normal 4 2" xfId="754"/>
    <cellStyle name="Normal 4 3" xfId="755"/>
    <cellStyle name="Normal 40" xfId="756"/>
    <cellStyle name="Normal 40 2" xfId="757"/>
    <cellStyle name="Normal 40 3" xfId="758"/>
    <cellStyle name="Normal 41" xfId="759"/>
    <cellStyle name="Normal 41 2" xfId="760"/>
    <cellStyle name="Normal 42" xfId="761"/>
    <cellStyle name="Normal 42 2" xfId="762"/>
    <cellStyle name="Normal 42 3" xfId="763"/>
    <cellStyle name="Normal 43" xfId="764"/>
    <cellStyle name="Normal 44" xfId="765"/>
    <cellStyle name="Normal 45" xfId="766"/>
    <cellStyle name="Normal 46" xfId="767"/>
    <cellStyle name="Normal 47" xfId="768"/>
    <cellStyle name="Normal 47 2" xfId="769"/>
    <cellStyle name="Normal 47 3" xfId="770"/>
    <cellStyle name="Normal 47 3 2" xfId="771"/>
    <cellStyle name="Normal 47 3 3" xfId="772"/>
    <cellStyle name="Normal 47 4" xfId="773"/>
    <cellStyle name="Normal 5" xfId="774"/>
    <cellStyle name="Normal 5 2" xfId="775"/>
    <cellStyle name="Normal 5 2 2" xfId="776"/>
    <cellStyle name="Normal 5 3" xfId="777"/>
    <cellStyle name="Normal 5 4" xfId="778"/>
    <cellStyle name="Normal 5 4 2" xfId="779"/>
    <cellStyle name="Normal 5 4 3" xfId="780"/>
    <cellStyle name="Normal 5 5" xfId="781"/>
    <cellStyle name="Normal 5_Copy of SAN2010" xfId="782"/>
    <cellStyle name="Normal 50" xfId="907"/>
    <cellStyle name="Normal 6" xfId="783"/>
    <cellStyle name="Normal 7" xfId="784"/>
    <cellStyle name="Normal 75" xfId="785"/>
    <cellStyle name="Normal 8" xfId="786"/>
    <cellStyle name="Normal 8 2" xfId="787"/>
    <cellStyle name="Normal 8_2D4CD000" xfId="788"/>
    <cellStyle name="Normal 9" xfId="789"/>
    <cellStyle name="Normal 9 2" xfId="790"/>
    <cellStyle name="Normal 9 2 2" xfId="791"/>
    <cellStyle name="Normal 9 2 3" xfId="792"/>
    <cellStyle name="Normal 9 2 4" xfId="793"/>
    <cellStyle name="Normal 9 2_anakia II etapi.xls sm. defeqturi" xfId="794"/>
    <cellStyle name="Normal 9_2D4CD000" xfId="795"/>
    <cellStyle name="Normal_Book1 2" xfId="796"/>
    <cellStyle name="Normal_gare wyalsadfenigagarini 10" xfId="797"/>
    <cellStyle name="Normal_gare wyalsadfenigagarini 2 2" xfId="798"/>
    <cellStyle name="Normal_gare wyalsadfenigagarini_SUSTI DENEBI_axalqalaqis skola " xfId="908"/>
    <cellStyle name="Normal_qavtarazis mravalfunqciuri kompleqsis xarjTaRricxva" xfId="4"/>
    <cellStyle name="Normal_SUSTI DENEBI" xfId="905"/>
    <cellStyle name="Note" xfId="799"/>
    <cellStyle name="Note 2" xfId="800"/>
    <cellStyle name="Note 2 2" xfId="801"/>
    <cellStyle name="Note 2 3" xfId="802"/>
    <cellStyle name="Note 2 4" xfId="803"/>
    <cellStyle name="Note 2 5" xfId="804"/>
    <cellStyle name="Note 2_anakia II etapi.xls sm. defeqturi" xfId="805"/>
    <cellStyle name="Note 3" xfId="806"/>
    <cellStyle name="Note 4" xfId="807"/>
    <cellStyle name="Note 4 2" xfId="808"/>
    <cellStyle name="Note 4_anakia II etapi.xls sm. defeqturi" xfId="809"/>
    <cellStyle name="Note 5" xfId="810"/>
    <cellStyle name="Note 6" xfId="811"/>
    <cellStyle name="Note 7" xfId="812"/>
    <cellStyle name="Output" xfId="813"/>
    <cellStyle name="Output 2" xfId="814"/>
    <cellStyle name="Output 2 2" xfId="815"/>
    <cellStyle name="Output 2 3" xfId="816"/>
    <cellStyle name="Output 2 4" xfId="817"/>
    <cellStyle name="Output 2 5" xfId="818"/>
    <cellStyle name="Output 2_anakia II etapi.xls sm. defeqturi" xfId="819"/>
    <cellStyle name="Output 3" xfId="820"/>
    <cellStyle name="Output 4" xfId="821"/>
    <cellStyle name="Output 4 2" xfId="822"/>
    <cellStyle name="Output 4_anakia II etapi.xls sm. defeqturi" xfId="823"/>
    <cellStyle name="Output 5" xfId="824"/>
    <cellStyle name="Output 6" xfId="825"/>
    <cellStyle name="Output 7" xfId="826"/>
    <cellStyle name="Percent 2" xfId="827"/>
    <cellStyle name="Percent 3" xfId="828"/>
    <cellStyle name="Percent 3 2" xfId="829"/>
    <cellStyle name="Percent 4" xfId="830"/>
    <cellStyle name="Percent 5" xfId="831"/>
    <cellStyle name="Percent 6" xfId="832"/>
    <cellStyle name="Style 1" xfId="833"/>
    <cellStyle name="Title" xfId="834"/>
    <cellStyle name="Title 2" xfId="835"/>
    <cellStyle name="Title 2 2" xfId="836"/>
    <cellStyle name="Title 2 3" xfId="837"/>
    <cellStyle name="Title 2 4" xfId="838"/>
    <cellStyle name="Title 2 5" xfId="839"/>
    <cellStyle name="Title 3" xfId="840"/>
    <cellStyle name="Title 4" xfId="841"/>
    <cellStyle name="Title 4 2" xfId="842"/>
    <cellStyle name="Title 5" xfId="843"/>
    <cellStyle name="Title 6" xfId="844"/>
    <cellStyle name="Title 7" xfId="845"/>
    <cellStyle name="Total" xfId="846"/>
    <cellStyle name="Total 2" xfId="847"/>
    <cellStyle name="Total 2 2" xfId="848"/>
    <cellStyle name="Total 2 3" xfId="849"/>
    <cellStyle name="Total 2 4" xfId="850"/>
    <cellStyle name="Total 2 5" xfId="851"/>
    <cellStyle name="Total 2_anakia II etapi.xls sm. defeqturi" xfId="852"/>
    <cellStyle name="Total 3" xfId="853"/>
    <cellStyle name="Total 4" xfId="854"/>
    <cellStyle name="Total 4 2" xfId="855"/>
    <cellStyle name="Total 4_anakia II etapi.xls sm. defeqturi" xfId="856"/>
    <cellStyle name="Total 5" xfId="857"/>
    <cellStyle name="Total 6" xfId="858"/>
    <cellStyle name="Total 7" xfId="859"/>
    <cellStyle name="Warning Text" xfId="860"/>
    <cellStyle name="Warning Text 2" xfId="861"/>
    <cellStyle name="Warning Text 2 2" xfId="862"/>
    <cellStyle name="Warning Text 2 3" xfId="863"/>
    <cellStyle name="Warning Text 2 4" xfId="864"/>
    <cellStyle name="Warning Text 2 5" xfId="865"/>
    <cellStyle name="Warning Text 3" xfId="866"/>
    <cellStyle name="Warning Text 4" xfId="867"/>
    <cellStyle name="Warning Text 4 2" xfId="868"/>
    <cellStyle name="Warning Text 5" xfId="869"/>
    <cellStyle name="Warning Text 6" xfId="870"/>
    <cellStyle name="Warning Text 7" xfId="871"/>
    <cellStyle name="Обычный 10" xfId="872"/>
    <cellStyle name="Обычный 10 2" xfId="873"/>
    <cellStyle name="Обычный 11" xfId="6"/>
    <cellStyle name="Обычный 2" xfId="3"/>
    <cellStyle name="Обычный 2 2" xfId="874"/>
    <cellStyle name="Обычный 3" xfId="875"/>
    <cellStyle name="Обычный 3 2" xfId="876"/>
    <cellStyle name="Обычный 3 3" xfId="877"/>
    <cellStyle name="Обычный 4" xfId="878"/>
    <cellStyle name="Обычный 4 2" xfId="879"/>
    <cellStyle name="Обычный 4 3" xfId="880"/>
    <cellStyle name="Обычный 4 4" xfId="881"/>
    <cellStyle name="Обычный 5" xfId="882"/>
    <cellStyle name="Обычный 5 2" xfId="883"/>
    <cellStyle name="Обычный 5 2 2" xfId="884"/>
    <cellStyle name="Обычный 5 3" xfId="885"/>
    <cellStyle name="Обычный 5 4" xfId="886"/>
    <cellStyle name="Обычный 5 4 2" xfId="887"/>
    <cellStyle name="Обычный 5 5" xfId="888"/>
    <cellStyle name="Обычный 6" xfId="889"/>
    <cellStyle name="Обычный 6 2" xfId="890"/>
    <cellStyle name="Обычный 7" xfId="891"/>
    <cellStyle name="Обычный 8" xfId="892"/>
    <cellStyle name="Обычный 8 2" xfId="893"/>
    <cellStyle name="Обычный 9" xfId="894"/>
    <cellStyle name="Обычный_ELEQ_SUSTI DENEBI_axalqalaqis skola " xfId="904"/>
    <cellStyle name="Плохой 2" xfId="895"/>
    <cellStyle name="Процентный 2" xfId="896"/>
    <cellStyle name="Процентный 3" xfId="897"/>
    <cellStyle name="Процентный 3 2" xfId="898"/>
    <cellStyle name="Финансовый 2" xfId="899"/>
    <cellStyle name="Финансовый 2 2" xfId="900"/>
    <cellStyle name="Финансовый 3" xfId="901"/>
    <cellStyle name="Финансовый 4" xfId="902"/>
    <cellStyle name="Финансовый 5" xfId="903"/>
    <cellStyle name="Финансовый 6" xfId="479"/>
  </cellStyles>
  <dxfs count="0"/>
  <tableStyles count="0" defaultTableStyle="TableStyleMedium9" defaultPivotStyle="PivotStyleLight16"/>
  <colors>
    <mruColors>
      <color rgb="FFFFFFCC"/>
      <color rgb="FFFFCCFF"/>
      <color rgb="FF00FF99"/>
      <color rgb="FF66FFCC"/>
      <color rgb="FF9900FF"/>
      <color rgb="FFFF99FF"/>
      <color rgb="FFFF66FF"/>
      <color rgb="FFFED2A2"/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18"/>
  <sheetViews>
    <sheetView tabSelected="1" zoomScale="110" zoomScaleNormal="110" workbookViewId="0">
      <selection activeCell="C5" sqref="C5:C6"/>
    </sheetView>
  </sheetViews>
  <sheetFormatPr defaultColWidth="8.85546875" defaultRowHeight="15" x14ac:dyDescent="0.25"/>
  <cols>
    <col min="1" max="1" width="8.28515625" style="10" customWidth="1"/>
    <col min="2" max="2" width="20.28515625" style="10" customWidth="1"/>
    <col min="3" max="3" width="42.28515625" style="10" customWidth="1"/>
    <col min="4" max="4" width="17.5703125" style="13" customWidth="1"/>
    <col min="5" max="5" width="25.5703125" style="13" customWidth="1"/>
    <col min="6" max="16384" width="8.85546875" style="1"/>
  </cols>
  <sheetData>
    <row r="1" spans="1:5" ht="25.15" customHeight="1" x14ac:dyDescent="0.25">
      <c r="A1" s="451" t="s">
        <v>55</v>
      </c>
      <c r="B1" s="451"/>
      <c r="C1" s="451"/>
      <c r="D1" s="451"/>
      <c r="E1" s="451"/>
    </row>
    <row r="2" spans="1:5" ht="11.25" customHeight="1" x14ac:dyDescent="0.25">
      <c r="A2" s="18"/>
      <c r="B2" s="18"/>
      <c r="C2" s="18"/>
      <c r="D2" s="19"/>
      <c r="E2" s="19"/>
    </row>
    <row r="3" spans="1:5" ht="40.5" customHeight="1" x14ac:dyDescent="0.25">
      <c r="A3" s="451" t="s">
        <v>398</v>
      </c>
      <c r="B3" s="451"/>
      <c r="C3" s="451"/>
      <c r="D3" s="451"/>
      <c r="E3" s="451"/>
    </row>
    <row r="4" spans="1:5" ht="11.45" customHeight="1" thickBot="1" x14ac:dyDescent="0.3">
      <c r="A4" s="18"/>
      <c r="B4" s="18"/>
      <c r="C4" s="18"/>
      <c r="D4" s="19"/>
      <c r="E4" s="19"/>
    </row>
    <row r="5" spans="1:5" ht="31.15" customHeight="1" x14ac:dyDescent="0.25">
      <c r="A5" s="452" t="s">
        <v>0</v>
      </c>
      <c r="B5" s="454" t="s">
        <v>56</v>
      </c>
      <c r="C5" s="454" t="s">
        <v>57</v>
      </c>
      <c r="D5" s="456" t="s">
        <v>58</v>
      </c>
      <c r="E5" s="457"/>
    </row>
    <row r="6" spans="1:5" ht="48" thickBot="1" x14ac:dyDescent="0.3">
      <c r="A6" s="453"/>
      <c r="B6" s="455"/>
      <c r="C6" s="455"/>
      <c r="D6" s="425"/>
      <c r="E6" s="426" t="s">
        <v>242</v>
      </c>
    </row>
    <row r="7" spans="1:5" ht="16.5" thickBot="1" x14ac:dyDescent="0.3">
      <c r="A7" s="427">
        <v>1</v>
      </c>
      <c r="B7" s="428">
        <v>2</v>
      </c>
      <c r="C7" s="428">
        <v>3</v>
      </c>
      <c r="D7" s="428">
        <v>4</v>
      </c>
      <c r="E7" s="429">
        <v>7</v>
      </c>
    </row>
    <row r="8" spans="1:5" ht="19.5" customHeight="1" x14ac:dyDescent="0.25">
      <c r="A8" s="430">
        <v>1</v>
      </c>
      <c r="B8" s="431" t="s">
        <v>59</v>
      </c>
      <c r="C8" s="431" t="s">
        <v>74</v>
      </c>
      <c r="D8" s="432"/>
      <c r="E8" s="433">
        <f>'#1'!M260</f>
        <v>0</v>
      </c>
    </row>
    <row r="9" spans="1:5" ht="19.5" customHeight="1" x14ac:dyDescent="0.25">
      <c r="A9" s="434">
        <v>2</v>
      </c>
      <c r="B9" s="413" t="s">
        <v>60</v>
      </c>
      <c r="C9" s="413" t="s">
        <v>50</v>
      </c>
      <c r="D9" s="414"/>
      <c r="E9" s="435">
        <f>'#2'!M98</f>
        <v>0</v>
      </c>
    </row>
    <row r="10" spans="1:5" ht="48" thickBot="1" x14ac:dyDescent="0.3">
      <c r="A10" s="436">
        <v>3</v>
      </c>
      <c r="B10" s="437" t="s">
        <v>62</v>
      </c>
      <c r="C10" s="437" t="s">
        <v>190</v>
      </c>
      <c r="D10" s="425"/>
      <c r="E10" s="426">
        <f>'#3'!M152</f>
        <v>0</v>
      </c>
    </row>
    <row r="11" spans="1:5" ht="31.5" hidden="1" x14ac:dyDescent="0.25">
      <c r="A11" s="416">
        <v>4</v>
      </c>
      <c r="B11" s="416" t="s">
        <v>63</v>
      </c>
      <c r="C11" s="416" t="s">
        <v>202</v>
      </c>
      <c r="D11" s="418"/>
      <c r="E11" s="418"/>
    </row>
    <row r="12" spans="1:5" ht="47.25" hidden="1" x14ac:dyDescent="0.25">
      <c r="A12" s="415">
        <v>5</v>
      </c>
      <c r="B12" s="415" t="s">
        <v>69</v>
      </c>
      <c r="C12" s="415" t="s">
        <v>223</v>
      </c>
      <c r="D12" s="417"/>
      <c r="E12" s="417"/>
    </row>
    <row r="13" spans="1:5" ht="16.5" thickBot="1" x14ac:dyDescent="0.3">
      <c r="A13" s="438"/>
      <c r="B13" s="439"/>
      <c r="C13" s="440" t="s">
        <v>61</v>
      </c>
      <c r="D13" s="441"/>
      <c r="E13" s="442">
        <f>SUM(E8:E12)</f>
        <v>0</v>
      </c>
    </row>
    <row r="14" spans="1:5" ht="20.25" customHeight="1" thickBot="1" x14ac:dyDescent="0.3">
      <c r="A14" s="430"/>
      <c r="B14" s="431"/>
      <c r="C14" s="443" t="s">
        <v>12</v>
      </c>
      <c r="D14" s="444">
        <v>0.05</v>
      </c>
      <c r="E14" s="445">
        <f>E13*D14</f>
        <v>0</v>
      </c>
    </row>
    <row r="15" spans="1:5" ht="16.5" thickBot="1" x14ac:dyDescent="0.3">
      <c r="A15" s="446"/>
      <c r="B15" s="447"/>
      <c r="C15" s="448" t="s">
        <v>247</v>
      </c>
      <c r="D15" s="449"/>
      <c r="E15" s="450">
        <f>E13+E14</f>
        <v>0</v>
      </c>
    </row>
    <row r="16" spans="1:5" ht="15.75" x14ac:dyDescent="0.25">
      <c r="A16" s="18"/>
      <c r="B16" s="18"/>
      <c r="C16" s="1"/>
      <c r="D16" s="27"/>
      <c r="E16" s="19"/>
    </row>
    <row r="17" spans="3:4" x14ac:dyDescent="0.25">
      <c r="C17" s="20"/>
      <c r="D17" s="24"/>
    </row>
    <row r="18" spans="3:4" ht="15.75" x14ac:dyDescent="0.25">
      <c r="C18" s="48"/>
      <c r="D18" s="220"/>
    </row>
  </sheetData>
  <mergeCells count="6">
    <mergeCell ref="A1:E1"/>
    <mergeCell ref="A3:E3"/>
    <mergeCell ref="A5:A6"/>
    <mergeCell ref="B5:B6"/>
    <mergeCell ref="C5:C6"/>
    <mergeCell ref="D5:E5"/>
  </mergeCells>
  <pageMargins left="1.1299999999999999" right="0.39" top="0.23" bottom="0.23" header="0.19685039370078741" footer="0.16"/>
  <pageSetup paperSize="9" orientation="landscape" r:id="rId1"/>
  <headerFooter>
    <oddHeader>&amp;R&amp;P--&amp;N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M276"/>
  <sheetViews>
    <sheetView topLeftCell="A253" zoomScale="98" zoomScaleNormal="98" workbookViewId="0">
      <selection activeCell="F255" sqref="F255:F259"/>
    </sheetView>
  </sheetViews>
  <sheetFormatPr defaultColWidth="8.85546875" defaultRowHeight="15.75" x14ac:dyDescent="0.25"/>
  <cols>
    <col min="1" max="1" width="6.7109375" style="7" customWidth="1"/>
    <col min="2" max="2" width="8.140625" style="129" customWidth="1"/>
    <col min="3" max="3" width="29.85546875" style="18" customWidth="1"/>
    <col min="4" max="4" width="8.28515625" style="7" customWidth="1"/>
    <col min="5" max="5" width="11.5703125" style="32" customWidth="1"/>
    <col min="6" max="6" width="11.140625" style="4" customWidth="1"/>
    <col min="7" max="7" width="10.140625" style="19" customWidth="1"/>
    <col min="8" max="8" width="10.7109375" style="19" customWidth="1"/>
    <col min="9" max="9" width="9.28515625" style="19" customWidth="1"/>
    <col min="10" max="10" width="10.140625" style="19" customWidth="1"/>
    <col min="11" max="11" width="10.28515625" style="19" customWidth="1"/>
    <col min="12" max="12" width="10.140625" style="19" customWidth="1"/>
    <col min="13" max="13" width="15.140625" style="19" customWidth="1"/>
    <col min="14" max="14" width="26.5703125" style="29" customWidth="1"/>
    <col min="15" max="16384" width="8.85546875" style="29"/>
  </cols>
  <sheetData>
    <row r="1" spans="1:13" ht="53.45" customHeight="1" x14ac:dyDescent="0.25">
      <c r="A1" s="451" t="str">
        <f>krebsiti!A3</f>
        <v>borjomis municipalitetis sofel WobisxevSi sabavSvo baRis Senobis samzareulosa da tualetis reabilitacia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</row>
    <row r="2" spans="1:13" x14ac:dyDescent="0.25">
      <c r="C2" s="143"/>
      <c r="D2" s="129"/>
      <c r="E2" s="124"/>
      <c r="F2" s="358"/>
      <c r="G2" s="171"/>
      <c r="H2" s="171"/>
      <c r="I2" s="171"/>
      <c r="J2" s="171"/>
      <c r="K2" s="171"/>
      <c r="L2" s="171"/>
      <c r="M2" s="171"/>
    </row>
    <row r="3" spans="1:13" x14ac:dyDescent="0.25">
      <c r="A3" s="451" t="s">
        <v>421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</row>
    <row r="4" spans="1:13" ht="6" customHeight="1" x14ac:dyDescent="0.25">
      <c r="C4" s="143"/>
      <c r="D4" s="129"/>
      <c r="E4" s="124"/>
      <c r="F4" s="358"/>
      <c r="G4" s="171"/>
      <c r="H4" s="171"/>
      <c r="I4" s="171"/>
      <c r="J4" s="171"/>
      <c r="K4" s="171"/>
      <c r="L4" s="171"/>
      <c r="M4" s="171"/>
    </row>
    <row r="5" spans="1:13" x14ac:dyDescent="0.25">
      <c r="A5" s="451" t="s">
        <v>74</v>
      </c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</row>
    <row r="6" spans="1:13" ht="9.75" customHeight="1" x14ac:dyDescent="0.25">
      <c r="C6" s="143"/>
      <c r="D6" s="129"/>
      <c r="E6" s="124"/>
      <c r="F6" s="358"/>
      <c r="G6" s="171"/>
      <c r="H6" s="171"/>
      <c r="I6" s="171"/>
      <c r="J6" s="171"/>
      <c r="K6" s="171"/>
      <c r="L6" s="171"/>
      <c r="M6" s="171"/>
    </row>
    <row r="7" spans="1:13" ht="35.450000000000003" customHeight="1" x14ac:dyDescent="0.25">
      <c r="A7" s="481" t="s">
        <v>0</v>
      </c>
      <c r="B7" s="487" t="s">
        <v>1</v>
      </c>
      <c r="C7" s="488" t="s">
        <v>2</v>
      </c>
      <c r="D7" s="481" t="s">
        <v>3</v>
      </c>
      <c r="E7" s="492" t="s">
        <v>171</v>
      </c>
      <c r="F7" s="492"/>
      <c r="G7" s="489" t="s">
        <v>6</v>
      </c>
      <c r="H7" s="489"/>
      <c r="I7" s="489" t="s">
        <v>7</v>
      </c>
      <c r="J7" s="489"/>
      <c r="K7" s="490" t="s">
        <v>27</v>
      </c>
      <c r="L7" s="491"/>
      <c r="M7" s="489" t="s">
        <v>8</v>
      </c>
    </row>
    <row r="8" spans="1:13" ht="31.5" x14ac:dyDescent="0.25">
      <c r="A8" s="481"/>
      <c r="B8" s="487"/>
      <c r="C8" s="488"/>
      <c r="D8" s="481"/>
      <c r="E8" s="366" t="s">
        <v>172</v>
      </c>
      <c r="F8" s="367" t="s">
        <v>19</v>
      </c>
      <c r="G8" s="360" t="s">
        <v>9</v>
      </c>
      <c r="H8" s="360" t="s">
        <v>10</v>
      </c>
      <c r="I8" s="360" t="s">
        <v>9</v>
      </c>
      <c r="J8" s="360" t="s">
        <v>10</v>
      </c>
      <c r="K8" s="360" t="s">
        <v>9</v>
      </c>
      <c r="L8" s="360" t="s">
        <v>10</v>
      </c>
      <c r="M8" s="489"/>
    </row>
    <row r="9" spans="1:13" x14ac:dyDescent="0.25">
      <c r="A9" s="364">
        <v>1</v>
      </c>
      <c r="B9" s="365">
        <v>2</v>
      </c>
      <c r="C9" s="359">
        <v>3</v>
      </c>
      <c r="D9" s="364">
        <v>4</v>
      </c>
      <c r="E9" s="366">
        <v>5</v>
      </c>
      <c r="F9" s="367">
        <v>6</v>
      </c>
      <c r="G9" s="419">
        <v>7</v>
      </c>
      <c r="H9" s="419">
        <v>8</v>
      </c>
      <c r="I9" s="419">
        <v>9</v>
      </c>
      <c r="J9" s="419">
        <v>10</v>
      </c>
      <c r="K9" s="419">
        <v>11</v>
      </c>
      <c r="L9" s="419">
        <v>12</v>
      </c>
      <c r="M9" s="419">
        <v>13</v>
      </c>
    </row>
    <row r="10" spans="1:13" x14ac:dyDescent="0.25">
      <c r="A10" s="493" t="s">
        <v>365</v>
      </c>
      <c r="B10" s="494"/>
      <c r="C10" s="494"/>
      <c r="D10" s="494"/>
      <c r="E10" s="494"/>
      <c r="F10" s="495"/>
      <c r="G10" s="376"/>
      <c r="H10" s="376"/>
      <c r="I10" s="376"/>
      <c r="J10" s="376"/>
      <c r="K10" s="376"/>
      <c r="L10" s="376"/>
      <c r="M10" s="376"/>
    </row>
    <row r="11" spans="1:13" ht="31.5" x14ac:dyDescent="0.25">
      <c r="A11" s="373" t="s">
        <v>422</v>
      </c>
      <c r="B11" s="373"/>
      <c r="C11" s="374" t="s">
        <v>74</v>
      </c>
      <c r="D11" s="373"/>
      <c r="E11" s="408"/>
      <c r="F11" s="409"/>
      <c r="G11" s="57"/>
      <c r="H11" s="57"/>
      <c r="I11" s="57"/>
      <c r="J11" s="57"/>
      <c r="K11" s="57"/>
      <c r="L11" s="57"/>
      <c r="M11" s="57"/>
    </row>
    <row r="12" spans="1:13" x14ac:dyDescent="0.25">
      <c r="A12" s="399"/>
      <c r="B12" s="400"/>
      <c r="C12" s="401" t="s">
        <v>216</v>
      </c>
      <c r="D12" s="400"/>
      <c r="E12" s="410"/>
      <c r="F12" s="375"/>
      <c r="G12" s="250"/>
      <c r="H12" s="250"/>
      <c r="I12" s="250"/>
      <c r="J12" s="250"/>
      <c r="K12" s="250"/>
      <c r="L12" s="250"/>
      <c r="M12" s="250"/>
    </row>
    <row r="13" spans="1:13" ht="47.25" hidden="1" x14ac:dyDescent="0.25">
      <c r="A13" s="459" t="s">
        <v>364</v>
      </c>
      <c r="B13" s="365" t="s">
        <v>345</v>
      </c>
      <c r="C13" s="150" t="s">
        <v>344</v>
      </c>
      <c r="D13" s="365" t="s">
        <v>14</v>
      </c>
      <c r="E13" s="41"/>
      <c r="F13" s="136">
        <v>0</v>
      </c>
      <c r="G13" s="59"/>
      <c r="H13" s="59"/>
      <c r="I13" s="59"/>
      <c r="J13" s="59"/>
      <c r="K13" s="59"/>
      <c r="L13" s="360"/>
      <c r="M13" s="360"/>
    </row>
    <row r="14" spans="1:13" hidden="1" x14ac:dyDescent="0.25">
      <c r="A14" s="460"/>
      <c r="B14" s="365"/>
      <c r="C14" s="148" t="s">
        <v>29</v>
      </c>
      <c r="D14" s="11" t="s">
        <v>25</v>
      </c>
      <c r="E14" s="76">
        <v>8.89</v>
      </c>
      <c r="F14" s="95">
        <f>F13*E14</f>
        <v>0</v>
      </c>
      <c r="G14" s="59"/>
      <c r="H14" s="59"/>
      <c r="I14" s="59">
        <v>4.5999999999999996</v>
      </c>
      <c r="J14" s="59">
        <f>F14*I14</f>
        <v>0</v>
      </c>
      <c r="K14" s="59"/>
      <c r="L14" s="360"/>
      <c r="M14" s="360">
        <f>H14+J14+L14</f>
        <v>0</v>
      </c>
    </row>
    <row r="15" spans="1:13" hidden="1" x14ac:dyDescent="0.25">
      <c r="A15" s="461"/>
      <c r="B15" s="365"/>
      <c r="C15" s="103" t="s">
        <v>24</v>
      </c>
      <c r="D15" s="77" t="s">
        <v>21</v>
      </c>
      <c r="E15" s="76">
        <v>3.35</v>
      </c>
      <c r="F15" s="95">
        <f>F13*E15</f>
        <v>0</v>
      </c>
      <c r="G15" s="59"/>
      <c r="H15" s="59"/>
      <c r="I15" s="59"/>
      <c r="J15" s="59"/>
      <c r="K15" s="59">
        <v>3.2</v>
      </c>
      <c r="L15" s="360">
        <f>F15*K15</f>
        <v>0</v>
      </c>
      <c r="M15" s="360">
        <f>H15+J15+L15</f>
        <v>0</v>
      </c>
    </row>
    <row r="16" spans="1:13" ht="31.5" x14ac:dyDescent="0.25">
      <c r="A16" s="459" t="s">
        <v>192</v>
      </c>
      <c r="B16" s="365" t="s">
        <v>259</v>
      </c>
      <c r="C16" s="149" t="s">
        <v>340</v>
      </c>
      <c r="D16" s="251" t="s">
        <v>15</v>
      </c>
      <c r="E16" s="76"/>
      <c r="F16" s="136">
        <f>1*1*2 + 1.2*1.2   + 0.6*0.5</f>
        <v>3.7399999999999998</v>
      </c>
      <c r="G16" s="59"/>
      <c r="H16" s="59"/>
      <c r="I16" s="59"/>
      <c r="J16" s="59"/>
      <c r="K16" s="59"/>
      <c r="L16" s="360"/>
      <c r="M16" s="360"/>
    </row>
    <row r="17" spans="1:13" ht="20.25" customHeight="1" x14ac:dyDescent="0.25">
      <c r="A17" s="460"/>
      <c r="B17" s="365"/>
      <c r="C17" s="146" t="s">
        <v>29</v>
      </c>
      <c r="D17" s="11" t="s">
        <v>25</v>
      </c>
      <c r="E17" s="76">
        <f>1.7</f>
        <v>1.7</v>
      </c>
      <c r="F17" s="95">
        <f>F16*E17</f>
        <v>6.3579999999999997</v>
      </c>
      <c r="G17" s="59"/>
      <c r="H17" s="59"/>
      <c r="I17" s="59"/>
      <c r="J17" s="59">
        <f>F17*I17</f>
        <v>0</v>
      </c>
      <c r="K17" s="59"/>
      <c r="L17" s="360"/>
      <c r="M17" s="360">
        <f>H17+J17+L17</f>
        <v>0</v>
      </c>
    </row>
    <row r="18" spans="1:13" x14ac:dyDescent="0.25">
      <c r="A18" s="461"/>
      <c r="B18" s="365"/>
      <c r="C18" s="147" t="s">
        <v>24</v>
      </c>
      <c r="D18" s="77" t="s">
        <v>21</v>
      </c>
      <c r="E18" s="76">
        <v>9.8400000000000001E-2</v>
      </c>
      <c r="F18" s="95">
        <f>F16*E18</f>
        <v>0.36801600000000001</v>
      </c>
      <c r="G18" s="59"/>
      <c r="H18" s="59"/>
      <c r="I18" s="59"/>
      <c r="J18" s="59"/>
      <c r="K18" s="59"/>
      <c r="L18" s="360">
        <f>F18*K18</f>
        <v>0</v>
      </c>
      <c r="M18" s="360">
        <f>H18+J18+L18</f>
        <v>0</v>
      </c>
    </row>
    <row r="19" spans="1:13" ht="31.5" x14ac:dyDescent="0.25">
      <c r="A19" s="459" t="s">
        <v>193</v>
      </c>
      <c r="B19" s="365" t="s">
        <v>260</v>
      </c>
      <c r="C19" s="149" t="s">
        <v>360</v>
      </c>
      <c r="D19" s="251" t="s">
        <v>15</v>
      </c>
      <c r="E19" s="76"/>
      <c r="F19" s="136">
        <f>1*1.9+1*1.8 + 0.9*1.9   +  1*2.2</f>
        <v>7.61</v>
      </c>
      <c r="G19" s="59"/>
      <c r="H19" s="59"/>
      <c r="I19" s="59"/>
      <c r="J19" s="59"/>
      <c r="K19" s="59"/>
      <c r="L19" s="360"/>
      <c r="M19" s="360"/>
    </row>
    <row r="20" spans="1:13" ht="20.25" customHeight="1" x14ac:dyDescent="0.25">
      <c r="A20" s="460"/>
      <c r="B20" s="365"/>
      <c r="C20" s="146" t="s">
        <v>29</v>
      </c>
      <c r="D20" s="11" t="s">
        <v>25</v>
      </c>
      <c r="E20" s="76">
        <v>0.88700000000000001</v>
      </c>
      <c r="F20" s="95">
        <f>F19*E20</f>
        <v>6.75007</v>
      </c>
      <c r="G20" s="59"/>
      <c r="H20" s="59"/>
      <c r="I20" s="59"/>
      <c r="J20" s="59">
        <f>F20*I20</f>
        <v>0</v>
      </c>
      <c r="K20" s="59"/>
      <c r="L20" s="360"/>
      <c r="M20" s="360">
        <f>H20+J20+L20</f>
        <v>0</v>
      </c>
    </row>
    <row r="21" spans="1:13" x14ac:dyDescent="0.25">
      <c r="A21" s="461"/>
      <c r="B21" s="365"/>
      <c r="C21" s="147" t="s">
        <v>24</v>
      </c>
      <c r="D21" s="77" t="s">
        <v>21</v>
      </c>
      <c r="E21" s="76">
        <v>9.8400000000000001E-2</v>
      </c>
      <c r="F21" s="95">
        <f>F19*E21</f>
        <v>0.74882400000000005</v>
      </c>
      <c r="G21" s="59"/>
      <c r="H21" s="59"/>
      <c r="I21" s="59"/>
      <c r="J21" s="59"/>
      <c r="K21" s="59"/>
      <c r="L21" s="360">
        <f>F21*K21</f>
        <v>0</v>
      </c>
      <c r="M21" s="360">
        <f>H21+J21+L21</f>
        <v>0</v>
      </c>
    </row>
    <row r="22" spans="1:13" ht="47.25" x14ac:dyDescent="0.25">
      <c r="A22" s="459" t="s">
        <v>75</v>
      </c>
      <c r="B22" s="365" t="s">
        <v>243</v>
      </c>
      <c r="C22" s="151" t="s">
        <v>359</v>
      </c>
      <c r="D22" s="251" t="s">
        <v>15</v>
      </c>
      <c r="E22" s="76"/>
      <c r="F22" s="136">
        <f>2.5*2.3+5.2*5</f>
        <v>31.75</v>
      </c>
      <c r="G22" s="59"/>
      <c r="H22" s="59"/>
      <c r="I22" s="59"/>
      <c r="J22" s="59"/>
      <c r="K22" s="59"/>
      <c r="L22" s="360"/>
      <c r="M22" s="360"/>
    </row>
    <row r="23" spans="1:13" ht="20.25" customHeight="1" x14ac:dyDescent="0.25">
      <c r="A23" s="460"/>
      <c r="B23" s="365"/>
      <c r="C23" s="146" t="s">
        <v>29</v>
      </c>
      <c r="D23" s="11" t="s">
        <v>25</v>
      </c>
      <c r="E23" s="76">
        <v>0.28899999999999998</v>
      </c>
      <c r="F23" s="367">
        <f>F22*E23</f>
        <v>9.175749999999999</v>
      </c>
      <c r="G23" s="59"/>
      <c r="H23" s="59"/>
      <c r="I23" s="59"/>
      <c r="J23" s="59">
        <f>F23*I23</f>
        <v>0</v>
      </c>
      <c r="K23" s="59"/>
      <c r="L23" s="360"/>
      <c r="M23" s="360">
        <f>H23+J23+L23</f>
        <v>0</v>
      </c>
    </row>
    <row r="24" spans="1:13" x14ac:dyDescent="0.25">
      <c r="A24" s="461"/>
      <c r="B24" s="365"/>
      <c r="C24" s="147" t="s">
        <v>24</v>
      </c>
      <c r="D24" s="77" t="s">
        <v>21</v>
      </c>
      <c r="E24" s="76">
        <v>6.2799999999999995E-2</v>
      </c>
      <c r="F24" s="367">
        <f>F22*E24</f>
        <v>1.9938999999999998</v>
      </c>
      <c r="G24" s="59"/>
      <c r="H24" s="59"/>
      <c r="I24" s="59"/>
      <c r="J24" s="59"/>
      <c r="K24" s="59"/>
      <c r="L24" s="360">
        <f>F24*K24</f>
        <v>0</v>
      </c>
      <c r="M24" s="360">
        <f>H24+J24+L24</f>
        <v>0</v>
      </c>
    </row>
    <row r="25" spans="1:13" ht="47.25" x14ac:dyDescent="0.25">
      <c r="A25" s="459" t="s">
        <v>194</v>
      </c>
      <c r="B25" s="365" t="s">
        <v>261</v>
      </c>
      <c r="C25" s="151" t="s">
        <v>358</v>
      </c>
      <c r="D25" s="251" t="s">
        <v>15</v>
      </c>
      <c r="E25" s="76"/>
      <c r="F25" s="136">
        <f>2.5*2.3+5.2*5+35.65  +1.25*2.6+35.65</f>
        <v>106.30000000000001</v>
      </c>
      <c r="G25" s="59"/>
      <c r="H25" s="59"/>
      <c r="I25" s="59"/>
      <c r="J25" s="59"/>
      <c r="K25" s="59"/>
      <c r="L25" s="360"/>
      <c r="M25" s="360"/>
    </row>
    <row r="26" spans="1:13" ht="21" customHeight="1" x14ac:dyDescent="0.25">
      <c r="A26" s="460"/>
      <c r="B26" s="365"/>
      <c r="C26" s="146" t="s">
        <v>29</v>
      </c>
      <c r="D26" s="11" t="s">
        <v>25</v>
      </c>
      <c r="E26" s="76">
        <v>0.57999999999999996</v>
      </c>
      <c r="F26" s="367">
        <f>F25*E26</f>
        <v>61.654000000000003</v>
      </c>
      <c r="G26" s="59"/>
      <c r="H26" s="59"/>
      <c r="I26" s="59"/>
      <c r="J26" s="59">
        <f>F26*I26</f>
        <v>0</v>
      </c>
      <c r="K26" s="59"/>
      <c r="L26" s="360"/>
      <c r="M26" s="360">
        <f>H26+J26+L26</f>
        <v>0</v>
      </c>
    </row>
    <row r="27" spans="1:13" x14ac:dyDescent="0.25">
      <c r="A27" s="460"/>
      <c r="B27" s="365"/>
      <c r="C27" s="147" t="s">
        <v>24</v>
      </c>
      <c r="D27" s="77" t="s">
        <v>21</v>
      </c>
      <c r="E27" s="76">
        <v>3.0499999999999999E-2</v>
      </c>
      <c r="F27" s="367">
        <f>F25*E27</f>
        <v>3.2421500000000001</v>
      </c>
      <c r="G27" s="59"/>
      <c r="H27" s="59"/>
      <c r="I27" s="59"/>
      <c r="J27" s="59"/>
      <c r="K27" s="59"/>
      <c r="L27" s="360">
        <f>F27*K27</f>
        <v>0</v>
      </c>
      <c r="M27" s="360">
        <f>H27+J27+L27</f>
        <v>0</v>
      </c>
    </row>
    <row r="28" spans="1:13" x14ac:dyDescent="0.25">
      <c r="A28" s="461"/>
      <c r="B28" s="365"/>
      <c r="C28" s="147" t="s">
        <v>28</v>
      </c>
      <c r="D28" s="77" t="s">
        <v>21</v>
      </c>
      <c r="E28" s="76">
        <v>9.8500000000000004E-2</v>
      </c>
      <c r="F28" s="367">
        <f>F25*E28</f>
        <v>10.470550000000001</v>
      </c>
      <c r="G28" s="59"/>
      <c r="H28" s="59">
        <f>F28*G28</f>
        <v>0</v>
      </c>
      <c r="I28" s="59"/>
      <c r="J28" s="59"/>
      <c r="K28" s="59"/>
      <c r="L28" s="360"/>
      <c r="M28" s="360">
        <f>H28+J28+L28</f>
        <v>0</v>
      </c>
    </row>
    <row r="29" spans="1:13" ht="31.5" x14ac:dyDescent="0.25">
      <c r="A29" s="458" t="s">
        <v>44</v>
      </c>
      <c r="B29" s="365" t="s">
        <v>206</v>
      </c>
      <c r="C29" s="151" t="s">
        <v>262</v>
      </c>
      <c r="D29" s="251" t="s">
        <v>15</v>
      </c>
      <c r="E29" s="252"/>
      <c r="F29" s="136">
        <f>1.25*2.6</f>
        <v>3.25</v>
      </c>
      <c r="G29" s="59"/>
      <c r="H29" s="59"/>
      <c r="I29" s="59"/>
      <c r="J29" s="59"/>
      <c r="K29" s="59"/>
      <c r="L29" s="360"/>
      <c r="M29" s="360"/>
    </row>
    <row r="30" spans="1:13" ht="18.75" customHeight="1" x14ac:dyDescent="0.25">
      <c r="A30" s="458"/>
      <c r="B30" s="365"/>
      <c r="C30" s="146" t="s">
        <v>29</v>
      </c>
      <c r="D30" s="11" t="s">
        <v>25</v>
      </c>
      <c r="E30" s="76">
        <v>0.32300000000000001</v>
      </c>
      <c r="F30" s="367">
        <f>F29*E30</f>
        <v>1.04975</v>
      </c>
      <c r="G30" s="59"/>
      <c r="H30" s="59"/>
      <c r="I30" s="59"/>
      <c r="J30" s="59">
        <f>F30*I30</f>
        <v>0</v>
      </c>
      <c r="K30" s="59"/>
      <c r="L30" s="360"/>
      <c r="M30" s="360">
        <f>H30+J30+L30</f>
        <v>0</v>
      </c>
    </row>
    <row r="31" spans="1:13" x14ac:dyDescent="0.25">
      <c r="A31" s="458"/>
      <c r="B31" s="365"/>
      <c r="C31" s="147" t="s">
        <v>24</v>
      </c>
      <c r="D31" s="77" t="s">
        <v>21</v>
      </c>
      <c r="E31" s="76">
        <v>2.1499999999999998E-2</v>
      </c>
      <c r="F31" s="367">
        <f>F29*E31</f>
        <v>6.9874999999999993E-2</v>
      </c>
      <c r="G31" s="59"/>
      <c r="H31" s="59"/>
      <c r="I31" s="59"/>
      <c r="J31" s="59"/>
      <c r="K31" s="59"/>
      <c r="L31" s="360">
        <f>F31*K31</f>
        <v>0</v>
      </c>
      <c r="M31" s="360">
        <f>H31+J31+L31</f>
        <v>0</v>
      </c>
    </row>
    <row r="32" spans="1:13" ht="47.25" x14ac:dyDescent="0.25">
      <c r="A32" s="478">
        <v>6</v>
      </c>
      <c r="B32" s="356" t="s">
        <v>361</v>
      </c>
      <c r="C32" s="405" t="s">
        <v>362</v>
      </c>
      <c r="D32" s="371" t="s">
        <v>14</v>
      </c>
      <c r="E32" s="35"/>
      <c r="F32" s="56">
        <f>F29</f>
        <v>3.25</v>
      </c>
      <c r="G32" s="57"/>
      <c r="H32" s="57"/>
      <c r="I32" s="57"/>
      <c r="J32" s="57"/>
      <c r="K32" s="57"/>
      <c r="L32" s="57"/>
      <c r="M32" s="57"/>
    </row>
    <row r="33" spans="1:13" ht="18.75" customHeight="1" x14ac:dyDescent="0.25">
      <c r="A33" s="479"/>
      <c r="B33" s="356"/>
      <c r="C33" s="406" t="s">
        <v>29</v>
      </c>
      <c r="D33" s="371" t="s">
        <v>25</v>
      </c>
      <c r="E33" s="35">
        <v>7.3</v>
      </c>
      <c r="F33" s="55">
        <f>F32*E33</f>
        <v>23.724999999999998</v>
      </c>
      <c r="G33" s="57"/>
      <c r="H33" s="57"/>
      <c r="I33" s="57"/>
      <c r="J33" s="57">
        <f>F33*I33</f>
        <v>0</v>
      </c>
      <c r="K33" s="57"/>
      <c r="L33" s="57"/>
      <c r="M33" s="57">
        <f>H33+J33+L33</f>
        <v>0</v>
      </c>
    </row>
    <row r="34" spans="1:13" x14ac:dyDescent="0.25">
      <c r="A34" s="480"/>
      <c r="B34" s="356"/>
      <c r="C34" s="107" t="s">
        <v>32</v>
      </c>
      <c r="D34" s="371" t="s">
        <v>21</v>
      </c>
      <c r="E34" s="35">
        <v>2.9</v>
      </c>
      <c r="F34" s="55">
        <f>F32*E34</f>
        <v>9.4249999999999989</v>
      </c>
      <c r="G34" s="57"/>
      <c r="H34" s="57"/>
      <c r="I34" s="57"/>
      <c r="J34" s="57"/>
      <c r="K34" s="57"/>
      <c r="L34" s="57">
        <f>F34*K34</f>
        <v>0</v>
      </c>
      <c r="M34" s="57">
        <f>H34+J34+L34</f>
        <v>0</v>
      </c>
    </row>
    <row r="35" spans="1:13" ht="31.5" x14ac:dyDescent="0.25">
      <c r="A35" s="459" t="s">
        <v>195</v>
      </c>
      <c r="B35" s="365" t="s">
        <v>342</v>
      </c>
      <c r="C35" s="151" t="s">
        <v>341</v>
      </c>
      <c r="D35" s="251" t="s">
        <v>15</v>
      </c>
      <c r="E35" s="252"/>
      <c r="F35" s="136">
        <f>(5.2+1+1)*1.6  +  (1.25+2.6)*2*1.6-1*1.6</f>
        <v>22.240000000000002</v>
      </c>
      <c r="G35" s="99"/>
      <c r="H35" s="360"/>
      <c r="I35" s="99"/>
      <c r="J35" s="360"/>
      <c r="K35" s="99"/>
      <c r="L35" s="360"/>
      <c r="M35" s="360"/>
    </row>
    <row r="36" spans="1:13" ht="21.75" customHeight="1" x14ac:dyDescent="0.25">
      <c r="A36" s="461"/>
      <c r="B36" s="364"/>
      <c r="C36" s="146" t="s">
        <v>29</v>
      </c>
      <c r="D36" s="11" t="s">
        <v>25</v>
      </c>
      <c r="E36" s="76">
        <v>0.56000000000000005</v>
      </c>
      <c r="F36" s="367">
        <f>F35*E36</f>
        <v>12.454400000000001</v>
      </c>
      <c r="G36" s="59"/>
      <c r="H36" s="59"/>
      <c r="I36" s="59"/>
      <c r="J36" s="59">
        <f>F36*I36</f>
        <v>0</v>
      </c>
      <c r="K36" s="59"/>
      <c r="L36" s="360"/>
      <c r="M36" s="360">
        <f>H36+J36+L36</f>
        <v>0</v>
      </c>
    </row>
    <row r="37" spans="1:13" ht="31.5" x14ac:dyDescent="0.25">
      <c r="A37" s="458" t="s">
        <v>45</v>
      </c>
      <c r="B37" s="365" t="s">
        <v>207</v>
      </c>
      <c r="C37" s="151" t="s">
        <v>263</v>
      </c>
      <c r="D37" s="251" t="s">
        <v>15</v>
      </c>
      <c r="E37" s="252"/>
      <c r="F37" s="136">
        <f>(5.2+5)*2*2.1-1*1*2-1*1.9-1*1.8 + (2.5+2.3)*2*2.1-1*1*2-0.9*1.9  +   (1.25+2.6)*2*2.4-0.6*0.5-1*2.2</f>
        <v>69.569999999999993</v>
      </c>
      <c r="G37" s="59"/>
      <c r="H37" s="59"/>
      <c r="I37" s="59"/>
      <c r="J37" s="59"/>
      <c r="K37" s="59"/>
      <c r="L37" s="360"/>
      <c r="M37" s="360"/>
    </row>
    <row r="38" spans="1:13" x14ac:dyDescent="0.25">
      <c r="A38" s="458"/>
      <c r="B38" s="364"/>
      <c r="C38" s="107" t="s">
        <v>68</v>
      </c>
      <c r="D38" s="11" t="s">
        <v>25</v>
      </c>
      <c r="E38" s="79">
        <v>0.186</v>
      </c>
      <c r="F38" s="173">
        <f>F37*E38</f>
        <v>12.940019999999999</v>
      </c>
      <c r="G38" s="99"/>
      <c r="H38" s="360"/>
      <c r="I38" s="99"/>
      <c r="J38" s="360">
        <f>F38*I38</f>
        <v>0</v>
      </c>
      <c r="K38" s="99"/>
      <c r="L38" s="360"/>
      <c r="M38" s="360">
        <f>H38+J38+L38</f>
        <v>0</v>
      </c>
    </row>
    <row r="39" spans="1:13" x14ac:dyDescent="0.25">
      <c r="A39" s="458"/>
      <c r="B39" s="364"/>
      <c r="C39" s="100" t="s">
        <v>32</v>
      </c>
      <c r="D39" s="11" t="s">
        <v>21</v>
      </c>
      <c r="E39" s="79">
        <v>1.6000000000000001E-3</v>
      </c>
      <c r="F39" s="173">
        <f>F37*E39</f>
        <v>0.11131199999999999</v>
      </c>
      <c r="G39" s="99"/>
      <c r="H39" s="360"/>
      <c r="I39" s="99"/>
      <c r="J39" s="360"/>
      <c r="K39" s="99"/>
      <c r="L39" s="360">
        <f>F39*K39</f>
        <v>0</v>
      </c>
      <c r="M39" s="360">
        <f>H39+J39+L39</f>
        <v>0</v>
      </c>
    </row>
    <row r="40" spans="1:13" ht="31.5" hidden="1" x14ac:dyDescent="0.25">
      <c r="A40" s="482" t="s">
        <v>364</v>
      </c>
      <c r="B40" s="88" t="s">
        <v>264</v>
      </c>
      <c r="C40" s="165" t="s">
        <v>265</v>
      </c>
      <c r="D40" s="356" t="s">
        <v>15</v>
      </c>
      <c r="E40" s="253"/>
      <c r="F40" s="106">
        <v>0</v>
      </c>
      <c r="G40" s="99"/>
      <c r="H40" s="360"/>
      <c r="I40" s="99"/>
      <c r="J40" s="360"/>
      <c r="K40" s="99"/>
      <c r="L40" s="360"/>
      <c r="M40" s="360"/>
    </row>
    <row r="41" spans="1:13" hidden="1" x14ac:dyDescent="0.25">
      <c r="A41" s="483"/>
      <c r="B41" s="364"/>
      <c r="C41" s="107" t="s">
        <v>68</v>
      </c>
      <c r="D41" s="78" t="s">
        <v>25</v>
      </c>
      <c r="E41" s="79">
        <v>0.16</v>
      </c>
      <c r="F41" s="173">
        <f>F40*E41</f>
        <v>0</v>
      </c>
      <c r="G41" s="99"/>
      <c r="H41" s="360"/>
      <c r="I41" s="99"/>
      <c r="J41" s="360">
        <f>F41*I41</f>
        <v>0</v>
      </c>
      <c r="K41" s="99"/>
      <c r="L41" s="360"/>
      <c r="M41" s="360">
        <f>H41+J41+L41</f>
        <v>0</v>
      </c>
    </row>
    <row r="42" spans="1:13" ht="31.5" x14ac:dyDescent="0.25">
      <c r="A42" s="363" t="s">
        <v>65</v>
      </c>
      <c r="B42" s="364"/>
      <c r="C42" s="110" t="s">
        <v>390</v>
      </c>
      <c r="D42" s="357" t="s">
        <v>13</v>
      </c>
      <c r="E42" s="253"/>
      <c r="F42" s="106">
        <v>1</v>
      </c>
      <c r="G42" s="99"/>
      <c r="H42" s="360"/>
      <c r="I42" s="99"/>
      <c r="J42" s="360">
        <f>F42*I42</f>
        <v>0</v>
      </c>
      <c r="K42" s="99"/>
      <c r="L42" s="360"/>
      <c r="M42" s="360">
        <f>H42+J42+L42</f>
        <v>0</v>
      </c>
    </row>
    <row r="43" spans="1:13" ht="31.5" x14ac:dyDescent="0.25">
      <c r="A43" s="363"/>
      <c r="B43" s="364"/>
      <c r="C43" s="110" t="s">
        <v>391</v>
      </c>
      <c r="D43" s="357" t="s">
        <v>13</v>
      </c>
      <c r="E43" s="253"/>
      <c r="F43" s="106">
        <v>1</v>
      </c>
      <c r="G43" s="99"/>
      <c r="H43" s="360"/>
      <c r="I43" s="99"/>
      <c r="J43" s="360">
        <f>F43*I43</f>
        <v>0</v>
      </c>
      <c r="K43" s="99"/>
      <c r="L43" s="360"/>
      <c r="M43" s="360">
        <f>H43+J43+L43</f>
        <v>0</v>
      </c>
    </row>
    <row r="44" spans="1:13" ht="47.25" x14ac:dyDescent="0.25">
      <c r="A44" s="482" t="s">
        <v>65</v>
      </c>
      <c r="B44" s="365" t="s">
        <v>363</v>
      </c>
      <c r="C44" s="110" t="s">
        <v>386</v>
      </c>
      <c r="D44" s="357" t="s">
        <v>14</v>
      </c>
      <c r="E44" s="253"/>
      <c r="F44" s="106">
        <f>5.2*5*(0.1+0.12+0.03+0.15)</f>
        <v>10.4</v>
      </c>
      <c r="G44" s="99"/>
      <c r="H44" s="360"/>
      <c r="I44" s="99"/>
      <c r="J44" s="360"/>
      <c r="K44" s="99"/>
      <c r="L44" s="360"/>
      <c r="M44" s="360"/>
    </row>
    <row r="45" spans="1:13" x14ac:dyDescent="0.25">
      <c r="A45" s="483"/>
      <c r="B45" s="364"/>
      <c r="C45" s="107" t="s">
        <v>29</v>
      </c>
      <c r="D45" s="78" t="s">
        <v>25</v>
      </c>
      <c r="E45" s="79">
        <v>2.06</v>
      </c>
      <c r="F45" s="173">
        <f>F44*E45</f>
        <v>21.424000000000003</v>
      </c>
      <c r="G45" s="99"/>
      <c r="H45" s="360"/>
      <c r="I45" s="99"/>
      <c r="J45" s="360">
        <f>F45*I45</f>
        <v>0</v>
      </c>
      <c r="K45" s="99"/>
      <c r="L45" s="360"/>
      <c r="M45" s="360">
        <f>H45+J45+L45</f>
        <v>0</v>
      </c>
    </row>
    <row r="46" spans="1:13" ht="141.75" x14ac:dyDescent="0.25">
      <c r="A46" s="484" t="s">
        <v>218</v>
      </c>
      <c r="B46" s="254" t="s">
        <v>235</v>
      </c>
      <c r="C46" s="110" t="s">
        <v>266</v>
      </c>
      <c r="D46" s="356" t="s">
        <v>84</v>
      </c>
      <c r="E46" s="38"/>
      <c r="F46" s="56">
        <f>F13+F16*0.1+F19*0.1+F22*0.1+F25*0.1+F29*0.05+F32*0.03+F37*0.03+F35*0.05+F40*0.002+F44+1</f>
        <v>29.799100000000003</v>
      </c>
      <c r="G46" s="57"/>
      <c r="H46" s="57"/>
      <c r="I46" s="57"/>
      <c r="J46" s="57"/>
      <c r="K46" s="57"/>
      <c r="L46" s="57"/>
      <c r="M46" s="57"/>
    </row>
    <row r="47" spans="1:13" ht="20.25" customHeight="1" x14ac:dyDescent="0.25">
      <c r="A47" s="485"/>
      <c r="B47" s="371"/>
      <c r="C47" s="107" t="s">
        <v>68</v>
      </c>
      <c r="D47" s="78" t="s">
        <v>25</v>
      </c>
      <c r="E47" s="79">
        <v>0.6</v>
      </c>
      <c r="F47" s="173">
        <f>F46*E47</f>
        <v>17.879460000000002</v>
      </c>
      <c r="G47" s="99"/>
      <c r="H47" s="57"/>
      <c r="I47" s="99"/>
      <c r="J47" s="57">
        <f>F47*I47</f>
        <v>0</v>
      </c>
      <c r="K47" s="57"/>
      <c r="L47" s="57"/>
      <c r="M47" s="57">
        <f>H47+J47+L47</f>
        <v>0</v>
      </c>
    </row>
    <row r="48" spans="1:13" ht="47.25" x14ac:dyDescent="0.25">
      <c r="A48" s="485"/>
      <c r="B48" s="255" t="s">
        <v>205</v>
      </c>
      <c r="C48" s="256" t="s">
        <v>87</v>
      </c>
      <c r="D48" s="356" t="s">
        <v>17</v>
      </c>
      <c r="E48" s="253"/>
      <c r="F48" s="56">
        <f>F13*1.85+F16*0.1*0.6+F19*0.1*0.6+F22*0.1*0.65+F25*0.1*0.65+F29*0.05*2.4+F32*0.03*2.4+F37*0.03*2.4+F35*0.05*2.4+F40*0.002*2+F44*1.95+1*1</f>
        <v>39.236090000000004</v>
      </c>
      <c r="G48" s="99"/>
      <c r="H48" s="57"/>
      <c r="I48" s="99"/>
      <c r="J48" s="57"/>
      <c r="K48" s="99"/>
      <c r="L48" s="57"/>
      <c r="M48" s="57"/>
    </row>
    <row r="49" spans="1:13" ht="21" customHeight="1" x14ac:dyDescent="0.25">
      <c r="A49" s="485"/>
      <c r="B49" s="209"/>
      <c r="C49" s="107" t="s">
        <v>68</v>
      </c>
      <c r="D49" s="78" t="s">
        <v>25</v>
      </c>
      <c r="E49" s="79">
        <v>0.53</v>
      </c>
      <c r="F49" s="173">
        <f>F48*E49</f>
        <v>20.795127700000002</v>
      </c>
      <c r="G49" s="99"/>
      <c r="H49" s="57"/>
      <c r="I49" s="99"/>
      <c r="J49" s="57">
        <f>F49*I49</f>
        <v>0</v>
      </c>
      <c r="K49" s="99"/>
      <c r="L49" s="57"/>
      <c r="M49" s="57">
        <f>H49+J49+L49</f>
        <v>0</v>
      </c>
    </row>
    <row r="50" spans="1:13" ht="31.5" x14ac:dyDescent="0.25">
      <c r="A50" s="486"/>
      <c r="B50" s="356" t="s">
        <v>267</v>
      </c>
      <c r="C50" s="155" t="s">
        <v>380</v>
      </c>
      <c r="D50" s="356" t="s">
        <v>17</v>
      </c>
      <c r="E50" s="253"/>
      <c r="F50" s="106">
        <f>F48</f>
        <v>39.236090000000004</v>
      </c>
      <c r="G50" s="99"/>
      <c r="H50" s="57"/>
      <c r="I50" s="99"/>
      <c r="J50" s="57"/>
      <c r="K50" s="99"/>
      <c r="L50" s="57">
        <f>F50*K50</f>
        <v>0</v>
      </c>
      <c r="M50" s="57">
        <f>H50+J50+L50</f>
        <v>0</v>
      </c>
    </row>
    <row r="51" spans="1:13" ht="47.25" x14ac:dyDescent="0.25">
      <c r="A51" s="399"/>
      <c r="B51" s="400"/>
      <c r="C51" s="401" t="s">
        <v>268</v>
      </c>
      <c r="D51" s="400"/>
      <c r="E51" s="410"/>
      <c r="F51" s="375"/>
      <c r="G51" s="59"/>
      <c r="H51" s="59"/>
      <c r="I51" s="59"/>
      <c r="J51" s="59"/>
      <c r="K51" s="59"/>
      <c r="L51" s="360"/>
      <c r="M51" s="360"/>
    </row>
    <row r="52" spans="1:13" s="80" customFormat="1" ht="78.75" x14ac:dyDescent="0.25">
      <c r="A52" s="468" t="s">
        <v>192</v>
      </c>
      <c r="B52" s="377" t="s">
        <v>378</v>
      </c>
      <c r="C52" s="378" t="s">
        <v>387</v>
      </c>
      <c r="D52" s="377" t="s">
        <v>14</v>
      </c>
      <c r="E52" s="402"/>
      <c r="F52" s="106">
        <f>5.2*5*0.1</f>
        <v>2.6</v>
      </c>
      <c r="G52" s="381"/>
      <c r="H52" s="57"/>
      <c r="I52" s="381"/>
      <c r="J52" s="57"/>
      <c r="K52" s="382"/>
      <c r="L52" s="59"/>
      <c r="M52" s="57"/>
    </row>
    <row r="53" spans="1:13" s="80" customFormat="1" ht="20.25" customHeight="1" x14ac:dyDescent="0.25">
      <c r="A53" s="469"/>
      <c r="B53" s="377"/>
      <c r="C53" s="383" t="s">
        <v>23</v>
      </c>
      <c r="D53" s="379" t="s">
        <v>25</v>
      </c>
      <c r="E53" s="402">
        <v>3.52</v>
      </c>
      <c r="F53" s="380">
        <f>F52*E53</f>
        <v>9.152000000000001</v>
      </c>
      <c r="G53" s="57"/>
      <c r="H53" s="59"/>
      <c r="I53" s="381"/>
      <c r="J53" s="57">
        <f>F53*I53</f>
        <v>0</v>
      </c>
      <c r="K53" s="99"/>
      <c r="L53" s="57"/>
      <c r="M53" s="57">
        <f>H53+J53+L53</f>
        <v>0</v>
      </c>
    </row>
    <row r="54" spans="1:13" s="80" customFormat="1" x14ac:dyDescent="0.25">
      <c r="A54" s="469"/>
      <c r="B54" s="377"/>
      <c r="C54" s="383" t="s">
        <v>32</v>
      </c>
      <c r="D54" s="371" t="s">
        <v>21</v>
      </c>
      <c r="E54" s="35">
        <v>1.06</v>
      </c>
      <c r="F54" s="55">
        <f>F52*E54</f>
        <v>2.7560000000000002</v>
      </c>
      <c r="G54" s="102"/>
      <c r="H54" s="59"/>
      <c r="I54" s="57"/>
      <c r="J54" s="59"/>
      <c r="K54" s="57"/>
      <c r="L54" s="57">
        <f>F54*K54</f>
        <v>0</v>
      </c>
      <c r="M54" s="57">
        <f>H54+J54+L54</f>
        <v>0</v>
      </c>
    </row>
    <row r="55" spans="1:13" s="80" customFormat="1" x14ac:dyDescent="0.25">
      <c r="A55" s="469"/>
      <c r="B55" s="377"/>
      <c r="C55" s="383" t="s">
        <v>379</v>
      </c>
      <c r="D55" s="371" t="s">
        <v>14</v>
      </c>
      <c r="E55" s="35">
        <f>0.18+0.09+0.97</f>
        <v>1.24</v>
      </c>
      <c r="F55" s="55">
        <f>F52*E55</f>
        <v>3.2240000000000002</v>
      </c>
      <c r="G55" s="102"/>
      <c r="H55" s="59">
        <f>F55*G55</f>
        <v>0</v>
      </c>
      <c r="I55" s="57"/>
      <c r="J55" s="59"/>
      <c r="K55" s="57"/>
      <c r="L55" s="59"/>
      <c r="M55" s="57">
        <f>H55+J55+L55</f>
        <v>0</v>
      </c>
    </row>
    <row r="56" spans="1:13" s="80" customFormat="1" x14ac:dyDescent="0.25">
      <c r="A56" s="470"/>
      <c r="B56" s="377"/>
      <c r="C56" s="383" t="s">
        <v>28</v>
      </c>
      <c r="D56" s="371" t="s">
        <v>21</v>
      </c>
      <c r="E56" s="35">
        <v>0.02</v>
      </c>
      <c r="F56" s="55">
        <f>F52*E56</f>
        <v>5.2000000000000005E-2</v>
      </c>
      <c r="G56" s="102"/>
      <c r="H56" s="59">
        <f>F56*G56</f>
        <v>0</v>
      </c>
      <c r="I56" s="57"/>
      <c r="J56" s="59"/>
      <c r="K56" s="57"/>
      <c r="L56" s="59"/>
      <c r="M56" s="57">
        <f>H56+J56+L56</f>
        <v>0</v>
      </c>
    </row>
    <row r="57" spans="1:13" s="80" customFormat="1" ht="47.25" x14ac:dyDescent="0.25">
      <c r="A57" s="476" t="s">
        <v>193</v>
      </c>
      <c r="B57" s="384" t="s">
        <v>385</v>
      </c>
      <c r="C57" s="145" t="s">
        <v>388</v>
      </c>
      <c r="D57" s="377" t="s">
        <v>14</v>
      </c>
      <c r="E57" s="411"/>
      <c r="F57" s="387">
        <f>5.2*5*0.12</f>
        <v>3.12</v>
      </c>
      <c r="G57" s="59"/>
      <c r="H57" s="59"/>
      <c r="I57" s="59"/>
      <c r="J57" s="59"/>
      <c r="K57" s="59"/>
      <c r="L57" s="59"/>
      <c r="M57" s="59"/>
    </row>
    <row r="58" spans="1:13" s="80" customFormat="1" x14ac:dyDescent="0.25">
      <c r="A58" s="477"/>
      <c r="B58" s="384"/>
      <c r="C58" s="385" t="s">
        <v>68</v>
      </c>
      <c r="D58" s="233" t="s">
        <v>90</v>
      </c>
      <c r="E58" s="43">
        <f>840*0.01</f>
        <v>8.4</v>
      </c>
      <c r="F58" s="101">
        <f>E58*F57</f>
        <v>26.208000000000002</v>
      </c>
      <c r="G58" s="102"/>
      <c r="H58" s="59"/>
      <c r="I58" s="102"/>
      <c r="J58" s="59">
        <f t="shared" ref="J58" si="0">F58*I58</f>
        <v>0</v>
      </c>
      <c r="K58" s="102"/>
      <c r="L58" s="59"/>
      <c r="M58" s="59">
        <f t="shared" ref="M58:M64" si="1">H58+J58+L58</f>
        <v>0</v>
      </c>
    </row>
    <row r="59" spans="1:13" s="80" customFormat="1" x14ac:dyDescent="0.25">
      <c r="A59" s="477"/>
      <c r="B59" s="384"/>
      <c r="C59" s="386" t="s">
        <v>24</v>
      </c>
      <c r="D59" s="370" t="s">
        <v>21</v>
      </c>
      <c r="E59" s="43">
        <f>81*0.01</f>
        <v>0.81</v>
      </c>
      <c r="F59" s="101">
        <f>E59*F57</f>
        <v>2.5272000000000001</v>
      </c>
      <c r="G59" s="102"/>
      <c r="H59" s="59"/>
      <c r="I59" s="102"/>
      <c r="J59" s="59"/>
      <c r="K59" s="102"/>
      <c r="L59" s="59">
        <f t="shared" ref="L59" si="2">F59*K59</f>
        <v>0</v>
      </c>
      <c r="M59" s="59">
        <f t="shared" si="1"/>
        <v>0</v>
      </c>
    </row>
    <row r="60" spans="1:13" s="80" customFormat="1" x14ac:dyDescent="0.25">
      <c r="A60" s="477"/>
      <c r="B60" s="384"/>
      <c r="C60" s="385" t="s">
        <v>381</v>
      </c>
      <c r="D60" s="233" t="s">
        <v>236</v>
      </c>
      <c r="E60" s="43">
        <f>101.5*0.01</f>
        <v>1.0150000000000001</v>
      </c>
      <c r="F60" s="101">
        <f>E60*F57</f>
        <v>3.1668000000000003</v>
      </c>
      <c r="G60" s="102"/>
      <c r="H60" s="59">
        <f t="shared" ref="H60:H64" si="3">F60*G60</f>
        <v>0</v>
      </c>
      <c r="I60" s="102"/>
      <c r="J60" s="59"/>
      <c r="K60" s="102"/>
      <c r="L60" s="59"/>
      <c r="M60" s="59">
        <f t="shared" si="1"/>
        <v>0</v>
      </c>
    </row>
    <row r="61" spans="1:13" s="80" customFormat="1" x14ac:dyDescent="0.25">
      <c r="A61" s="477"/>
      <c r="B61" s="384"/>
      <c r="C61" s="156" t="s">
        <v>382</v>
      </c>
      <c r="D61" s="233" t="s">
        <v>237</v>
      </c>
      <c r="E61" s="43">
        <f>137*0.01</f>
        <v>1.37</v>
      </c>
      <c r="F61" s="101">
        <f>E61*F57</f>
        <v>4.2744000000000009</v>
      </c>
      <c r="G61" s="102"/>
      <c r="H61" s="59">
        <f t="shared" si="3"/>
        <v>0</v>
      </c>
      <c r="I61" s="102"/>
      <c r="J61" s="59"/>
      <c r="K61" s="102"/>
      <c r="L61" s="59"/>
      <c r="M61" s="59">
        <f t="shared" si="1"/>
        <v>0</v>
      </c>
    </row>
    <row r="62" spans="1:13" s="80" customFormat="1" x14ac:dyDescent="0.25">
      <c r="A62" s="477"/>
      <c r="B62" s="384"/>
      <c r="C62" s="385" t="s">
        <v>383</v>
      </c>
      <c r="D62" s="233" t="s">
        <v>236</v>
      </c>
      <c r="E62" s="43">
        <f>(0.84+2.56+0.26)/100</f>
        <v>3.6600000000000001E-2</v>
      </c>
      <c r="F62" s="101">
        <f>E62*F57</f>
        <v>0.114192</v>
      </c>
      <c r="G62" s="102"/>
      <c r="H62" s="59">
        <f t="shared" si="3"/>
        <v>0</v>
      </c>
      <c r="I62" s="102"/>
      <c r="J62" s="59"/>
      <c r="K62" s="102"/>
      <c r="L62" s="59"/>
      <c r="M62" s="59">
        <f t="shared" si="1"/>
        <v>0</v>
      </c>
    </row>
    <row r="63" spans="1:13" s="80" customFormat="1" x14ac:dyDescent="0.25">
      <c r="A63" s="477"/>
      <c r="B63" s="384"/>
      <c r="C63" s="385" t="s">
        <v>33</v>
      </c>
      <c r="D63" s="233" t="s">
        <v>21</v>
      </c>
      <c r="E63" s="43">
        <f>0.39*0.01</f>
        <v>3.9000000000000003E-3</v>
      </c>
      <c r="F63" s="101">
        <f>E63*F57</f>
        <v>1.2168000000000002E-2</v>
      </c>
      <c r="G63" s="102"/>
      <c r="H63" s="59">
        <f t="shared" si="3"/>
        <v>0</v>
      </c>
      <c r="I63" s="102"/>
      <c r="J63" s="59"/>
      <c r="K63" s="102"/>
      <c r="L63" s="59"/>
      <c r="M63" s="59">
        <f t="shared" si="1"/>
        <v>0</v>
      </c>
    </row>
    <row r="64" spans="1:13" s="80" customFormat="1" x14ac:dyDescent="0.25">
      <c r="A64" s="477"/>
      <c r="B64" s="384"/>
      <c r="C64" s="385" t="s">
        <v>423</v>
      </c>
      <c r="D64" s="233" t="s">
        <v>384</v>
      </c>
      <c r="E64" s="43"/>
      <c r="F64" s="101">
        <f>5.2*5*16*1.03*0.395/1000</f>
        <v>0.16924960000000003</v>
      </c>
      <c r="G64" s="102"/>
      <c r="H64" s="59">
        <f t="shared" si="3"/>
        <v>0</v>
      </c>
      <c r="I64" s="102"/>
      <c r="J64" s="59"/>
      <c r="K64" s="102"/>
      <c r="L64" s="59"/>
      <c r="M64" s="59">
        <f t="shared" si="1"/>
        <v>0</v>
      </c>
    </row>
    <row r="65" spans="1:13" s="80" customFormat="1" ht="110.25" x14ac:dyDescent="0.25">
      <c r="A65" s="478" t="s">
        <v>75</v>
      </c>
      <c r="B65" s="93" t="s">
        <v>402</v>
      </c>
      <c r="C65" s="112" t="s">
        <v>415</v>
      </c>
      <c r="D65" s="384" t="s">
        <v>14</v>
      </c>
      <c r="E65" s="395"/>
      <c r="F65" s="404">
        <f>(5.2+1+1)*2.2*2</f>
        <v>31.680000000000003</v>
      </c>
      <c r="G65" s="59"/>
      <c r="H65" s="59"/>
      <c r="I65" s="59"/>
      <c r="J65" s="59"/>
      <c r="K65" s="59"/>
      <c r="L65" s="59"/>
      <c r="M65" s="59"/>
    </row>
    <row r="66" spans="1:13" s="80" customFormat="1" ht="21" customHeight="1" x14ac:dyDescent="0.25">
      <c r="A66" s="479"/>
      <c r="B66" s="396"/>
      <c r="C66" s="394" t="s">
        <v>29</v>
      </c>
      <c r="D66" s="11" t="s">
        <v>25</v>
      </c>
      <c r="E66" s="82">
        <v>7.3899999999999993E-2</v>
      </c>
      <c r="F66" s="55">
        <f>F65*E66</f>
        <v>2.3411520000000001</v>
      </c>
      <c r="G66" s="59"/>
      <c r="H66" s="59"/>
      <c r="I66" s="59"/>
      <c r="J66" s="59">
        <f t="shared" ref="J66" si="4">F66*I66</f>
        <v>0</v>
      </c>
      <c r="K66" s="59"/>
      <c r="L66" s="360"/>
      <c r="M66" s="360">
        <f t="shared" ref="M66:M68" si="5">H66+J66+L66</f>
        <v>0</v>
      </c>
    </row>
    <row r="67" spans="1:13" s="80" customFormat="1" x14ac:dyDescent="0.25">
      <c r="A67" s="479"/>
      <c r="B67" s="396"/>
      <c r="C67" s="394" t="s">
        <v>30</v>
      </c>
      <c r="D67" s="11" t="s">
        <v>21</v>
      </c>
      <c r="E67" s="82">
        <v>3.7000000000000002E-3</v>
      </c>
      <c r="F67" s="55">
        <f>F65*E67</f>
        <v>0.11721600000000001</v>
      </c>
      <c r="G67" s="59"/>
      <c r="H67" s="59"/>
      <c r="I67" s="59"/>
      <c r="J67" s="59"/>
      <c r="K67" s="59"/>
      <c r="L67" s="360">
        <f t="shared" ref="L67" si="6">F67*K67</f>
        <v>0</v>
      </c>
      <c r="M67" s="360">
        <f t="shared" si="5"/>
        <v>0</v>
      </c>
    </row>
    <row r="68" spans="1:13" s="80" customFormat="1" x14ac:dyDescent="0.25">
      <c r="A68" s="480"/>
      <c r="B68" s="396" t="s">
        <v>400</v>
      </c>
      <c r="C68" s="394" t="s">
        <v>401</v>
      </c>
      <c r="D68" s="11" t="s">
        <v>16</v>
      </c>
      <c r="E68" s="82">
        <v>0.4</v>
      </c>
      <c r="F68" s="55">
        <f>F65*E68</f>
        <v>12.672000000000002</v>
      </c>
      <c r="G68" s="59"/>
      <c r="H68" s="59">
        <f t="shared" ref="H68" si="7">F68*G68</f>
        <v>0</v>
      </c>
      <c r="I68" s="59"/>
      <c r="J68" s="59"/>
      <c r="K68" s="59"/>
      <c r="L68" s="360"/>
      <c r="M68" s="360">
        <f t="shared" si="5"/>
        <v>0</v>
      </c>
    </row>
    <row r="69" spans="1:13" s="80" customFormat="1" ht="47.25" x14ac:dyDescent="0.25">
      <c r="A69" s="465" t="s">
        <v>194</v>
      </c>
      <c r="B69" s="365" t="s">
        <v>405</v>
      </c>
      <c r="C69" s="94" t="s">
        <v>414</v>
      </c>
      <c r="D69" s="364" t="s">
        <v>15</v>
      </c>
      <c r="E69" s="366"/>
      <c r="F69" s="404">
        <f>(5.2+1+1)*2.2*1</f>
        <v>15.840000000000002</v>
      </c>
      <c r="G69" s="360"/>
      <c r="H69" s="59"/>
      <c r="I69" s="360"/>
      <c r="J69" s="59"/>
      <c r="K69" s="360"/>
      <c r="L69" s="360"/>
      <c r="M69" s="360"/>
    </row>
    <row r="70" spans="1:13" s="80" customFormat="1" ht="18" customHeight="1" x14ac:dyDescent="0.25">
      <c r="A70" s="466"/>
      <c r="B70" s="364"/>
      <c r="C70" s="115" t="s">
        <v>23</v>
      </c>
      <c r="D70" s="364" t="s">
        <v>25</v>
      </c>
      <c r="E70" s="366">
        <v>0.33600000000000002</v>
      </c>
      <c r="F70" s="367">
        <f>F69*E70</f>
        <v>5.3222400000000007</v>
      </c>
      <c r="G70" s="59"/>
      <c r="H70" s="59"/>
      <c r="I70" s="59"/>
      <c r="J70" s="59">
        <f>F70*I70</f>
        <v>0</v>
      </c>
      <c r="K70" s="59"/>
      <c r="L70" s="59"/>
      <c r="M70" s="360">
        <f>H70+J70+L70</f>
        <v>0</v>
      </c>
    </row>
    <row r="71" spans="1:13" s="80" customFormat="1" x14ac:dyDescent="0.25">
      <c r="A71" s="466"/>
      <c r="B71" s="364"/>
      <c r="C71" s="115" t="s">
        <v>32</v>
      </c>
      <c r="D71" s="364" t="s">
        <v>21</v>
      </c>
      <c r="E71" s="366">
        <v>1.4999999999999999E-2</v>
      </c>
      <c r="F71" s="367">
        <f>F69*E71</f>
        <v>0.23760000000000001</v>
      </c>
      <c r="G71" s="59"/>
      <c r="H71" s="59"/>
      <c r="I71" s="59"/>
      <c r="J71" s="59"/>
      <c r="K71" s="59"/>
      <c r="L71" s="59">
        <f>F71*K71</f>
        <v>0</v>
      </c>
      <c r="M71" s="360">
        <f>H71+J71+L71</f>
        <v>0</v>
      </c>
    </row>
    <row r="72" spans="1:13" s="80" customFormat="1" ht="31.5" x14ac:dyDescent="0.25">
      <c r="A72" s="466"/>
      <c r="B72" s="364"/>
      <c r="C72" s="115" t="s">
        <v>406</v>
      </c>
      <c r="D72" s="364" t="s">
        <v>16</v>
      </c>
      <c r="E72" s="366">
        <v>2.4</v>
      </c>
      <c r="F72" s="367">
        <f>F69*E72</f>
        <v>38.016000000000005</v>
      </c>
      <c r="G72" s="59"/>
      <c r="H72" s="59">
        <f>F72*G72</f>
        <v>0</v>
      </c>
      <c r="I72" s="59"/>
      <c r="J72" s="59"/>
      <c r="K72" s="59"/>
      <c r="L72" s="59"/>
      <c r="M72" s="360">
        <f>H72+J72+L72</f>
        <v>0</v>
      </c>
    </row>
    <row r="73" spans="1:13" s="80" customFormat="1" x14ac:dyDescent="0.25">
      <c r="A73" s="467"/>
      <c r="B73" s="364"/>
      <c r="C73" s="115" t="s">
        <v>28</v>
      </c>
      <c r="D73" s="364" t="s">
        <v>21</v>
      </c>
      <c r="E73" s="366">
        <v>2.2800000000000001E-2</v>
      </c>
      <c r="F73" s="367">
        <f>F69*E73</f>
        <v>0.36115200000000003</v>
      </c>
      <c r="G73" s="59"/>
      <c r="H73" s="59">
        <f>F73*G73</f>
        <v>0</v>
      </c>
      <c r="I73" s="59"/>
      <c r="J73" s="59"/>
      <c r="K73" s="59"/>
      <c r="L73" s="59"/>
      <c r="M73" s="360">
        <f>H73+J73+L73</f>
        <v>0</v>
      </c>
    </row>
    <row r="74" spans="1:13" ht="47.25" x14ac:dyDescent="0.25">
      <c r="A74" s="459" t="s">
        <v>44</v>
      </c>
      <c r="B74" s="93" t="s">
        <v>42</v>
      </c>
      <c r="C74" s="145" t="s">
        <v>366</v>
      </c>
      <c r="D74" s="362" t="s">
        <v>15</v>
      </c>
      <c r="E74" s="35"/>
      <c r="F74" s="136">
        <f>F78+F79</f>
        <v>11.01</v>
      </c>
      <c r="G74" s="59"/>
      <c r="H74" s="59"/>
      <c r="I74" s="59"/>
      <c r="J74" s="59"/>
      <c r="K74" s="59"/>
      <c r="L74" s="59"/>
      <c r="M74" s="59"/>
    </row>
    <row r="75" spans="1:13" ht="18.75" customHeight="1" x14ac:dyDescent="0.25">
      <c r="A75" s="460"/>
      <c r="B75" s="93"/>
      <c r="C75" s="116" t="s">
        <v>23</v>
      </c>
      <c r="D75" s="85" t="s">
        <v>25</v>
      </c>
      <c r="E75" s="236">
        <v>2.72</v>
      </c>
      <c r="F75" s="95">
        <f>F74*E75</f>
        <v>29.947200000000002</v>
      </c>
      <c r="G75" s="59"/>
      <c r="H75" s="59"/>
      <c r="I75" s="59"/>
      <c r="J75" s="59">
        <f>F75*I75</f>
        <v>0</v>
      </c>
      <c r="K75" s="59"/>
      <c r="L75" s="59"/>
      <c r="M75" s="59">
        <f>H75+J75+L75</f>
        <v>0</v>
      </c>
    </row>
    <row r="76" spans="1:13" ht="31.5" x14ac:dyDescent="0.25">
      <c r="A76" s="460"/>
      <c r="B76" s="93" t="s">
        <v>80</v>
      </c>
      <c r="C76" s="116" t="s">
        <v>81</v>
      </c>
      <c r="D76" s="85" t="s">
        <v>26</v>
      </c>
      <c r="E76" s="236">
        <v>2.4E-2</v>
      </c>
      <c r="F76" s="95">
        <f>F74*E76</f>
        <v>0.26423999999999997</v>
      </c>
      <c r="G76" s="59"/>
      <c r="H76" s="59"/>
      <c r="I76" s="59"/>
      <c r="J76" s="59"/>
      <c r="K76" s="59"/>
      <c r="L76" s="59">
        <f>F76*K76</f>
        <v>0</v>
      </c>
      <c r="M76" s="59">
        <f>H76+J76+L76</f>
        <v>0</v>
      </c>
    </row>
    <row r="77" spans="1:13" ht="31.5" x14ac:dyDescent="0.25">
      <c r="A77" s="460"/>
      <c r="B77" s="93" t="s">
        <v>82</v>
      </c>
      <c r="C77" s="116" t="s">
        <v>83</v>
      </c>
      <c r="D77" s="85" t="s">
        <v>26</v>
      </c>
      <c r="E77" s="236">
        <v>0.628</v>
      </c>
      <c r="F77" s="95">
        <f>F74*E77</f>
        <v>6.9142799999999998</v>
      </c>
      <c r="G77" s="59"/>
      <c r="H77" s="59"/>
      <c r="I77" s="59"/>
      <c r="J77" s="59"/>
      <c r="K77" s="59"/>
      <c r="L77" s="59">
        <f>F77*K77</f>
        <v>0</v>
      </c>
      <c r="M77" s="59">
        <f>H77+J77+L77</f>
        <v>0</v>
      </c>
    </row>
    <row r="78" spans="1:13" ht="63" x14ac:dyDescent="0.25">
      <c r="A78" s="460"/>
      <c r="B78" s="93"/>
      <c r="C78" s="116" t="s">
        <v>240</v>
      </c>
      <c r="D78" s="85" t="s">
        <v>15</v>
      </c>
      <c r="E78" s="236"/>
      <c r="F78" s="136">
        <f>1*1.9+1*1.9+0.9*1.9+1*2.2</f>
        <v>7.71</v>
      </c>
      <c r="G78" s="59"/>
      <c r="H78" s="59">
        <f>F78*G78</f>
        <v>0</v>
      </c>
      <c r="I78" s="59"/>
      <c r="J78" s="59"/>
      <c r="K78" s="59"/>
      <c r="L78" s="59"/>
      <c r="M78" s="59">
        <f>H78+J78+L78</f>
        <v>0</v>
      </c>
    </row>
    <row r="79" spans="1:13" ht="78.75" x14ac:dyDescent="0.25">
      <c r="A79" s="460"/>
      <c r="B79" s="93"/>
      <c r="C79" s="116" t="s">
        <v>239</v>
      </c>
      <c r="D79" s="85" t="s">
        <v>15</v>
      </c>
      <c r="E79" s="236"/>
      <c r="F79" s="136">
        <f>1*1*2+1*1+0.6*0.5</f>
        <v>3.3</v>
      </c>
      <c r="G79" s="59"/>
      <c r="H79" s="59">
        <f>F79*G79</f>
        <v>0</v>
      </c>
      <c r="I79" s="59"/>
      <c r="J79" s="59"/>
      <c r="K79" s="59"/>
      <c r="L79" s="59"/>
      <c r="M79" s="59">
        <f>H79+J79+L79</f>
        <v>0</v>
      </c>
    </row>
    <row r="80" spans="1:13" ht="31.5" hidden="1" x14ac:dyDescent="0.25">
      <c r="A80" s="459" t="s">
        <v>364</v>
      </c>
      <c r="B80" s="362" t="s">
        <v>355</v>
      </c>
      <c r="C80" s="145" t="s">
        <v>368</v>
      </c>
      <c r="D80" s="362" t="s">
        <v>15</v>
      </c>
      <c r="E80" s="41"/>
      <c r="F80" s="136">
        <v>0</v>
      </c>
      <c r="G80" s="59"/>
      <c r="H80" s="59"/>
      <c r="I80" s="59"/>
      <c r="J80" s="59"/>
      <c r="K80" s="59"/>
      <c r="L80" s="59"/>
      <c r="M80" s="59"/>
    </row>
    <row r="81" spans="1:13" hidden="1" x14ac:dyDescent="0.25">
      <c r="A81" s="460"/>
      <c r="B81" s="362"/>
      <c r="C81" s="116" t="s">
        <v>29</v>
      </c>
      <c r="D81" s="85" t="s">
        <v>25</v>
      </c>
      <c r="E81" s="41">
        <v>0.91400000000000003</v>
      </c>
      <c r="F81" s="95">
        <f>F80*E81</f>
        <v>0</v>
      </c>
      <c r="G81" s="59"/>
      <c r="H81" s="59"/>
      <c r="I81" s="59">
        <v>7.8</v>
      </c>
      <c r="J81" s="59">
        <f>F81*I81</f>
        <v>0</v>
      </c>
      <c r="K81" s="59"/>
      <c r="L81" s="59"/>
      <c r="M81" s="59">
        <f t="shared" ref="M81:M86" si="8">H81+J81+L81</f>
        <v>0</v>
      </c>
    </row>
    <row r="82" spans="1:13" hidden="1" x14ac:dyDescent="0.25">
      <c r="A82" s="460"/>
      <c r="B82" s="362"/>
      <c r="C82" s="116" t="s">
        <v>30</v>
      </c>
      <c r="D82" s="85" t="s">
        <v>21</v>
      </c>
      <c r="E82" s="236">
        <v>0.35299999999999998</v>
      </c>
      <c r="F82" s="95">
        <f>F80*E82</f>
        <v>0</v>
      </c>
      <c r="G82" s="59"/>
      <c r="H82" s="59"/>
      <c r="I82" s="59"/>
      <c r="J82" s="59"/>
      <c r="K82" s="59"/>
      <c r="L82" s="59">
        <f>F82*K82</f>
        <v>0</v>
      </c>
      <c r="M82" s="59">
        <f t="shared" si="8"/>
        <v>0</v>
      </c>
    </row>
    <row r="83" spans="1:13" hidden="1" x14ac:dyDescent="0.25">
      <c r="A83" s="460"/>
      <c r="B83" s="362"/>
      <c r="C83" s="116" t="s">
        <v>367</v>
      </c>
      <c r="D83" s="85" t="s">
        <v>343</v>
      </c>
      <c r="E83" s="236">
        <v>1</v>
      </c>
      <c r="F83" s="95">
        <f>F80*E83</f>
        <v>0</v>
      </c>
      <c r="G83" s="59"/>
      <c r="H83" s="59">
        <f>F83*G83</f>
        <v>0</v>
      </c>
      <c r="I83" s="59"/>
      <c r="J83" s="59"/>
      <c r="K83" s="59"/>
      <c r="L83" s="59"/>
      <c r="M83" s="59">
        <f t="shared" si="8"/>
        <v>0</v>
      </c>
    </row>
    <row r="84" spans="1:13" hidden="1" x14ac:dyDescent="0.25">
      <c r="A84" s="460"/>
      <c r="B84" s="362"/>
      <c r="C84" s="116" t="s">
        <v>173</v>
      </c>
      <c r="D84" s="85" t="s">
        <v>84</v>
      </c>
      <c r="E84" s="236">
        <v>8.0000000000000004E-4</v>
      </c>
      <c r="F84" s="95">
        <f>F80*E84</f>
        <v>0</v>
      </c>
      <c r="G84" s="59"/>
      <c r="H84" s="59">
        <f>F84*G84</f>
        <v>0</v>
      </c>
      <c r="I84" s="59"/>
      <c r="J84" s="59"/>
      <c r="K84" s="59"/>
      <c r="L84" s="59"/>
      <c r="M84" s="59">
        <f t="shared" si="8"/>
        <v>0</v>
      </c>
    </row>
    <row r="85" spans="1:13" hidden="1" x14ac:dyDescent="0.25">
      <c r="A85" s="460"/>
      <c r="B85" s="362"/>
      <c r="C85" s="116" t="s">
        <v>356</v>
      </c>
      <c r="D85" s="85" t="s">
        <v>343</v>
      </c>
      <c r="E85" s="236">
        <v>0.89</v>
      </c>
      <c r="F85" s="95">
        <f>F80*E85</f>
        <v>0</v>
      </c>
      <c r="G85" s="59"/>
      <c r="H85" s="59">
        <f>F85*G85</f>
        <v>0</v>
      </c>
      <c r="I85" s="59"/>
      <c r="J85" s="59"/>
      <c r="K85" s="59"/>
      <c r="L85" s="59"/>
      <c r="M85" s="59">
        <f t="shared" si="8"/>
        <v>0</v>
      </c>
    </row>
    <row r="86" spans="1:13" hidden="1" x14ac:dyDescent="0.25">
      <c r="A86" s="461"/>
      <c r="B86" s="362"/>
      <c r="C86" s="116" t="s">
        <v>28</v>
      </c>
      <c r="D86" s="85" t="s">
        <v>21</v>
      </c>
      <c r="E86" s="236">
        <v>0.27600000000000002</v>
      </c>
      <c r="F86" s="95">
        <f>F80*E86</f>
        <v>0</v>
      </c>
      <c r="G86" s="59"/>
      <c r="H86" s="59">
        <f>F86*G86</f>
        <v>0</v>
      </c>
      <c r="I86" s="59"/>
      <c r="J86" s="59"/>
      <c r="K86" s="59"/>
      <c r="L86" s="59"/>
      <c r="M86" s="59">
        <f t="shared" si="8"/>
        <v>0</v>
      </c>
    </row>
    <row r="87" spans="1:13" ht="51.75" customHeight="1" x14ac:dyDescent="0.25">
      <c r="A87" s="478" t="s">
        <v>188</v>
      </c>
      <c r="B87" s="233" t="s">
        <v>347</v>
      </c>
      <c r="C87" s="110" t="s">
        <v>357</v>
      </c>
      <c r="D87" s="403" t="s">
        <v>11</v>
      </c>
      <c r="E87" s="35"/>
      <c r="F87" s="136">
        <f>((1+1.9*2)+(1+1.9*2)+(0.9+1.9*2)+(1+2.2*2))*2</f>
        <v>39.400000000000006</v>
      </c>
      <c r="G87" s="59"/>
      <c r="H87" s="59"/>
      <c r="I87" s="59"/>
      <c r="J87" s="59"/>
      <c r="K87" s="59"/>
      <c r="L87" s="59"/>
      <c r="M87" s="59"/>
    </row>
    <row r="88" spans="1:13" x14ac:dyDescent="0.25">
      <c r="A88" s="479"/>
      <c r="B88" s="233"/>
      <c r="C88" s="112" t="s">
        <v>68</v>
      </c>
      <c r="D88" s="233" t="s">
        <v>90</v>
      </c>
      <c r="E88" s="43">
        <v>0.49</v>
      </c>
      <c r="F88" s="101">
        <f>E88*F87</f>
        <v>19.306000000000001</v>
      </c>
      <c r="G88" s="59"/>
      <c r="H88" s="59"/>
      <c r="I88" s="59"/>
      <c r="J88" s="59">
        <f>F88*I88</f>
        <v>0</v>
      </c>
      <c r="K88" s="59"/>
      <c r="L88" s="59"/>
      <c r="M88" s="59">
        <f t="shared" ref="M88:M97" si="9">H88+J88+L88</f>
        <v>0</v>
      </c>
    </row>
    <row r="89" spans="1:13" x14ac:dyDescent="0.25">
      <c r="A89" s="479"/>
      <c r="B89" s="233"/>
      <c r="C89" s="112" t="s">
        <v>24</v>
      </c>
      <c r="D89" s="233" t="s">
        <v>21</v>
      </c>
      <c r="E89" s="43">
        <v>1.7999999999999999E-2</v>
      </c>
      <c r="F89" s="101">
        <f>E89*F87</f>
        <v>0.70920000000000005</v>
      </c>
      <c r="G89" s="59"/>
      <c r="H89" s="59"/>
      <c r="I89" s="59"/>
      <c r="J89" s="59"/>
      <c r="K89" s="59"/>
      <c r="L89" s="59">
        <f t="shared" ref="L89:L94" si="10">F89*K89</f>
        <v>0</v>
      </c>
      <c r="M89" s="59">
        <f t="shared" si="9"/>
        <v>0</v>
      </c>
    </row>
    <row r="90" spans="1:13" ht="31.5" x14ac:dyDescent="0.25">
      <c r="A90" s="480"/>
      <c r="B90" s="233"/>
      <c r="C90" s="112" t="s">
        <v>377</v>
      </c>
      <c r="D90" s="233" t="s">
        <v>236</v>
      </c>
      <c r="E90" s="43">
        <v>1.06E-2</v>
      </c>
      <c r="F90" s="101">
        <f>E90*F87</f>
        <v>0.41764000000000007</v>
      </c>
      <c r="G90" s="59"/>
      <c r="H90" s="59">
        <f t="shared" ref="H90:H97" si="11">F90*G90</f>
        <v>0</v>
      </c>
      <c r="I90" s="59"/>
      <c r="J90" s="59"/>
      <c r="K90" s="59"/>
      <c r="L90" s="59"/>
      <c r="M90" s="59">
        <f t="shared" si="9"/>
        <v>0</v>
      </c>
    </row>
    <row r="91" spans="1:13" ht="47.25" customHeight="1" x14ac:dyDescent="0.25">
      <c r="A91" s="478" t="s">
        <v>195</v>
      </c>
      <c r="B91" s="233" t="s">
        <v>348</v>
      </c>
      <c r="C91" s="110" t="s">
        <v>349</v>
      </c>
      <c r="D91" s="371" t="s">
        <v>237</v>
      </c>
      <c r="E91" s="35"/>
      <c r="F91" s="136">
        <f>(5.2+5)*2*2.2-1*1*2-1*1.9-1*1.9 + (2.5+2.3)*2*2.2-1*1*2-0.9*1.9  +   (1.25+2.6)*2*2.4-0.6*0.5-1*2.2</f>
        <v>72.47</v>
      </c>
      <c r="G91" s="59"/>
      <c r="H91" s="59"/>
      <c r="I91" s="59"/>
      <c r="J91" s="59"/>
      <c r="K91" s="59"/>
      <c r="L91" s="59"/>
      <c r="M91" s="59"/>
    </row>
    <row r="92" spans="1:13" x14ac:dyDescent="0.25">
      <c r="A92" s="479"/>
      <c r="B92" s="233"/>
      <c r="C92" s="112" t="s">
        <v>68</v>
      </c>
      <c r="D92" s="233" t="s">
        <v>90</v>
      </c>
      <c r="E92" s="43">
        <v>1.01</v>
      </c>
      <c r="F92" s="101">
        <f>E92*F91</f>
        <v>73.194699999999997</v>
      </c>
      <c r="G92" s="59"/>
      <c r="H92" s="59"/>
      <c r="I92" s="59"/>
      <c r="J92" s="59">
        <f>F92*I92</f>
        <v>0</v>
      </c>
      <c r="K92" s="59"/>
      <c r="L92" s="59"/>
      <c r="M92" s="59">
        <f t="shared" si="9"/>
        <v>0</v>
      </c>
    </row>
    <row r="93" spans="1:13" x14ac:dyDescent="0.25">
      <c r="A93" s="479"/>
      <c r="B93" s="233" t="s">
        <v>350</v>
      </c>
      <c r="C93" s="112" t="s">
        <v>351</v>
      </c>
      <c r="D93" s="233" t="s">
        <v>352</v>
      </c>
      <c r="E93" s="43">
        <v>4.1000000000000002E-2</v>
      </c>
      <c r="F93" s="101">
        <f>E93*F91</f>
        <v>2.9712700000000001</v>
      </c>
      <c r="G93" s="59"/>
      <c r="H93" s="59"/>
      <c r="I93" s="59"/>
      <c r="J93" s="59"/>
      <c r="K93" s="59"/>
      <c r="L93" s="59">
        <f t="shared" si="10"/>
        <v>0</v>
      </c>
      <c r="M93" s="59">
        <f t="shared" si="9"/>
        <v>0</v>
      </c>
    </row>
    <row r="94" spans="1:13" x14ac:dyDescent="0.25">
      <c r="A94" s="479"/>
      <c r="B94" s="233"/>
      <c r="C94" s="112" t="s">
        <v>24</v>
      </c>
      <c r="D94" s="233" t="s">
        <v>21</v>
      </c>
      <c r="E94" s="43">
        <v>2.7E-2</v>
      </c>
      <c r="F94" s="101">
        <f>E94*F91</f>
        <v>1.95669</v>
      </c>
      <c r="G94" s="59"/>
      <c r="H94" s="59"/>
      <c r="I94" s="59"/>
      <c r="J94" s="59"/>
      <c r="K94" s="59"/>
      <c r="L94" s="59">
        <f t="shared" si="10"/>
        <v>0</v>
      </c>
      <c r="M94" s="59">
        <f t="shared" si="9"/>
        <v>0</v>
      </c>
    </row>
    <row r="95" spans="1:13" ht="31.5" x14ac:dyDescent="0.25">
      <c r="A95" s="479"/>
      <c r="B95" s="233"/>
      <c r="C95" s="112" t="s">
        <v>353</v>
      </c>
      <c r="D95" s="233" t="s">
        <v>236</v>
      </c>
      <c r="E95" s="43">
        <v>2.2800000000000001E-2</v>
      </c>
      <c r="F95" s="101">
        <f>E95*F91</f>
        <v>1.6523160000000001</v>
      </c>
      <c r="G95" s="59"/>
      <c r="H95" s="59">
        <f t="shared" si="11"/>
        <v>0</v>
      </c>
      <c r="I95" s="59"/>
      <c r="J95" s="59"/>
      <c r="K95" s="59"/>
      <c r="L95" s="59"/>
      <c r="M95" s="59">
        <f t="shared" si="9"/>
        <v>0</v>
      </c>
    </row>
    <row r="96" spans="1:13" x14ac:dyDescent="0.25">
      <c r="A96" s="479"/>
      <c r="B96" s="362"/>
      <c r="C96" s="394" t="s">
        <v>354</v>
      </c>
      <c r="D96" s="11" t="s">
        <v>15</v>
      </c>
      <c r="E96" s="82">
        <v>5.28E-2</v>
      </c>
      <c r="F96" s="173">
        <f>F91*E96</f>
        <v>3.826416</v>
      </c>
      <c r="G96" s="59"/>
      <c r="H96" s="59">
        <f t="shared" si="11"/>
        <v>0</v>
      </c>
      <c r="I96" s="59"/>
      <c r="J96" s="59"/>
      <c r="K96" s="59"/>
      <c r="L96" s="59"/>
      <c r="M96" s="59">
        <f t="shared" si="9"/>
        <v>0</v>
      </c>
    </row>
    <row r="97" spans="1:13" x14ac:dyDescent="0.25">
      <c r="A97" s="480"/>
      <c r="B97" s="362"/>
      <c r="C97" s="394" t="s">
        <v>33</v>
      </c>
      <c r="D97" s="11" t="s">
        <v>21</v>
      </c>
      <c r="E97" s="82">
        <v>3.0000000000000001E-3</v>
      </c>
      <c r="F97" s="173">
        <f>F91*E97</f>
        <v>0.21740999999999999</v>
      </c>
      <c r="G97" s="59"/>
      <c r="H97" s="59">
        <f t="shared" si="11"/>
        <v>0</v>
      </c>
      <c r="I97" s="59"/>
      <c r="J97" s="59"/>
      <c r="K97" s="59"/>
      <c r="L97" s="59"/>
      <c r="M97" s="59">
        <f t="shared" si="9"/>
        <v>0</v>
      </c>
    </row>
    <row r="98" spans="1:13" ht="47.25" x14ac:dyDescent="0.25">
      <c r="A98" s="478" t="s">
        <v>45</v>
      </c>
      <c r="B98" s="356" t="s">
        <v>35</v>
      </c>
      <c r="C98" s="58" t="s">
        <v>346</v>
      </c>
      <c r="D98" s="356" t="s">
        <v>15</v>
      </c>
      <c r="E98" s="38"/>
      <c r="F98" s="56">
        <f>5.2*5+2.5*2.3+1.25*2.6</f>
        <v>35</v>
      </c>
      <c r="G98" s="57"/>
      <c r="H98" s="59"/>
      <c r="I98" s="57"/>
      <c r="J98" s="59"/>
      <c r="K98" s="57"/>
      <c r="L98" s="59"/>
      <c r="M98" s="59"/>
    </row>
    <row r="99" spans="1:13" ht="20.25" customHeight="1" x14ac:dyDescent="0.25">
      <c r="A99" s="479"/>
      <c r="B99" s="356"/>
      <c r="C99" s="158" t="s">
        <v>34</v>
      </c>
      <c r="D99" s="11" t="s">
        <v>25</v>
      </c>
      <c r="E99" s="79">
        <f>0.188+0.0034*2</f>
        <v>0.1948</v>
      </c>
      <c r="F99" s="55">
        <f>F98*E99</f>
        <v>6.8179999999999996</v>
      </c>
      <c r="G99" s="57"/>
      <c r="H99" s="59"/>
      <c r="I99" s="102"/>
      <c r="J99" s="59">
        <f>F99*I99</f>
        <v>0</v>
      </c>
      <c r="K99" s="57"/>
      <c r="L99" s="59"/>
      <c r="M99" s="59">
        <f>H99+J99+L99</f>
        <v>0</v>
      </c>
    </row>
    <row r="100" spans="1:13" x14ac:dyDescent="0.25">
      <c r="A100" s="479"/>
      <c r="B100" s="356"/>
      <c r="C100" s="158" t="s">
        <v>30</v>
      </c>
      <c r="D100" s="11" t="s">
        <v>21</v>
      </c>
      <c r="E100" s="79">
        <f>0.0095+0.0023*2</f>
        <v>1.41E-2</v>
      </c>
      <c r="F100" s="55">
        <f>F98*E100</f>
        <v>0.49349999999999999</v>
      </c>
      <c r="G100" s="57"/>
      <c r="H100" s="59"/>
      <c r="I100" s="57"/>
      <c r="J100" s="59"/>
      <c r="K100" s="57"/>
      <c r="L100" s="59">
        <f>F100*K100</f>
        <v>0</v>
      </c>
      <c r="M100" s="59">
        <f>H100+J100+L100</f>
        <v>0</v>
      </c>
    </row>
    <row r="101" spans="1:13" x14ac:dyDescent="0.25">
      <c r="A101" s="479"/>
      <c r="B101" s="356"/>
      <c r="C101" s="109" t="s">
        <v>85</v>
      </c>
      <c r="D101" s="371" t="s">
        <v>14</v>
      </c>
      <c r="E101" s="35">
        <f>0.0204+0.0051*2</f>
        <v>3.0600000000000002E-2</v>
      </c>
      <c r="F101" s="55">
        <f>F98*E101</f>
        <v>1.0710000000000002</v>
      </c>
      <c r="G101" s="57"/>
      <c r="H101" s="59">
        <f>F101*G101</f>
        <v>0</v>
      </c>
      <c r="I101" s="57"/>
      <c r="J101" s="59"/>
      <c r="K101" s="57"/>
      <c r="L101" s="59"/>
      <c r="M101" s="59">
        <f>H101+J101+L101</f>
        <v>0</v>
      </c>
    </row>
    <row r="102" spans="1:13" x14ac:dyDescent="0.25">
      <c r="A102" s="480"/>
      <c r="B102" s="356"/>
      <c r="C102" s="111" t="s">
        <v>28</v>
      </c>
      <c r="D102" s="11" t="s">
        <v>21</v>
      </c>
      <c r="E102" s="82">
        <f>0.0636</f>
        <v>6.3600000000000004E-2</v>
      </c>
      <c r="F102" s="55">
        <f>F98*E102</f>
        <v>2.226</v>
      </c>
      <c r="G102" s="57"/>
      <c r="H102" s="59">
        <f>F102*G102</f>
        <v>0</v>
      </c>
      <c r="I102" s="57"/>
      <c r="J102" s="59"/>
      <c r="K102" s="57"/>
      <c r="L102" s="59"/>
      <c r="M102" s="59">
        <f>H102+J102+L102</f>
        <v>0</v>
      </c>
    </row>
    <row r="103" spans="1:13" ht="34.5" customHeight="1" x14ac:dyDescent="0.25">
      <c r="A103" s="471" t="s">
        <v>65</v>
      </c>
      <c r="B103" s="365" t="s">
        <v>36</v>
      </c>
      <c r="C103" s="94" t="s">
        <v>72</v>
      </c>
      <c r="D103" s="364" t="s">
        <v>15</v>
      </c>
      <c r="E103" s="366"/>
      <c r="F103" s="56">
        <f>2.5*2.3+5.2*5</f>
        <v>31.75</v>
      </c>
      <c r="G103" s="59"/>
      <c r="H103" s="59"/>
      <c r="I103" s="59"/>
      <c r="J103" s="59"/>
      <c r="K103" s="59"/>
      <c r="L103" s="59"/>
      <c r="M103" s="59"/>
    </row>
    <row r="104" spans="1:13" ht="21" customHeight="1" x14ac:dyDescent="0.25">
      <c r="A104" s="472"/>
      <c r="B104" s="365"/>
      <c r="C104" s="115" t="s">
        <v>23</v>
      </c>
      <c r="D104" s="364" t="s">
        <v>25</v>
      </c>
      <c r="E104" s="41">
        <v>1.08</v>
      </c>
      <c r="F104" s="95">
        <f>F103*E104</f>
        <v>34.29</v>
      </c>
      <c r="G104" s="59"/>
      <c r="H104" s="59"/>
      <c r="I104" s="59"/>
      <c r="J104" s="59">
        <f>F104*I104</f>
        <v>0</v>
      </c>
      <c r="K104" s="59"/>
      <c r="L104" s="59"/>
      <c r="M104" s="59">
        <f t="shared" ref="M104:M109" si="12">H104+J104+L104</f>
        <v>0</v>
      </c>
    </row>
    <row r="105" spans="1:13" ht="17.25" customHeight="1" x14ac:dyDescent="0.25">
      <c r="A105" s="472"/>
      <c r="B105" s="365"/>
      <c r="C105" s="160" t="s">
        <v>24</v>
      </c>
      <c r="D105" s="362" t="s">
        <v>26</v>
      </c>
      <c r="E105" s="41">
        <v>4.5199999999999997E-2</v>
      </c>
      <c r="F105" s="95">
        <f>F103*E105</f>
        <v>1.4350999999999998</v>
      </c>
      <c r="G105" s="59"/>
      <c r="H105" s="59"/>
      <c r="I105" s="59"/>
      <c r="J105" s="59"/>
      <c r="K105" s="59"/>
      <c r="L105" s="59">
        <f>F105*K105</f>
        <v>0</v>
      </c>
      <c r="M105" s="59">
        <f t="shared" si="12"/>
        <v>0</v>
      </c>
    </row>
    <row r="106" spans="1:13" x14ac:dyDescent="0.25">
      <c r="A106" s="472"/>
      <c r="B106" s="365"/>
      <c r="C106" s="94" t="s">
        <v>49</v>
      </c>
      <c r="D106" s="364" t="s">
        <v>15</v>
      </c>
      <c r="E106" s="366">
        <v>1.05</v>
      </c>
      <c r="F106" s="56">
        <f>F103*E106</f>
        <v>33.337499999999999</v>
      </c>
      <c r="G106" s="59"/>
      <c r="H106" s="59">
        <f>F106*G106</f>
        <v>0</v>
      </c>
      <c r="I106" s="59"/>
      <c r="J106" s="59"/>
      <c r="K106" s="59"/>
      <c r="L106" s="59"/>
      <c r="M106" s="59">
        <f t="shared" si="12"/>
        <v>0</v>
      </c>
    </row>
    <row r="107" spans="1:13" x14ac:dyDescent="0.25">
      <c r="A107" s="472"/>
      <c r="B107" s="365"/>
      <c r="C107" s="161" t="s">
        <v>186</v>
      </c>
      <c r="D107" s="83" t="s">
        <v>94</v>
      </c>
      <c r="E107" s="46">
        <v>0.3</v>
      </c>
      <c r="F107" s="175">
        <f>F103*E107</f>
        <v>9.5250000000000004</v>
      </c>
      <c r="G107" s="176"/>
      <c r="H107" s="59">
        <f>F107*G107</f>
        <v>0</v>
      </c>
      <c r="I107" s="176"/>
      <c r="J107" s="59"/>
      <c r="K107" s="176"/>
      <c r="L107" s="59"/>
      <c r="M107" s="59">
        <f t="shared" si="12"/>
        <v>0</v>
      </c>
    </row>
    <row r="108" spans="1:13" x14ac:dyDescent="0.25">
      <c r="A108" s="472"/>
      <c r="B108" s="365"/>
      <c r="C108" s="115" t="s">
        <v>48</v>
      </c>
      <c r="D108" s="364" t="s">
        <v>16</v>
      </c>
      <c r="E108" s="366">
        <v>5</v>
      </c>
      <c r="F108" s="95">
        <f>F103*E108</f>
        <v>158.75</v>
      </c>
      <c r="G108" s="59"/>
      <c r="H108" s="59">
        <f>F108*G108</f>
        <v>0</v>
      </c>
      <c r="I108" s="59"/>
      <c r="J108" s="59"/>
      <c r="K108" s="59"/>
      <c r="L108" s="59"/>
      <c r="M108" s="59">
        <f t="shared" si="12"/>
        <v>0</v>
      </c>
    </row>
    <row r="109" spans="1:13" x14ac:dyDescent="0.25">
      <c r="A109" s="473"/>
      <c r="B109" s="365"/>
      <c r="C109" s="116" t="s">
        <v>33</v>
      </c>
      <c r="D109" s="362" t="s">
        <v>21</v>
      </c>
      <c r="E109" s="41">
        <v>4.6600000000000003E-2</v>
      </c>
      <c r="F109" s="95">
        <f>F103*E109</f>
        <v>1.4795500000000001</v>
      </c>
      <c r="G109" s="59"/>
      <c r="H109" s="59">
        <f>F109*G109</f>
        <v>0</v>
      </c>
      <c r="I109" s="59"/>
      <c r="J109" s="59"/>
      <c r="K109" s="59"/>
      <c r="L109" s="59"/>
      <c r="M109" s="59">
        <f t="shared" si="12"/>
        <v>0</v>
      </c>
    </row>
    <row r="110" spans="1:13" ht="31.5" x14ac:dyDescent="0.25">
      <c r="A110" s="471" t="s">
        <v>191</v>
      </c>
      <c r="B110" s="365" t="s">
        <v>36</v>
      </c>
      <c r="C110" s="94" t="s">
        <v>369</v>
      </c>
      <c r="D110" s="364" t="s">
        <v>15</v>
      </c>
      <c r="E110" s="366"/>
      <c r="F110" s="56">
        <f>1.25*2.6</f>
        <v>3.25</v>
      </c>
      <c r="G110" s="59"/>
      <c r="H110" s="59"/>
      <c r="I110" s="59"/>
      <c r="J110" s="59"/>
      <c r="K110" s="59"/>
      <c r="L110" s="59"/>
      <c r="M110" s="59"/>
    </row>
    <row r="111" spans="1:13" ht="18" customHeight="1" x14ac:dyDescent="0.25">
      <c r="A111" s="472"/>
      <c r="B111" s="365"/>
      <c r="C111" s="115" t="s">
        <v>23</v>
      </c>
      <c r="D111" s="364" t="s">
        <v>25</v>
      </c>
      <c r="E111" s="41">
        <v>1.08</v>
      </c>
      <c r="F111" s="95">
        <f>F110*E111</f>
        <v>3.5100000000000002</v>
      </c>
      <c r="G111" s="59"/>
      <c r="H111" s="59"/>
      <c r="I111" s="59"/>
      <c r="J111" s="59">
        <f>F111*I111</f>
        <v>0</v>
      </c>
      <c r="K111" s="59"/>
      <c r="L111" s="59"/>
      <c r="M111" s="59">
        <f t="shared" ref="M111:M116" si="13">H111+J111+L111</f>
        <v>0</v>
      </c>
    </row>
    <row r="112" spans="1:13" ht="19.5" customHeight="1" x14ac:dyDescent="0.25">
      <c r="A112" s="472"/>
      <c r="B112" s="365"/>
      <c r="C112" s="160" t="s">
        <v>24</v>
      </c>
      <c r="D112" s="362" t="s">
        <v>26</v>
      </c>
      <c r="E112" s="41">
        <v>4.5199999999999997E-2</v>
      </c>
      <c r="F112" s="95">
        <f>F110*E112</f>
        <v>0.1469</v>
      </c>
      <c r="G112" s="59"/>
      <c r="H112" s="59"/>
      <c r="I112" s="59"/>
      <c r="J112" s="59"/>
      <c r="K112" s="59"/>
      <c r="L112" s="59">
        <f>F112*K112</f>
        <v>0</v>
      </c>
      <c r="M112" s="59">
        <f t="shared" si="13"/>
        <v>0</v>
      </c>
    </row>
    <row r="113" spans="1:13" x14ac:dyDescent="0.25">
      <c r="A113" s="472"/>
      <c r="B113" s="365"/>
      <c r="C113" s="94" t="s">
        <v>370</v>
      </c>
      <c r="D113" s="364" t="s">
        <v>15</v>
      </c>
      <c r="E113" s="366">
        <v>1.05</v>
      </c>
      <c r="F113" s="56">
        <f>F110*E113</f>
        <v>3.4125000000000001</v>
      </c>
      <c r="G113" s="59"/>
      <c r="H113" s="59">
        <f>F113*G113</f>
        <v>0</v>
      </c>
      <c r="I113" s="59"/>
      <c r="J113" s="59"/>
      <c r="K113" s="59"/>
      <c r="L113" s="59"/>
      <c r="M113" s="59">
        <f t="shared" si="13"/>
        <v>0</v>
      </c>
    </row>
    <row r="114" spans="1:13" x14ac:dyDescent="0.25">
      <c r="A114" s="472"/>
      <c r="B114" s="365"/>
      <c r="C114" s="161" t="s">
        <v>186</v>
      </c>
      <c r="D114" s="83" t="s">
        <v>94</v>
      </c>
      <c r="E114" s="46">
        <v>0.3</v>
      </c>
      <c r="F114" s="175">
        <f>F110*E114</f>
        <v>0.97499999999999998</v>
      </c>
      <c r="G114" s="176"/>
      <c r="H114" s="59">
        <f>F114*G114</f>
        <v>0</v>
      </c>
      <c r="I114" s="176"/>
      <c r="J114" s="59"/>
      <c r="K114" s="176"/>
      <c r="L114" s="59"/>
      <c r="M114" s="59">
        <f t="shared" si="13"/>
        <v>0</v>
      </c>
    </row>
    <row r="115" spans="1:13" x14ac:dyDescent="0.25">
      <c r="A115" s="472"/>
      <c r="B115" s="365"/>
      <c r="C115" s="115" t="s">
        <v>48</v>
      </c>
      <c r="D115" s="364" t="s">
        <v>16</v>
      </c>
      <c r="E115" s="366">
        <v>5</v>
      </c>
      <c r="F115" s="95">
        <f>F110*E115</f>
        <v>16.25</v>
      </c>
      <c r="G115" s="59"/>
      <c r="H115" s="59">
        <f>F115*G115</f>
        <v>0</v>
      </c>
      <c r="I115" s="59"/>
      <c r="J115" s="59"/>
      <c r="K115" s="59"/>
      <c r="L115" s="59"/>
      <c r="M115" s="59">
        <f t="shared" si="13"/>
        <v>0</v>
      </c>
    </row>
    <row r="116" spans="1:13" x14ac:dyDescent="0.25">
      <c r="A116" s="473"/>
      <c r="B116" s="365"/>
      <c r="C116" s="116" t="s">
        <v>33</v>
      </c>
      <c r="D116" s="362" t="s">
        <v>21</v>
      </c>
      <c r="E116" s="41">
        <v>4.6600000000000003E-2</v>
      </c>
      <c r="F116" s="95">
        <f>F110*E116</f>
        <v>0.15145</v>
      </c>
      <c r="G116" s="59"/>
      <c r="H116" s="59">
        <f>F116*G116</f>
        <v>0</v>
      </c>
      <c r="I116" s="59"/>
      <c r="J116" s="59"/>
      <c r="K116" s="59"/>
      <c r="L116" s="59"/>
      <c r="M116" s="59">
        <f t="shared" si="13"/>
        <v>0</v>
      </c>
    </row>
    <row r="117" spans="1:13" ht="31.5" x14ac:dyDescent="0.25">
      <c r="A117" s="471" t="s">
        <v>238</v>
      </c>
      <c r="B117" s="365" t="s">
        <v>88</v>
      </c>
      <c r="C117" s="94" t="s">
        <v>76</v>
      </c>
      <c r="D117" s="362" t="s">
        <v>11</v>
      </c>
      <c r="E117" s="41"/>
      <c r="F117" s="136">
        <f>(2.5+2.3)*2+(5.2+5)*2+(1.25+2.6)*2</f>
        <v>37.700000000000003</v>
      </c>
      <c r="G117" s="59"/>
      <c r="H117" s="59"/>
      <c r="I117" s="59"/>
      <c r="J117" s="59"/>
      <c r="K117" s="59"/>
      <c r="L117" s="59"/>
      <c r="M117" s="59"/>
    </row>
    <row r="118" spans="1:13" ht="21.75" customHeight="1" x14ac:dyDescent="0.25">
      <c r="A118" s="472"/>
      <c r="B118" s="365"/>
      <c r="C118" s="152" t="s">
        <v>29</v>
      </c>
      <c r="D118" s="78" t="s">
        <v>25</v>
      </c>
      <c r="E118" s="79">
        <v>0.26900000000000002</v>
      </c>
      <c r="F118" s="95">
        <f>F117*E118</f>
        <v>10.141300000000001</v>
      </c>
      <c r="G118" s="59"/>
      <c r="H118" s="59"/>
      <c r="I118" s="59"/>
      <c r="J118" s="59">
        <f>F118*I118</f>
        <v>0</v>
      </c>
      <c r="K118" s="59"/>
      <c r="L118" s="59"/>
      <c r="M118" s="59">
        <f>H118+J118+L118</f>
        <v>0</v>
      </c>
    </row>
    <row r="119" spans="1:13" x14ac:dyDescent="0.25">
      <c r="A119" s="472"/>
      <c r="B119" s="365"/>
      <c r="C119" s="152" t="s">
        <v>30</v>
      </c>
      <c r="D119" s="11" t="s">
        <v>21</v>
      </c>
      <c r="E119" s="79">
        <v>1.1599999999999999E-2</v>
      </c>
      <c r="F119" s="95">
        <f>F117*E119</f>
        <v>0.43731999999999999</v>
      </c>
      <c r="G119" s="59"/>
      <c r="H119" s="59"/>
      <c r="I119" s="59"/>
      <c r="J119" s="59"/>
      <c r="K119" s="59"/>
      <c r="L119" s="59">
        <f>F119*K119</f>
        <v>0</v>
      </c>
      <c r="M119" s="59">
        <f>H119+J119+L119</f>
        <v>0</v>
      </c>
    </row>
    <row r="120" spans="1:13" x14ac:dyDescent="0.25">
      <c r="A120" s="472"/>
      <c r="B120" s="365"/>
      <c r="C120" s="152" t="s">
        <v>49</v>
      </c>
      <c r="D120" s="11" t="s">
        <v>15</v>
      </c>
      <c r="E120" s="79">
        <v>0.157</v>
      </c>
      <c r="F120" s="95">
        <f>F117*E120</f>
        <v>5.9189000000000007</v>
      </c>
      <c r="G120" s="59"/>
      <c r="H120" s="59">
        <f>F120*G120</f>
        <v>0</v>
      </c>
      <c r="I120" s="59"/>
      <c r="J120" s="59"/>
      <c r="K120" s="59"/>
      <c r="L120" s="59"/>
      <c r="M120" s="59">
        <f>H120+J120+L120</f>
        <v>0</v>
      </c>
    </row>
    <row r="121" spans="1:13" x14ac:dyDescent="0.25">
      <c r="A121" s="473"/>
      <c r="B121" s="365"/>
      <c r="C121" s="116" t="s">
        <v>85</v>
      </c>
      <c r="D121" s="11" t="s">
        <v>14</v>
      </c>
      <c r="E121" s="79">
        <v>1.8E-3</v>
      </c>
      <c r="F121" s="95">
        <f>F117*E121</f>
        <v>6.7860000000000004E-2</v>
      </c>
      <c r="G121" s="59"/>
      <c r="H121" s="59">
        <f>F121*G121</f>
        <v>0</v>
      </c>
      <c r="I121" s="59"/>
      <c r="J121" s="59"/>
      <c r="K121" s="59"/>
      <c r="L121" s="59"/>
      <c r="M121" s="59">
        <f>H121+J121+L121</f>
        <v>0</v>
      </c>
    </row>
    <row r="122" spans="1:13" ht="63" x14ac:dyDescent="0.25">
      <c r="A122" s="471" t="s">
        <v>218</v>
      </c>
      <c r="B122" s="365" t="s">
        <v>95</v>
      </c>
      <c r="C122" s="94" t="s">
        <v>373</v>
      </c>
      <c r="D122" s="362" t="s">
        <v>15</v>
      </c>
      <c r="E122" s="41"/>
      <c r="F122" s="136">
        <f>2.5*2.3+5.2*5+35.65*2</f>
        <v>103.05</v>
      </c>
      <c r="G122" s="59"/>
      <c r="H122" s="59"/>
      <c r="I122" s="59"/>
      <c r="J122" s="59"/>
      <c r="K122" s="59"/>
      <c r="L122" s="59"/>
      <c r="M122" s="59"/>
    </row>
    <row r="123" spans="1:13" x14ac:dyDescent="0.25">
      <c r="A123" s="472"/>
      <c r="B123" s="365"/>
      <c r="C123" s="112" t="s">
        <v>68</v>
      </c>
      <c r="D123" s="233" t="s">
        <v>90</v>
      </c>
      <c r="E123" s="43">
        <f>(261+82.9)*0.01</f>
        <v>3.4390000000000001</v>
      </c>
      <c r="F123" s="101">
        <f>E123*F122</f>
        <v>354.38895000000002</v>
      </c>
      <c r="G123" s="59"/>
      <c r="H123" s="59"/>
      <c r="I123" s="59"/>
      <c r="J123" s="59">
        <f t="shared" ref="J123" si="14">F123*I123</f>
        <v>0</v>
      </c>
      <c r="K123" s="59"/>
      <c r="L123" s="59"/>
      <c r="M123" s="59">
        <f t="shared" ref="M123:M128" si="15">H123+J123+L123</f>
        <v>0</v>
      </c>
    </row>
    <row r="124" spans="1:13" x14ac:dyDescent="0.25">
      <c r="A124" s="472"/>
      <c r="B124" s="365"/>
      <c r="C124" s="152" t="s">
        <v>30</v>
      </c>
      <c r="D124" s="233" t="s">
        <v>21</v>
      </c>
      <c r="E124" s="43">
        <f>(3.5+0.39)*0.01</f>
        <v>3.8900000000000004E-2</v>
      </c>
      <c r="F124" s="101">
        <f>E124*F122</f>
        <v>4.0086450000000005</v>
      </c>
      <c r="G124" s="59"/>
      <c r="H124" s="59"/>
      <c r="I124" s="59"/>
      <c r="J124" s="59"/>
      <c r="K124" s="59"/>
      <c r="L124" s="59">
        <f t="shared" ref="L124" si="16">F124*K124</f>
        <v>0</v>
      </c>
      <c r="M124" s="59">
        <f t="shared" si="15"/>
        <v>0</v>
      </c>
    </row>
    <row r="125" spans="1:13" x14ac:dyDescent="0.25">
      <c r="A125" s="472"/>
      <c r="B125" s="365"/>
      <c r="C125" s="112" t="s">
        <v>91</v>
      </c>
      <c r="D125" s="233" t="s">
        <v>92</v>
      </c>
      <c r="E125" s="43">
        <v>6.6</v>
      </c>
      <c r="F125" s="101">
        <f>E125*F122</f>
        <v>680.13</v>
      </c>
      <c r="G125" s="59"/>
      <c r="H125" s="59">
        <f t="shared" ref="H125:H128" si="17">F125*G125</f>
        <v>0</v>
      </c>
      <c r="I125" s="59"/>
      <c r="J125" s="59"/>
      <c r="K125" s="59"/>
      <c r="L125" s="59"/>
      <c r="M125" s="59">
        <f t="shared" si="15"/>
        <v>0</v>
      </c>
    </row>
    <row r="126" spans="1:13" x14ac:dyDescent="0.25">
      <c r="A126" s="472"/>
      <c r="B126" s="365"/>
      <c r="C126" s="112" t="s">
        <v>93</v>
      </c>
      <c r="D126" s="233" t="s">
        <v>94</v>
      </c>
      <c r="E126" s="43">
        <v>0.06</v>
      </c>
      <c r="F126" s="101">
        <f>E126*F122</f>
        <v>6.1829999999999998</v>
      </c>
      <c r="G126" s="59"/>
      <c r="H126" s="59">
        <f t="shared" si="17"/>
        <v>0</v>
      </c>
      <c r="I126" s="59"/>
      <c r="J126" s="59"/>
      <c r="K126" s="59"/>
      <c r="L126" s="59"/>
      <c r="M126" s="59">
        <f t="shared" si="15"/>
        <v>0</v>
      </c>
    </row>
    <row r="127" spans="1:13" ht="31.5" x14ac:dyDescent="0.25">
      <c r="A127" s="472"/>
      <c r="B127" s="365"/>
      <c r="C127" s="112" t="s">
        <v>371</v>
      </c>
      <c r="D127" s="233" t="s">
        <v>237</v>
      </c>
      <c r="E127" s="43">
        <v>1.03</v>
      </c>
      <c r="F127" s="101">
        <f>E127*F122</f>
        <v>106.14149999999999</v>
      </c>
      <c r="G127" s="59"/>
      <c r="H127" s="59">
        <f t="shared" si="17"/>
        <v>0</v>
      </c>
      <c r="I127" s="59"/>
      <c r="J127" s="59"/>
      <c r="K127" s="59"/>
      <c r="L127" s="59"/>
      <c r="M127" s="59">
        <f t="shared" si="15"/>
        <v>0</v>
      </c>
    </row>
    <row r="128" spans="1:13" x14ac:dyDescent="0.25">
      <c r="A128" s="473"/>
      <c r="B128" s="365"/>
      <c r="C128" s="112" t="s">
        <v>372</v>
      </c>
      <c r="D128" s="233" t="s">
        <v>21</v>
      </c>
      <c r="E128" s="43">
        <f>(38.9+1.6)*0.01</f>
        <v>0.40500000000000003</v>
      </c>
      <c r="F128" s="101">
        <f>E128*F122</f>
        <v>41.735250000000001</v>
      </c>
      <c r="G128" s="59"/>
      <c r="H128" s="59">
        <f t="shared" si="17"/>
        <v>0</v>
      </c>
      <c r="I128" s="59"/>
      <c r="J128" s="59"/>
      <c r="K128" s="59"/>
      <c r="L128" s="59"/>
      <c r="M128" s="59">
        <f t="shared" si="15"/>
        <v>0</v>
      </c>
    </row>
    <row r="129" spans="1:13" ht="47.25" x14ac:dyDescent="0.25">
      <c r="A129" s="471" t="s">
        <v>227</v>
      </c>
      <c r="B129" s="365" t="s">
        <v>95</v>
      </c>
      <c r="C129" s="94" t="s">
        <v>113</v>
      </c>
      <c r="D129" s="362" t="s">
        <v>15</v>
      </c>
      <c r="E129" s="41"/>
      <c r="F129" s="136">
        <f>1.25*2.6</f>
        <v>3.25</v>
      </c>
      <c r="G129" s="59"/>
      <c r="H129" s="59"/>
      <c r="I129" s="59"/>
      <c r="J129" s="59"/>
      <c r="K129" s="59"/>
      <c r="L129" s="59"/>
      <c r="M129" s="59"/>
    </row>
    <row r="130" spans="1:13" x14ac:dyDescent="0.25">
      <c r="A130" s="472"/>
      <c r="B130" s="365"/>
      <c r="C130" s="112" t="s">
        <v>68</v>
      </c>
      <c r="D130" s="233" t="s">
        <v>90</v>
      </c>
      <c r="E130" s="43">
        <f>(261+82.9)*0.01</f>
        <v>3.4390000000000001</v>
      </c>
      <c r="F130" s="101">
        <f>E130*F129</f>
        <v>11.17675</v>
      </c>
      <c r="G130" s="59"/>
      <c r="H130" s="59"/>
      <c r="I130" s="59"/>
      <c r="J130" s="59">
        <f>F130*I130</f>
        <v>0</v>
      </c>
      <c r="K130" s="59"/>
      <c r="L130" s="59"/>
      <c r="M130" s="59">
        <f>H130+J130+L130</f>
        <v>0</v>
      </c>
    </row>
    <row r="131" spans="1:13" x14ac:dyDescent="0.25">
      <c r="A131" s="472"/>
      <c r="B131" s="365"/>
      <c r="C131" s="152" t="s">
        <v>30</v>
      </c>
      <c r="D131" s="233" t="s">
        <v>21</v>
      </c>
      <c r="E131" s="43">
        <f>(3.5+0.39)*0.01</f>
        <v>3.8900000000000004E-2</v>
      </c>
      <c r="F131" s="101">
        <f>E131*F129</f>
        <v>0.12642500000000001</v>
      </c>
      <c r="G131" s="59"/>
      <c r="H131" s="59"/>
      <c r="I131" s="59"/>
      <c r="J131" s="59"/>
      <c r="K131" s="59"/>
      <c r="L131" s="59">
        <f>F131*K131</f>
        <v>0</v>
      </c>
      <c r="M131" s="59">
        <f>H131+J131+L131</f>
        <v>0</v>
      </c>
    </row>
    <row r="132" spans="1:13" x14ac:dyDescent="0.25">
      <c r="A132" s="472"/>
      <c r="B132" s="365"/>
      <c r="C132" s="112" t="s">
        <v>91</v>
      </c>
      <c r="D132" s="233" t="s">
        <v>92</v>
      </c>
      <c r="E132" s="43">
        <v>6.6</v>
      </c>
      <c r="F132" s="101">
        <f>E132*F129</f>
        <v>21.45</v>
      </c>
      <c r="G132" s="59"/>
      <c r="H132" s="59">
        <f>F132*G132</f>
        <v>0</v>
      </c>
      <c r="I132" s="59"/>
      <c r="J132" s="59"/>
      <c r="K132" s="59"/>
      <c r="L132" s="59"/>
      <c r="M132" s="59">
        <f>H132+J132+L132</f>
        <v>0</v>
      </c>
    </row>
    <row r="133" spans="1:13" x14ac:dyDescent="0.25">
      <c r="A133" s="472"/>
      <c r="B133" s="365"/>
      <c r="C133" s="112" t="s">
        <v>93</v>
      </c>
      <c r="D133" s="233" t="s">
        <v>94</v>
      </c>
      <c r="E133" s="43">
        <v>0.06</v>
      </c>
      <c r="F133" s="101">
        <f>E133*F129</f>
        <v>0.19500000000000001</v>
      </c>
      <c r="G133" s="59"/>
      <c r="H133" s="59">
        <f>F133*G133</f>
        <v>0</v>
      </c>
      <c r="I133" s="59"/>
      <c r="J133" s="59"/>
      <c r="K133" s="59"/>
      <c r="L133" s="59"/>
      <c r="M133" s="59">
        <f>H133+J133+L133</f>
        <v>0</v>
      </c>
    </row>
    <row r="134" spans="1:13" x14ac:dyDescent="0.25">
      <c r="A134" s="473"/>
      <c r="B134" s="365"/>
      <c r="C134" s="112" t="s">
        <v>112</v>
      </c>
      <c r="D134" s="233" t="s">
        <v>237</v>
      </c>
      <c r="E134" s="43">
        <v>1.03</v>
      </c>
      <c r="F134" s="101">
        <f>E134*F129</f>
        <v>3.3475000000000001</v>
      </c>
      <c r="G134" s="59"/>
      <c r="H134" s="59">
        <f>F134*G134</f>
        <v>0</v>
      </c>
      <c r="I134" s="59"/>
      <c r="J134" s="59"/>
      <c r="K134" s="59"/>
      <c r="L134" s="59"/>
      <c r="M134" s="59">
        <f>H134+J134+L134</f>
        <v>0</v>
      </c>
    </row>
    <row r="135" spans="1:13" ht="47.25" x14ac:dyDescent="0.25">
      <c r="A135" s="471" t="s">
        <v>226</v>
      </c>
      <c r="B135" s="365" t="s">
        <v>89</v>
      </c>
      <c r="C135" s="145" t="s">
        <v>389</v>
      </c>
      <c r="D135" s="362" t="s">
        <v>15</v>
      </c>
      <c r="E135" s="41"/>
      <c r="F135" s="136">
        <f>(5.2+5)*2*2.2-1*1*2-1*1.9-1*1.9 + (2.5+2.3)*2*2.2-1*1*2-0.9*1.9  +   (1.25+2.6)*2*2.4-0.6*0.5-1*2.2  +(1+1)*2*3*4*0.2+(1+1.9*2)*2*0.2+(0.9+1.9*2)*1*0.2+  (0.6+0.5)*2*1*0.2+(1*2.2*2)*1*0.2</f>
        <v>86.249999999999986</v>
      </c>
      <c r="G135" s="59"/>
      <c r="H135" s="59"/>
      <c r="I135" s="59"/>
      <c r="J135" s="59"/>
      <c r="K135" s="59"/>
      <c r="L135" s="59"/>
      <c r="M135" s="59"/>
    </row>
    <row r="136" spans="1:13" ht="19.5" customHeight="1" x14ac:dyDescent="0.25">
      <c r="A136" s="472"/>
      <c r="B136" s="365"/>
      <c r="C136" s="115" t="s">
        <v>23</v>
      </c>
      <c r="D136" s="364" t="s">
        <v>25</v>
      </c>
      <c r="E136" s="41">
        <v>2.19</v>
      </c>
      <c r="F136" s="95">
        <f>F135*E136</f>
        <v>188.88749999999996</v>
      </c>
      <c r="G136" s="59"/>
      <c r="H136" s="59"/>
      <c r="I136" s="59"/>
      <c r="J136" s="59">
        <f>F136*I136</f>
        <v>0</v>
      </c>
      <c r="K136" s="59"/>
      <c r="L136" s="59"/>
      <c r="M136" s="59">
        <f t="shared" ref="M136:M141" si="18">H136+J136+L136</f>
        <v>0</v>
      </c>
    </row>
    <row r="137" spans="1:13" ht="18" customHeight="1" x14ac:dyDescent="0.25">
      <c r="A137" s="472"/>
      <c r="B137" s="365"/>
      <c r="C137" s="116" t="s">
        <v>24</v>
      </c>
      <c r="D137" s="362" t="s">
        <v>26</v>
      </c>
      <c r="E137" s="41">
        <v>0.02</v>
      </c>
      <c r="F137" s="95">
        <f>F135*E137</f>
        <v>1.7249999999999996</v>
      </c>
      <c r="G137" s="59"/>
      <c r="H137" s="59"/>
      <c r="I137" s="59"/>
      <c r="J137" s="59"/>
      <c r="K137" s="59"/>
      <c r="L137" s="59">
        <f>F137*K137</f>
        <v>0</v>
      </c>
      <c r="M137" s="59">
        <f t="shared" si="18"/>
        <v>0</v>
      </c>
    </row>
    <row r="138" spans="1:13" x14ac:dyDescent="0.25">
      <c r="A138" s="472"/>
      <c r="B138" s="365"/>
      <c r="C138" s="115" t="s">
        <v>47</v>
      </c>
      <c r="D138" s="364" t="s">
        <v>15</v>
      </c>
      <c r="E138" s="366">
        <v>1.05</v>
      </c>
      <c r="F138" s="95">
        <f>F135*E138</f>
        <v>90.562499999999986</v>
      </c>
      <c r="G138" s="59"/>
      <c r="H138" s="59">
        <f>F138*G138</f>
        <v>0</v>
      </c>
      <c r="I138" s="59"/>
      <c r="J138" s="59"/>
      <c r="K138" s="59"/>
      <c r="L138" s="59"/>
      <c r="M138" s="59">
        <f t="shared" si="18"/>
        <v>0</v>
      </c>
    </row>
    <row r="139" spans="1:13" x14ac:dyDescent="0.25">
      <c r="A139" s="472"/>
      <c r="B139" s="365"/>
      <c r="C139" s="115" t="s">
        <v>48</v>
      </c>
      <c r="D139" s="364" t="s">
        <v>16</v>
      </c>
      <c r="E139" s="366">
        <v>5</v>
      </c>
      <c r="F139" s="95">
        <f>F135*E139</f>
        <v>431.24999999999994</v>
      </c>
      <c r="G139" s="59"/>
      <c r="H139" s="59">
        <f>F139*G139</f>
        <v>0</v>
      </c>
      <c r="I139" s="59"/>
      <c r="J139" s="59"/>
      <c r="K139" s="59"/>
      <c r="L139" s="59"/>
      <c r="M139" s="59">
        <f t="shared" si="18"/>
        <v>0</v>
      </c>
    </row>
    <row r="140" spans="1:13" x14ac:dyDescent="0.25">
      <c r="A140" s="472"/>
      <c r="B140" s="365"/>
      <c r="C140" s="162" t="s">
        <v>186</v>
      </c>
      <c r="D140" s="369" t="s">
        <v>94</v>
      </c>
      <c r="E140" s="30">
        <v>0.3</v>
      </c>
      <c r="F140" s="372">
        <f>F135*E140</f>
        <v>25.874999999999996</v>
      </c>
      <c r="G140" s="59"/>
      <c r="H140" s="59">
        <f>F140*G140</f>
        <v>0</v>
      </c>
      <c r="I140" s="59"/>
      <c r="J140" s="59"/>
      <c r="K140" s="59"/>
      <c r="L140" s="59"/>
      <c r="M140" s="59">
        <f t="shared" si="18"/>
        <v>0</v>
      </c>
    </row>
    <row r="141" spans="1:13" x14ac:dyDescent="0.25">
      <c r="A141" s="473"/>
      <c r="B141" s="365"/>
      <c r="C141" s="116" t="s">
        <v>33</v>
      </c>
      <c r="D141" s="362" t="s">
        <v>21</v>
      </c>
      <c r="E141" s="41">
        <v>7.0000000000000001E-3</v>
      </c>
      <c r="F141" s="95">
        <f>F135*E141</f>
        <v>0.6037499999999999</v>
      </c>
      <c r="G141" s="59"/>
      <c r="H141" s="59">
        <f>F141*G141</f>
        <v>0</v>
      </c>
      <c r="I141" s="59"/>
      <c r="J141" s="59"/>
      <c r="K141" s="59"/>
      <c r="L141" s="59"/>
      <c r="M141" s="59">
        <f t="shared" si="18"/>
        <v>0</v>
      </c>
    </row>
    <row r="142" spans="1:13" ht="78.75" x14ac:dyDescent="0.25">
      <c r="A142" s="471" t="s">
        <v>225</v>
      </c>
      <c r="B142" s="356" t="s">
        <v>374</v>
      </c>
      <c r="C142" s="94" t="s">
        <v>375</v>
      </c>
      <c r="D142" s="362" t="s">
        <v>15</v>
      </c>
      <c r="E142" s="41"/>
      <c r="F142" s="136">
        <f>F122</f>
        <v>103.05</v>
      </c>
      <c r="G142" s="59"/>
      <c r="H142" s="59"/>
      <c r="I142" s="59"/>
      <c r="J142" s="59"/>
      <c r="K142" s="59"/>
      <c r="L142" s="59"/>
      <c r="M142" s="59"/>
    </row>
    <row r="143" spans="1:13" ht="19.5" customHeight="1" x14ac:dyDescent="0.25">
      <c r="A143" s="472"/>
      <c r="B143" s="93"/>
      <c r="C143" s="116" t="s">
        <v>23</v>
      </c>
      <c r="D143" s="362" t="s">
        <v>25</v>
      </c>
      <c r="E143" s="41">
        <v>0.53500000000000003</v>
      </c>
      <c r="F143" s="95">
        <f>F142*E143</f>
        <v>55.131750000000004</v>
      </c>
      <c r="G143" s="59"/>
      <c r="H143" s="59"/>
      <c r="I143" s="59"/>
      <c r="J143" s="59">
        <f>F143*I143</f>
        <v>0</v>
      </c>
      <c r="K143" s="59"/>
      <c r="L143" s="59"/>
      <c r="M143" s="59">
        <f t="shared" ref="M143:M148" si="19">H143+J143+L143</f>
        <v>0</v>
      </c>
    </row>
    <row r="144" spans="1:13" ht="20.25" customHeight="1" x14ac:dyDescent="0.25">
      <c r="A144" s="472"/>
      <c r="B144" s="93"/>
      <c r="C144" s="116" t="s">
        <v>24</v>
      </c>
      <c r="D144" s="362" t="s">
        <v>26</v>
      </c>
      <c r="E144" s="41">
        <v>1.2E-2</v>
      </c>
      <c r="F144" s="95">
        <f>F142*E144</f>
        <v>1.2365999999999999</v>
      </c>
      <c r="G144" s="59"/>
      <c r="H144" s="59"/>
      <c r="I144" s="59"/>
      <c r="J144" s="59"/>
      <c r="K144" s="59"/>
      <c r="L144" s="59">
        <f>F144*K144</f>
        <v>0</v>
      </c>
      <c r="M144" s="59">
        <f t="shared" si="19"/>
        <v>0</v>
      </c>
    </row>
    <row r="145" spans="1:13" x14ac:dyDescent="0.25">
      <c r="A145" s="472"/>
      <c r="B145" s="93"/>
      <c r="C145" s="116" t="s">
        <v>376</v>
      </c>
      <c r="D145" s="362" t="s">
        <v>16</v>
      </c>
      <c r="E145" s="41">
        <v>0.34</v>
      </c>
      <c r="F145" s="95">
        <f>F142*E145</f>
        <v>35.036999999999999</v>
      </c>
      <c r="G145" s="59"/>
      <c r="H145" s="59">
        <f>F145*G145</f>
        <v>0</v>
      </c>
      <c r="I145" s="59"/>
      <c r="J145" s="59"/>
      <c r="K145" s="59"/>
      <c r="L145" s="59"/>
      <c r="M145" s="59">
        <f t="shared" si="19"/>
        <v>0</v>
      </c>
    </row>
    <row r="146" spans="1:13" x14ac:dyDescent="0.25">
      <c r="A146" s="472"/>
      <c r="B146" s="93"/>
      <c r="C146" s="116" t="s">
        <v>18</v>
      </c>
      <c r="D146" s="362" t="s">
        <v>15</v>
      </c>
      <c r="E146" s="41">
        <v>0.05</v>
      </c>
      <c r="F146" s="95">
        <f>F142*E146</f>
        <v>5.1524999999999999</v>
      </c>
      <c r="G146" s="59"/>
      <c r="H146" s="59">
        <f>F146*G146</f>
        <v>0</v>
      </c>
      <c r="I146" s="59"/>
      <c r="J146" s="59"/>
      <c r="K146" s="59"/>
      <c r="L146" s="59"/>
      <c r="M146" s="59">
        <f t="shared" si="19"/>
        <v>0</v>
      </c>
    </row>
    <row r="147" spans="1:13" x14ac:dyDescent="0.25">
      <c r="A147" s="472"/>
      <c r="B147" s="365"/>
      <c r="C147" s="115" t="s">
        <v>37</v>
      </c>
      <c r="D147" s="364" t="s">
        <v>16</v>
      </c>
      <c r="E147" s="366">
        <v>0.63</v>
      </c>
      <c r="F147" s="95">
        <f>F142*E147</f>
        <v>64.921499999999995</v>
      </c>
      <c r="G147" s="59"/>
      <c r="H147" s="59">
        <f>F147*G147</f>
        <v>0</v>
      </c>
      <c r="I147" s="59"/>
      <c r="J147" s="59"/>
      <c r="K147" s="59"/>
      <c r="L147" s="59"/>
      <c r="M147" s="59">
        <f t="shared" si="19"/>
        <v>0</v>
      </c>
    </row>
    <row r="148" spans="1:13" x14ac:dyDescent="0.25">
      <c r="A148" s="473"/>
      <c r="B148" s="93"/>
      <c r="C148" s="116" t="s">
        <v>33</v>
      </c>
      <c r="D148" s="362" t="s">
        <v>21</v>
      </c>
      <c r="E148" s="41">
        <v>1.6E-2</v>
      </c>
      <c r="F148" s="95">
        <f>F142*E148</f>
        <v>1.6488</v>
      </c>
      <c r="G148" s="59"/>
      <c r="H148" s="59">
        <f>F148*G148</f>
        <v>0</v>
      </c>
      <c r="I148" s="59"/>
      <c r="J148" s="59"/>
      <c r="K148" s="59"/>
      <c r="L148" s="59"/>
      <c r="M148" s="59">
        <f t="shared" si="19"/>
        <v>0</v>
      </c>
    </row>
    <row r="149" spans="1:13" ht="31.5" x14ac:dyDescent="0.25">
      <c r="A149" s="474" t="s">
        <v>224</v>
      </c>
      <c r="B149" s="365" t="s">
        <v>46</v>
      </c>
      <c r="C149" s="94" t="s">
        <v>187</v>
      </c>
      <c r="D149" s="364" t="s">
        <v>11</v>
      </c>
      <c r="E149" s="41"/>
      <c r="F149" s="136">
        <f>(2.5+2.3)*2+(5.2+5)*2</f>
        <v>30</v>
      </c>
      <c r="G149" s="59"/>
      <c r="H149" s="59"/>
      <c r="I149" s="59"/>
      <c r="J149" s="59"/>
      <c r="K149" s="59"/>
      <c r="L149" s="59"/>
      <c r="M149" s="59"/>
    </row>
    <row r="150" spans="1:13" ht="20.25" customHeight="1" x14ac:dyDescent="0.25">
      <c r="A150" s="475"/>
      <c r="B150" s="365"/>
      <c r="C150" s="152" t="s">
        <v>29</v>
      </c>
      <c r="D150" s="78" t="s">
        <v>25</v>
      </c>
      <c r="E150" s="79">
        <v>0.15</v>
      </c>
      <c r="F150" s="95">
        <f>F149*E150</f>
        <v>4.5</v>
      </c>
      <c r="G150" s="59"/>
      <c r="H150" s="59"/>
      <c r="I150" s="59"/>
      <c r="J150" s="59">
        <f>F150*I150</f>
        <v>0</v>
      </c>
      <c r="K150" s="59"/>
      <c r="L150" s="59"/>
      <c r="M150" s="59">
        <f>H150+J150+L150</f>
        <v>0</v>
      </c>
    </row>
    <row r="151" spans="1:13" x14ac:dyDescent="0.25">
      <c r="A151" s="475"/>
      <c r="B151" s="365"/>
      <c r="C151" s="152" t="s">
        <v>30</v>
      </c>
      <c r="D151" s="11" t="s">
        <v>21</v>
      </c>
      <c r="E151" s="79">
        <v>2E-3</v>
      </c>
      <c r="F151" s="95">
        <f>F149*E151</f>
        <v>0.06</v>
      </c>
      <c r="G151" s="59"/>
      <c r="H151" s="59"/>
      <c r="I151" s="59"/>
      <c r="J151" s="59"/>
      <c r="K151" s="59"/>
      <c r="L151" s="59">
        <f>F151*K151</f>
        <v>0</v>
      </c>
      <c r="M151" s="59">
        <f>H151+J151+L151</f>
        <v>0</v>
      </c>
    </row>
    <row r="152" spans="1:13" ht="31.5" x14ac:dyDescent="0.25">
      <c r="A152" s="475"/>
      <c r="B152" s="93"/>
      <c r="C152" s="116" t="s">
        <v>416</v>
      </c>
      <c r="D152" s="85" t="s">
        <v>11</v>
      </c>
      <c r="E152" s="79">
        <v>1.01</v>
      </c>
      <c r="F152" s="95">
        <f>F149*E152</f>
        <v>30.3</v>
      </c>
      <c r="G152" s="59"/>
      <c r="H152" s="59">
        <f>F152*G152</f>
        <v>0</v>
      </c>
      <c r="I152" s="59"/>
      <c r="J152" s="59"/>
      <c r="K152" s="59"/>
      <c r="L152" s="59"/>
      <c r="M152" s="59">
        <f>H152+J152+L152</f>
        <v>0</v>
      </c>
    </row>
    <row r="153" spans="1:13" x14ac:dyDescent="0.25">
      <c r="A153" s="475"/>
      <c r="B153" s="365"/>
      <c r="C153" s="152" t="s">
        <v>28</v>
      </c>
      <c r="D153" s="11" t="s">
        <v>21</v>
      </c>
      <c r="E153" s="79">
        <v>2E-3</v>
      </c>
      <c r="F153" s="95">
        <f>F149*E153</f>
        <v>0.06</v>
      </c>
      <c r="G153" s="59"/>
      <c r="H153" s="59">
        <f>F153*G153</f>
        <v>0</v>
      </c>
      <c r="I153" s="59"/>
      <c r="J153" s="59"/>
      <c r="K153" s="59"/>
      <c r="L153" s="59"/>
      <c r="M153" s="59">
        <f>H153+J153+L153</f>
        <v>0</v>
      </c>
    </row>
    <row r="154" spans="1:13" x14ac:dyDescent="0.25">
      <c r="A154" s="361"/>
      <c r="B154" s="362"/>
      <c r="C154" s="116"/>
      <c r="D154" s="85"/>
      <c r="E154" s="236"/>
      <c r="F154" s="95"/>
      <c r="G154" s="59"/>
      <c r="H154" s="59"/>
      <c r="I154" s="59"/>
      <c r="J154" s="59"/>
      <c r="K154" s="59"/>
      <c r="L154" s="59"/>
      <c r="M154" s="59"/>
    </row>
    <row r="155" spans="1:13" hidden="1" x14ac:dyDescent="0.25">
      <c r="A155" s="361"/>
      <c r="B155" s="362"/>
      <c r="C155" s="116"/>
      <c r="D155" s="85"/>
      <c r="E155" s="236"/>
      <c r="F155" s="95"/>
      <c r="G155" s="59"/>
      <c r="H155" s="59"/>
      <c r="I155" s="59"/>
      <c r="J155" s="59"/>
      <c r="K155" s="59"/>
      <c r="L155" s="59"/>
      <c r="M155" s="59"/>
    </row>
    <row r="156" spans="1:13" hidden="1" x14ac:dyDescent="0.25">
      <c r="A156" s="361"/>
      <c r="B156" s="362"/>
      <c r="C156" s="116"/>
      <c r="D156" s="85"/>
      <c r="E156" s="236"/>
      <c r="F156" s="95"/>
      <c r="G156" s="59"/>
      <c r="H156" s="59"/>
      <c r="I156" s="59"/>
      <c r="J156" s="59"/>
      <c r="K156" s="59"/>
      <c r="L156" s="59"/>
      <c r="M156" s="59"/>
    </row>
    <row r="157" spans="1:13" hidden="1" x14ac:dyDescent="0.25">
      <c r="A157" s="361"/>
      <c r="B157" s="362"/>
      <c r="C157" s="116"/>
      <c r="D157" s="85"/>
      <c r="E157" s="236"/>
      <c r="F157" s="95"/>
      <c r="G157" s="59"/>
      <c r="H157" s="59"/>
      <c r="I157" s="59"/>
      <c r="J157" s="59"/>
      <c r="K157" s="59"/>
      <c r="L157" s="59"/>
      <c r="M157" s="59"/>
    </row>
    <row r="158" spans="1:13" hidden="1" x14ac:dyDescent="0.25">
      <c r="A158" s="361"/>
      <c r="B158" s="362"/>
      <c r="C158" s="116"/>
      <c r="D158" s="85"/>
      <c r="E158" s="236"/>
      <c r="F158" s="95"/>
      <c r="G158" s="59"/>
      <c r="H158" s="59"/>
      <c r="I158" s="59"/>
      <c r="J158" s="59"/>
      <c r="K158" s="59"/>
      <c r="L158" s="59"/>
      <c r="M158" s="59"/>
    </row>
    <row r="159" spans="1:13" hidden="1" x14ac:dyDescent="0.25">
      <c r="A159" s="361"/>
      <c r="B159" s="362"/>
      <c r="C159" s="116"/>
      <c r="D159" s="85"/>
      <c r="E159" s="236"/>
      <c r="F159" s="95"/>
      <c r="G159" s="59"/>
      <c r="H159" s="59"/>
      <c r="I159" s="59"/>
      <c r="J159" s="59"/>
      <c r="K159" s="59"/>
      <c r="L159" s="59"/>
      <c r="M159" s="59"/>
    </row>
    <row r="160" spans="1:13" hidden="1" x14ac:dyDescent="0.25">
      <c r="A160" s="361"/>
      <c r="B160" s="362"/>
      <c r="C160" s="116"/>
      <c r="D160" s="85"/>
      <c r="E160" s="236"/>
      <c r="F160" s="95"/>
      <c r="G160" s="59"/>
      <c r="H160" s="59"/>
      <c r="I160" s="59"/>
      <c r="J160" s="59"/>
      <c r="K160" s="59"/>
      <c r="L160" s="59"/>
      <c r="M160" s="59"/>
    </row>
    <row r="161" spans="1:13" hidden="1" x14ac:dyDescent="0.25">
      <c r="A161" s="361"/>
      <c r="B161" s="362"/>
      <c r="C161" s="116"/>
      <c r="D161" s="85"/>
      <c r="E161" s="236"/>
      <c r="F161" s="95"/>
      <c r="G161" s="59"/>
      <c r="H161" s="59"/>
      <c r="I161" s="59"/>
      <c r="J161" s="59"/>
      <c r="K161" s="59"/>
      <c r="L161" s="59"/>
      <c r="M161" s="59"/>
    </row>
    <row r="162" spans="1:13" hidden="1" x14ac:dyDescent="0.25">
      <c r="A162" s="361"/>
      <c r="B162" s="362"/>
      <c r="C162" s="116"/>
      <c r="D162" s="85"/>
      <c r="E162" s="236"/>
      <c r="F162" s="95"/>
      <c r="G162" s="59"/>
      <c r="H162" s="59"/>
      <c r="I162" s="59"/>
      <c r="J162" s="59"/>
      <c r="K162" s="59"/>
      <c r="L162" s="59"/>
      <c r="M162" s="59"/>
    </row>
    <row r="163" spans="1:13" hidden="1" x14ac:dyDescent="0.25">
      <c r="A163" s="361"/>
      <c r="B163" s="362"/>
      <c r="C163" s="116"/>
      <c r="D163" s="85"/>
      <c r="E163" s="236"/>
      <c r="F163" s="95"/>
      <c r="G163" s="59"/>
      <c r="H163" s="59"/>
      <c r="I163" s="59"/>
      <c r="J163" s="59"/>
      <c r="K163" s="59"/>
      <c r="L163" s="59"/>
      <c r="M163" s="59"/>
    </row>
    <row r="164" spans="1:13" hidden="1" x14ac:dyDescent="0.25">
      <c r="A164" s="361"/>
      <c r="B164" s="362"/>
      <c r="C164" s="116"/>
      <c r="D164" s="85"/>
      <c r="E164" s="236"/>
      <c r="F164" s="95"/>
      <c r="G164" s="59"/>
      <c r="H164" s="59"/>
      <c r="I164" s="59"/>
      <c r="J164" s="59"/>
      <c r="K164" s="59"/>
      <c r="L164" s="59"/>
      <c r="M164" s="59"/>
    </row>
    <row r="165" spans="1:13" hidden="1" x14ac:dyDescent="0.25">
      <c r="A165" s="361"/>
      <c r="B165" s="362"/>
      <c r="C165" s="116"/>
      <c r="D165" s="85"/>
      <c r="E165" s="236"/>
      <c r="F165" s="95"/>
      <c r="G165" s="59"/>
      <c r="H165" s="59"/>
      <c r="I165" s="59"/>
      <c r="J165" s="59"/>
      <c r="K165" s="59"/>
      <c r="L165" s="59"/>
      <c r="M165" s="59"/>
    </row>
    <row r="166" spans="1:13" hidden="1" x14ac:dyDescent="0.25">
      <c r="A166" s="361"/>
      <c r="B166" s="362"/>
      <c r="C166" s="116"/>
      <c r="D166" s="85"/>
      <c r="E166" s="236"/>
      <c r="F166" s="95"/>
      <c r="G166" s="59"/>
      <c r="H166" s="59"/>
      <c r="I166" s="59"/>
      <c r="J166" s="59"/>
      <c r="K166" s="59"/>
      <c r="L166" s="59"/>
      <c r="M166" s="59"/>
    </row>
    <row r="167" spans="1:13" hidden="1" x14ac:dyDescent="0.25">
      <c r="A167" s="361"/>
      <c r="B167" s="362"/>
      <c r="C167" s="116"/>
      <c r="D167" s="85"/>
      <c r="E167" s="236"/>
      <c r="F167" s="95"/>
      <c r="G167" s="59"/>
      <c r="H167" s="59"/>
      <c r="I167" s="59"/>
      <c r="J167" s="59"/>
      <c r="K167" s="59"/>
      <c r="L167" s="59"/>
      <c r="M167" s="59"/>
    </row>
    <row r="168" spans="1:13" hidden="1" x14ac:dyDescent="0.25">
      <c r="A168" s="361"/>
      <c r="B168" s="362"/>
      <c r="C168" s="116"/>
      <c r="D168" s="85"/>
      <c r="E168" s="236"/>
      <c r="F168" s="95"/>
      <c r="G168" s="59"/>
      <c r="H168" s="59"/>
      <c r="I168" s="59"/>
      <c r="J168" s="59"/>
      <c r="K168" s="59"/>
      <c r="L168" s="59"/>
      <c r="M168" s="59"/>
    </row>
    <row r="169" spans="1:13" hidden="1" x14ac:dyDescent="0.25">
      <c r="A169" s="361"/>
      <c r="B169" s="362"/>
      <c r="C169" s="116"/>
      <c r="D169" s="85"/>
      <c r="E169" s="236"/>
      <c r="F169" s="95"/>
      <c r="G169" s="59"/>
      <c r="H169" s="59"/>
      <c r="I169" s="59"/>
      <c r="J169" s="59"/>
      <c r="K169" s="59"/>
      <c r="L169" s="59"/>
      <c r="M169" s="59"/>
    </row>
    <row r="170" spans="1:13" hidden="1" x14ac:dyDescent="0.25">
      <c r="A170" s="361"/>
      <c r="B170" s="362"/>
      <c r="C170" s="116"/>
      <c r="D170" s="85"/>
      <c r="E170" s="236"/>
      <c r="F170" s="95"/>
      <c r="G170" s="59"/>
      <c r="H170" s="59"/>
      <c r="I170" s="59"/>
      <c r="J170" s="59"/>
      <c r="K170" s="59"/>
      <c r="L170" s="59"/>
      <c r="M170" s="59"/>
    </row>
    <row r="171" spans="1:13" hidden="1" x14ac:dyDescent="0.25">
      <c r="A171" s="361"/>
      <c r="B171" s="362"/>
      <c r="C171" s="116"/>
      <c r="D171" s="85"/>
      <c r="E171" s="236"/>
      <c r="F171" s="95"/>
      <c r="G171" s="59"/>
      <c r="H171" s="59"/>
      <c r="I171" s="59"/>
      <c r="J171" s="59"/>
      <c r="K171" s="59"/>
      <c r="L171" s="59"/>
      <c r="M171" s="59"/>
    </row>
    <row r="172" spans="1:13" hidden="1" x14ac:dyDescent="0.25">
      <c r="A172" s="361"/>
      <c r="B172" s="362"/>
      <c r="C172" s="116"/>
      <c r="D172" s="85"/>
      <c r="E172" s="236"/>
      <c r="F172" s="95"/>
      <c r="G172" s="59"/>
      <c r="H172" s="59"/>
      <c r="I172" s="59"/>
      <c r="J172" s="59"/>
      <c r="K172" s="59"/>
      <c r="L172" s="59"/>
      <c r="M172" s="59"/>
    </row>
    <row r="173" spans="1:13" hidden="1" x14ac:dyDescent="0.25">
      <c r="A173" s="361"/>
      <c r="B173" s="362"/>
      <c r="C173" s="116"/>
      <c r="D173" s="85"/>
      <c r="E173" s="236"/>
      <c r="F173" s="95"/>
      <c r="G173" s="59"/>
      <c r="H173" s="59"/>
      <c r="I173" s="59"/>
      <c r="J173" s="59"/>
      <c r="K173" s="59"/>
      <c r="L173" s="59"/>
      <c r="M173" s="59"/>
    </row>
    <row r="174" spans="1:13" hidden="1" x14ac:dyDescent="0.25">
      <c r="A174" s="361"/>
      <c r="B174" s="362"/>
      <c r="C174" s="116"/>
      <c r="D174" s="85"/>
      <c r="E174" s="236"/>
      <c r="F174" s="95"/>
      <c r="G174" s="59"/>
      <c r="H174" s="59"/>
      <c r="I174" s="59"/>
      <c r="J174" s="59"/>
      <c r="K174" s="59"/>
      <c r="L174" s="59"/>
      <c r="M174" s="59"/>
    </row>
    <row r="175" spans="1:13" hidden="1" x14ac:dyDescent="0.25">
      <c r="A175" s="361"/>
      <c r="B175" s="362"/>
      <c r="C175" s="116"/>
      <c r="D175" s="85"/>
      <c r="E175" s="236"/>
      <c r="F175" s="95"/>
      <c r="G175" s="59"/>
      <c r="H175" s="59"/>
      <c r="I175" s="59"/>
      <c r="J175" s="59"/>
      <c r="K175" s="59"/>
      <c r="L175" s="59"/>
      <c r="M175" s="59"/>
    </row>
    <row r="176" spans="1:13" hidden="1" x14ac:dyDescent="0.25">
      <c r="A176" s="361"/>
      <c r="B176" s="362"/>
      <c r="C176" s="116"/>
      <c r="D176" s="85"/>
      <c r="E176" s="236"/>
      <c r="F176" s="95"/>
      <c r="G176" s="59"/>
      <c r="H176" s="59"/>
      <c r="I176" s="59"/>
      <c r="J176" s="59"/>
      <c r="K176" s="59"/>
      <c r="L176" s="59"/>
      <c r="M176" s="59"/>
    </row>
    <row r="177" spans="1:13" hidden="1" x14ac:dyDescent="0.25">
      <c r="A177" s="361"/>
      <c r="B177" s="362"/>
      <c r="C177" s="116"/>
      <c r="D177" s="85"/>
      <c r="E177" s="236"/>
      <c r="F177" s="95"/>
      <c r="G177" s="59"/>
      <c r="H177" s="59"/>
      <c r="I177" s="59"/>
      <c r="J177" s="59"/>
      <c r="K177" s="59"/>
      <c r="L177" s="59"/>
      <c r="M177" s="59"/>
    </row>
    <row r="178" spans="1:13" hidden="1" x14ac:dyDescent="0.25">
      <c r="A178" s="361"/>
      <c r="B178" s="362"/>
      <c r="C178" s="116"/>
      <c r="D178" s="85"/>
      <c r="E178" s="236"/>
      <c r="F178" s="95"/>
      <c r="G178" s="59"/>
      <c r="H178" s="59"/>
      <c r="I178" s="59"/>
      <c r="J178" s="59"/>
      <c r="K178" s="59"/>
      <c r="L178" s="59"/>
      <c r="M178" s="59"/>
    </row>
    <row r="179" spans="1:13" hidden="1" x14ac:dyDescent="0.25">
      <c r="A179" s="361"/>
      <c r="B179" s="362"/>
      <c r="C179" s="116"/>
      <c r="D179" s="85"/>
      <c r="E179" s="236"/>
      <c r="F179" s="95"/>
      <c r="G179" s="59"/>
      <c r="H179" s="59"/>
      <c r="I179" s="59"/>
      <c r="J179" s="59"/>
      <c r="K179" s="59"/>
      <c r="L179" s="59"/>
      <c r="M179" s="59"/>
    </row>
    <row r="180" spans="1:13" hidden="1" x14ac:dyDescent="0.25">
      <c r="A180" s="361"/>
      <c r="B180" s="362"/>
      <c r="C180" s="116"/>
      <c r="D180" s="85"/>
      <c r="E180" s="236"/>
      <c r="F180" s="95"/>
      <c r="G180" s="59"/>
      <c r="H180" s="59"/>
      <c r="I180" s="59"/>
      <c r="J180" s="59"/>
      <c r="K180" s="59"/>
      <c r="L180" s="59"/>
      <c r="M180" s="59"/>
    </row>
    <row r="181" spans="1:13" hidden="1" x14ac:dyDescent="0.25">
      <c r="A181" s="361"/>
      <c r="B181" s="362"/>
      <c r="C181" s="116"/>
      <c r="D181" s="85"/>
      <c r="E181" s="236"/>
      <c r="F181" s="95"/>
      <c r="G181" s="59"/>
      <c r="H181" s="59"/>
      <c r="I181" s="59"/>
      <c r="J181" s="59"/>
      <c r="K181" s="59"/>
      <c r="L181" s="59"/>
      <c r="M181" s="59"/>
    </row>
    <row r="182" spans="1:13" hidden="1" x14ac:dyDescent="0.25">
      <c r="A182" s="361"/>
      <c r="B182" s="362"/>
      <c r="C182" s="116"/>
      <c r="D182" s="85"/>
      <c r="E182" s="236"/>
      <c r="F182" s="95"/>
      <c r="G182" s="59"/>
      <c r="H182" s="59"/>
      <c r="I182" s="59"/>
      <c r="J182" s="59"/>
      <c r="K182" s="59"/>
      <c r="L182" s="59"/>
      <c r="M182" s="59"/>
    </row>
    <row r="183" spans="1:13" hidden="1" x14ac:dyDescent="0.25">
      <c r="A183" s="361"/>
      <c r="B183" s="362"/>
      <c r="C183" s="116"/>
      <c r="D183" s="85"/>
      <c r="E183" s="236"/>
      <c r="F183" s="95"/>
      <c r="G183" s="59"/>
      <c r="H183" s="59"/>
      <c r="I183" s="59"/>
      <c r="J183" s="59"/>
      <c r="K183" s="59"/>
      <c r="L183" s="59"/>
      <c r="M183" s="59"/>
    </row>
    <row r="184" spans="1:13" hidden="1" x14ac:dyDescent="0.25">
      <c r="A184" s="361"/>
      <c r="B184" s="362"/>
      <c r="C184" s="116"/>
      <c r="D184" s="85"/>
      <c r="E184" s="236"/>
      <c r="F184" s="95"/>
      <c r="G184" s="59"/>
      <c r="H184" s="59"/>
      <c r="I184" s="59"/>
      <c r="J184" s="59"/>
      <c r="K184" s="59"/>
      <c r="L184" s="59"/>
      <c r="M184" s="59"/>
    </row>
    <row r="185" spans="1:13" hidden="1" x14ac:dyDescent="0.25">
      <c r="A185" s="361"/>
      <c r="B185" s="362"/>
      <c r="C185" s="116"/>
      <c r="D185" s="85"/>
      <c r="E185" s="236"/>
      <c r="F185" s="95"/>
      <c r="G185" s="59"/>
      <c r="H185" s="59"/>
      <c r="I185" s="59"/>
      <c r="J185" s="59"/>
      <c r="K185" s="59"/>
      <c r="L185" s="59"/>
      <c r="M185" s="59"/>
    </row>
    <row r="186" spans="1:13" hidden="1" x14ac:dyDescent="0.25">
      <c r="A186" s="361"/>
      <c r="B186" s="362"/>
      <c r="C186" s="116"/>
      <c r="D186" s="85"/>
      <c r="E186" s="236"/>
      <c r="F186" s="95"/>
      <c r="G186" s="59"/>
      <c r="H186" s="59"/>
      <c r="I186" s="59"/>
      <c r="J186" s="59"/>
      <c r="K186" s="59"/>
      <c r="L186" s="59"/>
      <c r="M186" s="59"/>
    </row>
    <row r="187" spans="1:13" hidden="1" x14ac:dyDescent="0.25">
      <c r="A187" s="361"/>
      <c r="B187" s="362"/>
      <c r="C187" s="116"/>
      <c r="D187" s="85"/>
      <c r="E187" s="236"/>
      <c r="F187" s="95"/>
      <c r="G187" s="59"/>
      <c r="H187" s="59"/>
      <c r="I187" s="59"/>
      <c r="J187" s="59"/>
      <c r="K187" s="59"/>
      <c r="L187" s="59"/>
      <c r="M187" s="59"/>
    </row>
    <row r="188" spans="1:13" ht="31.5" hidden="1" x14ac:dyDescent="0.25">
      <c r="A188" s="471" t="s">
        <v>65</v>
      </c>
      <c r="B188" s="93" t="s">
        <v>43</v>
      </c>
      <c r="C188" s="94" t="s">
        <v>20</v>
      </c>
      <c r="D188" s="364" t="s">
        <v>15</v>
      </c>
      <c r="E188" s="366"/>
      <c r="F188" s="136">
        <v>0</v>
      </c>
      <c r="G188" s="59"/>
      <c r="H188" s="59"/>
      <c r="I188" s="59"/>
      <c r="J188" s="59"/>
      <c r="K188" s="59"/>
      <c r="L188" s="59"/>
      <c r="M188" s="59"/>
    </row>
    <row r="189" spans="1:13" hidden="1" x14ac:dyDescent="0.25">
      <c r="A189" s="472"/>
      <c r="B189" s="93"/>
      <c r="C189" s="115" t="s">
        <v>23</v>
      </c>
      <c r="D189" s="85" t="s">
        <v>25</v>
      </c>
      <c r="E189" s="41">
        <v>0.71</v>
      </c>
      <c r="F189" s="95">
        <f>F188*E189</f>
        <v>0</v>
      </c>
      <c r="G189" s="59"/>
      <c r="H189" s="59"/>
      <c r="I189" s="59">
        <v>7.8</v>
      </c>
      <c r="J189" s="59">
        <f>F189*I189</f>
        <v>0</v>
      </c>
      <c r="K189" s="59"/>
      <c r="L189" s="59"/>
      <c r="M189" s="59">
        <f>H189+J189+L189</f>
        <v>0</v>
      </c>
    </row>
    <row r="190" spans="1:13" hidden="1" x14ac:dyDescent="0.25">
      <c r="A190" s="472"/>
      <c r="B190" s="93"/>
      <c r="C190" s="116" t="s">
        <v>24</v>
      </c>
      <c r="D190" s="85" t="s">
        <v>26</v>
      </c>
      <c r="E190" s="41">
        <v>3.0099999999999998E-2</v>
      </c>
      <c r="F190" s="95">
        <f>F188*E190</f>
        <v>0</v>
      </c>
      <c r="G190" s="59"/>
      <c r="H190" s="59"/>
      <c r="I190" s="59"/>
      <c r="J190" s="59"/>
      <c r="K190" s="59">
        <v>3.2</v>
      </c>
      <c r="L190" s="59">
        <f>F190*K190</f>
        <v>0</v>
      </c>
      <c r="M190" s="59">
        <f>H190+J190+L190</f>
        <v>0</v>
      </c>
    </row>
    <row r="191" spans="1:13" ht="46.5" hidden="1" x14ac:dyDescent="0.25">
      <c r="A191" s="472"/>
      <c r="B191" s="93"/>
      <c r="C191" s="159" t="s">
        <v>417</v>
      </c>
      <c r="D191" s="85" t="s">
        <v>15</v>
      </c>
      <c r="E191" s="41">
        <v>1.03</v>
      </c>
      <c r="F191" s="95">
        <f>F188*E191</f>
        <v>0</v>
      </c>
      <c r="G191" s="59"/>
      <c r="H191" s="59">
        <f>F191*G191</f>
        <v>0</v>
      </c>
      <c r="I191" s="59"/>
      <c r="J191" s="59"/>
      <c r="K191" s="59"/>
      <c r="L191" s="59"/>
      <c r="M191" s="59">
        <f>H191+J191+L191</f>
        <v>0</v>
      </c>
    </row>
    <row r="192" spans="1:13" hidden="1" x14ac:dyDescent="0.25">
      <c r="A192" s="473"/>
      <c r="B192" s="93"/>
      <c r="C192" s="159" t="s">
        <v>33</v>
      </c>
      <c r="D192" s="85" t="s">
        <v>21</v>
      </c>
      <c r="E192" s="41">
        <v>0.107</v>
      </c>
      <c r="F192" s="95">
        <f>F188*E192</f>
        <v>0</v>
      </c>
      <c r="G192" s="59"/>
      <c r="H192" s="59">
        <f>F192*G192</f>
        <v>0</v>
      </c>
      <c r="I192" s="59"/>
      <c r="J192" s="59"/>
      <c r="K192" s="59"/>
      <c r="L192" s="59"/>
      <c r="M192" s="59">
        <f>H192+J192+L192</f>
        <v>0</v>
      </c>
    </row>
    <row r="193" spans="1:13" ht="47.25" hidden="1" x14ac:dyDescent="0.25">
      <c r="A193" s="471" t="s">
        <v>191</v>
      </c>
      <c r="B193" s="365" t="s">
        <v>46</v>
      </c>
      <c r="C193" s="145" t="s">
        <v>251</v>
      </c>
      <c r="D193" s="364" t="s">
        <v>11</v>
      </c>
      <c r="E193" s="366"/>
      <c r="F193" s="136">
        <v>0</v>
      </c>
      <c r="G193" s="59"/>
      <c r="H193" s="59"/>
      <c r="I193" s="59"/>
      <c r="J193" s="59"/>
      <c r="K193" s="59"/>
      <c r="L193" s="59"/>
      <c r="M193" s="59"/>
    </row>
    <row r="194" spans="1:13" hidden="1" x14ac:dyDescent="0.25">
      <c r="A194" s="472"/>
      <c r="B194" s="365"/>
      <c r="C194" s="152" t="s">
        <v>29</v>
      </c>
      <c r="D194" s="78" t="s">
        <v>25</v>
      </c>
      <c r="E194" s="79">
        <v>0.15</v>
      </c>
      <c r="F194" s="95">
        <f>F193*E194</f>
        <v>0</v>
      </c>
      <c r="G194" s="59"/>
      <c r="H194" s="59"/>
      <c r="I194" s="59">
        <v>7.8</v>
      </c>
      <c r="J194" s="59">
        <f>F194*I194</f>
        <v>0</v>
      </c>
      <c r="K194" s="59"/>
      <c r="L194" s="59"/>
      <c r="M194" s="59">
        <f>H194+J194+L194</f>
        <v>0</v>
      </c>
    </row>
    <row r="195" spans="1:13" hidden="1" x14ac:dyDescent="0.25">
      <c r="A195" s="472"/>
      <c r="B195" s="365"/>
      <c r="C195" s="152" t="s">
        <v>30</v>
      </c>
      <c r="D195" s="11" t="s">
        <v>21</v>
      </c>
      <c r="E195" s="79">
        <v>2E-3</v>
      </c>
      <c r="F195" s="95">
        <f>F193*E195</f>
        <v>0</v>
      </c>
      <c r="G195" s="59"/>
      <c r="H195" s="59"/>
      <c r="I195" s="59"/>
      <c r="J195" s="59"/>
      <c r="K195" s="59">
        <v>3.2</v>
      </c>
      <c r="L195" s="59">
        <f>F195*K195</f>
        <v>0</v>
      </c>
      <c r="M195" s="59">
        <f>H195+J195+L195</f>
        <v>0</v>
      </c>
    </row>
    <row r="196" spans="1:13" ht="31.5" hidden="1" x14ac:dyDescent="0.25">
      <c r="A196" s="472"/>
      <c r="B196" s="93"/>
      <c r="C196" s="116" t="s">
        <v>418</v>
      </c>
      <c r="D196" s="85" t="s">
        <v>11</v>
      </c>
      <c r="E196" s="79">
        <v>1.01</v>
      </c>
      <c r="F196" s="95">
        <f>F193*E196</f>
        <v>0</v>
      </c>
      <c r="G196" s="59"/>
      <c r="H196" s="59">
        <f>F196*G196</f>
        <v>0</v>
      </c>
      <c r="I196" s="59"/>
      <c r="J196" s="59"/>
      <c r="K196" s="59"/>
      <c r="L196" s="59"/>
      <c r="M196" s="59">
        <f>H196+J196+L196</f>
        <v>0</v>
      </c>
    </row>
    <row r="197" spans="1:13" hidden="1" x14ac:dyDescent="0.25">
      <c r="A197" s="473"/>
      <c r="B197" s="365"/>
      <c r="C197" s="152" t="s">
        <v>28</v>
      </c>
      <c r="D197" s="11" t="s">
        <v>21</v>
      </c>
      <c r="E197" s="79">
        <v>2E-3</v>
      </c>
      <c r="F197" s="95">
        <f>F193*E197</f>
        <v>0</v>
      </c>
      <c r="G197" s="59"/>
      <c r="H197" s="59">
        <f>F197*G197</f>
        <v>0</v>
      </c>
      <c r="I197" s="59"/>
      <c r="J197" s="59"/>
      <c r="K197" s="59"/>
      <c r="L197" s="59"/>
      <c r="M197" s="59">
        <f>H197+J197+L197</f>
        <v>0</v>
      </c>
    </row>
    <row r="198" spans="1:13" ht="47.25" hidden="1" x14ac:dyDescent="0.25">
      <c r="A198" s="471" t="s">
        <v>218</v>
      </c>
      <c r="B198" s="365" t="s">
        <v>95</v>
      </c>
      <c r="C198" s="94" t="s">
        <v>77</v>
      </c>
      <c r="D198" s="362" t="s">
        <v>15</v>
      </c>
      <c r="E198" s="41"/>
      <c r="F198" s="136">
        <v>0</v>
      </c>
      <c r="G198" s="59"/>
      <c r="H198" s="59"/>
      <c r="I198" s="59"/>
      <c r="J198" s="59"/>
      <c r="K198" s="59"/>
      <c r="L198" s="59"/>
      <c r="M198" s="59"/>
    </row>
    <row r="199" spans="1:13" hidden="1" x14ac:dyDescent="0.25">
      <c r="A199" s="472"/>
      <c r="B199" s="365"/>
      <c r="C199" s="112" t="s">
        <v>68</v>
      </c>
      <c r="D199" s="233" t="s">
        <v>90</v>
      </c>
      <c r="E199" s="43">
        <f>(261+82.9)*0.01</f>
        <v>3.4390000000000001</v>
      </c>
      <c r="F199" s="101">
        <f>E199*F198</f>
        <v>0</v>
      </c>
      <c r="G199" s="59"/>
      <c r="H199" s="59"/>
      <c r="I199" s="59">
        <v>6</v>
      </c>
      <c r="J199" s="59">
        <f>F199*I199</f>
        <v>0</v>
      </c>
      <c r="K199" s="59"/>
      <c r="L199" s="59"/>
      <c r="M199" s="59">
        <f>H199+J199+L199</f>
        <v>0</v>
      </c>
    </row>
    <row r="200" spans="1:13" hidden="1" x14ac:dyDescent="0.25">
      <c r="A200" s="472"/>
      <c r="B200" s="365"/>
      <c r="C200" s="152" t="s">
        <v>30</v>
      </c>
      <c r="D200" s="233" t="s">
        <v>21</v>
      </c>
      <c r="E200" s="43">
        <f>(3.5+0.39)*0.01</f>
        <v>3.8900000000000004E-2</v>
      </c>
      <c r="F200" s="101">
        <f>E200*F198</f>
        <v>0</v>
      </c>
      <c r="G200" s="59"/>
      <c r="H200" s="59"/>
      <c r="I200" s="59"/>
      <c r="J200" s="59"/>
      <c r="K200" s="59">
        <v>3.2</v>
      </c>
      <c r="L200" s="59">
        <f>F200*K200</f>
        <v>0</v>
      </c>
      <c r="M200" s="59">
        <f>H200+J200+L200</f>
        <v>0</v>
      </c>
    </row>
    <row r="201" spans="1:13" hidden="1" x14ac:dyDescent="0.25">
      <c r="A201" s="472"/>
      <c r="B201" s="365"/>
      <c r="C201" s="112" t="s">
        <v>91</v>
      </c>
      <c r="D201" s="233" t="s">
        <v>92</v>
      </c>
      <c r="E201" s="43">
        <v>6.6</v>
      </c>
      <c r="F201" s="101">
        <f>E201*F198</f>
        <v>0</v>
      </c>
      <c r="G201" s="59"/>
      <c r="H201" s="59">
        <f>F201*G201</f>
        <v>0</v>
      </c>
      <c r="I201" s="59"/>
      <c r="J201" s="59"/>
      <c r="K201" s="59"/>
      <c r="L201" s="59"/>
      <c r="M201" s="59">
        <f>H201+J201+L201</f>
        <v>0</v>
      </c>
    </row>
    <row r="202" spans="1:13" hidden="1" x14ac:dyDescent="0.25">
      <c r="A202" s="472"/>
      <c r="B202" s="365"/>
      <c r="C202" s="112" t="s">
        <v>93</v>
      </c>
      <c r="D202" s="233" t="s">
        <v>94</v>
      </c>
      <c r="E202" s="43">
        <v>0.06</v>
      </c>
      <c r="F202" s="101">
        <f>E202*F198</f>
        <v>0</v>
      </c>
      <c r="G202" s="59"/>
      <c r="H202" s="59">
        <f>F202*G202</f>
        <v>0</v>
      </c>
      <c r="I202" s="59"/>
      <c r="J202" s="59"/>
      <c r="K202" s="59"/>
      <c r="L202" s="59"/>
      <c r="M202" s="59">
        <f>H202+J202+L202</f>
        <v>0</v>
      </c>
    </row>
    <row r="203" spans="1:13" ht="31.5" hidden="1" x14ac:dyDescent="0.25">
      <c r="A203" s="473"/>
      <c r="B203" s="365"/>
      <c r="C203" s="112" t="s">
        <v>96</v>
      </c>
      <c r="D203" s="233" t="s">
        <v>237</v>
      </c>
      <c r="E203" s="43">
        <v>1.03</v>
      </c>
      <c r="F203" s="101">
        <f>E203*F198</f>
        <v>0</v>
      </c>
      <c r="G203" s="59"/>
      <c r="H203" s="59">
        <f>F203*G203</f>
        <v>0</v>
      </c>
      <c r="I203" s="59"/>
      <c r="J203" s="59"/>
      <c r="K203" s="59"/>
      <c r="L203" s="59"/>
      <c r="M203" s="59">
        <f>H203+J203+L203</f>
        <v>0</v>
      </c>
    </row>
    <row r="204" spans="1:13" ht="47.25" hidden="1" x14ac:dyDescent="0.25">
      <c r="A204" s="474" t="s">
        <v>226</v>
      </c>
      <c r="B204" s="365" t="s">
        <v>217</v>
      </c>
      <c r="C204" s="163" t="s">
        <v>252</v>
      </c>
      <c r="D204" s="8" t="s">
        <v>92</v>
      </c>
      <c r="E204" s="31"/>
      <c r="F204" s="56">
        <v>0</v>
      </c>
      <c r="G204" s="59"/>
      <c r="H204" s="59"/>
      <c r="I204" s="59"/>
      <c r="J204" s="59"/>
      <c r="K204" s="59"/>
      <c r="L204" s="59"/>
      <c r="M204" s="59"/>
    </row>
    <row r="205" spans="1:13" hidden="1" x14ac:dyDescent="0.25">
      <c r="A205" s="475"/>
      <c r="B205" s="365"/>
      <c r="C205" s="152" t="s">
        <v>29</v>
      </c>
      <c r="D205" s="78" t="s">
        <v>25</v>
      </c>
      <c r="E205" s="79">
        <v>0.15</v>
      </c>
      <c r="F205" s="368">
        <f>F204*E205</f>
        <v>0</v>
      </c>
      <c r="G205" s="59"/>
      <c r="H205" s="59"/>
      <c r="I205" s="59">
        <v>7.8</v>
      </c>
      <c r="J205" s="59">
        <f>F205*I205</f>
        <v>0</v>
      </c>
      <c r="K205" s="59"/>
      <c r="L205" s="59"/>
      <c r="M205" s="59">
        <f>H205+J205+L205</f>
        <v>0</v>
      </c>
    </row>
    <row r="206" spans="1:13" hidden="1" x14ac:dyDescent="0.25">
      <c r="A206" s="475"/>
      <c r="B206" s="365"/>
      <c r="C206" s="152" t="s">
        <v>30</v>
      </c>
      <c r="D206" s="11" t="s">
        <v>21</v>
      </c>
      <c r="E206" s="79">
        <v>2E-3</v>
      </c>
      <c r="F206" s="368">
        <f>F204*E206</f>
        <v>0</v>
      </c>
      <c r="G206" s="59"/>
      <c r="H206" s="59"/>
      <c r="I206" s="59"/>
      <c r="J206" s="59"/>
      <c r="K206" s="59">
        <v>3.2</v>
      </c>
      <c r="L206" s="59">
        <f>F206*K206</f>
        <v>0</v>
      </c>
      <c r="M206" s="59">
        <f>H206+J206+L206</f>
        <v>0</v>
      </c>
    </row>
    <row r="207" spans="1:13" ht="31.5" hidden="1" x14ac:dyDescent="0.25">
      <c r="A207" s="475"/>
      <c r="B207" s="89"/>
      <c r="C207" s="162" t="s">
        <v>175</v>
      </c>
      <c r="D207" s="369" t="str">
        <f>D204</f>
        <v>grZ.m.</v>
      </c>
      <c r="E207" s="30">
        <v>1.05</v>
      </c>
      <c r="F207" s="105">
        <f>F204*E207</f>
        <v>0</v>
      </c>
      <c r="G207" s="59"/>
      <c r="H207" s="59">
        <f>F207*G207</f>
        <v>0</v>
      </c>
      <c r="I207" s="59"/>
      <c r="J207" s="59"/>
      <c r="K207" s="59"/>
      <c r="L207" s="59"/>
      <c r="M207" s="59">
        <f>H207+J207+L207</f>
        <v>0</v>
      </c>
    </row>
    <row r="208" spans="1:13" hidden="1" x14ac:dyDescent="0.25">
      <c r="A208" s="475"/>
      <c r="B208" s="365"/>
      <c r="C208" s="152" t="s">
        <v>28</v>
      </c>
      <c r="D208" s="11" t="s">
        <v>21</v>
      </c>
      <c r="E208" s="79">
        <v>2E-3</v>
      </c>
      <c r="F208" s="368">
        <f>F204*E208</f>
        <v>0</v>
      </c>
      <c r="G208" s="59"/>
      <c r="H208" s="59">
        <f>F208*G208</f>
        <v>0</v>
      </c>
      <c r="I208" s="59"/>
      <c r="J208" s="59"/>
      <c r="K208" s="59"/>
      <c r="L208" s="59"/>
      <c r="M208" s="59">
        <f>H208+J208+L208</f>
        <v>0</v>
      </c>
    </row>
    <row r="209" spans="1:13" ht="63" hidden="1" x14ac:dyDescent="0.25">
      <c r="A209" s="471" t="s">
        <v>225</v>
      </c>
      <c r="B209" s="365" t="s">
        <v>38</v>
      </c>
      <c r="C209" s="94" t="s">
        <v>174</v>
      </c>
      <c r="D209" s="364" t="s">
        <v>15</v>
      </c>
      <c r="E209" s="366"/>
      <c r="F209" s="136">
        <v>0</v>
      </c>
      <c r="G209" s="59"/>
      <c r="H209" s="59"/>
      <c r="I209" s="59"/>
      <c r="J209" s="59"/>
      <c r="K209" s="59"/>
      <c r="L209" s="360"/>
      <c r="M209" s="360"/>
    </row>
    <row r="210" spans="1:13" hidden="1" x14ac:dyDescent="0.25">
      <c r="A210" s="472"/>
      <c r="B210" s="365"/>
      <c r="C210" s="115" t="s">
        <v>23</v>
      </c>
      <c r="D210" s="364" t="s">
        <v>25</v>
      </c>
      <c r="E210" s="41">
        <v>0.65800000000000003</v>
      </c>
      <c r="F210" s="95">
        <f>F209*E210</f>
        <v>0</v>
      </c>
      <c r="G210" s="59"/>
      <c r="H210" s="59"/>
      <c r="I210" s="59">
        <v>7.8</v>
      </c>
      <c r="J210" s="59">
        <f>F210*I210</f>
        <v>0</v>
      </c>
      <c r="K210" s="59"/>
      <c r="L210" s="360"/>
      <c r="M210" s="360">
        <f t="shared" ref="M210:M215" si="20">H210+J210+L210</f>
        <v>0</v>
      </c>
    </row>
    <row r="211" spans="1:13" hidden="1" x14ac:dyDescent="0.25">
      <c r="A211" s="472"/>
      <c r="B211" s="365"/>
      <c r="C211" s="116" t="s">
        <v>24</v>
      </c>
      <c r="D211" s="362" t="s">
        <v>26</v>
      </c>
      <c r="E211" s="41">
        <v>0.01</v>
      </c>
      <c r="F211" s="95">
        <f>F209*E211</f>
        <v>0</v>
      </c>
      <c r="G211" s="59"/>
      <c r="H211" s="59"/>
      <c r="I211" s="59"/>
      <c r="J211" s="59"/>
      <c r="K211" s="59">
        <v>3.2</v>
      </c>
      <c r="L211" s="360">
        <f>F211*K211</f>
        <v>0</v>
      </c>
      <c r="M211" s="360">
        <f t="shared" si="20"/>
        <v>0</v>
      </c>
    </row>
    <row r="212" spans="1:13" hidden="1" x14ac:dyDescent="0.25">
      <c r="A212" s="472"/>
      <c r="B212" s="365"/>
      <c r="C212" s="115" t="s">
        <v>39</v>
      </c>
      <c r="D212" s="364" t="s">
        <v>16</v>
      </c>
      <c r="E212" s="366">
        <v>0.85</v>
      </c>
      <c r="F212" s="55">
        <f>F209*E212</f>
        <v>0</v>
      </c>
      <c r="G212" s="59"/>
      <c r="H212" s="59">
        <f>F212*G212</f>
        <v>0</v>
      </c>
      <c r="I212" s="59"/>
      <c r="J212" s="59"/>
      <c r="K212" s="59"/>
      <c r="L212" s="360"/>
      <c r="M212" s="360">
        <f t="shared" si="20"/>
        <v>0</v>
      </c>
    </row>
    <row r="213" spans="1:13" hidden="1" x14ac:dyDescent="0.25">
      <c r="A213" s="472"/>
      <c r="B213" s="365"/>
      <c r="C213" s="115" t="s">
        <v>18</v>
      </c>
      <c r="D213" s="364" t="s">
        <v>15</v>
      </c>
      <c r="E213" s="366">
        <v>0.05</v>
      </c>
      <c r="F213" s="95">
        <f>F209*E213</f>
        <v>0</v>
      </c>
      <c r="G213" s="59"/>
      <c r="H213" s="59">
        <f>F213*G213</f>
        <v>0</v>
      </c>
      <c r="I213" s="59"/>
      <c r="J213" s="59"/>
      <c r="K213" s="59"/>
      <c r="L213" s="360"/>
      <c r="M213" s="360">
        <f t="shared" si="20"/>
        <v>0</v>
      </c>
    </row>
    <row r="214" spans="1:13" hidden="1" x14ac:dyDescent="0.25">
      <c r="A214" s="472"/>
      <c r="B214" s="365"/>
      <c r="C214" s="115" t="s">
        <v>37</v>
      </c>
      <c r="D214" s="364" t="s">
        <v>16</v>
      </c>
      <c r="E214" s="366">
        <v>0.35</v>
      </c>
      <c r="F214" s="95">
        <f>F209*E214</f>
        <v>0</v>
      </c>
      <c r="G214" s="59"/>
      <c r="H214" s="59">
        <f>F214*G214</f>
        <v>0</v>
      </c>
      <c r="I214" s="59"/>
      <c r="J214" s="59"/>
      <c r="K214" s="59"/>
      <c r="L214" s="360"/>
      <c r="M214" s="360">
        <f t="shared" si="20"/>
        <v>0</v>
      </c>
    </row>
    <row r="215" spans="1:13" hidden="1" x14ac:dyDescent="0.25">
      <c r="A215" s="473"/>
      <c r="B215" s="365"/>
      <c r="C215" s="116" t="s">
        <v>33</v>
      </c>
      <c r="D215" s="362" t="s">
        <v>21</v>
      </c>
      <c r="E215" s="41">
        <v>1.6E-2</v>
      </c>
      <c r="F215" s="95">
        <f>F209*E215</f>
        <v>0</v>
      </c>
      <c r="G215" s="59"/>
      <c r="H215" s="59">
        <f>F215*G215</f>
        <v>0</v>
      </c>
      <c r="I215" s="59"/>
      <c r="J215" s="59"/>
      <c r="K215" s="59"/>
      <c r="L215" s="360"/>
      <c r="M215" s="360">
        <f t="shared" si="20"/>
        <v>0</v>
      </c>
    </row>
    <row r="216" spans="1:13" hidden="1" x14ac:dyDescent="0.25">
      <c r="A216" s="85"/>
      <c r="B216" s="93"/>
      <c r="C216" s="157"/>
      <c r="D216" s="93"/>
      <c r="E216" s="45"/>
      <c r="F216" s="136"/>
      <c r="G216" s="59"/>
      <c r="H216" s="59"/>
      <c r="I216" s="59"/>
      <c r="J216" s="59"/>
      <c r="K216" s="59"/>
      <c r="L216" s="360"/>
      <c r="M216" s="360"/>
    </row>
    <row r="217" spans="1:13" ht="31.5" x14ac:dyDescent="0.25">
      <c r="A217" s="399"/>
      <c r="B217" s="400"/>
      <c r="C217" s="401" t="s">
        <v>399</v>
      </c>
      <c r="D217" s="400"/>
      <c r="E217" s="410"/>
      <c r="F217" s="375"/>
      <c r="G217" s="59"/>
      <c r="H217" s="59"/>
      <c r="I217" s="59"/>
      <c r="J217" s="59"/>
      <c r="K217" s="59"/>
      <c r="L217" s="360"/>
      <c r="M217" s="360"/>
    </row>
    <row r="218" spans="1:13" ht="31.5" x14ac:dyDescent="0.25">
      <c r="A218" s="459" t="s">
        <v>192</v>
      </c>
      <c r="B218" s="93" t="s">
        <v>404</v>
      </c>
      <c r="C218" s="145" t="s">
        <v>403</v>
      </c>
      <c r="D218" s="93" t="s">
        <v>14</v>
      </c>
      <c r="E218" s="45"/>
      <c r="F218" s="136">
        <f>15*1*0.1</f>
        <v>1.5</v>
      </c>
      <c r="G218" s="59"/>
      <c r="H218" s="59"/>
      <c r="I218" s="59"/>
      <c r="J218" s="59"/>
      <c r="K218" s="59"/>
      <c r="L218" s="360"/>
      <c r="M218" s="360"/>
    </row>
    <row r="219" spans="1:13" ht="20.25" customHeight="1" x14ac:dyDescent="0.25">
      <c r="A219" s="460"/>
      <c r="B219" s="93"/>
      <c r="C219" s="152" t="s">
        <v>29</v>
      </c>
      <c r="D219" s="78" t="s">
        <v>25</v>
      </c>
      <c r="E219" s="79">
        <v>7.8</v>
      </c>
      <c r="F219" s="95">
        <f>F218*E219</f>
        <v>11.7</v>
      </c>
      <c r="G219" s="59"/>
      <c r="H219" s="59"/>
      <c r="I219" s="59"/>
      <c r="J219" s="59">
        <f>F219*I219</f>
        <v>0</v>
      </c>
      <c r="K219" s="59"/>
      <c r="L219" s="59"/>
      <c r="M219" s="59">
        <f>H219+J219+L219</f>
        <v>0</v>
      </c>
    </row>
    <row r="220" spans="1:13" ht="18" customHeight="1" x14ac:dyDescent="0.25">
      <c r="A220" s="461"/>
      <c r="B220" s="93"/>
      <c r="C220" s="116" t="s">
        <v>32</v>
      </c>
      <c r="D220" s="362" t="s">
        <v>21</v>
      </c>
      <c r="E220" s="41">
        <v>4.0999999999999996</v>
      </c>
      <c r="F220" s="95">
        <f>F218*E220</f>
        <v>6.1499999999999995</v>
      </c>
      <c r="G220" s="59"/>
      <c r="H220" s="59"/>
      <c r="I220" s="59"/>
      <c r="J220" s="59"/>
      <c r="K220" s="59"/>
      <c r="L220" s="59">
        <f>F220*K220</f>
        <v>0</v>
      </c>
      <c r="M220" s="59">
        <f>H220+J220+L220</f>
        <v>0</v>
      </c>
    </row>
    <row r="221" spans="1:13" ht="78.75" x14ac:dyDescent="0.25">
      <c r="A221" s="459" t="s">
        <v>193</v>
      </c>
      <c r="B221" s="93" t="s">
        <v>363</v>
      </c>
      <c r="C221" s="145" t="s">
        <v>419</v>
      </c>
      <c r="D221" s="93" t="s">
        <v>14</v>
      </c>
      <c r="E221" s="45"/>
      <c r="F221" s="136">
        <f>14*1*1</f>
        <v>14</v>
      </c>
      <c r="G221" s="59"/>
      <c r="H221" s="59"/>
      <c r="I221" s="59"/>
      <c r="J221" s="59"/>
      <c r="K221" s="59"/>
      <c r="L221" s="360"/>
      <c r="M221" s="360"/>
    </row>
    <row r="222" spans="1:13" x14ac:dyDescent="0.25">
      <c r="A222" s="461"/>
      <c r="B222" s="93"/>
      <c r="C222" s="152" t="s">
        <v>29</v>
      </c>
      <c r="D222" s="78" t="s">
        <v>25</v>
      </c>
      <c r="E222" s="79">
        <v>2.06</v>
      </c>
      <c r="F222" s="95">
        <f>F221*E222</f>
        <v>28.84</v>
      </c>
      <c r="G222" s="59"/>
      <c r="H222" s="59"/>
      <c r="I222" s="59"/>
      <c r="J222" s="59">
        <f>F222*I222</f>
        <v>0</v>
      </c>
      <c r="K222" s="59"/>
      <c r="L222" s="59"/>
      <c r="M222" s="59">
        <f>H222+J222+L222</f>
        <v>0</v>
      </c>
    </row>
    <row r="223" spans="1:13" ht="47.25" x14ac:dyDescent="0.25">
      <c r="A223" s="465" t="s">
        <v>75</v>
      </c>
      <c r="B223" s="365" t="s">
        <v>405</v>
      </c>
      <c r="C223" s="94" t="s">
        <v>407</v>
      </c>
      <c r="D223" s="364" t="s">
        <v>15</v>
      </c>
      <c r="E223" s="366"/>
      <c r="F223" s="56">
        <f>14*(1+2)</f>
        <v>42</v>
      </c>
      <c r="G223" s="360"/>
      <c r="H223" s="59"/>
      <c r="I223" s="360"/>
      <c r="J223" s="59"/>
      <c r="K223" s="360"/>
      <c r="L223" s="360"/>
      <c r="M223" s="360"/>
    </row>
    <row r="224" spans="1:13" ht="20.25" customHeight="1" x14ac:dyDescent="0.25">
      <c r="A224" s="466"/>
      <c r="B224" s="364"/>
      <c r="C224" s="115" t="s">
        <v>23</v>
      </c>
      <c r="D224" s="364" t="s">
        <v>25</v>
      </c>
      <c r="E224" s="366">
        <v>0.33600000000000002</v>
      </c>
      <c r="F224" s="367">
        <f>F223*E224</f>
        <v>14.112</v>
      </c>
      <c r="G224" s="59"/>
      <c r="H224" s="59"/>
      <c r="I224" s="59"/>
      <c r="J224" s="59">
        <f>F224*I224</f>
        <v>0</v>
      </c>
      <c r="K224" s="59"/>
      <c r="L224" s="59"/>
      <c r="M224" s="360">
        <f>H224+J224+L224</f>
        <v>0</v>
      </c>
    </row>
    <row r="225" spans="1:13" x14ac:dyDescent="0.25">
      <c r="A225" s="466"/>
      <c r="B225" s="364"/>
      <c r="C225" s="115" t="s">
        <v>32</v>
      </c>
      <c r="D225" s="364" t="s">
        <v>21</v>
      </c>
      <c r="E225" s="366">
        <v>1.4999999999999999E-2</v>
      </c>
      <c r="F225" s="367">
        <f>F223*E225</f>
        <v>0.63</v>
      </c>
      <c r="G225" s="59"/>
      <c r="H225" s="59"/>
      <c r="I225" s="59"/>
      <c r="J225" s="59"/>
      <c r="K225" s="59"/>
      <c r="L225" s="59">
        <f>F225*K225</f>
        <v>0</v>
      </c>
      <c r="M225" s="360">
        <f>H225+J225+L225</f>
        <v>0</v>
      </c>
    </row>
    <row r="226" spans="1:13" ht="31.5" x14ac:dyDescent="0.25">
      <c r="A226" s="466"/>
      <c r="B226" s="364"/>
      <c r="C226" s="115" t="s">
        <v>406</v>
      </c>
      <c r="D226" s="364" t="s">
        <v>16</v>
      </c>
      <c r="E226" s="366">
        <v>2.4</v>
      </c>
      <c r="F226" s="367">
        <f>F223*E226</f>
        <v>100.8</v>
      </c>
      <c r="G226" s="59"/>
      <c r="H226" s="59">
        <f>F226*G226</f>
        <v>0</v>
      </c>
      <c r="I226" s="59"/>
      <c r="J226" s="59"/>
      <c r="K226" s="59"/>
      <c r="L226" s="59"/>
      <c r="M226" s="360">
        <f>H226+J226+L226</f>
        <v>0</v>
      </c>
    </row>
    <row r="227" spans="1:13" x14ac:dyDescent="0.25">
      <c r="A227" s="467"/>
      <c r="B227" s="364"/>
      <c r="C227" s="115" t="s">
        <v>28</v>
      </c>
      <c r="D227" s="364" t="s">
        <v>21</v>
      </c>
      <c r="E227" s="366">
        <v>2.2800000000000001E-2</v>
      </c>
      <c r="F227" s="367">
        <f>F223*E227</f>
        <v>0.95760000000000001</v>
      </c>
      <c r="G227" s="59"/>
      <c r="H227" s="59">
        <f>F227*G227</f>
        <v>0</v>
      </c>
      <c r="I227" s="59"/>
      <c r="J227" s="59"/>
      <c r="K227" s="59"/>
      <c r="L227" s="59"/>
      <c r="M227" s="360">
        <f>H227+J227+L227</f>
        <v>0</v>
      </c>
    </row>
    <row r="228" spans="1:13" ht="20.25" customHeight="1" x14ac:dyDescent="0.25">
      <c r="A228" s="459" t="s">
        <v>194</v>
      </c>
      <c r="B228" s="93" t="s">
        <v>409</v>
      </c>
      <c r="C228" s="145" t="s">
        <v>408</v>
      </c>
      <c r="D228" s="93" t="s">
        <v>14</v>
      </c>
      <c r="E228" s="45"/>
      <c r="F228" s="136">
        <f>F221</f>
        <v>14</v>
      </c>
      <c r="G228" s="59"/>
      <c r="H228" s="59"/>
      <c r="I228" s="59"/>
      <c r="J228" s="59"/>
      <c r="K228" s="59"/>
      <c r="L228" s="360"/>
      <c r="M228" s="360"/>
    </row>
    <row r="229" spans="1:13" ht="21.75" customHeight="1" x14ac:dyDescent="0.25">
      <c r="A229" s="461"/>
      <c r="B229" s="93"/>
      <c r="C229" s="152" t="s">
        <v>29</v>
      </c>
      <c r="D229" s="78" t="s">
        <v>25</v>
      </c>
      <c r="E229" s="79">
        <v>1.21</v>
      </c>
      <c r="F229" s="95">
        <f>F228*E229</f>
        <v>16.939999999999998</v>
      </c>
      <c r="G229" s="59"/>
      <c r="H229" s="59"/>
      <c r="I229" s="59"/>
      <c r="J229" s="59">
        <f>F229*I229</f>
        <v>0</v>
      </c>
      <c r="K229" s="59"/>
      <c r="L229" s="59"/>
      <c r="M229" s="59">
        <f>H229+J229+L229</f>
        <v>0</v>
      </c>
    </row>
    <row r="230" spans="1:13" ht="63" x14ac:dyDescent="0.25">
      <c r="A230" s="468" t="s">
        <v>44</v>
      </c>
      <c r="B230" s="377" t="s">
        <v>378</v>
      </c>
      <c r="C230" s="378" t="s">
        <v>420</v>
      </c>
      <c r="D230" s="377" t="s">
        <v>14</v>
      </c>
      <c r="E230" s="402"/>
      <c r="F230" s="106">
        <f>15*1*0.1</f>
        <v>1.5</v>
      </c>
      <c r="G230" s="381"/>
      <c r="H230" s="57"/>
      <c r="I230" s="381"/>
      <c r="J230" s="57"/>
      <c r="K230" s="382"/>
      <c r="L230" s="59"/>
      <c r="M230" s="57"/>
    </row>
    <row r="231" spans="1:13" ht="17.25" customHeight="1" x14ac:dyDescent="0.25">
      <c r="A231" s="469"/>
      <c r="B231" s="377"/>
      <c r="C231" s="383" t="s">
        <v>23</v>
      </c>
      <c r="D231" s="379" t="s">
        <v>25</v>
      </c>
      <c r="E231" s="402">
        <v>3.52</v>
      </c>
      <c r="F231" s="380">
        <f>F230*E231</f>
        <v>5.28</v>
      </c>
      <c r="G231" s="57"/>
      <c r="H231" s="59"/>
      <c r="I231" s="381"/>
      <c r="J231" s="57">
        <f>F231*I231</f>
        <v>0</v>
      </c>
      <c r="K231" s="99"/>
      <c r="L231" s="57"/>
      <c r="M231" s="57">
        <f>H231+J231+L231</f>
        <v>0</v>
      </c>
    </row>
    <row r="232" spans="1:13" x14ac:dyDescent="0.25">
      <c r="A232" s="469"/>
      <c r="B232" s="377"/>
      <c r="C232" s="383" t="s">
        <v>32</v>
      </c>
      <c r="D232" s="371" t="s">
        <v>21</v>
      </c>
      <c r="E232" s="35">
        <v>1.06</v>
      </c>
      <c r="F232" s="55">
        <f>F230*E232</f>
        <v>1.59</v>
      </c>
      <c r="G232" s="102"/>
      <c r="H232" s="59"/>
      <c r="I232" s="57"/>
      <c r="J232" s="59"/>
      <c r="K232" s="57"/>
      <c r="L232" s="57">
        <f>F232*K232</f>
        <v>0</v>
      </c>
      <c r="M232" s="57">
        <f>H232+J232+L232</f>
        <v>0</v>
      </c>
    </row>
    <row r="233" spans="1:13" x14ac:dyDescent="0.25">
      <c r="A233" s="469"/>
      <c r="B233" s="377"/>
      <c r="C233" s="383" t="s">
        <v>379</v>
      </c>
      <c r="D233" s="371" t="s">
        <v>14</v>
      </c>
      <c r="E233" s="35">
        <f>0.18+0.09+0.97</f>
        <v>1.24</v>
      </c>
      <c r="F233" s="55">
        <f>F230*E233</f>
        <v>1.8599999999999999</v>
      </c>
      <c r="G233" s="102"/>
      <c r="H233" s="59">
        <f>F233*G233</f>
        <v>0</v>
      </c>
      <c r="I233" s="57"/>
      <c r="J233" s="59"/>
      <c r="K233" s="57"/>
      <c r="L233" s="59"/>
      <c r="M233" s="57">
        <f>H233+J233+L233</f>
        <v>0</v>
      </c>
    </row>
    <row r="234" spans="1:13" x14ac:dyDescent="0.25">
      <c r="A234" s="470"/>
      <c r="B234" s="377"/>
      <c r="C234" s="383" t="s">
        <v>28</v>
      </c>
      <c r="D234" s="371" t="s">
        <v>21</v>
      </c>
      <c r="E234" s="35">
        <v>0.02</v>
      </c>
      <c r="F234" s="55">
        <f>F230*E234</f>
        <v>0.03</v>
      </c>
      <c r="G234" s="102"/>
      <c r="H234" s="59">
        <f>F234*G234</f>
        <v>0</v>
      </c>
      <c r="I234" s="57"/>
      <c r="J234" s="59"/>
      <c r="K234" s="57"/>
      <c r="L234" s="59"/>
      <c r="M234" s="57">
        <f>H234+J234+L234</f>
        <v>0</v>
      </c>
    </row>
    <row r="235" spans="1:13" ht="78.75" x14ac:dyDescent="0.25">
      <c r="A235" s="459" t="s">
        <v>188</v>
      </c>
      <c r="B235" s="93"/>
      <c r="C235" s="145" t="s">
        <v>410</v>
      </c>
      <c r="D235" s="93" t="s">
        <v>14</v>
      </c>
      <c r="E235" s="45"/>
      <c r="F235" s="136">
        <f>15*1*(0.2+0.1)/2</f>
        <v>2.2500000000000004</v>
      </c>
      <c r="G235" s="59"/>
      <c r="H235" s="59"/>
      <c r="I235" s="59"/>
      <c r="J235" s="59"/>
      <c r="K235" s="59"/>
      <c r="L235" s="360"/>
      <c r="M235" s="360"/>
    </row>
    <row r="236" spans="1:13" ht="20.25" customHeight="1" x14ac:dyDescent="0.25">
      <c r="A236" s="460"/>
      <c r="B236" s="93"/>
      <c r="C236" s="383" t="s">
        <v>23</v>
      </c>
      <c r="D236" s="379" t="s">
        <v>25</v>
      </c>
      <c r="E236" s="402">
        <v>1.37</v>
      </c>
      <c r="F236" s="380">
        <f>F235*E236</f>
        <v>3.0825000000000009</v>
      </c>
      <c r="G236" s="57"/>
      <c r="H236" s="59"/>
      <c r="I236" s="381"/>
      <c r="J236" s="57">
        <f>F236*I236</f>
        <v>0</v>
      </c>
      <c r="K236" s="99"/>
      <c r="L236" s="57"/>
      <c r="M236" s="57">
        <f>H236+J236+L236</f>
        <v>0</v>
      </c>
    </row>
    <row r="237" spans="1:13" x14ac:dyDescent="0.25">
      <c r="A237" s="460"/>
      <c r="B237" s="93"/>
      <c r="C237" s="383" t="s">
        <v>32</v>
      </c>
      <c r="D237" s="371" t="s">
        <v>21</v>
      </c>
      <c r="E237" s="35">
        <v>0.28299999999999997</v>
      </c>
      <c r="F237" s="55">
        <f>F235*E237</f>
        <v>0.63675000000000004</v>
      </c>
      <c r="G237" s="102"/>
      <c r="H237" s="59"/>
      <c r="I237" s="57"/>
      <c r="J237" s="59"/>
      <c r="K237" s="57"/>
      <c r="L237" s="57">
        <f>F237*K237</f>
        <v>0</v>
      </c>
      <c r="M237" s="57">
        <f>H237+J237+L237</f>
        <v>0</v>
      </c>
    </row>
    <row r="238" spans="1:13" x14ac:dyDescent="0.25">
      <c r="A238" s="460"/>
      <c r="B238" s="93"/>
      <c r="C238" s="383" t="s">
        <v>381</v>
      </c>
      <c r="D238" s="371" t="s">
        <v>14</v>
      </c>
      <c r="E238" s="35">
        <v>1.02</v>
      </c>
      <c r="F238" s="55">
        <f>F235*E238</f>
        <v>2.2950000000000004</v>
      </c>
      <c r="G238" s="102"/>
      <c r="H238" s="59">
        <f>F238*G238</f>
        <v>0</v>
      </c>
      <c r="I238" s="57"/>
      <c r="J238" s="59"/>
      <c r="K238" s="57"/>
      <c r="L238" s="59"/>
      <c r="M238" s="57">
        <f>H238+J238+L238</f>
        <v>0</v>
      </c>
    </row>
    <row r="239" spans="1:13" x14ac:dyDescent="0.25">
      <c r="A239" s="461"/>
      <c r="B239" s="93"/>
      <c r="C239" s="383" t="s">
        <v>28</v>
      </c>
      <c r="D239" s="371" t="s">
        <v>21</v>
      </c>
      <c r="E239" s="35">
        <v>0.62</v>
      </c>
      <c r="F239" s="55">
        <f>F235*E239</f>
        <v>1.3950000000000002</v>
      </c>
      <c r="G239" s="102"/>
      <c r="H239" s="59">
        <f>F239*G239</f>
        <v>0</v>
      </c>
      <c r="I239" s="57"/>
      <c r="J239" s="59"/>
      <c r="K239" s="57"/>
      <c r="L239" s="59"/>
      <c r="M239" s="57">
        <f>H239+J239+L239</f>
        <v>0</v>
      </c>
    </row>
    <row r="240" spans="1:13" ht="63" x14ac:dyDescent="0.25">
      <c r="A240" s="462" t="s">
        <v>195</v>
      </c>
      <c r="B240" s="384" t="s">
        <v>412</v>
      </c>
      <c r="C240" s="397" t="s">
        <v>411</v>
      </c>
      <c r="D240" s="398" t="s">
        <v>15</v>
      </c>
      <c r="E240" s="41"/>
      <c r="F240" s="136">
        <f>14*0.8</f>
        <v>11.200000000000001</v>
      </c>
      <c r="G240" s="59"/>
      <c r="H240" s="59"/>
      <c r="I240" s="59"/>
      <c r="J240" s="59"/>
      <c r="K240" s="59"/>
      <c r="L240" s="59"/>
      <c r="M240" s="59"/>
    </row>
    <row r="241" spans="1:13" ht="20.25" customHeight="1" x14ac:dyDescent="0.25">
      <c r="A241" s="463"/>
      <c r="B241" s="233"/>
      <c r="C241" s="112" t="s">
        <v>23</v>
      </c>
      <c r="D241" s="233" t="s">
        <v>25</v>
      </c>
      <c r="E241" s="43">
        <v>7.6</v>
      </c>
      <c r="F241" s="101">
        <f>F240*E241</f>
        <v>85.12</v>
      </c>
      <c r="G241" s="59"/>
      <c r="H241" s="59"/>
      <c r="I241" s="59"/>
      <c r="J241" s="59">
        <f>F241*I241</f>
        <v>0</v>
      </c>
      <c r="K241" s="59"/>
      <c r="L241" s="360"/>
      <c r="M241" s="360">
        <f>H241+J241+L241</f>
        <v>0</v>
      </c>
    </row>
    <row r="242" spans="1:13" x14ac:dyDescent="0.25">
      <c r="A242" s="463"/>
      <c r="B242" s="233"/>
      <c r="C242" s="112" t="s">
        <v>32</v>
      </c>
      <c r="D242" s="233" t="s">
        <v>21</v>
      </c>
      <c r="E242" s="43">
        <v>0.2</v>
      </c>
      <c r="F242" s="101">
        <f>F240*E242</f>
        <v>2.2400000000000002</v>
      </c>
      <c r="G242" s="59"/>
      <c r="H242" s="59"/>
      <c r="I242" s="59"/>
      <c r="J242" s="59"/>
      <c r="K242" s="59"/>
      <c r="L242" s="360">
        <f>F242*K242</f>
        <v>0</v>
      </c>
      <c r="M242" s="360">
        <f>H242+J242+L242</f>
        <v>0</v>
      </c>
    </row>
    <row r="243" spans="1:13" ht="31.5" x14ac:dyDescent="0.25">
      <c r="A243" s="463"/>
      <c r="B243" s="233"/>
      <c r="C243" s="112" t="s">
        <v>413</v>
      </c>
      <c r="D243" s="233" t="s">
        <v>15</v>
      </c>
      <c r="E243" s="43">
        <v>1</v>
      </c>
      <c r="F243" s="101">
        <f>F240*E243</f>
        <v>11.200000000000001</v>
      </c>
      <c r="G243" s="59"/>
      <c r="H243" s="59">
        <f>F243*G243</f>
        <v>0</v>
      </c>
      <c r="I243" s="59"/>
      <c r="J243" s="59"/>
      <c r="K243" s="59"/>
      <c r="L243" s="360"/>
      <c r="M243" s="360">
        <f>H243+J243+L243</f>
        <v>0</v>
      </c>
    </row>
    <row r="244" spans="1:13" x14ac:dyDescent="0.25">
      <c r="A244" s="463"/>
      <c r="B244" s="233"/>
      <c r="C244" s="112" t="s">
        <v>85</v>
      </c>
      <c r="D244" s="233" t="s">
        <v>14</v>
      </c>
      <c r="E244" s="43">
        <v>3.5999999999999997E-2</v>
      </c>
      <c r="F244" s="101">
        <f>F240*E244</f>
        <v>0.4032</v>
      </c>
      <c r="G244" s="59"/>
      <c r="H244" s="59">
        <f>F244*G244</f>
        <v>0</v>
      </c>
      <c r="I244" s="59"/>
      <c r="J244" s="59"/>
      <c r="K244" s="59"/>
      <c r="L244" s="360"/>
      <c r="M244" s="360">
        <f>H244+J244+L244</f>
        <v>0</v>
      </c>
    </row>
    <row r="245" spans="1:13" x14ac:dyDescent="0.25">
      <c r="A245" s="464"/>
      <c r="B245" s="233"/>
      <c r="C245" s="112" t="s">
        <v>28</v>
      </c>
      <c r="D245" s="233" t="s">
        <v>21</v>
      </c>
      <c r="E245" s="43">
        <v>0.09</v>
      </c>
      <c r="F245" s="101">
        <f>F240*E245</f>
        <v>1.008</v>
      </c>
      <c r="G245" s="59"/>
      <c r="H245" s="59">
        <f>F245*G245</f>
        <v>0</v>
      </c>
      <c r="I245" s="59"/>
      <c r="J245" s="59"/>
      <c r="K245" s="59"/>
      <c r="L245" s="360"/>
      <c r="M245" s="360">
        <f>H245+J245+L245</f>
        <v>0</v>
      </c>
    </row>
    <row r="246" spans="1:13" x14ac:dyDescent="0.25">
      <c r="A246" s="85"/>
      <c r="B246" s="93"/>
      <c r="C246" s="157"/>
      <c r="D246" s="93"/>
      <c r="E246" s="45"/>
      <c r="F246" s="136"/>
      <c r="G246" s="59"/>
      <c r="H246" s="59"/>
      <c r="I246" s="59"/>
      <c r="J246" s="59"/>
      <c r="K246" s="59"/>
      <c r="L246" s="360"/>
      <c r="M246" s="360"/>
    </row>
    <row r="247" spans="1:13" x14ac:dyDescent="0.25">
      <c r="A247" s="85"/>
      <c r="B247" s="93"/>
      <c r="C247" s="157"/>
      <c r="D247" s="93"/>
      <c r="E247" s="45"/>
      <c r="F247" s="136"/>
      <c r="G247" s="59"/>
      <c r="H247" s="59"/>
      <c r="I247" s="59"/>
      <c r="J247" s="59"/>
      <c r="K247" s="59"/>
      <c r="L247" s="360"/>
      <c r="M247" s="360"/>
    </row>
    <row r="248" spans="1:13" s="81" customFormat="1" ht="141.75" x14ac:dyDescent="0.2">
      <c r="A248" s="481" t="s">
        <v>228</v>
      </c>
      <c r="B248" s="88" t="s">
        <v>86</v>
      </c>
      <c r="C248" s="94" t="s">
        <v>244</v>
      </c>
      <c r="D248" s="364" t="s">
        <v>14</v>
      </c>
      <c r="E248" s="128"/>
      <c r="F248" s="136">
        <v>5</v>
      </c>
      <c r="G248" s="59"/>
      <c r="H248" s="59"/>
      <c r="I248" s="59"/>
      <c r="J248" s="59"/>
      <c r="K248" s="59"/>
      <c r="L248" s="360"/>
      <c r="M248" s="360"/>
    </row>
    <row r="249" spans="1:13" s="81" customFormat="1" x14ac:dyDescent="0.2">
      <c r="A249" s="481"/>
      <c r="B249" s="365"/>
      <c r="C249" s="152" t="s">
        <v>29</v>
      </c>
      <c r="D249" s="78" t="s">
        <v>25</v>
      </c>
      <c r="E249" s="79">
        <v>1.85</v>
      </c>
      <c r="F249" s="173">
        <f>F248*E249</f>
        <v>9.25</v>
      </c>
      <c r="G249" s="99"/>
      <c r="H249" s="59"/>
      <c r="I249" s="99"/>
      <c r="J249" s="59">
        <f>F249*I249</f>
        <v>0</v>
      </c>
      <c r="K249" s="59"/>
      <c r="L249" s="360"/>
      <c r="M249" s="360">
        <f>H249+J249+L249</f>
        <v>0</v>
      </c>
    </row>
    <row r="250" spans="1:13" s="81" customFormat="1" ht="47.25" x14ac:dyDescent="0.2">
      <c r="A250" s="481"/>
      <c r="B250" s="88"/>
      <c r="C250" s="153" t="s">
        <v>87</v>
      </c>
      <c r="D250" s="364" t="s">
        <v>17</v>
      </c>
      <c r="E250" s="79"/>
      <c r="F250" s="106">
        <f>F248*1.65</f>
        <v>8.25</v>
      </c>
      <c r="G250" s="99"/>
      <c r="H250" s="59"/>
      <c r="I250" s="99"/>
      <c r="J250" s="59"/>
      <c r="K250" s="99"/>
      <c r="L250" s="360"/>
      <c r="M250" s="360"/>
    </row>
    <row r="251" spans="1:13" s="81" customFormat="1" x14ac:dyDescent="0.2">
      <c r="A251" s="481"/>
      <c r="B251" s="88"/>
      <c r="C251" s="152" t="s">
        <v>34</v>
      </c>
      <c r="D251" s="78" t="s">
        <v>25</v>
      </c>
      <c r="E251" s="79">
        <v>0.53</v>
      </c>
      <c r="F251" s="173">
        <f>F250*E251</f>
        <v>4.3725000000000005</v>
      </c>
      <c r="G251" s="99"/>
      <c r="H251" s="59"/>
      <c r="I251" s="99"/>
      <c r="J251" s="59">
        <f>F251*I251</f>
        <v>0</v>
      </c>
      <c r="K251" s="99"/>
      <c r="L251" s="360"/>
      <c r="M251" s="360">
        <f>H251+J251+L251</f>
        <v>0</v>
      </c>
    </row>
    <row r="252" spans="1:13" s="81" customFormat="1" ht="31.5" x14ac:dyDescent="0.2">
      <c r="A252" s="481"/>
      <c r="B252" s="365" t="s">
        <v>41</v>
      </c>
      <c r="C252" s="154" t="s">
        <v>380</v>
      </c>
      <c r="D252" s="364" t="s">
        <v>17</v>
      </c>
      <c r="E252" s="79"/>
      <c r="F252" s="106">
        <f>F250</f>
        <v>8.25</v>
      </c>
      <c r="G252" s="99"/>
      <c r="H252" s="59"/>
      <c r="I252" s="99"/>
      <c r="J252" s="59"/>
      <c r="K252" s="99"/>
      <c r="L252" s="360">
        <f>F252*K252</f>
        <v>0</v>
      </c>
      <c r="M252" s="360">
        <f>H252+J252+L252</f>
        <v>0</v>
      </c>
    </row>
    <row r="253" spans="1:13" s="81" customFormat="1" x14ac:dyDescent="0.2">
      <c r="A253" s="371"/>
      <c r="B253" s="356"/>
      <c r="C253" s="248"/>
      <c r="D253" s="371"/>
      <c r="E253" s="35"/>
      <c r="F253" s="55"/>
      <c r="G253" s="57"/>
      <c r="H253" s="59"/>
      <c r="I253" s="57"/>
      <c r="J253" s="59"/>
      <c r="K253" s="57"/>
      <c r="L253" s="360"/>
      <c r="M253" s="360"/>
    </row>
    <row r="254" spans="1:13" ht="31.5" x14ac:dyDescent="0.25">
      <c r="A254" s="15"/>
      <c r="B254" s="17"/>
      <c r="C254" s="16" t="s">
        <v>241</v>
      </c>
      <c r="D254" s="17"/>
      <c r="E254" s="36"/>
      <c r="F254" s="177"/>
      <c r="G254" s="14"/>
      <c r="H254" s="14">
        <f>SUM(H11:H253)</f>
        <v>0</v>
      </c>
      <c r="I254" s="14"/>
      <c r="J254" s="14">
        <f>SUM(J11:J253)</f>
        <v>0</v>
      </c>
      <c r="K254" s="14"/>
      <c r="L254" s="14">
        <f>SUM(L11:L253)</f>
        <v>0</v>
      </c>
      <c r="M254" s="14">
        <f>SUM(M11:M253)</f>
        <v>0</v>
      </c>
    </row>
    <row r="255" spans="1:13" ht="36.75" customHeight="1" x14ac:dyDescent="0.25">
      <c r="A255" s="362"/>
      <c r="B255" s="117"/>
      <c r="C255" s="166" t="s">
        <v>245</v>
      </c>
      <c r="D255" s="117"/>
      <c r="E255" s="118"/>
      <c r="F255" s="420"/>
      <c r="G255" s="178"/>
      <c r="H255" s="178"/>
      <c r="I255" s="178"/>
      <c r="J255" s="178"/>
      <c r="K255" s="178"/>
      <c r="L255" s="178"/>
      <c r="M255" s="174">
        <f>H254*F255</f>
        <v>0</v>
      </c>
    </row>
    <row r="256" spans="1:13" x14ac:dyDescent="0.25">
      <c r="A256" s="362"/>
      <c r="B256" s="117"/>
      <c r="C256" s="167" t="s">
        <v>61</v>
      </c>
      <c r="D256" s="117"/>
      <c r="E256" s="118"/>
      <c r="F256" s="179"/>
      <c r="G256" s="178"/>
      <c r="H256" s="178"/>
      <c r="I256" s="178"/>
      <c r="J256" s="178"/>
      <c r="K256" s="178"/>
      <c r="L256" s="178"/>
      <c r="M256" s="174">
        <f>M254+M255</f>
        <v>0</v>
      </c>
    </row>
    <row r="257" spans="1:13" x14ac:dyDescent="0.25">
      <c r="A257" s="187"/>
      <c r="B257" s="90"/>
      <c r="C257" s="168" t="s">
        <v>64</v>
      </c>
      <c r="D257" s="5"/>
      <c r="E257" s="86"/>
      <c r="F257" s="421"/>
      <c r="G257" s="180"/>
      <c r="H257" s="180"/>
      <c r="I257" s="180"/>
      <c r="J257" s="180"/>
      <c r="K257" s="180"/>
      <c r="L257" s="180"/>
      <c r="M257" s="180">
        <f>M256*F257</f>
        <v>0</v>
      </c>
    </row>
    <row r="258" spans="1:13" x14ac:dyDescent="0.25">
      <c r="A258" s="188"/>
      <c r="B258" s="91"/>
      <c r="C258" s="167" t="s">
        <v>61</v>
      </c>
      <c r="D258" s="6"/>
      <c r="E258" s="47"/>
      <c r="F258" s="181"/>
      <c r="G258" s="182"/>
      <c r="H258" s="182"/>
      <c r="I258" s="182"/>
      <c r="J258" s="182"/>
      <c r="K258" s="182"/>
      <c r="L258" s="182"/>
      <c r="M258" s="182">
        <f>M256+M257</f>
        <v>0</v>
      </c>
    </row>
    <row r="259" spans="1:13" x14ac:dyDescent="0.25">
      <c r="A259" s="188"/>
      <c r="B259" s="91"/>
      <c r="C259" s="169" t="s">
        <v>52</v>
      </c>
      <c r="D259" s="6"/>
      <c r="E259" s="47"/>
      <c r="F259" s="422"/>
      <c r="G259" s="182"/>
      <c r="H259" s="182"/>
      <c r="I259" s="182"/>
      <c r="J259" s="182"/>
      <c r="K259" s="182"/>
      <c r="L259" s="182"/>
      <c r="M259" s="182">
        <f>M258*F259</f>
        <v>0</v>
      </c>
    </row>
    <row r="260" spans="1:13" ht="31.5" x14ac:dyDescent="0.25">
      <c r="A260" s="189"/>
      <c r="B260" s="92"/>
      <c r="C260" s="16" t="s">
        <v>247</v>
      </c>
      <c r="D260" s="50"/>
      <c r="E260" s="51"/>
      <c r="F260" s="183"/>
      <c r="G260" s="184"/>
      <c r="H260" s="184"/>
      <c r="I260" s="184"/>
      <c r="J260" s="184"/>
      <c r="K260" s="184"/>
      <c r="L260" s="184"/>
      <c r="M260" s="185">
        <f>M258+M259</f>
        <v>0</v>
      </c>
    </row>
    <row r="262" spans="1:13" x14ac:dyDescent="0.25">
      <c r="C262" s="48"/>
      <c r="D262" s="87"/>
      <c r="E262" s="40"/>
    </row>
    <row r="263" spans="1:13" x14ac:dyDescent="0.25">
      <c r="C263" s="170"/>
      <c r="D263" s="26"/>
      <c r="E263" s="53"/>
    </row>
    <row r="264" spans="1:13" x14ac:dyDescent="0.25">
      <c r="C264" s="407"/>
      <c r="D264" s="119"/>
      <c r="E264" s="412"/>
    </row>
    <row r="276" spans="1:13" s="81" customFormat="1" x14ac:dyDescent="0.2">
      <c r="A276" s="7"/>
      <c r="B276" s="129"/>
      <c r="C276" s="18"/>
      <c r="D276" s="7"/>
      <c r="E276" s="32"/>
      <c r="F276" s="4"/>
      <c r="G276" s="19"/>
      <c r="H276" s="19"/>
      <c r="I276" s="19"/>
      <c r="J276" s="19"/>
      <c r="K276" s="19"/>
      <c r="L276" s="19"/>
      <c r="M276" s="19"/>
    </row>
  </sheetData>
  <mergeCells count="55">
    <mergeCell ref="A13:A15"/>
    <mergeCell ref="A1:M1"/>
    <mergeCell ref="A3:M3"/>
    <mergeCell ref="A5:M5"/>
    <mergeCell ref="A7:A8"/>
    <mergeCell ref="B7:B8"/>
    <mergeCell ref="C7:C8"/>
    <mergeCell ref="D7:D8"/>
    <mergeCell ref="G7:H7"/>
    <mergeCell ref="I7:J7"/>
    <mergeCell ref="K7:L7"/>
    <mergeCell ref="M7:M8"/>
    <mergeCell ref="E7:F7"/>
    <mergeCell ref="A10:F10"/>
    <mergeCell ref="A16:A18"/>
    <mergeCell ref="A19:A21"/>
    <mergeCell ref="A22:A24"/>
    <mergeCell ref="A25:A28"/>
    <mergeCell ref="A248:A252"/>
    <mergeCell ref="A103:A109"/>
    <mergeCell ref="A188:A192"/>
    <mergeCell ref="A37:A39"/>
    <mergeCell ref="A40:A41"/>
    <mergeCell ref="A46:A50"/>
    <mergeCell ref="A35:A36"/>
    <mergeCell ref="A32:A34"/>
    <mergeCell ref="A44:A45"/>
    <mergeCell ref="A110:A116"/>
    <mergeCell ref="A122:A128"/>
    <mergeCell ref="A135:A141"/>
    <mergeCell ref="A57:A64"/>
    <mergeCell ref="A65:A68"/>
    <mergeCell ref="A117:A121"/>
    <mergeCell ref="A129:A134"/>
    <mergeCell ref="A74:A79"/>
    <mergeCell ref="A98:A102"/>
    <mergeCell ref="A91:A97"/>
    <mergeCell ref="A80:A86"/>
    <mergeCell ref="A87:A90"/>
    <mergeCell ref="A29:A31"/>
    <mergeCell ref="A235:A239"/>
    <mergeCell ref="A240:A245"/>
    <mergeCell ref="A69:A73"/>
    <mergeCell ref="A218:A220"/>
    <mergeCell ref="A221:A222"/>
    <mergeCell ref="A223:A227"/>
    <mergeCell ref="A230:A234"/>
    <mergeCell ref="A228:A229"/>
    <mergeCell ref="A193:A197"/>
    <mergeCell ref="A198:A203"/>
    <mergeCell ref="A204:A208"/>
    <mergeCell ref="A209:A215"/>
    <mergeCell ref="A149:A153"/>
    <mergeCell ref="A142:A148"/>
    <mergeCell ref="A52:A56"/>
  </mergeCells>
  <pageMargins left="0.35433070866141736" right="0.08" top="0.65" bottom="0.47" header="0.35" footer="0.26"/>
  <pageSetup paperSize="9" orientation="landscape" r:id="rId1"/>
  <headerFooter>
    <oddHeader>&amp;R&amp;P--&amp;N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M101"/>
  <sheetViews>
    <sheetView topLeftCell="A78" zoomScale="110" zoomScaleNormal="110" workbookViewId="0">
      <selection activeCell="C101" sqref="C101"/>
    </sheetView>
  </sheetViews>
  <sheetFormatPr defaultColWidth="8.85546875" defaultRowHeight="15.75" x14ac:dyDescent="0.25"/>
  <cols>
    <col min="1" max="1" width="5.85546875" style="7" customWidth="1"/>
    <col min="2" max="2" width="9.85546875" style="7" customWidth="1"/>
    <col min="3" max="3" width="31.140625" style="18" customWidth="1"/>
    <col min="4" max="4" width="8" style="7" customWidth="1"/>
    <col min="5" max="5" width="8.42578125" style="32" customWidth="1"/>
    <col min="6" max="6" width="9.85546875" style="206" bestFit="1" customWidth="1"/>
    <col min="7" max="7" width="9" style="19" customWidth="1"/>
    <col min="8" max="8" width="9.85546875" style="19" customWidth="1"/>
    <col min="9" max="9" width="7" style="19" customWidth="1"/>
    <col min="10" max="10" width="10.140625" style="19" customWidth="1"/>
    <col min="11" max="11" width="7.28515625" style="19" customWidth="1"/>
    <col min="12" max="12" width="11" style="19" customWidth="1"/>
    <col min="13" max="13" width="11.5703125" style="19" customWidth="1"/>
    <col min="14" max="16384" width="8.85546875" style="2"/>
  </cols>
  <sheetData>
    <row r="1" spans="1:13" ht="38.25" customHeight="1" x14ac:dyDescent="0.25">
      <c r="A1" s="451" t="str">
        <f>krebsiti!A3</f>
        <v>borjomis municipalitetis sofel WobisxevSi sabavSvo baRis Senobis samzareulosa da tualetis reabilitacia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</row>
    <row r="2" spans="1:13" ht="5.25" customHeight="1" x14ac:dyDescent="0.25">
      <c r="A2" s="18"/>
      <c r="B2" s="18"/>
      <c r="C2" s="143"/>
      <c r="D2" s="143"/>
      <c r="E2" s="120"/>
      <c r="F2" s="198"/>
      <c r="G2" s="171"/>
      <c r="H2" s="171"/>
      <c r="I2" s="171"/>
      <c r="J2" s="171"/>
      <c r="K2" s="171"/>
      <c r="L2" s="171"/>
      <c r="M2" s="171"/>
    </row>
    <row r="3" spans="1:13" x14ac:dyDescent="0.25">
      <c r="A3" s="451" t="s">
        <v>70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</row>
    <row r="4" spans="1:13" ht="9" customHeight="1" x14ac:dyDescent="0.25">
      <c r="A4" s="18"/>
      <c r="B4" s="18"/>
      <c r="C4" s="143"/>
      <c r="D4" s="143"/>
      <c r="E4" s="120"/>
      <c r="F4" s="198"/>
      <c r="G4" s="171"/>
      <c r="H4" s="171"/>
      <c r="I4" s="171"/>
      <c r="J4" s="171"/>
      <c r="K4" s="171"/>
      <c r="L4" s="171"/>
      <c r="M4" s="171"/>
    </row>
    <row r="5" spans="1:13" x14ac:dyDescent="0.25">
      <c r="A5" s="451" t="s">
        <v>230</v>
      </c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</row>
    <row r="6" spans="1:13" ht="8.25" customHeight="1" x14ac:dyDescent="0.25">
      <c r="A6" s="3"/>
      <c r="B6" s="3"/>
      <c r="C6" s="10"/>
      <c r="D6" s="3"/>
      <c r="E6" s="33"/>
      <c r="F6" s="199"/>
      <c r="G6" s="13"/>
      <c r="H6" s="13"/>
      <c r="I6" s="13"/>
      <c r="J6" s="13"/>
      <c r="K6" s="13"/>
      <c r="L6" s="13"/>
      <c r="M6" s="13"/>
    </row>
    <row r="7" spans="1:13" ht="36" customHeight="1" x14ac:dyDescent="0.25">
      <c r="A7" s="471" t="s">
        <v>0</v>
      </c>
      <c r="B7" s="471" t="s">
        <v>1</v>
      </c>
      <c r="C7" s="496" t="s">
        <v>2</v>
      </c>
      <c r="D7" s="471" t="s">
        <v>3</v>
      </c>
      <c r="E7" s="500" t="s">
        <v>171</v>
      </c>
      <c r="F7" s="500"/>
      <c r="G7" s="490" t="s">
        <v>6</v>
      </c>
      <c r="H7" s="491"/>
      <c r="I7" s="490" t="s">
        <v>7</v>
      </c>
      <c r="J7" s="491"/>
      <c r="K7" s="490" t="s">
        <v>27</v>
      </c>
      <c r="L7" s="491"/>
      <c r="M7" s="498" t="s">
        <v>8</v>
      </c>
    </row>
    <row r="8" spans="1:13" ht="31.5" x14ac:dyDescent="0.25">
      <c r="A8" s="473"/>
      <c r="B8" s="473"/>
      <c r="C8" s="497"/>
      <c r="D8" s="473"/>
      <c r="E8" s="126" t="s">
        <v>172</v>
      </c>
      <c r="F8" s="127" t="s">
        <v>19</v>
      </c>
      <c r="G8" s="122" t="s">
        <v>9</v>
      </c>
      <c r="H8" s="122" t="s">
        <v>10</v>
      </c>
      <c r="I8" s="122" t="s">
        <v>9</v>
      </c>
      <c r="J8" s="122" t="s">
        <v>10</v>
      </c>
      <c r="K8" s="122" t="s">
        <v>9</v>
      </c>
      <c r="L8" s="122" t="s">
        <v>10</v>
      </c>
      <c r="M8" s="499"/>
    </row>
    <row r="9" spans="1:13" x14ac:dyDescent="0.25">
      <c r="A9" s="123">
        <v>1</v>
      </c>
      <c r="B9" s="123">
        <v>2</v>
      </c>
      <c r="C9" s="190">
        <v>3</v>
      </c>
      <c r="D9" s="123">
        <v>4</v>
      </c>
      <c r="E9" s="130">
        <v>5</v>
      </c>
      <c r="F9" s="200">
        <v>6</v>
      </c>
      <c r="G9" s="130">
        <v>7</v>
      </c>
      <c r="H9" s="200">
        <v>8</v>
      </c>
      <c r="I9" s="130">
        <v>9</v>
      </c>
      <c r="J9" s="200">
        <v>10</v>
      </c>
      <c r="K9" s="130">
        <v>11</v>
      </c>
      <c r="L9" s="200">
        <v>12</v>
      </c>
      <c r="M9" s="130">
        <v>13</v>
      </c>
    </row>
    <row r="10" spans="1:13" ht="31.5" x14ac:dyDescent="0.25">
      <c r="A10" s="257" t="s">
        <v>269</v>
      </c>
      <c r="B10" s="257"/>
      <c r="C10" s="141" t="s">
        <v>170</v>
      </c>
      <c r="D10" s="257"/>
      <c r="E10" s="257"/>
      <c r="F10" s="257"/>
      <c r="G10" s="258"/>
      <c r="H10" s="258"/>
      <c r="I10" s="258"/>
      <c r="J10" s="258"/>
      <c r="K10" s="258"/>
      <c r="L10" s="258"/>
      <c r="M10" s="258"/>
    </row>
    <row r="11" spans="1:13" ht="31.5" hidden="1" x14ac:dyDescent="0.25">
      <c r="A11" s="259">
        <v>1</v>
      </c>
      <c r="B11" s="225" t="s">
        <v>176</v>
      </c>
      <c r="C11" s="163" t="s">
        <v>208</v>
      </c>
      <c r="D11" s="104" t="s">
        <v>22</v>
      </c>
      <c r="E11" s="260"/>
      <c r="F11" s="260">
        <f>F14</f>
        <v>0</v>
      </c>
      <c r="G11" s="216"/>
      <c r="H11" s="261"/>
      <c r="I11" s="216"/>
      <c r="J11" s="261"/>
      <c r="K11" s="216"/>
      <c r="L11" s="261"/>
      <c r="M11" s="261"/>
    </row>
    <row r="12" spans="1:13" hidden="1" x14ac:dyDescent="0.25">
      <c r="A12" s="262"/>
      <c r="B12" s="225"/>
      <c r="C12" s="164" t="s">
        <v>34</v>
      </c>
      <c r="D12" s="225" t="s">
        <v>144</v>
      </c>
      <c r="E12" s="105">
        <v>7.05</v>
      </c>
      <c r="F12" s="105">
        <f>F11*E12</f>
        <v>0</v>
      </c>
      <c r="G12" s="216"/>
      <c r="H12" s="261"/>
      <c r="I12" s="216">
        <v>6</v>
      </c>
      <c r="J12" s="261">
        <f>F12*I12</f>
        <v>0</v>
      </c>
      <c r="K12" s="216"/>
      <c r="L12" s="261"/>
      <c r="M12" s="261">
        <f t="shared" ref="M12:M65" si="0">H12+J12+L12</f>
        <v>0</v>
      </c>
    </row>
    <row r="13" spans="1:13" ht="31.5" hidden="1" x14ac:dyDescent="0.25">
      <c r="A13" s="262"/>
      <c r="B13" s="225"/>
      <c r="C13" s="164" t="s">
        <v>145</v>
      </c>
      <c r="D13" s="225" t="s">
        <v>148</v>
      </c>
      <c r="E13" s="105">
        <v>0</v>
      </c>
      <c r="F13" s="105">
        <f>F11*E13</f>
        <v>0</v>
      </c>
      <c r="G13" s="216"/>
      <c r="H13" s="261"/>
      <c r="I13" s="216"/>
      <c r="J13" s="261"/>
      <c r="K13" s="216">
        <v>3.2</v>
      </c>
      <c r="L13" s="261">
        <f>F13*K13</f>
        <v>0</v>
      </c>
      <c r="M13" s="261">
        <f t="shared" si="0"/>
        <v>0</v>
      </c>
    </row>
    <row r="14" spans="1:13" ht="93.75" hidden="1" x14ac:dyDescent="0.25">
      <c r="A14" s="262"/>
      <c r="B14" s="104"/>
      <c r="C14" s="163" t="s">
        <v>293</v>
      </c>
      <c r="D14" s="104" t="s">
        <v>13</v>
      </c>
      <c r="E14" s="260"/>
      <c r="F14" s="263"/>
      <c r="G14" s="216">
        <v>152.5</v>
      </c>
      <c r="H14" s="261">
        <f>F14*G14</f>
        <v>0</v>
      </c>
      <c r="I14" s="216"/>
      <c r="J14" s="261"/>
      <c r="K14" s="216"/>
      <c r="L14" s="261"/>
      <c r="M14" s="261">
        <f t="shared" si="0"/>
        <v>0</v>
      </c>
    </row>
    <row r="15" spans="1:13" ht="63" hidden="1" x14ac:dyDescent="0.25">
      <c r="A15" s="262"/>
      <c r="B15" s="104"/>
      <c r="C15" s="164" t="s">
        <v>294</v>
      </c>
      <c r="D15" s="104" t="s">
        <v>13</v>
      </c>
      <c r="E15" s="260"/>
      <c r="F15" s="56"/>
      <c r="G15" s="216">
        <v>250</v>
      </c>
      <c r="H15" s="261">
        <f>F15*G15</f>
        <v>0</v>
      </c>
      <c r="I15" s="216"/>
      <c r="J15" s="261"/>
      <c r="K15" s="216"/>
      <c r="L15" s="261"/>
      <c r="M15" s="261">
        <f>H15+J15+L15</f>
        <v>0</v>
      </c>
    </row>
    <row r="16" spans="1:13" ht="47.25" hidden="1" x14ac:dyDescent="0.25">
      <c r="A16" s="262"/>
      <c r="B16" s="225"/>
      <c r="C16" s="164" t="s">
        <v>295</v>
      </c>
      <c r="D16" s="104" t="s">
        <v>13</v>
      </c>
      <c r="E16" s="260"/>
      <c r="F16" s="260"/>
      <c r="G16" s="216">
        <v>212</v>
      </c>
      <c r="H16" s="261">
        <f>F16*G16</f>
        <v>0</v>
      </c>
      <c r="I16" s="216"/>
      <c r="J16" s="261"/>
      <c r="K16" s="216"/>
      <c r="L16" s="261"/>
      <c r="M16" s="261">
        <f t="shared" si="0"/>
        <v>0</v>
      </c>
    </row>
    <row r="17" spans="1:13" ht="47.25" hidden="1" x14ac:dyDescent="0.25">
      <c r="A17" s="262"/>
      <c r="B17" s="225"/>
      <c r="C17" s="164" t="s">
        <v>270</v>
      </c>
      <c r="D17" s="104" t="s">
        <v>13</v>
      </c>
      <c r="E17" s="260"/>
      <c r="F17" s="260"/>
      <c r="G17" s="216">
        <v>7</v>
      </c>
      <c r="H17" s="261">
        <f>F17*G17</f>
        <v>0</v>
      </c>
      <c r="I17" s="216"/>
      <c r="J17" s="261"/>
      <c r="K17" s="216"/>
      <c r="L17" s="261"/>
      <c r="M17" s="261">
        <f t="shared" si="0"/>
        <v>0</v>
      </c>
    </row>
    <row r="18" spans="1:13" ht="47.25" hidden="1" x14ac:dyDescent="0.25">
      <c r="A18" s="262"/>
      <c r="B18" s="225"/>
      <c r="C18" s="164" t="s">
        <v>271</v>
      </c>
      <c r="D18" s="104" t="s">
        <v>13</v>
      </c>
      <c r="E18" s="260"/>
      <c r="F18" s="260"/>
      <c r="G18" s="216">
        <v>7</v>
      </c>
      <c r="H18" s="261">
        <f>F18*G18</f>
        <v>0</v>
      </c>
      <c r="I18" s="216"/>
      <c r="J18" s="261"/>
      <c r="K18" s="216"/>
      <c r="L18" s="261"/>
      <c r="M18" s="261">
        <f t="shared" si="0"/>
        <v>0</v>
      </c>
    </row>
    <row r="19" spans="1:13" hidden="1" x14ac:dyDescent="0.25">
      <c r="A19" s="264"/>
      <c r="B19" s="225"/>
      <c r="C19" s="164"/>
      <c r="D19" s="104"/>
      <c r="E19" s="105"/>
      <c r="F19" s="260"/>
      <c r="G19" s="216"/>
      <c r="H19" s="261"/>
      <c r="I19" s="216"/>
      <c r="J19" s="261"/>
      <c r="K19" s="216"/>
      <c r="L19" s="261"/>
      <c r="M19" s="261"/>
    </row>
    <row r="20" spans="1:13" ht="33" hidden="1" x14ac:dyDescent="0.25">
      <c r="A20" s="265">
        <v>2</v>
      </c>
      <c r="B20" s="138"/>
      <c r="C20" s="266" t="s">
        <v>160</v>
      </c>
      <c r="D20" s="138"/>
      <c r="E20" s="137"/>
      <c r="F20" s="137"/>
      <c r="G20" s="267"/>
      <c r="H20" s="261"/>
      <c r="I20" s="216"/>
      <c r="J20" s="261"/>
      <c r="K20" s="216"/>
      <c r="L20" s="261"/>
      <c r="M20" s="261"/>
    </row>
    <row r="21" spans="1:13" ht="40.5" hidden="1" x14ac:dyDescent="0.25">
      <c r="A21" s="505" t="s">
        <v>213</v>
      </c>
      <c r="B21" s="61" t="s">
        <v>219</v>
      </c>
      <c r="C21" s="62" t="s">
        <v>232</v>
      </c>
      <c r="D21" s="63" t="s">
        <v>13</v>
      </c>
      <c r="E21" s="195"/>
      <c r="F21" s="64">
        <f>F24</f>
        <v>0</v>
      </c>
      <c r="G21" s="65"/>
      <c r="H21" s="66"/>
      <c r="I21" s="66"/>
      <c r="J21" s="66"/>
      <c r="K21" s="66"/>
      <c r="L21" s="66"/>
      <c r="M21" s="66"/>
    </row>
    <row r="22" spans="1:13" hidden="1" x14ac:dyDescent="0.25">
      <c r="A22" s="506"/>
      <c r="B22" s="235"/>
      <c r="C22" s="67" t="s">
        <v>23</v>
      </c>
      <c r="D22" s="63" t="s">
        <v>25</v>
      </c>
      <c r="E22" s="196">
        <v>0.9</v>
      </c>
      <c r="F22" s="69">
        <f>E22*F21</f>
        <v>0</v>
      </c>
      <c r="G22" s="65"/>
      <c r="H22" s="66"/>
      <c r="I22" s="66">
        <v>6</v>
      </c>
      <c r="J22" s="66">
        <f>F22*I22</f>
        <v>0</v>
      </c>
      <c r="K22" s="66"/>
      <c r="L22" s="66"/>
      <c r="M22" s="66">
        <f>J22</f>
        <v>0</v>
      </c>
    </row>
    <row r="23" spans="1:13" hidden="1" x14ac:dyDescent="0.25">
      <c r="A23" s="506"/>
      <c r="B23" s="235"/>
      <c r="C23" s="70" t="s">
        <v>24</v>
      </c>
      <c r="D23" s="63" t="s">
        <v>21</v>
      </c>
      <c r="E23" s="196">
        <v>7.0000000000000007E-2</v>
      </c>
      <c r="F23" s="68">
        <f>E23*F21</f>
        <v>0</v>
      </c>
      <c r="G23" s="65"/>
      <c r="H23" s="66"/>
      <c r="I23" s="66"/>
      <c r="J23" s="66"/>
      <c r="K23" s="66">
        <v>3.2</v>
      </c>
      <c r="L23" s="66">
        <f>F23*K23</f>
        <v>0</v>
      </c>
      <c r="M23" s="66">
        <f>L23</f>
        <v>0</v>
      </c>
    </row>
    <row r="24" spans="1:13" ht="46.5" hidden="1" x14ac:dyDescent="0.25">
      <c r="A24" s="506"/>
      <c r="B24" s="71"/>
      <c r="C24" s="73" t="s">
        <v>248</v>
      </c>
      <c r="D24" s="72" t="s">
        <v>13</v>
      </c>
      <c r="E24" s="34" t="s">
        <v>215</v>
      </c>
      <c r="F24" s="69">
        <v>0</v>
      </c>
      <c r="G24" s="65">
        <v>50</v>
      </c>
      <c r="H24" s="66">
        <f>F24*G24</f>
        <v>0</v>
      </c>
      <c r="I24" s="66"/>
      <c r="J24" s="66"/>
      <c r="K24" s="66"/>
      <c r="L24" s="66"/>
      <c r="M24" s="66">
        <f>H24</f>
        <v>0</v>
      </c>
    </row>
    <row r="25" spans="1:13" hidden="1" x14ac:dyDescent="0.25">
      <c r="A25" s="507"/>
      <c r="B25" s="235"/>
      <c r="C25" s="67" t="s">
        <v>33</v>
      </c>
      <c r="D25" s="63" t="s">
        <v>21</v>
      </c>
      <c r="E25" s="196">
        <v>1.4</v>
      </c>
      <c r="F25" s="69">
        <f>E25*F21</f>
        <v>0</v>
      </c>
      <c r="G25" s="65">
        <v>3.2</v>
      </c>
      <c r="H25" s="66">
        <f>F25*G25</f>
        <v>0</v>
      </c>
      <c r="I25" s="65"/>
      <c r="J25" s="66"/>
      <c r="K25" s="65"/>
      <c r="L25" s="66"/>
      <c r="M25" s="66">
        <f>H25</f>
        <v>0</v>
      </c>
    </row>
    <row r="26" spans="1:13" ht="63" hidden="1" x14ac:dyDescent="0.25">
      <c r="A26" s="505" t="s">
        <v>214</v>
      </c>
      <c r="B26" s="61" t="s">
        <v>222</v>
      </c>
      <c r="C26" s="62" t="s">
        <v>233</v>
      </c>
      <c r="D26" s="72" t="s">
        <v>11</v>
      </c>
      <c r="E26" s="195"/>
      <c r="F26" s="64">
        <f>F29</f>
        <v>0</v>
      </c>
      <c r="G26" s="65"/>
      <c r="H26" s="66"/>
      <c r="I26" s="66"/>
      <c r="J26" s="66"/>
      <c r="K26" s="66"/>
      <c r="L26" s="66"/>
      <c r="M26" s="66"/>
    </row>
    <row r="27" spans="1:13" hidden="1" x14ac:dyDescent="0.25">
      <c r="A27" s="506"/>
      <c r="B27" s="235"/>
      <c r="C27" s="67" t="s">
        <v>23</v>
      </c>
      <c r="D27" s="63" t="s">
        <v>25</v>
      </c>
      <c r="E27" s="196">
        <v>0.12</v>
      </c>
      <c r="F27" s="69">
        <f>E27*F26</f>
        <v>0</v>
      </c>
      <c r="G27" s="65"/>
      <c r="H27" s="66"/>
      <c r="I27" s="66">
        <v>4.5999999999999996</v>
      </c>
      <c r="J27" s="66">
        <f>F27*I27</f>
        <v>0</v>
      </c>
      <c r="K27" s="66"/>
      <c r="L27" s="66"/>
      <c r="M27" s="66">
        <f>J27</f>
        <v>0</v>
      </c>
    </row>
    <row r="28" spans="1:13" hidden="1" x14ac:dyDescent="0.25">
      <c r="A28" s="506"/>
      <c r="B28" s="235"/>
      <c r="C28" s="70" t="s">
        <v>24</v>
      </c>
      <c r="D28" s="63" t="s">
        <v>21</v>
      </c>
      <c r="E28" s="196">
        <v>8.9999999999999993E-3</v>
      </c>
      <c r="F28" s="68">
        <f>E28*F26</f>
        <v>0</v>
      </c>
      <c r="G28" s="65"/>
      <c r="H28" s="66"/>
      <c r="I28" s="66"/>
      <c r="J28" s="66"/>
      <c r="K28" s="66">
        <v>3.2</v>
      </c>
      <c r="L28" s="66">
        <f>F28*K28</f>
        <v>0</v>
      </c>
      <c r="M28" s="66">
        <f>L28</f>
        <v>0</v>
      </c>
    </row>
    <row r="29" spans="1:13" ht="46.5" hidden="1" x14ac:dyDescent="0.25">
      <c r="A29" s="506"/>
      <c r="B29" s="71"/>
      <c r="C29" s="73" t="s">
        <v>234</v>
      </c>
      <c r="D29" s="72" t="s">
        <v>11</v>
      </c>
      <c r="E29" s="34" t="s">
        <v>215</v>
      </c>
      <c r="F29" s="69">
        <v>0</v>
      </c>
      <c r="G29" s="65">
        <v>4.66</v>
      </c>
      <c r="H29" s="66">
        <f>F29*G29</f>
        <v>0</v>
      </c>
      <c r="I29" s="66"/>
      <c r="J29" s="66"/>
      <c r="K29" s="66"/>
      <c r="L29" s="66"/>
      <c r="M29" s="66">
        <f>H29</f>
        <v>0</v>
      </c>
    </row>
    <row r="30" spans="1:13" hidden="1" x14ac:dyDescent="0.25">
      <c r="A30" s="506"/>
      <c r="B30" s="71"/>
      <c r="C30" s="70" t="s">
        <v>272</v>
      </c>
      <c r="D30" s="72"/>
      <c r="E30" s="34"/>
      <c r="F30" s="69">
        <v>0</v>
      </c>
      <c r="G30" s="65"/>
      <c r="H30" s="66">
        <f>F30*G30</f>
        <v>0</v>
      </c>
      <c r="I30" s="66"/>
      <c r="J30" s="66"/>
      <c r="K30" s="66"/>
      <c r="L30" s="66"/>
      <c r="M30" s="66">
        <f>H30</f>
        <v>0</v>
      </c>
    </row>
    <row r="31" spans="1:13" hidden="1" x14ac:dyDescent="0.25">
      <c r="A31" s="507"/>
      <c r="B31" s="235"/>
      <c r="C31" s="67" t="s">
        <v>33</v>
      </c>
      <c r="D31" s="63" t="s">
        <v>21</v>
      </c>
      <c r="E31" s="196">
        <v>0.193</v>
      </c>
      <c r="F31" s="69">
        <f>E31*F26</f>
        <v>0</v>
      </c>
      <c r="G31" s="65">
        <v>3.2</v>
      </c>
      <c r="H31" s="66">
        <f>F31*G31</f>
        <v>0</v>
      </c>
      <c r="I31" s="65"/>
      <c r="J31" s="66"/>
      <c r="K31" s="65"/>
      <c r="L31" s="66"/>
      <c r="M31" s="66">
        <f>H31</f>
        <v>0</v>
      </c>
    </row>
    <row r="32" spans="1:13" hidden="1" x14ac:dyDescent="0.25">
      <c r="A32" s="268"/>
      <c r="B32" s="225"/>
      <c r="C32" s="104"/>
      <c r="D32" s="269"/>
      <c r="E32" s="270"/>
      <c r="F32" s="260"/>
      <c r="G32" s="216"/>
      <c r="H32" s="261"/>
      <c r="I32" s="216"/>
      <c r="J32" s="261"/>
      <c r="K32" s="216"/>
      <c r="L32" s="261"/>
      <c r="M32" s="261"/>
    </row>
    <row r="33" spans="1:13" ht="31.5" x14ac:dyDescent="0.25">
      <c r="A33" s="265">
        <v>3</v>
      </c>
      <c r="B33" s="271"/>
      <c r="C33" s="108" t="s">
        <v>221</v>
      </c>
      <c r="D33" s="138"/>
      <c r="E33" s="272"/>
      <c r="F33" s="272"/>
      <c r="G33" s="273"/>
      <c r="H33" s="261"/>
      <c r="I33" s="274"/>
      <c r="J33" s="261"/>
      <c r="K33" s="275"/>
      <c r="L33" s="261"/>
      <c r="M33" s="261"/>
    </row>
    <row r="34" spans="1:13" ht="31.5" x14ac:dyDescent="0.25">
      <c r="A34" s="268">
        <v>3.1</v>
      </c>
      <c r="B34" s="225" t="s">
        <v>151</v>
      </c>
      <c r="C34" s="276" t="s">
        <v>201</v>
      </c>
      <c r="D34" s="225" t="s">
        <v>152</v>
      </c>
      <c r="E34" s="105"/>
      <c r="F34" s="260">
        <f>F36+F37+F38+F39+F40</f>
        <v>120</v>
      </c>
      <c r="G34" s="273"/>
      <c r="H34" s="261"/>
      <c r="I34" s="273"/>
      <c r="J34" s="261"/>
      <c r="K34" s="273"/>
      <c r="L34" s="261"/>
      <c r="M34" s="261"/>
    </row>
    <row r="35" spans="1:13" ht="19.5" customHeight="1" x14ac:dyDescent="0.25">
      <c r="A35" s="268"/>
      <c r="B35" s="225"/>
      <c r="C35" s="164" t="s">
        <v>34</v>
      </c>
      <c r="D35" s="225" t="s">
        <v>144</v>
      </c>
      <c r="E35" s="105">
        <v>0.13900000000000001</v>
      </c>
      <c r="F35" s="105">
        <f>F34*E35</f>
        <v>16.68</v>
      </c>
      <c r="G35" s="216"/>
      <c r="H35" s="261"/>
      <c r="I35" s="216"/>
      <c r="J35" s="261">
        <f>F35*I35</f>
        <v>0</v>
      </c>
      <c r="K35" s="216"/>
      <c r="L35" s="261"/>
      <c r="M35" s="261">
        <f t="shared" si="0"/>
        <v>0</v>
      </c>
    </row>
    <row r="36" spans="1:13" ht="78.75" hidden="1" x14ac:dyDescent="0.25">
      <c r="A36" s="268"/>
      <c r="B36" s="225" t="s">
        <v>273</v>
      </c>
      <c r="C36" s="164" t="s">
        <v>274</v>
      </c>
      <c r="D36" s="225" t="s">
        <v>101</v>
      </c>
      <c r="E36" s="105"/>
      <c r="F36" s="105">
        <v>0</v>
      </c>
      <c r="G36" s="216"/>
      <c r="H36" s="261">
        <f t="shared" ref="H36:H79" si="1">F36*G36</f>
        <v>0</v>
      </c>
      <c r="I36" s="216"/>
      <c r="J36" s="261"/>
      <c r="K36" s="216"/>
      <c r="L36" s="261"/>
      <c r="M36" s="261">
        <f t="shared" si="0"/>
        <v>0</v>
      </c>
    </row>
    <row r="37" spans="1:13" ht="94.5" hidden="1" x14ac:dyDescent="0.25">
      <c r="A37" s="268"/>
      <c r="B37" s="225" t="s">
        <v>275</v>
      </c>
      <c r="C37" s="164" t="s">
        <v>276</v>
      </c>
      <c r="D37" s="225" t="s">
        <v>101</v>
      </c>
      <c r="E37" s="105"/>
      <c r="F37" s="105"/>
      <c r="G37" s="216"/>
      <c r="H37" s="261">
        <f t="shared" si="1"/>
        <v>0</v>
      </c>
      <c r="I37" s="216"/>
      <c r="J37" s="261"/>
      <c r="K37" s="216"/>
      <c r="L37" s="261"/>
      <c r="M37" s="261">
        <f t="shared" si="0"/>
        <v>0</v>
      </c>
    </row>
    <row r="38" spans="1:13" ht="78.75" hidden="1" x14ac:dyDescent="0.25">
      <c r="A38" s="268"/>
      <c r="B38" s="225" t="s">
        <v>277</v>
      </c>
      <c r="C38" s="164" t="s">
        <v>278</v>
      </c>
      <c r="D38" s="225" t="s">
        <v>101</v>
      </c>
      <c r="E38" s="105"/>
      <c r="F38" s="105">
        <v>0</v>
      </c>
      <c r="G38" s="216"/>
      <c r="H38" s="261">
        <f t="shared" si="1"/>
        <v>0</v>
      </c>
      <c r="I38" s="216"/>
      <c r="J38" s="261"/>
      <c r="K38" s="216"/>
      <c r="L38" s="261"/>
      <c r="M38" s="261">
        <f>H38+J38+L38</f>
        <v>0</v>
      </c>
    </row>
    <row r="39" spans="1:13" ht="81" x14ac:dyDescent="0.25">
      <c r="A39" s="268"/>
      <c r="B39" s="225" t="s">
        <v>279</v>
      </c>
      <c r="C39" s="164" t="s">
        <v>280</v>
      </c>
      <c r="D39" s="225" t="s">
        <v>101</v>
      </c>
      <c r="E39" s="105"/>
      <c r="F39" s="105">
        <v>120</v>
      </c>
      <c r="G39" s="216"/>
      <c r="H39" s="261">
        <f t="shared" si="1"/>
        <v>0</v>
      </c>
      <c r="I39" s="216"/>
      <c r="J39" s="261"/>
      <c r="K39" s="216"/>
      <c r="L39" s="261"/>
      <c r="M39" s="261">
        <f t="shared" si="0"/>
        <v>0</v>
      </c>
    </row>
    <row r="40" spans="1:13" ht="81" hidden="1" x14ac:dyDescent="0.25">
      <c r="A40" s="268"/>
      <c r="B40" s="225" t="s">
        <v>231</v>
      </c>
      <c r="C40" s="164" t="s">
        <v>281</v>
      </c>
      <c r="D40" s="225" t="s">
        <v>101</v>
      </c>
      <c r="E40" s="105"/>
      <c r="F40" s="105">
        <v>0</v>
      </c>
      <c r="G40" s="216"/>
      <c r="H40" s="261">
        <f t="shared" si="1"/>
        <v>0</v>
      </c>
      <c r="I40" s="216"/>
      <c r="J40" s="261"/>
      <c r="K40" s="216"/>
      <c r="L40" s="261"/>
      <c r="M40" s="261">
        <f t="shared" si="0"/>
        <v>0</v>
      </c>
    </row>
    <row r="41" spans="1:13" ht="31.5" hidden="1" x14ac:dyDescent="0.25">
      <c r="A41" s="268"/>
      <c r="B41" s="225"/>
      <c r="C41" s="164" t="s">
        <v>282</v>
      </c>
      <c r="D41" s="225" t="s">
        <v>101</v>
      </c>
      <c r="E41" s="105"/>
      <c r="F41" s="105">
        <v>0</v>
      </c>
      <c r="G41" s="216"/>
      <c r="H41" s="261">
        <f t="shared" si="1"/>
        <v>0</v>
      </c>
      <c r="I41" s="216"/>
      <c r="J41" s="261"/>
      <c r="K41" s="216"/>
      <c r="L41" s="261"/>
      <c r="M41" s="261">
        <f t="shared" si="0"/>
        <v>0</v>
      </c>
    </row>
    <row r="42" spans="1:13" ht="31.5" hidden="1" x14ac:dyDescent="0.25">
      <c r="A42" s="268"/>
      <c r="B42" s="225"/>
      <c r="C42" s="164" t="s">
        <v>283</v>
      </c>
      <c r="D42" s="225" t="s">
        <v>101</v>
      </c>
      <c r="E42" s="105"/>
      <c r="F42" s="105">
        <v>0</v>
      </c>
      <c r="G42" s="216"/>
      <c r="H42" s="261">
        <f t="shared" si="1"/>
        <v>0</v>
      </c>
      <c r="I42" s="216"/>
      <c r="J42" s="261"/>
      <c r="K42" s="216"/>
      <c r="L42" s="261"/>
      <c r="M42" s="261">
        <f t="shared" si="0"/>
        <v>0</v>
      </c>
    </row>
    <row r="43" spans="1:13" ht="31.5" hidden="1" x14ac:dyDescent="0.25">
      <c r="A43" s="268"/>
      <c r="B43" s="225"/>
      <c r="C43" s="164" t="s">
        <v>284</v>
      </c>
      <c r="D43" s="225" t="s">
        <v>101</v>
      </c>
      <c r="E43" s="105"/>
      <c r="F43" s="105">
        <v>0</v>
      </c>
      <c r="G43" s="216"/>
      <c r="H43" s="261">
        <f t="shared" si="1"/>
        <v>0</v>
      </c>
      <c r="I43" s="216"/>
      <c r="J43" s="261"/>
      <c r="K43" s="216"/>
      <c r="L43" s="261"/>
      <c r="M43" s="261">
        <f t="shared" si="0"/>
        <v>0</v>
      </c>
    </row>
    <row r="44" spans="1:13" ht="31.5" x14ac:dyDescent="0.25">
      <c r="A44" s="268"/>
      <c r="B44" s="225"/>
      <c r="C44" s="164" t="s">
        <v>285</v>
      </c>
      <c r="D44" s="225" t="s">
        <v>101</v>
      </c>
      <c r="E44" s="105"/>
      <c r="F44" s="105">
        <v>120</v>
      </c>
      <c r="G44" s="216"/>
      <c r="H44" s="261">
        <f t="shared" si="1"/>
        <v>0</v>
      </c>
      <c r="I44" s="216"/>
      <c r="J44" s="261"/>
      <c r="K44" s="216"/>
      <c r="L44" s="261"/>
      <c r="M44" s="261">
        <f t="shared" si="0"/>
        <v>0</v>
      </c>
    </row>
    <row r="45" spans="1:13" ht="47.25" hidden="1" x14ac:dyDescent="0.25">
      <c r="A45" s="268"/>
      <c r="B45" s="225"/>
      <c r="C45" s="279" t="s">
        <v>286</v>
      </c>
      <c r="D45" s="277" t="s">
        <v>22</v>
      </c>
      <c r="E45" s="105"/>
      <c r="F45" s="105">
        <v>0</v>
      </c>
      <c r="G45" s="216"/>
      <c r="H45" s="261">
        <f>F45*G45</f>
        <v>0</v>
      </c>
      <c r="I45" s="216"/>
      <c r="J45" s="261"/>
      <c r="K45" s="216"/>
      <c r="L45" s="261"/>
      <c r="M45" s="261">
        <f>H45+J45+L45</f>
        <v>0</v>
      </c>
    </row>
    <row r="46" spans="1:13" ht="45.75" hidden="1" customHeight="1" x14ac:dyDescent="0.25">
      <c r="A46" s="268"/>
      <c r="B46" s="225"/>
      <c r="C46" s="164" t="s">
        <v>209</v>
      </c>
      <c r="D46" s="277" t="s">
        <v>13</v>
      </c>
      <c r="E46" s="278"/>
      <c r="F46" s="105">
        <v>0</v>
      </c>
      <c r="G46" s="216"/>
      <c r="H46" s="261">
        <f t="shared" si="1"/>
        <v>0</v>
      </c>
      <c r="I46" s="216"/>
      <c r="J46" s="261"/>
      <c r="K46" s="216"/>
      <c r="L46" s="261"/>
      <c r="M46" s="261">
        <f t="shared" si="0"/>
        <v>0</v>
      </c>
    </row>
    <row r="47" spans="1:13" ht="47.25" hidden="1" x14ac:dyDescent="0.25">
      <c r="A47" s="268"/>
      <c r="B47" s="225"/>
      <c r="C47" s="164" t="s">
        <v>210</v>
      </c>
      <c r="D47" s="277" t="s">
        <v>13</v>
      </c>
      <c r="E47" s="278"/>
      <c r="F47" s="105">
        <v>0</v>
      </c>
      <c r="G47" s="216"/>
      <c r="H47" s="261">
        <f t="shared" si="1"/>
        <v>0</v>
      </c>
      <c r="I47" s="216"/>
      <c r="J47" s="261"/>
      <c r="K47" s="216"/>
      <c r="L47" s="261"/>
      <c r="M47" s="261">
        <f t="shared" si="0"/>
        <v>0</v>
      </c>
    </row>
    <row r="48" spans="1:13" ht="47.25" hidden="1" x14ac:dyDescent="0.25">
      <c r="A48" s="268"/>
      <c r="B48" s="225"/>
      <c r="C48" s="164" t="s">
        <v>211</v>
      </c>
      <c r="D48" s="277" t="s">
        <v>13</v>
      </c>
      <c r="E48" s="278"/>
      <c r="F48" s="105">
        <v>0</v>
      </c>
      <c r="G48" s="216"/>
      <c r="H48" s="261">
        <f t="shared" si="1"/>
        <v>0</v>
      </c>
      <c r="I48" s="216"/>
      <c r="J48" s="261"/>
      <c r="K48" s="216"/>
      <c r="L48" s="261"/>
      <c r="M48" s="261">
        <f t="shared" si="0"/>
        <v>0</v>
      </c>
    </row>
    <row r="49" spans="1:13" ht="31.5" hidden="1" x14ac:dyDescent="0.25">
      <c r="A49" s="268"/>
      <c r="B49" s="225"/>
      <c r="C49" s="164" t="s">
        <v>212</v>
      </c>
      <c r="D49" s="277" t="s">
        <v>13</v>
      </c>
      <c r="E49" s="278"/>
      <c r="F49" s="105">
        <v>0</v>
      </c>
      <c r="G49" s="216"/>
      <c r="H49" s="261">
        <f t="shared" si="1"/>
        <v>0</v>
      </c>
      <c r="I49" s="216"/>
      <c r="J49" s="261"/>
      <c r="K49" s="216"/>
      <c r="L49" s="261"/>
      <c r="M49" s="261">
        <f t="shared" si="0"/>
        <v>0</v>
      </c>
    </row>
    <row r="50" spans="1:13" ht="47.25" hidden="1" x14ac:dyDescent="0.25">
      <c r="A50" s="268"/>
      <c r="B50" s="225"/>
      <c r="C50" s="164" t="s">
        <v>220</v>
      </c>
      <c r="D50" s="277" t="s">
        <v>13</v>
      </c>
      <c r="E50" s="278"/>
      <c r="F50" s="105">
        <v>0</v>
      </c>
      <c r="G50" s="216"/>
      <c r="H50" s="261">
        <f t="shared" si="1"/>
        <v>0</v>
      </c>
      <c r="I50" s="216"/>
      <c r="J50" s="261"/>
      <c r="K50" s="216"/>
      <c r="L50" s="261"/>
      <c r="M50" s="261">
        <f t="shared" si="0"/>
        <v>0</v>
      </c>
    </row>
    <row r="51" spans="1:13" ht="47.25" hidden="1" x14ac:dyDescent="0.25">
      <c r="A51" s="268"/>
      <c r="B51" s="225"/>
      <c r="C51" s="279" t="s">
        <v>286</v>
      </c>
      <c r="D51" s="277" t="s">
        <v>22</v>
      </c>
      <c r="E51" s="105"/>
      <c r="F51" s="105">
        <v>0</v>
      </c>
      <c r="G51" s="216"/>
      <c r="H51" s="261">
        <f t="shared" si="1"/>
        <v>0</v>
      </c>
      <c r="I51" s="216"/>
      <c r="J51" s="261"/>
      <c r="K51" s="216"/>
      <c r="L51" s="261"/>
      <c r="M51" s="261">
        <f t="shared" si="0"/>
        <v>0</v>
      </c>
    </row>
    <row r="52" spans="1:13" ht="47.25" hidden="1" customHeight="1" x14ac:dyDescent="0.25">
      <c r="A52" s="280">
        <v>4</v>
      </c>
      <c r="B52" s="138"/>
      <c r="C52" s="108" t="s">
        <v>199</v>
      </c>
      <c r="D52" s="138"/>
      <c r="E52" s="137"/>
      <c r="F52" s="137"/>
      <c r="G52" s="216"/>
      <c r="H52" s="261"/>
      <c r="I52" s="216"/>
      <c r="J52" s="261"/>
      <c r="K52" s="216"/>
      <c r="L52" s="261"/>
      <c r="M52" s="261"/>
    </row>
    <row r="53" spans="1:13" ht="31.5" x14ac:dyDescent="0.25">
      <c r="A53" s="501">
        <v>4.0999999999999996</v>
      </c>
      <c r="B53" s="225" t="s">
        <v>150</v>
      </c>
      <c r="C53" s="104" t="s">
        <v>157</v>
      </c>
      <c r="D53" s="104" t="s">
        <v>79</v>
      </c>
      <c r="E53" s="260"/>
      <c r="F53" s="260">
        <f>F55+F56+F57</f>
        <v>7</v>
      </c>
      <c r="G53" s="273"/>
      <c r="H53" s="261"/>
      <c r="I53" s="273"/>
      <c r="J53" s="261"/>
      <c r="K53" s="273"/>
      <c r="L53" s="261"/>
      <c r="M53" s="261"/>
    </row>
    <row r="54" spans="1:13" x14ac:dyDescent="0.25">
      <c r="A54" s="502"/>
      <c r="B54" s="225"/>
      <c r="C54" s="164" t="s">
        <v>23</v>
      </c>
      <c r="D54" s="226" t="s">
        <v>25</v>
      </c>
      <c r="E54" s="219">
        <v>0.39200000000000002</v>
      </c>
      <c r="F54" s="219">
        <f>F53*E54</f>
        <v>2.7440000000000002</v>
      </c>
      <c r="G54" s="142"/>
      <c r="H54" s="261"/>
      <c r="I54" s="216"/>
      <c r="J54" s="261">
        <f>F54*I54</f>
        <v>0</v>
      </c>
      <c r="K54" s="216"/>
      <c r="L54" s="261"/>
      <c r="M54" s="261">
        <f t="shared" si="0"/>
        <v>0</v>
      </c>
    </row>
    <row r="55" spans="1:13" ht="47.25" x14ac:dyDescent="0.25">
      <c r="A55" s="502"/>
      <c r="B55" s="225"/>
      <c r="C55" s="164" t="s">
        <v>287</v>
      </c>
      <c r="D55" s="226" t="s">
        <v>13</v>
      </c>
      <c r="E55" s="219"/>
      <c r="F55" s="219">
        <v>1</v>
      </c>
      <c r="G55" s="142"/>
      <c r="H55" s="261">
        <f t="shared" si="1"/>
        <v>0</v>
      </c>
      <c r="I55" s="216"/>
      <c r="J55" s="261"/>
      <c r="K55" s="216"/>
      <c r="L55" s="261"/>
      <c r="M55" s="261">
        <f t="shared" si="0"/>
        <v>0</v>
      </c>
    </row>
    <row r="56" spans="1:13" ht="63" x14ac:dyDescent="0.25">
      <c r="A56" s="502"/>
      <c r="B56" s="225"/>
      <c r="C56" s="164" t="s">
        <v>288</v>
      </c>
      <c r="D56" s="226" t="s">
        <v>13</v>
      </c>
      <c r="E56" s="219"/>
      <c r="F56" s="219">
        <v>6</v>
      </c>
      <c r="G56" s="142"/>
      <c r="H56" s="261">
        <f>F56*G56</f>
        <v>0</v>
      </c>
      <c r="I56" s="216"/>
      <c r="J56" s="261"/>
      <c r="K56" s="216"/>
      <c r="L56" s="261"/>
      <c r="M56" s="261">
        <f>H56+J56+L56</f>
        <v>0</v>
      </c>
    </row>
    <row r="57" spans="1:13" ht="47.25" hidden="1" x14ac:dyDescent="0.25">
      <c r="A57" s="502"/>
      <c r="B57" s="225"/>
      <c r="C57" s="164" t="s">
        <v>296</v>
      </c>
      <c r="D57" s="226" t="s">
        <v>13</v>
      </c>
      <c r="E57" s="219"/>
      <c r="F57" s="219">
        <v>0</v>
      </c>
      <c r="G57" s="142"/>
      <c r="H57" s="261">
        <f>F57*G57</f>
        <v>0</v>
      </c>
      <c r="I57" s="216"/>
      <c r="J57" s="261"/>
      <c r="K57" s="216"/>
      <c r="L57" s="261"/>
      <c r="M57" s="261">
        <f>H57+J57+L57</f>
        <v>0</v>
      </c>
    </row>
    <row r="58" spans="1:13" ht="46.5" x14ac:dyDescent="0.25">
      <c r="A58" s="502"/>
      <c r="B58" s="225"/>
      <c r="C58" s="164" t="s">
        <v>297</v>
      </c>
      <c r="D58" s="226" t="s">
        <v>13</v>
      </c>
      <c r="E58" s="219"/>
      <c r="F58" s="219">
        <f>F55+F56+F57</f>
        <v>7</v>
      </c>
      <c r="G58" s="142"/>
      <c r="H58" s="261">
        <f>F58*G58</f>
        <v>0</v>
      </c>
      <c r="I58" s="216"/>
      <c r="J58" s="261"/>
      <c r="K58" s="216"/>
      <c r="L58" s="261"/>
      <c r="M58" s="261">
        <f>H58+J58+L58</f>
        <v>0</v>
      </c>
    </row>
    <row r="59" spans="1:13" x14ac:dyDescent="0.25">
      <c r="A59" s="503"/>
      <c r="B59" s="225"/>
      <c r="C59" s="164" t="s">
        <v>33</v>
      </c>
      <c r="D59" s="226" t="s">
        <v>21</v>
      </c>
      <c r="E59" s="219">
        <f>9.4/100</f>
        <v>9.4E-2</v>
      </c>
      <c r="F59" s="105">
        <f>F53*E59</f>
        <v>0.65800000000000003</v>
      </c>
      <c r="G59" s="216"/>
      <c r="H59" s="261">
        <f t="shared" si="1"/>
        <v>0</v>
      </c>
      <c r="I59" s="216"/>
      <c r="J59" s="261"/>
      <c r="K59" s="216"/>
      <c r="L59" s="261"/>
      <c r="M59" s="261">
        <f t="shared" si="0"/>
        <v>0</v>
      </c>
    </row>
    <row r="60" spans="1:13" x14ac:dyDescent="0.25">
      <c r="A60" s="501">
        <v>4.2</v>
      </c>
      <c r="B60" s="225" t="s">
        <v>149</v>
      </c>
      <c r="C60" s="104" t="s">
        <v>156</v>
      </c>
      <c r="D60" s="104" t="s">
        <v>79</v>
      </c>
      <c r="E60" s="260"/>
      <c r="F60" s="260">
        <f>F62+F63</f>
        <v>3</v>
      </c>
      <c r="G60" s="273"/>
      <c r="H60" s="261"/>
      <c r="I60" s="273"/>
      <c r="J60" s="261"/>
      <c r="K60" s="273"/>
      <c r="L60" s="261"/>
      <c r="M60" s="261"/>
    </row>
    <row r="61" spans="1:13" x14ac:dyDescent="0.25">
      <c r="A61" s="502"/>
      <c r="B61" s="225"/>
      <c r="C61" s="164" t="s">
        <v>23</v>
      </c>
      <c r="D61" s="226" t="s">
        <v>25</v>
      </c>
      <c r="E61" s="219">
        <v>0.372</v>
      </c>
      <c r="F61" s="219">
        <f>F60*E61</f>
        <v>1.1160000000000001</v>
      </c>
      <c r="G61" s="142"/>
      <c r="H61" s="261"/>
      <c r="I61" s="216"/>
      <c r="J61" s="261">
        <f>F61*I61</f>
        <v>0</v>
      </c>
      <c r="K61" s="216"/>
      <c r="L61" s="261"/>
      <c r="M61" s="261">
        <f t="shared" si="0"/>
        <v>0</v>
      </c>
    </row>
    <row r="62" spans="1:13" ht="31.5" x14ac:dyDescent="0.25">
      <c r="A62" s="502"/>
      <c r="B62" s="225"/>
      <c r="C62" s="164" t="s">
        <v>253</v>
      </c>
      <c r="D62" s="226"/>
      <c r="E62" s="219"/>
      <c r="F62" s="219">
        <v>2</v>
      </c>
      <c r="G62" s="142"/>
      <c r="H62" s="261">
        <f t="shared" si="1"/>
        <v>0</v>
      </c>
      <c r="I62" s="216"/>
      <c r="J62" s="261"/>
      <c r="K62" s="216"/>
      <c r="L62" s="261"/>
      <c r="M62" s="261">
        <f t="shared" si="0"/>
        <v>0</v>
      </c>
    </row>
    <row r="63" spans="1:13" ht="31.5" x14ac:dyDescent="0.25">
      <c r="A63" s="502"/>
      <c r="B63" s="225"/>
      <c r="C63" s="164" t="s">
        <v>254</v>
      </c>
      <c r="D63" s="226"/>
      <c r="E63" s="219"/>
      <c r="F63" s="219">
        <v>1</v>
      </c>
      <c r="G63" s="142"/>
      <c r="H63" s="261">
        <f t="shared" si="1"/>
        <v>0</v>
      </c>
      <c r="I63" s="216"/>
      <c r="J63" s="261"/>
      <c r="K63" s="216"/>
      <c r="L63" s="261"/>
      <c r="M63" s="261">
        <f t="shared" si="0"/>
        <v>0</v>
      </c>
    </row>
    <row r="64" spans="1:13" ht="46.5" x14ac:dyDescent="0.25">
      <c r="A64" s="502"/>
      <c r="B64" s="225"/>
      <c r="C64" s="164" t="s">
        <v>289</v>
      </c>
      <c r="D64" s="226" t="s">
        <v>13</v>
      </c>
      <c r="E64" s="219"/>
      <c r="F64" s="219">
        <f>F62+F63</f>
        <v>3</v>
      </c>
      <c r="G64" s="142"/>
      <c r="H64" s="261">
        <f>F64*G64</f>
        <v>0</v>
      </c>
      <c r="I64" s="216"/>
      <c r="J64" s="261"/>
      <c r="K64" s="216"/>
      <c r="L64" s="261"/>
      <c r="M64" s="261">
        <f t="shared" si="0"/>
        <v>0</v>
      </c>
    </row>
    <row r="65" spans="1:13" x14ac:dyDescent="0.25">
      <c r="A65" s="503"/>
      <c r="B65" s="225"/>
      <c r="C65" s="164" t="s">
        <v>33</v>
      </c>
      <c r="D65" s="226" t="s">
        <v>21</v>
      </c>
      <c r="E65" s="219">
        <f>12.84/100</f>
        <v>0.12839999999999999</v>
      </c>
      <c r="F65" s="105">
        <f>F60*E65</f>
        <v>0.38519999999999999</v>
      </c>
      <c r="G65" s="216"/>
      <c r="H65" s="261">
        <f t="shared" si="1"/>
        <v>0</v>
      </c>
      <c r="I65" s="216"/>
      <c r="J65" s="261"/>
      <c r="K65" s="216"/>
      <c r="L65" s="261"/>
      <c r="M65" s="261">
        <f t="shared" si="0"/>
        <v>0</v>
      </c>
    </row>
    <row r="66" spans="1:13" ht="31.5" x14ac:dyDescent="0.25">
      <c r="A66" s="501">
        <v>4.3</v>
      </c>
      <c r="B66" s="281" t="s">
        <v>154</v>
      </c>
      <c r="C66" s="276" t="s">
        <v>196</v>
      </c>
      <c r="D66" s="276" t="s">
        <v>79</v>
      </c>
      <c r="E66" s="282"/>
      <c r="F66" s="283">
        <f>F69</f>
        <v>3</v>
      </c>
      <c r="G66" s="274"/>
      <c r="H66" s="261"/>
      <c r="I66" s="274"/>
      <c r="J66" s="261"/>
      <c r="K66" s="274"/>
      <c r="L66" s="261"/>
      <c r="M66" s="261"/>
    </row>
    <row r="67" spans="1:13" x14ac:dyDescent="0.25">
      <c r="A67" s="502"/>
      <c r="B67" s="281"/>
      <c r="C67" s="284" t="s">
        <v>155</v>
      </c>
      <c r="D67" s="281" t="s">
        <v>25</v>
      </c>
      <c r="E67" s="282">
        <v>1.35</v>
      </c>
      <c r="F67" s="282">
        <f>F66*E67</f>
        <v>4.0500000000000007</v>
      </c>
      <c r="G67" s="274"/>
      <c r="H67" s="261"/>
      <c r="I67" s="216"/>
      <c r="J67" s="261">
        <f>F67*I67</f>
        <v>0</v>
      </c>
      <c r="K67" s="274"/>
      <c r="L67" s="261"/>
      <c r="M67" s="261">
        <f t="shared" ref="M67:M90" si="2">H67+J67+L67</f>
        <v>0</v>
      </c>
    </row>
    <row r="68" spans="1:13" x14ac:dyDescent="0.25">
      <c r="A68" s="502"/>
      <c r="B68" s="281"/>
      <c r="C68" s="284" t="s">
        <v>32</v>
      </c>
      <c r="D68" s="281" t="s">
        <v>21</v>
      </c>
      <c r="E68" s="282">
        <v>3.1E-2</v>
      </c>
      <c r="F68" s="282">
        <f>F66*E68</f>
        <v>9.2999999999999999E-2</v>
      </c>
      <c r="G68" s="274"/>
      <c r="H68" s="261"/>
      <c r="I68" s="274"/>
      <c r="J68" s="261"/>
      <c r="K68" s="274"/>
      <c r="L68" s="261">
        <f t="shared" ref="L68:L74" si="3">F68*K68</f>
        <v>0</v>
      </c>
      <c r="M68" s="261">
        <f t="shared" si="2"/>
        <v>0</v>
      </c>
    </row>
    <row r="69" spans="1:13" ht="31.5" x14ac:dyDescent="0.25">
      <c r="A69" s="502"/>
      <c r="B69" s="281"/>
      <c r="C69" s="284" t="s">
        <v>255</v>
      </c>
      <c r="D69" s="285" t="s">
        <v>79</v>
      </c>
      <c r="E69" s="286">
        <v>1</v>
      </c>
      <c r="F69" s="286">
        <v>3</v>
      </c>
      <c r="G69" s="287"/>
      <c r="H69" s="261">
        <f t="shared" si="1"/>
        <v>0</v>
      </c>
      <c r="I69" s="288"/>
      <c r="J69" s="261"/>
      <c r="K69" s="289"/>
      <c r="L69" s="261"/>
      <c r="M69" s="261">
        <f t="shared" si="2"/>
        <v>0</v>
      </c>
    </row>
    <row r="70" spans="1:13" x14ac:dyDescent="0.25">
      <c r="A70" s="503"/>
      <c r="B70" s="281"/>
      <c r="C70" s="164" t="s">
        <v>33</v>
      </c>
      <c r="D70" s="226" t="s">
        <v>21</v>
      </c>
      <c r="E70" s="282">
        <v>0.29099999999999998</v>
      </c>
      <c r="F70" s="282">
        <f>F66*E70</f>
        <v>0.873</v>
      </c>
      <c r="G70" s="274"/>
      <c r="H70" s="261">
        <f t="shared" si="1"/>
        <v>0</v>
      </c>
      <c r="I70" s="274"/>
      <c r="J70" s="261"/>
      <c r="K70" s="275"/>
      <c r="L70" s="261"/>
      <c r="M70" s="261">
        <f t="shared" si="2"/>
        <v>0</v>
      </c>
    </row>
    <row r="71" spans="1:13" ht="31.5" x14ac:dyDescent="0.25">
      <c r="A71" s="504">
        <v>4.4000000000000004</v>
      </c>
      <c r="B71" s="225" t="s">
        <v>158</v>
      </c>
      <c r="C71" s="104" t="s">
        <v>159</v>
      </c>
      <c r="D71" s="104" t="s">
        <v>290</v>
      </c>
      <c r="E71" s="105"/>
      <c r="F71" s="260">
        <f>F75+F76+F77+F78+F79+F80</f>
        <v>8</v>
      </c>
      <c r="G71" s="216"/>
      <c r="H71" s="261"/>
      <c r="I71" s="216"/>
      <c r="J71" s="261"/>
      <c r="K71" s="216"/>
      <c r="L71" s="261"/>
      <c r="M71" s="261"/>
    </row>
    <row r="72" spans="1:13" x14ac:dyDescent="0.25">
      <c r="A72" s="504"/>
      <c r="B72" s="225"/>
      <c r="C72" s="164" t="s">
        <v>23</v>
      </c>
      <c r="D72" s="226" t="s">
        <v>25</v>
      </c>
      <c r="E72" s="219">
        <f>182/100</f>
        <v>1.82</v>
      </c>
      <c r="F72" s="105">
        <f>F71*E72</f>
        <v>14.56</v>
      </c>
      <c r="G72" s="216"/>
      <c r="H72" s="261"/>
      <c r="I72" s="216"/>
      <c r="J72" s="261">
        <f>F72*I72</f>
        <v>0</v>
      </c>
      <c r="K72" s="216"/>
      <c r="L72" s="261"/>
      <c r="M72" s="261">
        <f t="shared" si="2"/>
        <v>0</v>
      </c>
    </row>
    <row r="73" spans="1:13" ht="31.5" x14ac:dyDescent="0.25">
      <c r="A73" s="504"/>
      <c r="B73" s="225" t="s">
        <v>163</v>
      </c>
      <c r="C73" s="164" t="s">
        <v>166</v>
      </c>
      <c r="D73" s="226" t="s">
        <v>153</v>
      </c>
      <c r="E73" s="219">
        <f>6.5*0.01</f>
        <v>6.5000000000000002E-2</v>
      </c>
      <c r="F73" s="105">
        <f>F71*E73</f>
        <v>0.52</v>
      </c>
      <c r="G73" s="216"/>
      <c r="H73" s="261"/>
      <c r="I73" s="216"/>
      <c r="J73" s="261"/>
      <c r="K73" s="216"/>
      <c r="L73" s="261">
        <f t="shared" si="3"/>
        <v>0</v>
      </c>
      <c r="M73" s="261">
        <f t="shared" si="2"/>
        <v>0</v>
      </c>
    </row>
    <row r="74" spans="1:13" x14ac:dyDescent="0.25">
      <c r="A74" s="504"/>
      <c r="B74" s="225" t="s">
        <v>164</v>
      </c>
      <c r="C74" s="164" t="s">
        <v>165</v>
      </c>
      <c r="D74" s="226" t="s">
        <v>153</v>
      </c>
      <c r="E74" s="219">
        <f>17.8*0.01</f>
        <v>0.17800000000000002</v>
      </c>
      <c r="F74" s="105">
        <f>F71*E74</f>
        <v>1.4240000000000002</v>
      </c>
      <c r="G74" s="216"/>
      <c r="H74" s="261"/>
      <c r="I74" s="216"/>
      <c r="J74" s="261"/>
      <c r="K74" s="216"/>
      <c r="L74" s="261">
        <f t="shared" si="3"/>
        <v>0</v>
      </c>
      <c r="M74" s="261">
        <f t="shared" si="2"/>
        <v>0</v>
      </c>
    </row>
    <row r="75" spans="1:13" ht="62.25" hidden="1" x14ac:dyDescent="0.25">
      <c r="A75" s="504"/>
      <c r="B75" s="225"/>
      <c r="C75" s="164" t="s">
        <v>300</v>
      </c>
      <c r="D75" s="226" t="s">
        <v>13</v>
      </c>
      <c r="E75" s="219"/>
      <c r="F75" s="105">
        <v>0</v>
      </c>
      <c r="G75" s="216"/>
      <c r="H75" s="261">
        <f>F75*G75</f>
        <v>0</v>
      </c>
      <c r="I75" s="216"/>
      <c r="J75" s="261"/>
      <c r="K75" s="216"/>
      <c r="L75" s="261"/>
      <c r="M75" s="261">
        <f>H75+J75+L75</f>
        <v>0</v>
      </c>
    </row>
    <row r="76" spans="1:13" ht="31.5" x14ac:dyDescent="0.25">
      <c r="A76" s="504"/>
      <c r="B76" s="225"/>
      <c r="C76" s="164" t="s">
        <v>299</v>
      </c>
      <c r="D76" s="226" t="s">
        <v>13</v>
      </c>
      <c r="E76" s="219"/>
      <c r="F76" s="105">
        <v>4</v>
      </c>
      <c r="G76" s="216"/>
      <c r="H76" s="261">
        <f>F76*G76</f>
        <v>0</v>
      </c>
      <c r="I76" s="216"/>
      <c r="J76" s="261"/>
      <c r="K76" s="216"/>
      <c r="L76" s="261"/>
      <c r="M76" s="261">
        <f>H76+J76+L76</f>
        <v>0</v>
      </c>
    </row>
    <row r="77" spans="1:13" ht="46.5" hidden="1" x14ac:dyDescent="0.25">
      <c r="A77" s="504"/>
      <c r="B77" s="225"/>
      <c r="C77" s="164" t="s">
        <v>298</v>
      </c>
      <c r="D77" s="226" t="s">
        <v>13</v>
      </c>
      <c r="E77" s="219"/>
      <c r="F77" s="105">
        <v>0</v>
      </c>
      <c r="G77" s="216"/>
      <c r="H77" s="261">
        <f t="shared" si="1"/>
        <v>0</v>
      </c>
      <c r="I77" s="216"/>
      <c r="J77" s="261"/>
      <c r="K77" s="216"/>
      <c r="L77" s="261"/>
      <c r="M77" s="261">
        <f t="shared" si="2"/>
        <v>0</v>
      </c>
    </row>
    <row r="78" spans="1:13" ht="46.5" x14ac:dyDescent="0.25">
      <c r="A78" s="504"/>
      <c r="B78" s="225"/>
      <c r="C78" s="164" t="s">
        <v>301</v>
      </c>
      <c r="D78" s="226" t="s">
        <v>13</v>
      </c>
      <c r="E78" s="219"/>
      <c r="F78" s="105">
        <v>4</v>
      </c>
      <c r="G78" s="216"/>
      <c r="H78" s="261">
        <f t="shared" si="1"/>
        <v>0</v>
      </c>
      <c r="I78" s="216"/>
      <c r="J78" s="261"/>
      <c r="K78" s="216"/>
      <c r="L78" s="261"/>
      <c r="M78" s="261">
        <f t="shared" si="2"/>
        <v>0</v>
      </c>
    </row>
    <row r="79" spans="1:13" ht="47.25" hidden="1" x14ac:dyDescent="0.25">
      <c r="A79" s="504"/>
      <c r="B79" s="225"/>
      <c r="C79" s="164" t="s">
        <v>291</v>
      </c>
      <c r="D79" s="226" t="s">
        <v>13</v>
      </c>
      <c r="E79" s="219"/>
      <c r="F79" s="105">
        <v>0</v>
      </c>
      <c r="G79" s="216">
        <v>20</v>
      </c>
      <c r="H79" s="261">
        <f t="shared" si="1"/>
        <v>0</v>
      </c>
      <c r="I79" s="216"/>
      <c r="J79" s="261"/>
      <c r="K79" s="216"/>
      <c r="L79" s="261"/>
      <c r="M79" s="261">
        <f t="shared" si="2"/>
        <v>0</v>
      </c>
    </row>
    <row r="80" spans="1:13" ht="31.5" hidden="1" x14ac:dyDescent="0.25">
      <c r="A80" s="504"/>
      <c r="B80" s="225"/>
      <c r="C80" s="164" t="s">
        <v>302</v>
      </c>
      <c r="D80" s="226" t="s">
        <v>13</v>
      </c>
      <c r="E80" s="219"/>
      <c r="F80" s="105">
        <v>0</v>
      </c>
      <c r="G80" s="216">
        <v>20</v>
      </c>
      <c r="H80" s="261">
        <f>F80*G80</f>
        <v>0</v>
      </c>
      <c r="I80" s="216"/>
      <c r="J80" s="261"/>
      <c r="K80" s="216"/>
      <c r="L80" s="261"/>
      <c r="M80" s="261">
        <f>H80+J80+L80</f>
        <v>0</v>
      </c>
    </row>
    <row r="81" spans="1:13" ht="31.5" hidden="1" x14ac:dyDescent="0.25">
      <c r="A81" s="471">
        <v>10</v>
      </c>
      <c r="B81" s="133" t="s">
        <v>162</v>
      </c>
      <c r="C81" s="238" t="s">
        <v>200</v>
      </c>
      <c r="D81" s="133" t="s">
        <v>66</v>
      </c>
      <c r="E81" s="39"/>
      <c r="F81" s="56">
        <v>0</v>
      </c>
      <c r="G81" s="201"/>
      <c r="H81" s="59"/>
      <c r="I81" s="201"/>
      <c r="J81" s="59"/>
      <c r="K81" s="201"/>
      <c r="L81" s="59"/>
      <c r="M81" s="59"/>
    </row>
    <row r="82" spans="1:13" hidden="1" x14ac:dyDescent="0.25">
      <c r="A82" s="472"/>
      <c r="B82" s="133"/>
      <c r="C82" s="192" t="s">
        <v>155</v>
      </c>
      <c r="D82" s="133" t="s">
        <v>25</v>
      </c>
      <c r="E82" s="39">
        <v>16</v>
      </c>
      <c r="F82" s="202">
        <f>F81*E82</f>
        <v>0</v>
      </c>
      <c r="G82" s="201"/>
      <c r="H82" s="59"/>
      <c r="I82" s="201">
        <v>6</v>
      </c>
      <c r="J82" s="59">
        <f>F82*I82</f>
        <v>0</v>
      </c>
      <c r="K82" s="201"/>
      <c r="L82" s="59"/>
      <c r="M82" s="59">
        <f>H82+J82+L82</f>
        <v>0</v>
      </c>
    </row>
    <row r="83" spans="1:13" ht="62.25" hidden="1" x14ac:dyDescent="0.25">
      <c r="A83" s="472"/>
      <c r="B83" s="133"/>
      <c r="C83" s="194" t="s">
        <v>303</v>
      </c>
      <c r="D83" s="134" t="s">
        <v>66</v>
      </c>
      <c r="E83" s="197"/>
      <c r="F83" s="140">
        <f>F81</f>
        <v>0</v>
      </c>
      <c r="G83" s="201">
        <v>470</v>
      </c>
      <c r="H83" s="59">
        <f>F83*G83</f>
        <v>0</v>
      </c>
      <c r="I83" s="201"/>
      <c r="J83" s="59"/>
      <c r="K83" s="201"/>
      <c r="L83" s="59"/>
      <c r="M83" s="59">
        <f>H83+J83+L83</f>
        <v>0</v>
      </c>
    </row>
    <row r="84" spans="1:13" hidden="1" x14ac:dyDescent="0.25">
      <c r="A84" s="472"/>
      <c r="B84" s="133"/>
      <c r="C84" s="156" t="s">
        <v>33</v>
      </c>
      <c r="D84" s="133" t="s">
        <v>21</v>
      </c>
      <c r="E84" s="39">
        <v>2.97</v>
      </c>
      <c r="F84" s="202">
        <f>F81*E84</f>
        <v>0</v>
      </c>
      <c r="G84" s="201">
        <v>3.2</v>
      </c>
      <c r="H84" s="59">
        <f>F84*G84</f>
        <v>0</v>
      </c>
      <c r="I84" s="201"/>
      <c r="J84" s="59"/>
      <c r="K84" s="113"/>
      <c r="L84" s="59"/>
      <c r="M84" s="59">
        <f>H84+J84+L84</f>
        <v>0</v>
      </c>
    </row>
    <row r="85" spans="1:13" ht="31.5" hidden="1" x14ac:dyDescent="0.25">
      <c r="A85" s="473"/>
      <c r="B85" s="225"/>
      <c r="C85" s="164" t="s">
        <v>304</v>
      </c>
      <c r="D85" s="226" t="s">
        <v>13</v>
      </c>
      <c r="E85" s="219"/>
      <c r="F85" s="105">
        <v>0</v>
      </c>
      <c r="G85" s="216">
        <v>80</v>
      </c>
      <c r="H85" s="59">
        <f>F85*G85</f>
        <v>0</v>
      </c>
      <c r="I85" s="201"/>
      <c r="J85" s="59"/>
      <c r="K85" s="113"/>
      <c r="L85" s="59"/>
      <c r="M85" s="59">
        <f>H85+J85+L85</f>
        <v>0</v>
      </c>
    </row>
    <row r="86" spans="1:13" hidden="1" x14ac:dyDescent="0.25">
      <c r="A86" s="501">
        <v>4.5</v>
      </c>
      <c r="B86" s="239" t="s">
        <v>177</v>
      </c>
      <c r="C86" s="104" t="s">
        <v>161</v>
      </c>
      <c r="D86" s="104" t="s">
        <v>79</v>
      </c>
      <c r="E86" s="105"/>
      <c r="F86" s="260">
        <f>F89</f>
        <v>0</v>
      </c>
      <c r="G86" s="214"/>
      <c r="H86" s="261"/>
      <c r="I86" s="214"/>
      <c r="J86" s="261"/>
      <c r="K86" s="214"/>
      <c r="L86" s="261"/>
      <c r="M86" s="261">
        <f t="shared" si="2"/>
        <v>0</v>
      </c>
    </row>
    <row r="87" spans="1:13" hidden="1" x14ac:dyDescent="0.3">
      <c r="A87" s="502"/>
      <c r="B87" s="290"/>
      <c r="C87" s="193" t="s">
        <v>155</v>
      </c>
      <c r="D87" s="290" t="s">
        <v>25</v>
      </c>
      <c r="E87" s="291">
        <v>10.199999999999999</v>
      </c>
      <c r="F87" s="291">
        <f>F86*E87</f>
        <v>0</v>
      </c>
      <c r="G87" s="292"/>
      <c r="H87" s="261"/>
      <c r="I87" s="274">
        <v>6</v>
      </c>
      <c r="J87" s="261">
        <f>F87*I87</f>
        <v>0</v>
      </c>
      <c r="K87" s="292"/>
      <c r="L87" s="261"/>
      <c r="M87" s="261">
        <f t="shared" si="2"/>
        <v>0</v>
      </c>
    </row>
    <row r="88" spans="1:13" hidden="1" x14ac:dyDescent="0.25">
      <c r="A88" s="502"/>
      <c r="B88" s="227"/>
      <c r="C88" s="164" t="s">
        <v>24</v>
      </c>
      <c r="D88" s="227" t="s">
        <v>21</v>
      </c>
      <c r="E88" s="293">
        <v>0.25</v>
      </c>
      <c r="F88" s="293">
        <f>F86*E88</f>
        <v>0</v>
      </c>
      <c r="G88" s="294"/>
      <c r="H88" s="261"/>
      <c r="I88" s="294"/>
      <c r="J88" s="261"/>
      <c r="K88" s="294">
        <v>3.2</v>
      </c>
      <c r="L88" s="261">
        <f>F88*K88</f>
        <v>0</v>
      </c>
      <c r="M88" s="261">
        <f t="shared" si="2"/>
        <v>0</v>
      </c>
    </row>
    <row r="89" spans="1:13" hidden="1" x14ac:dyDescent="0.25">
      <c r="A89" s="502"/>
      <c r="B89" s="227"/>
      <c r="C89" s="193" t="s">
        <v>292</v>
      </c>
      <c r="D89" s="227" t="s">
        <v>79</v>
      </c>
      <c r="E89" s="293">
        <v>1</v>
      </c>
      <c r="F89" s="105">
        <v>0</v>
      </c>
      <c r="G89" s="214">
        <v>50</v>
      </c>
      <c r="H89" s="261">
        <f>F89*G89</f>
        <v>0</v>
      </c>
      <c r="I89" s="294"/>
      <c r="J89" s="261"/>
      <c r="K89" s="214"/>
      <c r="L89" s="261"/>
      <c r="M89" s="261">
        <f t="shared" si="2"/>
        <v>0</v>
      </c>
    </row>
    <row r="90" spans="1:13" hidden="1" x14ac:dyDescent="0.3">
      <c r="A90" s="503"/>
      <c r="B90" s="290"/>
      <c r="C90" s="164" t="s">
        <v>100</v>
      </c>
      <c r="D90" s="225" t="s">
        <v>99</v>
      </c>
      <c r="E90" s="291">
        <v>1.1399999999999999</v>
      </c>
      <c r="F90" s="291">
        <f>F86*E90</f>
        <v>0</v>
      </c>
      <c r="G90" s="292">
        <v>3.2</v>
      </c>
      <c r="H90" s="261">
        <f>F90*G90</f>
        <v>0</v>
      </c>
      <c r="I90" s="292"/>
      <c r="J90" s="261"/>
      <c r="K90" s="292"/>
      <c r="L90" s="261"/>
      <c r="M90" s="261">
        <f t="shared" si="2"/>
        <v>0</v>
      </c>
    </row>
    <row r="91" spans="1:13" x14ac:dyDescent="0.3">
      <c r="A91" s="114"/>
      <c r="B91" s="290"/>
      <c r="C91" s="162"/>
      <c r="D91" s="225"/>
      <c r="E91" s="291"/>
      <c r="F91" s="291"/>
      <c r="G91" s="292"/>
      <c r="H91" s="261"/>
      <c r="I91" s="292"/>
      <c r="J91" s="261"/>
      <c r="K91" s="292"/>
      <c r="L91" s="261"/>
      <c r="M91" s="261"/>
    </row>
    <row r="92" spans="1:13" ht="31.5" x14ac:dyDescent="0.25">
      <c r="A92" s="295"/>
      <c r="B92" s="296"/>
      <c r="C92" s="297" t="s">
        <v>241</v>
      </c>
      <c r="D92" s="191"/>
      <c r="E92" s="203"/>
      <c r="F92" s="203"/>
      <c r="G92" s="74"/>
      <c r="H92" s="74">
        <f>SUM(H11:H91)</f>
        <v>0</v>
      </c>
      <c r="I92" s="74"/>
      <c r="J92" s="74">
        <f>SUM(J11:J91)</f>
        <v>0</v>
      </c>
      <c r="K92" s="74"/>
      <c r="L92" s="74">
        <f>SUM(L11:L91)</f>
        <v>0</v>
      </c>
      <c r="M92" s="74">
        <f>SUM(M11:M91)</f>
        <v>0</v>
      </c>
    </row>
    <row r="93" spans="1:13" ht="47.25" x14ac:dyDescent="0.25">
      <c r="A93" s="98"/>
      <c r="B93" s="98"/>
      <c r="C93" s="240" t="s">
        <v>229</v>
      </c>
      <c r="D93" s="98"/>
      <c r="E93" s="42"/>
      <c r="F93" s="423"/>
      <c r="G93" s="60"/>
      <c r="H93" s="60"/>
      <c r="I93" s="60"/>
      <c r="J93" s="60"/>
      <c r="K93" s="60"/>
      <c r="L93" s="60"/>
      <c r="M93" s="237">
        <f>H92*F93</f>
        <v>0</v>
      </c>
    </row>
    <row r="94" spans="1:13" ht="27" customHeight="1" x14ac:dyDescent="0.25">
      <c r="A94" s="98"/>
      <c r="B94" s="98"/>
      <c r="C94" s="208" t="s">
        <v>61</v>
      </c>
      <c r="D94" s="98"/>
      <c r="E94" s="42"/>
      <c r="F94" s="186"/>
      <c r="G94" s="60"/>
      <c r="H94" s="60"/>
      <c r="I94" s="60"/>
      <c r="J94" s="25"/>
      <c r="K94" s="60"/>
      <c r="L94" s="60"/>
      <c r="M94" s="237">
        <f>M92+M93</f>
        <v>0</v>
      </c>
    </row>
    <row r="95" spans="1:13" ht="54" customHeight="1" x14ac:dyDescent="0.25">
      <c r="A95" s="231"/>
      <c r="B95" s="54"/>
      <c r="C95" s="228" t="s">
        <v>51</v>
      </c>
      <c r="D95" s="232"/>
      <c r="E95" s="234"/>
      <c r="F95" s="423"/>
      <c r="G95" s="229"/>
      <c r="H95" s="229"/>
      <c r="I95" s="229"/>
      <c r="J95" s="229"/>
      <c r="K95" s="229"/>
      <c r="L95" s="229"/>
      <c r="M95" s="229">
        <f>J92*F95</f>
        <v>0</v>
      </c>
    </row>
    <row r="96" spans="1:13" ht="19.5" customHeight="1" x14ac:dyDescent="0.25">
      <c r="A96" s="230"/>
      <c r="B96" s="298"/>
      <c r="C96" s="208" t="s">
        <v>61</v>
      </c>
      <c r="D96" s="298"/>
      <c r="E96" s="299"/>
      <c r="F96" s="300"/>
      <c r="G96" s="301"/>
      <c r="H96" s="301"/>
      <c r="I96" s="301"/>
      <c r="J96" s="301"/>
      <c r="K96" s="301"/>
      <c r="L96" s="301"/>
      <c r="M96" s="301">
        <f>M94+M95</f>
        <v>0</v>
      </c>
    </row>
    <row r="97" spans="1:13" ht="21.75" customHeight="1" x14ac:dyDescent="0.25">
      <c r="A97" s="232"/>
      <c r="B97" s="232"/>
      <c r="C97" s="228" t="s">
        <v>52</v>
      </c>
      <c r="D97" s="232"/>
      <c r="E97" s="234"/>
      <c r="F97" s="423"/>
      <c r="G97" s="229"/>
      <c r="H97" s="229"/>
      <c r="I97" s="229"/>
      <c r="J97" s="229"/>
      <c r="K97" s="229"/>
      <c r="L97" s="229"/>
      <c r="M97" s="229">
        <f>M96*F97</f>
        <v>0</v>
      </c>
    </row>
    <row r="98" spans="1:13" x14ac:dyDescent="0.25">
      <c r="A98" s="15"/>
      <c r="B98" s="15"/>
      <c r="C98" s="16" t="s">
        <v>246</v>
      </c>
      <c r="D98" s="15"/>
      <c r="E98" s="37"/>
      <c r="F98" s="204"/>
      <c r="G98" s="205"/>
      <c r="H98" s="205"/>
      <c r="I98" s="205"/>
      <c r="J98" s="205" t="s">
        <v>10</v>
      </c>
      <c r="K98" s="205"/>
      <c r="L98" s="205"/>
      <c r="M98" s="185">
        <f>M96+M97</f>
        <v>0</v>
      </c>
    </row>
    <row r="99" spans="1:13" x14ac:dyDescent="0.25">
      <c r="A99" s="23"/>
      <c r="B99" s="23"/>
      <c r="C99" s="302"/>
      <c r="D99" s="23"/>
      <c r="E99" s="222"/>
      <c r="F99" s="52"/>
      <c r="G99" s="223"/>
      <c r="H99" s="223"/>
      <c r="I99" s="223"/>
      <c r="J99" s="223"/>
      <c r="K99" s="223"/>
      <c r="L99" s="223"/>
      <c r="M99" s="303"/>
    </row>
    <row r="100" spans="1:13" x14ac:dyDescent="0.25">
      <c r="A100" s="221"/>
      <c r="B100" s="221"/>
      <c r="C100" s="304"/>
      <c r="D100" s="87"/>
      <c r="E100" s="217"/>
      <c r="F100" s="217"/>
      <c r="G100" s="25"/>
      <c r="H100" s="25"/>
      <c r="I100" s="25"/>
      <c r="J100" s="25"/>
      <c r="K100" s="25"/>
      <c r="L100" s="25"/>
      <c r="M100" s="25"/>
    </row>
    <row r="101" spans="1:13" x14ac:dyDescent="0.25">
      <c r="A101" s="221"/>
      <c r="B101" s="221"/>
      <c r="C101" s="48"/>
      <c r="D101" s="87"/>
      <c r="E101" s="217"/>
      <c r="F101" s="217"/>
      <c r="G101" s="25"/>
      <c r="H101" s="25"/>
      <c r="I101" s="25"/>
      <c r="J101" s="25"/>
      <c r="K101" s="25"/>
      <c r="L101" s="25"/>
      <c r="M101" s="25"/>
    </row>
  </sheetData>
  <mergeCells count="20">
    <mergeCell ref="A66:A70"/>
    <mergeCell ref="A86:A90"/>
    <mergeCell ref="A71:A80"/>
    <mergeCell ref="A21:A25"/>
    <mergeCell ref="A26:A31"/>
    <mergeCell ref="A53:A59"/>
    <mergeCell ref="A60:A65"/>
    <mergeCell ref="A81:A85"/>
    <mergeCell ref="A1:M1"/>
    <mergeCell ref="A3:M3"/>
    <mergeCell ref="A5:M5"/>
    <mergeCell ref="A7:A8"/>
    <mergeCell ref="B7:B8"/>
    <mergeCell ref="C7:C8"/>
    <mergeCell ref="D7:D8"/>
    <mergeCell ref="G7:H7"/>
    <mergeCell ref="I7:J7"/>
    <mergeCell ref="K7:L7"/>
    <mergeCell ref="M7:M8"/>
    <mergeCell ref="E7:F7"/>
  </mergeCells>
  <pageMargins left="0.55118110236220474" right="0.14000000000000001" top="0.55000000000000004" bottom="0.49" header="0.4" footer="0.27"/>
  <pageSetup paperSize="9" orientation="landscape" r:id="rId1"/>
  <headerFooter>
    <oddHeader>&amp;R&amp;P--&amp;N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N155"/>
  <sheetViews>
    <sheetView topLeftCell="A124" zoomScaleNormal="100" workbookViewId="0">
      <selection activeCell="C147" sqref="C147"/>
    </sheetView>
  </sheetViews>
  <sheetFormatPr defaultColWidth="8.85546875" defaultRowHeight="15" x14ac:dyDescent="0.25"/>
  <cols>
    <col min="1" max="1" width="5.140625" style="3" customWidth="1"/>
    <col min="2" max="2" width="9.140625" style="3" customWidth="1"/>
    <col min="3" max="3" width="33.7109375" style="10" customWidth="1"/>
    <col min="4" max="4" width="6.85546875" style="3" customWidth="1"/>
    <col min="5" max="5" width="10" style="33" customWidth="1"/>
    <col min="6" max="6" width="9.85546875" style="199" customWidth="1"/>
    <col min="7" max="7" width="9.5703125" style="13" customWidth="1"/>
    <col min="8" max="8" width="10" style="13" customWidth="1"/>
    <col min="9" max="9" width="8.42578125" style="13" customWidth="1"/>
    <col min="10" max="10" width="10.140625" style="13" customWidth="1"/>
    <col min="11" max="11" width="8.7109375" style="13" customWidth="1"/>
    <col min="12" max="12" width="10.140625" style="13" customWidth="1"/>
    <col min="13" max="13" width="12" style="13" customWidth="1"/>
    <col min="14" max="14" width="26.85546875" style="1" customWidth="1"/>
    <col min="15" max="16384" width="8.85546875" style="1"/>
  </cols>
  <sheetData>
    <row r="1" spans="1:13" ht="30.75" customHeight="1" x14ac:dyDescent="0.25">
      <c r="A1" s="451" t="str">
        <f>krebsiti!A3</f>
        <v>borjomis municipalitetis sofel WobisxevSi sabavSvo baRis Senobis samzareulosa da tualetis reabilitacia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</row>
    <row r="2" spans="1:13" ht="8.25" customHeight="1" x14ac:dyDescent="0.25">
      <c r="A2" s="18"/>
      <c r="B2" s="143"/>
      <c r="C2" s="143"/>
      <c r="D2" s="143"/>
      <c r="E2" s="120"/>
      <c r="F2" s="198"/>
      <c r="G2" s="171"/>
      <c r="H2" s="171"/>
      <c r="I2" s="171"/>
      <c r="J2" s="171"/>
      <c r="K2" s="171"/>
      <c r="L2" s="171"/>
      <c r="M2" s="171"/>
    </row>
    <row r="3" spans="1:13" ht="16.5" customHeight="1" x14ac:dyDescent="0.25">
      <c r="A3" s="451" t="s">
        <v>53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</row>
    <row r="4" spans="1:13" ht="9.75" customHeight="1" x14ac:dyDescent="0.25">
      <c r="A4" s="18"/>
      <c r="B4" s="143"/>
      <c r="C4" s="143"/>
      <c r="D4" s="143"/>
      <c r="E4" s="120"/>
      <c r="F4" s="198"/>
      <c r="G4" s="171"/>
      <c r="H4" s="171"/>
      <c r="I4" s="171"/>
      <c r="J4" s="171"/>
      <c r="K4" s="171"/>
      <c r="L4" s="171"/>
      <c r="M4" s="171"/>
    </row>
    <row r="5" spans="1:13" ht="19.5" customHeight="1" x14ac:dyDescent="0.25">
      <c r="A5" s="451" t="s">
        <v>198</v>
      </c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</row>
    <row r="6" spans="1:13" ht="9" customHeight="1" x14ac:dyDescent="0.25"/>
    <row r="7" spans="1:13" ht="41.45" customHeight="1" x14ac:dyDescent="0.25">
      <c r="A7" s="481" t="s">
        <v>0</v>
      </c>
      <c r="B7" s="481" t="s">
        <v>1</v>
      </c>
      <c r="C7" s="488" t="s">
        <v>2</v>
      </c>
      <c r="D7" s="481" t="s">
        <v>3</v>
      </c>
      <c r="E7" s="492" t="s">
        <v>4</v>
      </c>
      <c r="F7" s="508" t="s">
        <v>5</v>
      </c>
      <c r="G7" s="489" t="s">
        <v>6</v>
      </c>
      <c r="H7" s="489"/>
      <c r="I7" s="489" t="s">
        <v>7</v>
      </c>
      <c r="J7" s="489"/>
      <c r="K7" s="489" t="s">
        <v>27</v>
      </c>
      <c r="L7" s="489"/>
      <c r="M7" s="489" t="s">
        <v>8</v>
      </c>
    </row>
    <row r="8" spans="1:13" ht="37.5" customHeight="1" x14ac:dyDescent="0.25">
      <c r="A8" s="481"/>
      <c r="B8" s="481"/>
      <c r="C8" s="488"/>
      <c r="D8" s="481"/>
      <c r="E8" s="492"/>
      <c r="F8" s="508"/>
      <c r="G8" s="122" t="s">
        <v>9</v>
      </c>
      <c r="H8" s="122" t="s">
        <v>10</v>
      </c>
      <c r="I8" s="122" t="s">
        <v>9</v>
      </c>
      <c r="J8" s="122" t="s">
        <v>10</v>
      </c>
      <c r="K8" s="122" t="s">
        <v>9</v>
      </c>
      <c r="L8" s="122" t="s">
        <v>10</v>
      </c>
      <c r="M8" s="489"/>
    </row>
    <row r="9" spans="1:13" ht="15.75" x14ac:dyDescent="0.25">
      <c r="A9" s="125">
        <v>1</v>
      </c>
      <c r="B9" s="125">
        <v>2</v>
      </c>
      <c r="C9" s="121">
        <v>3</v>
      </c>
      <c r="D9" s="125">
        <v>4</v>
      </c>
      <c r="E9" s="126">
        <v>5</v>
      </c>
      <c r="F9" s="132">
        <v>6</v>
      </c>
      <c r="G9" s="126">
        <v>7</v>
      </c>
      <c r="H9" s="132">
        <v>8</v>
      </c>
      <c r="I9" s="126">
        <v>9</v>
      </c>
      <c r="J9" s="132">
        <v>10</v>
      </c>
      <c r="K9" s="126">
        <v>11</v>
      </c>
      <c r="L9" s="132">
        <v>12</v>
      </c>
      <c r="M9" s="126">
        <v>13</v>
      </c>
    </row>
    <row r="10" spans="1:13" ht="63" x14ac:dyDescent="0.25">
      <c r="A10" s="224" t="s">
        <v>305</v>
      </c>
      <c r="B10" s="224"/>
      <c r="C10" s="224" t="s">
        <v>306</v>
      </c>
      <c r="D10" s="224"/>
      <c r="E10" s="141"/>
      <c r="F10" s="224"/>
      <c r="G10" s="55"/>
      <c r="H10" s="248"/>
      <c r="I10" s="55"/>
      <c r="J10" s="248"/>
      <c r="K10" s="55"/>
      <c r="L10" s="248"/>
      <c r="M10" s="55"/>
    </row>
    <row r="11" spans="1:13" ht="31.5" x14ac:dyDescent="0.25">
      <c r="A11" s="318"/>
      <c r="B11" s="305"/>
      <c r="C11" s="144" t="s">
        <v>307</v>
      </c>
      <c r="D11" s="305"/>
      <c r="E11" s="307"/>
      <c r="F11" s="260"/>
      <c r="G11" s="261"/>
      <c r="H11" s="261"/>
      <c r="I11" s="261"/>
      <c r="J11" s="261"/>
      <c r="K11" s="261"/>
      <c r="L11" s="261"/>
      <c r="M11" s="261"/>
    </row>
    <row r="12" spans="1:13" ht="45.75" customHeight="1" x14ac:dyDescent="0.25">
      <c r="A12" s="509" t="s">
        <v>192</v>
      </c>
      <c r="B12" s="424" t="s">
        <v>115</v>
      </c>
      <c r="C12" s="104" t="s">
        <v>337</v>
      </c>
      <c r="D12" s="104" t="s">
        <v>11</v>
      </c>
      <c r="E12" s="260"/>
      <c r="F12" s="260">
        <v>30</v>
      </c>
      <c r="G12" s="273"/>
      <c r="H12" s="261"/>
      <c r="I12" s="273"/>
      <c r="J12" s="261"/>
      <c r="K12" s="273"/>
      <c r="L12" s="261"/>
      <c r="M12" s="261"/>
    </row>
    <row r="13" spans="1:13" ht="24.75" customHeight="1" x14ac:dyDescent="0.25">
      <c r="A13" s="510"/>
      <c r="B13" s="225"/>
      <c r="C13" s="164" t="s">
        <v>97</v>
      </c>
      <c r="D13" s="225" t="s">
        <v>98</v>
      </c>
      <c r="E13" s="105">
        <f>117*0.01</f>
        <v>1.17</v>
      </c>
      <c r="F13" s="105">
        <f>F12*E13</f>
        <v>35.099999999999994</v>
      </c>
      <c r="G13" s="216"/>
      <c r="H13" s="261"/>
      <c r="I13" s="216"/>
      <c r="J13" s="261">
        <f>F13*I13</f>
        <v>0</v>
      </c>
      <c r="K13" s="216"/>
      <c r="L13" s="261"/>
      <c r="M13" s="261">
        <f t="shared" ref="M13:M23" si="0">H13+J13+L13</f>
        <v>0</v>
      </c>
    </row>
    <row r="14" spans="1:13" ht="22.5" customHeight="1" x14ac:dyDescent="0.25">
      <c r="A14" s="510"/>
      <c r="B14" s="225"/>
      <c r="C14" s="164" t="s">
        <v>102</v>
      </c>
      <c r="D14" s="225" t="s">
        <v>99</v>
      </c>
      <c r="E14" s="105">
        <f>1.72*0.01</f>
        <v>1.72E-2</v>
      </c>
      <c r="F14" s="105">
        <f>F12*E14</f>
        <v>0.51600000000000001</v>
      </c>
      <c r="G14" s="216"/>
      <c r="H14" s="261"/>
      <c r="I14" s="216"/>
      <c r="J14" s="261"/>
      <c r="K14" s="216"/>
      <c r="L14" s="261">
        <f>F14*K14</f>
        <v>0</v>
      </c>
      <c r="M14" s="261">
        <f t="shared" si="0"/>
        <v>0</v>
      </c>
    </row>
    <row r="15" spans="1:13" ht="28.5" customHeight="1" x14ac:dyDescent="0.25">
      <c r="A15" s="510"/>
      <c r="B15" s="225"/>
      <c r="C15" s="164" t="s">
        <v>336</v>
      </c>
      <c r="D15" s="225" t="s">
        <v>54</v>
      </c>
      <c r="E15" s="105">
        <v>1</v>
      </c>
      <c r="F15" s="105">
        <f>F12*E15</f>
        <v>30</v>
      </c>
      <c r="G15" s="216"/>
      <c r="H15" s="261">
        <f t="shared" ref="H15:H23" si="1">F15*G15</f>
        <v>0</v>
      </c>
      <c r="I15" s="216"/>
      <c r="J15" s="261"/>
      <c r="K15" s="216"/>
      <c r="L15" s="261"/>
      <c r="M15" s="261">
        <f t="shared" si="0"/>
        <v>0</v>
      </c>
    </row>
    <row r="16" spans="1:13" ht="31.5" x14ac:dyDescent="0.25">
      <c r="A16" s="510"/>
      <c r="B16" s="225"/>
      <c r="C16" s="164" t="s">
        <v>114</v>
      </c>
      <c r="D16" s="225" t="s">
        <v>22</v>
      </c>
      <c r="E16" s="105">
        <v>0.152</v>
      </c>
      <c r="F16" s="105">
        <f>F12*E16</f>
        <v>4.5599999999999996</v>
      </c>
      <c r="G16" s="216"/>
      <c r="H16" s="261">
        <f t="shared" si="1"/>
        <v>0</v>
      </c>
      <c r="I16" s="216"/>
      <c r="J16" s="261"/>
      <c r="K16" s="216"/>
      <c r="L16" s="261"/>
      <c r="M16" s="261">
        <f t="shared" si="0"/>
        <v>0</v>
      </c>
    </row>
    <row r="17" spans="1:13" ht="24.75" customHeight="1" x14ac:dyDescent="0.25">
      <c r="A17" s="511"/>
      <c r="B17" s="225"/>
      <c r="C17" s="164" t="s">
        <v>100</v>
      </c>
      <c r="D17" s="225" t="s">
        <v>99</v>
      </c>
      <c r="E17" s="105">
        <f>3.93*0.01</f>
        <v>3.9300000000000002E-2</v>
      </c>
      <c r="F17" s="105">
        <f>F12*E17</f>
        <v>1.179</v>
      </c>
      <c r="G17" s="216"/>
      <c r="H17" s="261">
        <f t="shared" si="1"/>
        <v>0</v>
      </c>
      <c r="I17" s="216"/>
      <c r="J17" s="261"/>
      <c r="K17" s="216"/>
      <c r="L17" s="261"/>
      <c r="M17" s="261">
        <f t="shared" si="0"/>
        <v>0</v>
      </c>
    </row>
    <row r="18" spans="1:13" ht="47.25" hidden="1" x14ac:dyDescent="0.25">
      <c r="A18" s="509" t="s">
        <v>193</v>
      </c>
      <c r="B18" s="225" t="s">
        <v>308</v>
      </c>
      <c r="C18" s="104" t="s">
        <v>309</v>
      </c>
      <c r="D18" s="104" t="s">
        <v>11</v>
      </c>
      <c r="E18" s="260"/>
      <c r="F18" s="260">
        <v>0</v>
      </c>
      <c r="G18" s="273"/>
      <c r="H18" s="261"/>
      <c r="I18" s="273"/>
      <c r="J18" s="261"/>
      <c r="K18" s="273"/>
      <c r="L18" s="261"/>
      <c r="M18" s="261"/>
    </row>
    <row r="19" spans="1:13" ht="31.5" hidden="1" x14ac:dyDescent="0.25">
      <c r="A19" s="510"/>
      <c r="B19" s="225"/>
      <c r="C19" s="164" t="s">
        <v>97</v>
      </c>
      <c r="D19" s="225" t="s">
        <v>98</v>
      </c>
      <c r="E19" s="105">
        <v>1.56</v>
      </c>
      <c r="F19" s="105">
        <f>F18*E19</f>
        <v>0</v>
      </c>
      <c r="G19" s="216"/>
      <c r="H19" s="261"/>
      <c r="I19" s="216"/>
      <c r="J19" s="261">
        <f>F19*I19</f>
        <v>0</v>
      </c>
      <c r="K19" s="216"/>
      <c r="L19" s="261"/>
      <c r="M19" s="261">
        <f t="shared" si="0"/>
        <v>0</v>
      </c>
    </row>
    <row r="20" spans="1:13" ht="15.75" hidden="1" x14ac:dyDescent="0.25">
      <c r="A20" s="510"/>
      <c r="B20" s="225"/>
      <c r="C20" s="164" t="s">
        <v>102</v>
      </c>
      <c r="D20" s="225" t="s">
        <v>99</v>
      </c>
      <c r="E20" s="105">
        <v>2.1700000000000001E-2</v>
      </c>
      <c r="F20" s="105">
        <f>F18*E20</f>
        <v>0</v>
      </c>
      <c r="G20" s="216"/>
      <c r="H20" s="261"/>
      <c r="I20" s="216"/>
      <c r="J20" s="261"/>
      <c r="K20" s="216"/>
      <c r="L20" s="261">
        <f>F20*K20</f>
        <v>0</v>
      </c>
      <c r="M20" s="261">
        <f t="shared" si="0"/>
        <v>0</v>
      </c>
    </row>
    <row r="21" spans="1:13" ht="15.75" hidden="1" x14ac:dyDescent="0.25">
      <c r="A21" s="510"/>
      <c r="B21" s="225"/>
      <c r="C21" s="164" t="s">
        <v>310</v>
      </c>
      <c r="D21" s="225" t="s">
        <v>54</v>
      </c>
      <c r="E21" s="105">
        <v>1</v>
      </c>
      <c r="F21" s="105">
        <f>F18*E21</f>
        <v>0</v>
      </c>
      <c r="G21" s="216"/>
      <c r="H21" s="261">
        <f t="shared" si="1"/>
        <v>0</v>
      </c>
      <c r="I21" s="216"/>
      <c r="J21" s="261"/>
      <c r="K21" s="216"/>
      <c r="L21" s="261"/>
      <c r="M21" s="261">
        <f t="shared" si="0"/>
        <v>0</v>
      </c>
    </row>
    <row r="22" spans="1:13" ht="31.5" hidden="1" x14ac:dyDescent="0.25">
      <c r="A22" s="510"/>
      <c r="B22" s="225"/>
      <c r="C22" s="164" t="s">
        <v>114</v>
      </c>
      <c r="D22" s="225" t="s">
        <v>22</v>
      </c>
      <c r="E22" s="105">
        <v>0.152</v>
      </c>
      <c r="F22" s="105">
        <f>F18*E22</f>
        <v>0</v>
      </c>
      <c r="G22" s="216"/>
      <c r="H22" s="261">
        <f t="shared" si="1"/>
        <v>0</v>
      </c>
      <c r="I22" s="216"/>
      <c r="J22" s="261"/>
      <c r="K22" s="216"/>
      <c r="L22" s="261"/>
      <c r="M22" s="261">
        <f t="shared" si="0"/>
        <v>0</v>
      </c>
    </row>
    <row r="23" spans="1:13" ht="15.75" hidden="1" x14ac:dyDescent="0.25">
      <c r="A23" s="511"/>
      <c r="B23" s="225"/>
      <c r="C23" s="164" t="s">
        <v>100</v>
      </c>
      <c r="D23" s="225" t="s">
        <v>99</v>
      </c>
      <c r="E23" s="105">
        <v>7.0800000000000002E-2</v>
      </c>
      <c r="F23" s="105">
        <f>F18*E23</f>
        <v>0</v>
      </c>
      <c r="G23" s="216"/>
      <c r="H23" s="261">
        <f t="shared" si="1"/>
        <v>0</v>
      </c>
      <c r="I23" s="216"/>
      <c r="J23" s="261"/>
      <c r="K23" s="216"/>
      <c r="L23" s="261"/>
      <c r="M23" s="261">
        <f t="shared" si="0"/>
        <v>0</v>
      </c>
    </row>
    <row r="24" spans="1:13" ht="31.5" x14ac:dyDescent="0.25">
      <c r="A24" s="512" t="s">
        <v>75</v>
      </c>
      <c r="B24" s="225" t="s">
        <v>311</v>
      </c>
      <c r="C24" s="104" t="s">
        <v>118</v>
      </c>
      <c r="D24" s="104" t="s">
        <v>22</v>
      </c>
      <c r="E24" s="260"/>
      <c r="F24" s="260">
        <v>30</v>
      </c>
      <c r="G24" s="273"/>
      <c r="H24" s="261"/>
      <c r="I24" s="273"/>
      <c r="J24" s="261"/>
      <c r="K24" s="273"/>
      <c r="L24" s="261"/>
      <c r="M24" s="261"/>
    </row>
    <row r="25" spans="1:13" ht="25.5" customHeight="1" x14ac:dyDescent="0.25">
      <c r="A25" s="512"/>
      <c r="B25" s="225"/>
      <c r="C25" s="164" t="s">
        <v>97</v>
      </c>
      <c r="D25" s="225" t="s">
        <v>98</v>
      </c>
      <c r="E25" s="105">
        <v>0.64600000000000002</v>
      </c>
      <c r="F25" s="105">
        <f>F24*E25</f>
        <v>19.38</v>
      </c>
      <c r="G25" s="216"/>
      <c r="H25" s="261"/>
      <c r="I25" s="216"/>
      <c r="J25" s="261">
        <f>F25*I25</f>
        <v>0</v>
      </c>
      <c r="K25" s="216"/>
      <c r="L25" s="261"/>
      <c r="M25" s="261">
        <f t="shared" ref="M25:M64" si="2">H25+J25+L25</f>
        <v>0</v>
      </c>
    </row>
    <row r="26" spans="1:13" ht="25.5" customHeight="1" x14ac:dyDescent="0.25">
      <c r="A26" s="512"/>
      <c r="B26" s="225"/>
      <c r="C26" s="164" t="s">
        <v>102</v>
      </c>
      <c r="D26" s="225" t="s">
        <v>99</v>
      </c>
      <c r="E26" s="105">
        <v>2.5999999999999999E-3</v>
      </c>
      <c r="F26" s="105">
        <f>F24*E26</f>
        <v>7.8E-2</v>
      </c>
      <c r="G26" s="216"/>
      <c r="H26" s="261"/>
      <c r="I26" s="216"/>
      <c r="J26" s="261"/>
      <c r="K26" s="216"/>
      <c r="L26" s="261">
        <f>F26*K26</f>
        <v>0</v>
      </c>
      <c r="M26" s="261">
        <f t="shared" si="2"/>
        <v>0</v>
      </c>
    </row>
    <row r="27" spans="1:13" ht="31.5" x14ac:dyDescent="0.25">
      <c r="A27" s="512"/>
      <c r="B27" s="225"/>
      <c r="C27" s="164" t="s">
        <v>339</v>
      </c>
      <c r="D27" s="225" t="s">
        <v>13</v>
      </c>
      <c r="E27" s="105"/>
      <c r="F27" s="105">
        <f>F24</f>
        <v>30</v>
      </c>
      <c r="G27" s="216"/>
      <c r="H27" s="261">
        <f>F27*G27</f>
        <v>0</v>
      </c>
      <c r="I27" s="216"/>
      <c r="J27" s="261"/>
      <c r="K27" s="216"/>
      <c r="L27" s="261"/>
      <c r="M27" s="261">
        <f>H27+J27+L27</f>
        <v>0</v>
      </c>
    </row>
    <row r="28" spans="1:13" ht="15.75" hidden="1" x14ac:dyDescent="0.25">
      <c r="A28" s="512"/>
      <c r="B28" s="225"/>
      <c r="C28" s="306" t="s">
        <v>204</v>
      </c>
      <c r="D28" s="305" t="s">
        <v>13</v>
      </c>
      <c r="E28" s="105"/>
      <c r="F28" s="105"/>
      <c r="G28" s="216"/>
      <c r="H28" s="261">
        <f t="shared" ref="H28:H38" si="3">F28*G28</f>
        <v>0</v>
      </c>
      <c r="I28" s="216"/>
      <c r="J28" s="261"/>
      <c r="K28" s="216"/>
      <c r="L28" s="261"/>
      <c r="M28" s="261">
        <f t="shared" si="2"/>
        <v>0</v>
      </c>
    </row>
    <row r="29" spans="1:13" ht="15.75" hidden="1" x14ac:dyDescent="0.25">
      <c r="A29" s="512"/>
      <c r="B29" s="225"/>
      <c r="C29" s="306" t="s">
        <v>203</v>
      </c>
      <c r="D29" s="305" t="s">
        <v>13</v>
      </c>
      <c r="E29" s="105"/>
      <c r="F29" s="105"/>
      <c r="G29" s="216"/>
      <c r="H29" s="261">
        <f t="shared" si="3"/>
        <v>0</v>
      </c>
      <c r="I29" s="216"/>
      <c r="J29" s="261"/>
      <c r="K29" s="216"/>
      <c r="L29" s="261"/>
      <c r="M29" s="261">
        <f t="shared" si="2"/>
        <v>0</v>
      </c>
    </row>
    <row r="30" spans="1:13" ht="15.75" hidden="1" x14ac:dyDescent="0.25">
      <c r="A30" s="512"/>
      <c r="B30" s="225"/>
      <c r="C30" s="306" t="s">
        <v>312</v>
      </c>
      <c r="D30" s="305" t="s">
        <v>13</v>
      </c>
      <c r="E30" s="105"/>
      <c r="F30" s="105"/>
      <c r="G30" s="216"/>
      <c r="H30" s="261">
        <f t="shared" si="3"/>
        <v>0</v>
      </c>
      <c r="I30" s="216"/>
      <c r="J30" s="261"/>
      <c r="K30" s="216"/>
      <c r="L30" s="261"/>
      <c r="M30" s="261">
        <f t="shared" si="2"/>
        <v>0</v>
      </c>
    </row>
    <row r="31" spans="1:13" ht="15.75" hidden="1" x14ac:dyDescent="0.25">
      <c r="A31" s="512"/>
      <c r="B31" s="225"/>
      <c r="C31" s="306" t="s">
        <v>313</v>
      </c>
      <c r="D31" s="305" t="s">
        <v>13</v>
      </c>
      <c r="E31" s="105"/>
      <c r="F31" s="105"/>
      <c r="G31" s="216"/>
      <c r="H31" s="261">
        <f t="shared" si="3"/>
        <v>0</v>
      </c>
      <c r="I31" s="216"/>
      <c r="J31" s="261"/>
      <c r="K31" s="216"/>
      <c r="L31" s="261"/>
      <c r="M31" s="261">
        <f t="shared" si="2"/>
        <v>0</v>
      </c>
    </row>
    <row r="32" spans="1:13" ht="15.75" hidden="1" x14ac:dyDescent="0.25">
      <c r="A32" s="512"/>
      <c r="B32" s="225"/>
      <c r="C32" s="306" t="s">
        <v>314</v>
      </c>
      <c r="D32" s="305" t="s">
        <v>13</v>
      </c>
      <c r="E32" s="105"/>
      <c r="F32" s="105"/>
      <c r="G32" s="216"/>
      <c r="H32" s="261">
        <f t="shared" si="3"/>
        <v>0</v>
      </c>
      <c r="I32" s="216"/>
      <c r="J32" s="261"/>
      <c r="K32" s="216"/>
      <c r="L32" s="261"/>
      <c r="M32" s="261">
        <f t="shared" si="2"/>
        <v>0</v>
      </c>
    </row>
    <row r="33" spans="1:14" ht="15.75" hidden="1" x14ac:dyDescent="0.25">
      <c r="A33" s="512"/>
      <c r="B33" s="225"/>
      <c r="C33" s="306" t="s">
        <v>315</v>
      </c>
      <c r="D33" s="305" t="s">
        <v>13</v>
      </c>
      <c r="E33" s="105"/>
      <c r="F33" s="105"/>
      <c r="G33" s="216"/>
      <c r="H33" s="261">
        <f t="shared" si="3"/>
        <v>0</v>
      </c>
      <c r="I33" s="216"/>
      <c r="J33" s="261"/>
      <c r="K33" s="216"/>
      <c r="L33" s="261"/>
      <c r="M33" s="261">
        <f t="shared" si="2"/>
        <v>0</v>
      </c>
    </row>
    <row r="34" spans="1:14" ht="15.75" hidden="1" x14ac:dyDescent="0.25">
      <c r="A34" s="512"/>
      <c r="B34" s="225"/>
      <c r="C34" s="306" t="s">
        <v>316</v>
      </c>
      <c r="D34" s="305" t="s">
        <v>13</v>
      </c>
      <c r="E34" s="105"/>
      <c r="F34" s="105"/>
      <c r="G34" s="216"/>
      <c r="H34" s="261">
        <f t="shared" si="3"/>
        <v>0</v>
      </c>
      <c r="I34" s="216"/>
      <c r="J34" s="261"/>
      <c r="K34" s="216"/>
      <c r="L34" s="261"/>
      <c r="M34" s="261">
        <f t="shared" si="2"/>
        <v>0</v>
      </c>
    </row>
    <row r="35" spans="1:14" ht="15.75" hidden="1" x14ac:dyDescent="0.25">
      <c r="A35" s="512"/>
      <c r="B35" s="225"/>
      <c r="C35" s="306" t="s">
        <v>317</v>
      </c>
      <c r="D35" s="305" t="s">
        <v>13</v>
      </c>
      <c r="E35" s="105"/>
      <c r="F35" s="105"/>
      <c r="G35" s="216"/>
      <c r="H35" s="261">
        <f t="shared" si="3"/>
        <v>0</v>
      </c>
      <c r="I35" s="216"/>
      <c r="J35" s="261"/>
      <c r="K35" s="216"/>
      <c r="L35" s="261"/>
      <c r="M35" s="261">
        <f t="shared" si="2"/>
        <v>0</v>
      </c>
    </row>
    <row r="36" spans="1:14" ht="15.75" hidden="1" x14ac:dyDescent="0.25">
      <c r="A36" s="512"/>
      <c r="B36" s="225"/>
      <c r="C36" s="306" t="s">
        <v>318</v>
      </c>
      <c r="D36" s="305" t="s">
        <v>13</v>
      </c>
      <c r="E36" s="105"/>
      <c r="F36" s="105"/>
      <c r="G36" s="216"/>
      <c r="H36" s="261">
        <f t="shared" si="3"/>
        <v>0</v>
      </c>
      <c r="I36" s="216"/>
      <c r="J36" s="261"/>
      <c r="K36" s="216"/>
      <c r="L36" s="261"/>
      <c r="M36" s="261">
        <f t="shared" si="2"/>
        <v>0</v>
      </c>
    </row>
    <row r="37" spans="1:14" ht="15.75" hidden="1" x14ac:dyDescent="0.25">
      <c r="A37" s="512"/>
      <c r="B37" s="225"/>
      <c r="C37" s="306" t="s">
        <v>319</v>
      </c>
      <c r="D37" s="305" t="s">
        <v>13</v>
      </c>
      <c r="E37" s="105"/>
      <c r="F37" s="105"/>
      <c r="G37" s="216"/>
      <c r="H37" s="261">
        <f t="shared" si="3"/>
        <v>0</v>
      </c>
      <c r="I37" s="216"/>
      <c r="J37" s="261"/>
      <c r="K37" s="216"/>
      <c r="L37" s="261"/>
      <c r="M37" s="261">
        <f t="shared" si="2"/>
        <v>0</v>
      </c>
    </row>
    <row r="38" spans="1:14" ht="21" customHeight="1" x14ac:dyDescent="0.25">
      <c r="A38" s="512"/>
      <c r="B38" s="225"/>
      <c r="C38" s="164" t="s">
        <v>119</v>
      </c>
      <c r="D38" s="225" t="s">
        <v>99</v>
      </c>
      <c r="E38" s="105">
        <v>0.12</v>
      </c>
      <c r="F38" s="105">
        <f>F24*E38</f>
        <v>3.5999999999999996</v>
      </c>
      <c r="G38" s="216"/>
      <c r="H38" s="261">
        <f t="shared" si="3"/>
        <v>0</v>
      </c>
      <c r="I38" s="216"/>
      <c r="J38" s="261"/>
      <c r="K38" s="216"/>
      <c r="L38" s="261"/>
      <c r="M38" s="261">
        <f t="shared" si="2"/>
        <v>0</v>
      </c>
    </row>
    <row r="39" spans="1:14" ht="31.5" x14ac:dyDescent="0.25">
      <c r="A39" s="513" t="s">
        <v>194</v>
      </c>
      <c r="B39" s="243" t="s">
        <v>116</v>
      </c>
      <c r="C39" s="246" t="s">
        <v>117</v>
      </c>
      <c r="D39" s="244" t="s">
        <v>22</v>
      </c>
      <c r="E39" s="38"/>
      <c r="F39" s="56">
        <f>SUM(F42:F44)</f>
        <v>6</v>
      </c>
      <c r="G39" s="96"/>
      <c r="H39" s="59"/>
      <c r="I39" s="96"/>
      <c r="J39" s="59"/>
      <c r="K39" s="96"/>
      <c r="L39" s="59"/>
      <c r="M39" s="59"/>
    </row>
    <row r="40" spans="1:14" ht="18.75" customHeight="1" x14ac:dyDescent="0.25">
      <c r="A40" s="513"/>
      <c r="B40" s="243"/>
      <c r="C40" s="107" t="s">
        <v>97</v>
      </c>
      <c r="D40" s="243" t="s">
        <v>98</v>
      </c>
      <c r="E40" s="35">
        <v>1.51</v>
      </c>
      <c r="F40" s="55">
        <f>F39*E40</f>
        <v>9.06</v>
      </c>
      <c r="G40" s="57"/>
      <c r="H40" s="59"/>
      <c r="I40" s="57"/>
      <c r="J40" s="59">
        <f>F40*I40</f>
        <v>0</v>
      </c>
      <c r="K40" s="57"/>
      <c r="L40" s="59"/>
      <c r="M40" s="59">
        <f t="shared" ref="M40:M45" si="4">H40+J40+L40</f>
        <v>0</v>
      </c>
    </row>
    <row r="41" spans="1:14" ht="15.75" x14ac:dyDescent="0.25">
      <c r="A41" s="513"/>
      <c r="B41" s="243"/>
      <c r="C41" s="107" t="s">
        <v>102</v>
      </c>
      <c r="D41" s="243" t="s">
        <v>99</v>
      </c>
      <c r="E41" s="35">
        <v>0.13</v>
      </c>
      <c r="F41" s="55">
        <f>F39*E41</f>
        <v>0.78</v>
      </c>
      <c r="G41" s="57"/>
      <c r="H41" s="59"/>
      <c r="I41" s="57"/>
      <c r="J41" s="59"/>
      <c r="K41" s="57"/>
      <c r="L41" s="59">
        <f>F41*K41</f>
        <v>0</v>
      </c>
      <c r="M41" s="59">
        <f t="shared" si="4"/>
        <v>0</v>
      </c>
    </row>
    <row r="42" spans="1:14" ht="15.75" x14ac:dyDescent="0.25">
      <c r="A42" s="513"/>
      <c r="B42" s="243"/>
      <c r="C42" s="107" t="s">
        <v>250</v>
      </c>
      <c r="D42" s="243" t="s">
        <v>22</v>
      </c>
      <c r="E42" s="35">
        <v>1</v>
      </c>
      <c r="F42" s="55">
        <v>2</v>
      </c>
      <c r="G42" s="57"/>
      <c r="H42" s="59">
        <f>F42*G42</f>
        <v>0</v>
      </c>
      <c r="I42" s="57"/>
      <c r="J42" s="59"/>
      <c r="K42" s="57"/>
      <c r="L42" s="59"/>
      <c r="M42" s="59">
        <f t="shared" si="4"/>
        <v>0</v>
      </c>
      <c r="N42" s="28"/>
    </row>
    <row r="43" spans="1:14" ht="15.75" hidden="1" x14ac:dyDescent="0.25">
      <c r="A43" s="513"/>
      <c r="B43" s="243"/>
      <c r="C43" s="107" t="s">
        <v>180</v>
      </c>
      <c r="D43" s="243" t="s">
        <v>22</v>
      </c>
      <c r="E43" s="35">
        <v>1</v>
      </c>
      <c r="F43" s="55">
        <v>0</v>
      </c>
      <c r="G43" s="57"/>
      <c r="H43" s="59">
        <f>F43*G43</f>
        <v>0</v>
      </c>
      <c r="I43" s="57"/>
      <c r="J43" s="59"/>
      <c r="K43" s="57"/>
      <c r="L43" s="59"/>
      <c r="M43" s="59">
        <f t="shared" si="4"/>
        <v>0</v>
      </c>
      <c r="N43" s="28"/>
    </row>
    <row r="44" spans="1:14" ht="15.75" x14ac:dyDescent="0.25">
      <c r="A44" s="513"/>
      <c r="B44" s="243"/>
      <c r="C44" s="107" t="s">
        <v>320</v>
      </c>
      <c r="D44" s="243" t="s">
        <v>22</v>
      </c>
      <c r="E44" s="35"/>
      <c r="F44" s="55">
        <v>4</v>
      </c>
      <c r="G44" s="57"/>
      <c r="H44" s="59">
        <f>F44*G44</f>
        <v>0</v>
      </c>
      <c r="I44" s="57"/>
      <c r="J44" s="59"/>
      <c r="K44" s="57"/>
      <c r="L44" s="59"/>
      <c r="M44" s="59"/>
      <c r="N44" s="28"/>
    </row>
    <row r="45" spans="1:14" ht="15.75" x14ac:dyDescent="0.25">
      <c r="A45" s="513"/>
      <c r="B45" s="243"/>
      <c r="C45" s="107" t="s">
        <v>100</v>
      </c>
      <c r="D45" s="243" t="s">
        <v>99</v>
      </c>
      <c r="E45" s="35">
        <v>7.0000000000000007E-2</v>
      </c>
      <c r="F45" s="55">
        <f>F39*E45</f>
        <v>0.42000000000000004</v>
      </c>
      <c r="G45" s="57"/>
      <c r="H45" s="59">
        <f>F45*G45</f>
        <v>0</v>
      </c>
      <c r="I45" s="57"/>
      <c r="J45" s="59"/>
      <c r="K45" s="57"/>
      <c r="L45" s="59"/>
      <c r="M45" s="59">
        <f t="shared" si="4"/>
        <v>0</v>
      </c>
      <c r="N45" s="28"/>
    </row>
    <row r="46" spans="1:14" ht="15.75" hidden="1" x14ac:dyDescent="0.25">
      <c r="A46" s="509" t="s">
        <v>44</v>
      </c>
      <c r="B46" s="309" t="s">
        <v>104</v>
      </c>
      <c r="C46" s="310" t="s">
        <v>105</v>
      </c>
      <c r="D46" s="309" t="s">
        <v>106</v>
      </c>
      <c r="E46" s="311"/>
      <c r="F46" s="311">
        <v>0</v>
      </c>
      <c r="G46" s="216"/>
      <c r="H46" s="261"/>
      <c r="I46" s="261"/>
      <c r="J46" s="261"/>
      <c r="K46" s="261"/>
      <c r="L46" s="261"/>
      <c r="M46" s="261"/>
      <c r="N46" s="28"/>
    </row>
    <row r="47" spans="1:14" ht="15.75" hidden="1" x14ac:dyDescent="0.25">
      <c r="A47" s="510"/>
      <c r="B47" s="309"/>
      <c r="C47" s="312" t="s">
        <v>23</v>
      </c>
      <c r="D47" s="313" t="s">
        <v>90</v>
      </c>
      <c r="E47" s="314">
        <v>1.002</v>
      </c>
      <c r="F47" s="314">
        <f>F46*E47</f>
        <v>0</v>
      </c>
      <c r="G47" s="216"/>
      <c r="H47" s="261"/>
      <c r="I47" s="261">
        <v>4.5999999999999996</v>
      </c>
      <c r="J47" s="261">
        <f>F47*I47</f>
        <v>0</v>
      </c>
      <c r="K47" s="261"/>
      <c r="L47" s="261"/>
      <c r="M47" s="261">
        <f t="shared" si="2"/>
        <v>0</v>
      </c>
      <c r="N47" s="28"/>
    </row>
    <row r="48" spans="1:14" ht="15.75" hidden="1" x14ac:dyDescent="0.25">
      <c r="A48" s="511"/>
      <c r="B48" s="309"/>
      <c r="C48" s="312" t="s">
        <v>107</v>
      </c>
      <c r="D48" s="313" t="s">
        <v>21</v>
      </c>
      <c r="E48" s="314">
        <v>0.49340000000000001</v>
      </c>
      <c r="F48" s="314">
        <f>F46*E48</f>
        <v>0</v>
      </c>
      <c r="G48" s="216"/>
      <c r="H48" s="261"/>
      <c r="I48" s="261"/>
      <c r="J48" s="261"/>
      <c r="K48" s="261"/>
      <c r="L48" s="261">
        <f>F48*K48</f>
        <v>0</v>
      </c>
      <c r="M48" s="261">
        <f t="shared" si="2"/>
        <v>0</v>
      </c>
      <c r="N48" s="28"/>
    </row>
    <row r="49" spans="1:14" ht="31.5" hidden="1" x14ac:dyDescent="0.25">
      <c r="A49" s="512" t="s">
        <v>195</v>
      </c>
      <c r="B49" s="319" t="s">
        <v>109</v>
      </c>
      <c r="C49" s="320" t="s">
        <v>108</v>
      </c>
      <c r="D49" s="245" t="s">
        <v>15</v>
      </c>
      <c r="E49" s="321">
        <f>0.12*0.12</f>
        <v>1.44E-2</v>
      </c>
      <c r="F49" s="322">
        <f>F46*E49</f>
        <v>0</v>
      </c>
      <c r="G49" s="323"/>
      <c r="H49" s="261"/>
      <c r="I49" s="324"/>
      <c r="J49" s="261"/>
      <c r="K49" s="324"/>
      <c r="L49" s="261"/>
      <c r="M49" s="261"/>
      <c r="N49" s="28"/>
    </row>
    <row r="50" spans="1:14" ht="31.5" hidden="1" x14ac:dyDescent="0.25">
      <c r="A50" s="512"/>
      <c r="B50" s="309"/>
      <c r="C50" s="279" t="s">
        <v>29</v>
      </c>
      <c r="D50" s="277" t="s">
        <v>25</v>
      </c>
      <c r="E50" s="278">
        <v>74.2</v>
      </c>
      <c r="F50" s="316">
        <f>F49*E50</f>
        <v>0</v>
      </c>
      <c r="G50" s="317"/>
      <c r="H50" s="261"/>
      <c r="I50" s="261">
        <v>4.5999999999999996</v>
      </c>
      <c r="J50" s="261">
        <f>F50*I50</f>
        <v>0</v>
      </c>
      <c r="K50" s="261"/>
      <c r="L50" s="261"/>
      <c r="M50" s="261">
        <f t="shared" si="2"/>
        <v>0</v>
      </c>
      <c r="N50" s="28"/>
    </row>
    <row r="51" spans="1:14" ht="15.75" hidden="1" x14ac:dyDescent="0.25">
      <c r="A51" s="512"/>
      <c r="B51" s="309"/>
      <c r="C51" s="279" t="s">
        <v>31</v>
      </c>
      <c r="D51" s="277" t="s">
        <v>21</v>
      </c>
      <c r="E51" s="278">
        <v>1.1000000000000001</v>
      </c>
      <c r="F51" s="316">
        <f>F49*E51</f>
        <v>0</v>
      </c>
      <c r="G51" s="317"/>
      <c r="H51" s="261"/>
      <c r="I51" s="261"/>
      <c r="J51" s="261"/>
      <c r="K51" s="261"/>
      <c r="L51" s="261">
        <f>F51*K51</f>
        <v>0</v>
      </c>
      <c r="M51" s="261">
        <f t="shared" si="2"/>
        <v>0</v>
      </c>
      <c r="N51" s="28"/>
    </row>
    <row r="52" spans="1:14" ht="31.5" hidden="1" x14ac:dyDescent="0.25">
      <c r="A52" s="512"/>
      <c r="B52" s="309"/>
      <c r="C52" s="306" t="s">
        <v>321</v>
      </c>
      <c r="D52" s="277" t="s">
        <v>14</v>
      </c>
      <c r="E52" s="278">
        <v>1.04</v>
      </c>
      <c r="F52" s="316">
        <f>F49*E52</f>
        <v>0</v>
      </c>
      <c r="G52" s="317"/>
      <c r="H52" s="261">
        <f>F52*G52</f>
        <v>0</v>
      </c>
      <c r="I52" s="261"/>
      <c r="J52" s="261"/>
      <c r="K52" s="261"/>
      <c r="L52" s="261"/>
      <c r="M52" s="261">
        <f t="shared" si="2"/>
        <v>0</v>
      </c>
      <c r="N52" s="28"/>
    </row>
    <row r="53" spans="1:14" ht="15.75" hidden="1" x14ac:dyDescent="0.25">
      <c r="A53" s="512"/>
      <c r="B53" s="309"/>
      <c r="C53" s="279" t="s">
        <v>110</v>
      </c>
      <c r="D53" s="277" t="s">
        <v>16</v>
      </c>
      <c r="E53" s="278">
        <v>5.9</v>
      </c>
      <c r="F53" s="316">
        <f>F49*E53</f>
        <v>0</v>
      </c>
      <c r="G53" s="317"/>
      <c r="H53" s="261">
        <f>F53*G53</f>
        <v>0</v>
      </c>
      <c r="I53" s="261"/>
      <c r="J53" s="261"/>
      <c r="K53" s="261"/>
      <c r="L53" s="261"/>
      <c r="M53" s="261">
        <f t="shared" si="2"/>
        <v>0</v>
      </c>
    </row>
    <row r="54" spans="1:14" ht="15.75" hidden="1" x14ac:dyDescent="0.25">
      <c r="A54" s="512"/>
      <c r="B54" s="309"/>
      <c r="C54" s="279" t="s">
        <v>173</v>
      </c>
      <c r="D54" s="277" t="s">
        <v>14</v>
      </c>
      <c r="E54" s="278">
        <f>0.21+0.18</f>
        <v>0.39</v>
      </c>
      <c r="F54" s="316">
        <f>F49*E54</f>
        <v>0</v>
      </c>
      <c r="G54" s="317"/>
      <c r="H54" s="261">
        <f>F54*G54</f>
        <v>0</v>
      </c>
      <c r="I54" s="261"/>
      <c r="J54" s="261"/>
      <c r="K54" s="261"/>
      <c r="L54" s="261"/>
      <c r="M54" s="261">
        <f t="shared" si="2"/>
        <v>0</v>
      </c>
    </row>
    <row r="55" spans="1:14" ht="15.75" hidden="1" x14ac:dyDescent="0.25">
      <c r="A55" s="512"/>
      <c r="B55" s="309"/>
      <c r="C55" s="279" t="s">
        <v>28</v>
      </c>
      <c r="D55" s="277" t="s">
        <v>21</v>
      </c>
      <c r="E55" s="278">
        <v>0</v>
      </c>
      <c r="F55" s="316">
        <f>F49*E55</f>
        <v>0</v>
      </c>
      <c r="G55" s="317"/>
      <c r="H55" s="261">
        <f>F55*G55</f>
        <v>0</v>
      </c>
      <c r="I55" s="261"/>
      <c r="J55" s="261"/>
      <c r="K55" s="261"/>
      <c r="L55" s="261"/>
      <c r="M55" s="261">
        <f t="shared" si="2"/>
        <v>0</v>
      </c>
    </row>
    <row r="56" spans="1:14" ht="31.5" x14ac:dyDescent="0.25">
      <c r="A56" s="479" t="s">
        <v>195</v>
      </c>
      <c r="B56" s="242" t="s">
        <v>146</v>
      </c>
      <c r="C56" s="247" t="s">
        <v>141</v>
      </c>
      <c r="D56" s="242" t="s">
        <v>142</v>
      </c>
      <c r="E56" s="131"/>
      <c r="F56" s="139">
        <f>(F12+F18)/100</f>
        <v>0.3</v>
      </c>
      <c r="G56" s="172"/>
      <c r="H56" s="59"/>
      <c r="I56" s="172"/>
      <c r="J56" s="59"/>
      <c r="K56" s="172"/>
      <c r="L56" s="59"/>
      <c r="M56" s="59"/>
    </row>
    <row r="57" spans="1:14" ht="20.25" customHeight="1" x14ac:dyDescent="0.25">
      <c r="A57" s="479"/>
      <c r="B57" s="243"/>
      <c r="C57" s="107" t="s">
        <v>97</v>
      </c>
      <c r="D57" s="243" t="s">
        <v>98</v>
      </c>
      <c r="E57" s="35">
        <v>5.16</v>
      </c>
      <c r="F57" s="55">
        <f>F56*E57</f>
        <v>1.548</v>
      </c>
      <c r="G57" s="57"/>
      <c r="H57" s="59"/>
      <c r="I57" s="57"/>
      <c r="J57" s="59">
        <f>F57*I57</f>
        <v>0</v>
      </c>
      <c r="K57" s="57"/>
      <c r="L57" s="59"/>
      <c r="M57" s="59">
        <f>H57+J57+L57</f>
        <v>0</v>
      </c>
    </row>
    <row r="58" spans="1:14" ht="15.75" x14ac:dyDescent="0.25">
      <c r="A58" s="479"/>
      <c r="B58" s="243"/>
      <c r="C58" s="97" t="s">
        <v>103</v>
      </c>
      <c r="D58" s="243" t="s">
        <v>99</v>
      </c>
      <c r="E58" s="35">
        <v>0</v>
      </c>
      <c r="F58" s="55">
        <f>F56*E58</f>
        <v>0</v>
      </c>
      <c r="G58" s="57"/>
      <c r="H58" s="59"/>
      <c r="I58" s="57"/>
      <c r="J58" s="59"/>
      <c r="K58" s="57"/>
      <c r="L58" s="59">
        <f>F58*K58</f>
        <v>0</v>
      </c>
      <c r="M58" s="59">
        <f>H58+J58+L58</f>
        <v>0</v>
      </c>
    </row>
    <row r="59" spans="1:14" ht="15.75" x14ac:dyDescent="0.25">
      <c r="A59" s="479"/>
      <c r="B59" s="243"/>
      <c r="C59" s="107" t="s">
        <v>143</v>
      </c>
      <c r="D59" s="243" t="s">
        <v>14</v>
      </c>
      <c r="E59" s="35">
        <v>1</v>
      </c>
      <c r="F59" s="55">
        <f>F56*E59</f>
        <v>0.3</v>
      </c>
      <c r="G59" s="57"/>
      <c r="H59" s="59">
        <f>F59*G59</f>
        <v>0</v>
      </c>
      <c r="I59" s="57"/>
      <c r="J59" s="59"/>
      <c r="K59" s="57"/>
      <c r="L59" s="59"/>
      <c r="M59" s="59">
        <f>H59+J59+L59</f>
        <v>0</v>
      </c>
    </row>
    <row r="60" spans="1:14" ht="15.75" x14ac:dyDescent="0.25">
      <c r="A60" s="480"/>
      <c r="B60" s="243"/>
      <c r="C60" s="107" t="s">
        <v>28</v>
      </c>
      <c r="D60" s="243" t="s">
        <v>21</v>
      </c>
      <c r="E60" s="35">
        <v>0.11</v>
      </c>
      <c r="F60" s="55">
        <f>F56*E60</f>
        <v>3.3000000000000002E-2</v>
      </c>
      <c r="G60" s="57"/>
      <c r="H60" s="59">
        <f>F60*G60</f>
        <v>0</v>
      </c>
      <c r="I60" s="57"/>
      <c r="J60" s="59"/>
      <c r="K60" s="57"/>
      <c r="L60" s="59"/>
      <c r="M60" s="59">
        <f>H60+J60+L60</f>
        <v>0</v>
      </c>
    </row>
    <row r="61" spans="1:14" ht="47.25" x14ac:dyDescent="0.25">
      <c r="A61" s="471" t="s">
        <v>45</v>
      </c>
      <c r="B61" s="241" t="s">
        <v>140</v>
      </c>
      <c r="C61" s="249" t="s">
        <v>139</v>
      </c>
      <c r="D61" s="241" t="s">
        <v>71</v>
      </c>
      <c r="E61" s="41"/>
      <c r="F61" s="56">
        <v>1</v>
      </c>
      <c r="G61" s="59"/>
      <c r="H61" s="59"/>
      <c r="I61" s="59"/>
      <c r="J61" s="59"/>
      <c r="K61" s="59"/>
      <c r="L61" s="59"/>
      <c r="M61" s="59"/>
    </row>
    <row r="62" spans="1:14" ht="19.5" customHeight="1" x14ac:dyDescent="0.25">
      <c r="A62" s="472"/>
      <c r="B62" s="241"/>
      <c r="C62" s="97" t="s">
        <v>97</v>
      </c>
      <c r="D62" s="243" t="s">
        <v>98</v>
      </c>
      <c r="E62" s="35">
        <v>4.9800000000000004</v>
      </c>
      <c r="F62" s="55">
        <f>F61*E62</f>
        <v>4.9800000000000004</v>
      </c>
      <c r="G62" s="57"/>
      <c r="H62" s="59"/>
      <c r="I62" s="57"/>
      <c r="J62" s="59">
        <f>F62*I62</f>
        <v>0</v>
      </c>
      <c r="K62" s="57"/>
      <c r="L62" s="59"/>
      <c r="M62" s="59">
        <f t="shared" si="2"/>
        <v>0</v>
      </c>
    </row>
    <row r="63" spans="1:14" ht="15.75" x14ac:dyDescent="0.25">
      <c r="A63" s="472"/>
      <c r="B63" s="241"/>
      <c r="C63" s="97" t="s">
        <v>103</v>
      </c>
      <c r="D63" s="243" t="s">
        <v>99</v>
      </c>
      <c r="E63" s="35">
        <v>0.08</v>
      </c>
      <c r="F63" s="55">
        <f>F61*E63</f>
        <v>0.08</v>
      </c>
      <c r="G63" s="57"/>
      <c r="H63" s="59"/>
      <c r="I63" s="57"/>
      <c r="J63" s="59"/>
      <c r="K63" s="57"/>
      <c r="L63" s="59">
        <f>F63*K63</f>
        <v>0</v>
      </c>
      <c r="M63" s="59">
        <f t="shared" si="2"/>
        <v>0</v>
      </c>
    </row>
    <row r="64" spans="1:14" ht="15.75" x14ac:dyDescent="0.25">
      <c r="A64" s="473"/>
      <c r="B64" s="241"/>
      <c r="C64" s="97" t="s">
        <v>119</v>
      </c>
      <c r="D64" s="243" t="s">
        <v>99</v>
      </c>
      <c r="E64" s="35">
        <v>0.23</v>
      </c>
      <c r="F64" s="55">
        <f>F61*E64</f>
        <v>0.23</v>
      </c>
      <c r="G64" s="57"/>
      <c r="H64" s="59">
        <f>F64*G64</f>
        <v>0</v>
      </c>
      <c r="I64" s="57"/>
      <c r="J64" s="59"/>
      <c r="K64" s="57"/>
      <c r="L64" s="59"/>
      <c r="M64" s="59">
        <f t="shared" si="2"/>
        <v>0</v>
      </c>
    </row>
    <row r="65" spans="1:13" ht="15.75" x14ac:dyDescent="0.25">
      <c r="A65" s="75"/>
      <c r="B65" s="243"/>
      <c r="C65" s="107"/>
      <c r="D65" s="243"/>
      <c r="E65" s="35"/>
      <c r="F65" s="55"/>
      <c r="G65" s="65"/>
      <c r="H65" s="57"/>
      <c r="I65" s="65"/>
      <c r="J65" s="57"/>
      <c r="K65" s="65"/>
      <c r="L65" s="57"/>
      <c r="M65" s="57"/>
    </row>
    <row r="66" spans="1:13" ht="31.5" x14ac:dyDescent="0.25">
      <c r="A66" s="9"/>
      <c r="B66" s="305"/>
      <c r="C66" s="144" t="s">
        <v>129</v>
      </c>
      <c r="D66" s="305"/>
      <c r="E66" s="307"/>
      <c r="F66" s="260"/>
      <c r="G66" s="261"/>
      <c r="H66" s="261"/>
      <c r="I66" s="261"/>
      <c r="J66" s="261"/>
      <c r="K66" s="261"/>
      <c r="L66" s="261"/>
      <c r="M66" s="261"/>
    </row>
    <row r="67" spans="1:13" ht="36.75" customHeight="1" x14ac:dyDescent="0.25">
      <c r="A67" s="514">
        <v>1</v>
      </c>
      <c r="B67" s="309" t="s">
        <v>147</v>
      </c>
      <c r="C67" s="310" t="s">
        <v>130</v>
      </c>
      <c r="D67" s="309" t="s">
        <v>11</v>
      </c>
      <c r="E67" s="311"/>
      <c r="F67" s="311">
        <v>20</v>
      </c>
      <c r="G67" s="325"/>
      <c r="H67" s="261"/>
      <c r="I67" s="325"/>
      <c r="J67" s="261"/>
      <c r="K67" s="325"/>
      <c r="L67" s="261"/>
      <c r="M67" s="261"/>
    </row>
    <row r="68" spans="1:13" ht="15.75" x14ac:dyDescent="0.25">
      <c r="A68" s="515"/>
      <c r="B68" s="309"/>
      <c r="C68" s="164" t="s">
        <v>23</v>
      </c>
      <c r="D68" s="225" t="s">
        <v>90</v>
      </c>
      <c r="E68" s="105">
        <v>0.60899999999999999</v>
      </c>
      <c r="F68" s="105">
        <f>F67*E68</f>
        <v>12.18</v>
      </c>
      <c r="G68" s="308"/>
      <c r="H68" s="261"/>
      <c r="I68" s="308"/>
      <c r="J68" s="261">
        <f>F68*I68</f>
        <v>0</v>
      </c>
      <c r="K68" s="308"/>
      <c r="L68" s="261"/>
      <c r="M68" s="261">
        <f t="shared" ref="M68:M97" si="5">H68+J68+L68</f>
        <v>0</v>
      </c>
    </row>
    <row r="69" spans="1:13" ht="15.75" x14ac:dyDescent="0.25">
      <c r="A69" s="515"/>
      <c r="B69" s="309"/>
      <c r="C69" s="164" t="s">
        <v>107</v>
      </c>
      <c r="D69" s="225" t="s">
        <v>121</v>
      </c>
      <c r="E69" s="105">
        <v>2.0999999999999999E-3</v>
      </c>
      <c r="F69" s="105">
        <f>F67*E69</f>
        <v>4.1999999999999996E-2</v>
      </c>
      <c r="G69" s="308"/>
      <c r="H69" s="261"/>
      <c r="I69" s="308"/>
      <c r="J69" s="261"/>
      <c r="K69" s="308"/>
      <c r="L69" s="261">
        <f>F69*K69</f>
        <v>0</v>
      </c>
      <c r="M69" s="261">
        <f t="shared" si="5"/>
        <v>0</v>
      </c>
    </row>
    <row r="70" spans="1:13" ht="15.75" x14ac:dyDescent="0.25">
      <c r="A70" s="515"/>
      <c r="B70" s="309"/>
      <c r="C70" s="164" t="s">
        <v>197</v>
      </c>
      <c r="D70" s="225" t="s">
        <v>132</v>
      </c>
      <c r="E70" s="105">
        <v>1</v>
      </c>
      <c r="F70" s="105">
        <f>F67*E70</f>
        <v>20</v>
      </c>
      <c r="G70" s="308"/>
      <c r="H70" s="261">
        <f t="shared" ref="H70:H97" si="6">F70*G70</f>
        <v>0</v>
      </c>
      <c r="I70" s="308"/>
      <c r="J70" s="261"/>
      <c r="K70" s="308"/>
      <c r="L70" s="261"/>
      <c r="M70" s="261">
        <f t="shared" si="5"/>
        <v>0</v>
      </c>
    </row>
    <row r="71" spans="1:13" ht="15.75" x14ac:dyDescent="0.25">
      <c r="A71" s="515"/>
      <c r="B71" s="309"/>
      <c r="C71" s="326" t="s">
        <v>133</v>
      </c>
      <c r="D71" s="327" t="s">
        <v>134</v>
      </c>
      <c r="E71" s="328">
        <f>14*0.01</f>
        <v>0.14000000000000001</v>
      </c>
      <c r="F71" s="328">
        <f>E71*F67</f>
        <v>2.8000000000000003</v>
      </c>
      <c r="G71" s="329"/>
      <c r="H71" s="261">
        <f t="shared" si="6"/>
        <v>0</v>
      </c>
      <c r="I71" s="329"/>
      <c r="J71" s="261"/>
      <c r="K71" s="329"/>
      <c r="L71" s="261"/>
      <c r="M71" s="261">
        <f t="shared" si="5"/>
        <v>0</v>
      </c>
    </row>
    <row r="72" spans="1:13" ht="15.75" x14ac:dyDescent="0.25">
      <c r="A72" s="516"/>
      <c r="B72" s="309"/>
      <c r="C72" s="164" t="s">
        <v>28</v>
      </c>
      <c r="D72" s="225" t="s">
        <v>121</v>
      </c>
      <c r="E72" s="105">
        <v>0.156</v>
      </c>
      <c r="F72" s="105">
        <f>F67*E72</f>
        <v>3.12</v>
      </c>
      <c r="G72" s="308"/>
      <c r="H72" s="261">
        <f t="shared" si="6"/>
        <v>0</v>
      </c>
      <c r="I72" s="308"/>
      <c r="J72" s="261"/>
      <c r="K72" s="308"/>
      <c r="L72" s="261"/>
      <c r="M72" s="261">
        <f t="shared" si="5"/>
        <v>0</v>
      </c>
    </row>
    <row r="73" spans="1:13" ht="47.25" x14ac:dyDescent="0.25">
      <c r="A73" s="514">
        <v>2</v>
      </c>
      <c r="B73" s="309" t="s">
        <v>136</v>
      </c>
      <c r="C73" s="310" t="s">
        <v>135</v>
      </c>
      <c r="D73" s="309" t="s">
        <v>11</v>
      </c>
      <c r="E73" s="311"/>
      <c r="F73" s="311">
        <v>12</v>
      </c>
      <c r="G73" s="325"/>
      <c r="H73" s="261"/>
      <c r="I73" s="325"/>
      <c r="J73" s="261"/>
      <c r="K73" s="325"/>
      <c r="L73" s="261"/>
      <c r="M73" s="261"/>
    </row>
    <row r="74" spans="1:13" ht="15.75" x14ac:dyDescent="0.25">
      <c r="A74" s="515"/>
      <c r="B74" s="309"/>
      <c r="C74" s="164" t="s">
        <v>23</v>
      </c>
      <c r="D74" s="225" t="s">
        <v>90</v>
      </c>
      <c r="E74" s="105">
        <f>58.3*0.01</f>
        <v>0.58299999999999996</v>
      </c>
      <c r="F74" s="105">
        <f>F73*E74</f>
        <v>6.9959999999999996</v>
      </c>
      <c r="G74" s="308"/>
      <c r="H74" s="261"/>
      <c r="I74" s="308"/>
      <c r="J74" s="261">
        <f>F74*I74</f>
        <v>0</v>
      </c>
      <c r="K74" s="308"/>
      <c r="L74" s="261"/>
      <c r="M74" s="261">
        <f t="shared" si="5"/>
        <v>0</v>
      </c>
    </row>
    <row r="75" spans="1:13" ht="15.75" x14ac:dyDescent="0.25">
      <c r="A75" s="515"/>
      <c r="B75" s="309"/>
      <c r="C75" s="164" t="s">
        <v>107</v>
      </c>
      <c r="D75" s="225" t="s">
        <v>121</v>
      </c>
      <c r="E75" s="105">
        <f>0.46*0.01</f>
        <v>4.5999999999999999E-3</v>
      </c>
      <c r="F75" s="105">
        <f>F73*E75</f>
        <v>5.5199999999999999E-2</v>
      </c>
      <c r="G75" s="308"/>
      <c r="H75" s="261"/>
      <c r="I75" s="308"/>
      <c r="J75" s="261"/>
      <c r="K75" s="308"/>
      <c r="L75" s="261">
        <f>F75*K75</f>
        <v>0</v>
      </c>
      <c r="M75" s="261">
        <f t="shared" si="5"/>
        <v>0</v>
      </c>
    </row>
    <row r="76" spans="1:13" ht="15.75" x14ac:dyDescent="0.25">
      <c r="A76" s="515"/>
      <c r="B76" s="309"/>
      <c r="C76" s="164" t="s">
        <v>131</v>
      </c>
      <c r="D76" s="225" t="s">
        <v>132</v>
      </c>
      <c r="E76" s="105">
        <v>1</v>
      </c>
      <c r="F76" s="105">
        <f>F73*E76</f>
        <v>12</v>
      </c>
      <c r="G76" s="308"/>
      <c r="H76" s="261">
        <f t="shared" si="6"/>
        <v>0</v>
      </c>
      <c r="I76" s="308"/>
      <c r="J76" s="261"/>
      <c r="K76" s="308"/>
      <c r="L76" s="261"/>
      <c r="M76" s="261">
        <f t="shared" si="5"/>
        <v>0</v>
      </c>
    </row>
    <row r="77" spans="1:13" ht="15.75" x14ac:dyDescent="0.25">
      <c r="A77" s="515"/>
      <c r="B77" s="309"/>
      <c r="C77" s="326" t="s">
        <v>133</v>
      </c>
      <c r="D77" s="327" t="s">
        <v>134</v>
      </c>
      <c r="E77" s="328">
        <f>23*0.01</f>
        <v>0.23</v>
      </c>
      <c r="F77" s="328">
        <f>E77*F73</f>
        <v>2.7600000000000002</v>
      </c>
      <c r="G77" s="329"/>
      <c r="H77" s="261">
        <f t="shared" si="6"/>
        <v>0</v>
      </c>
      <c r="I77" s="329"/>
      <c r="J77" s="261"/>
      <c r="K77" s="329"/>
      <c r="L77" s="261"/>
      <c r="M77" s="261">
        <f t="shared" si="5"/>
        <v>0</v>
      </c>
    </row>
    <row r="78" spans="1:13" ht="15.75" x14ac:dyDescent="0.25">
      <c r="A78" s="516"/>
      <c r="B78" s="309"/>
      <c r="C78" s="164" t="s">
        <v>28</v>
      </c>
      <c r="D78" s="225" t="s">
        <v>121</v>
      </c>
      <c r="E78" s="105">
        <f>20.8*0.01</f>
        <v>0.20800000000000002</v>
      </c>
      <c r="F78" s="105">
        <f>F73*E78</f>
        <v>2.4960000000000004</v>
      </c>
      <c r="G78" s="308"/>
      <c r="H78" s="261">
        <f t="shared" si="6"/>
        <v>0</v>
      </c>
      <c r="I78" s="308"/>
      <c r="J78" s="261"/>
      <c r="K78" s="308"/>
      <c r="L78" s="261"/>
      <c r="M78" s="261">
        <f t="shared" si="5"/>
        <v>0</v>
      </c>
    </row>
    <row r="79" spans="1:13" ht="20.25" customHeight="1" x14ac:dyDescent="0.25">
      <c r="A79" s="514">
        <v>3</v>
      </c>
      <c r="B79" s="309" t="s">
        <v>127</v>
      </c>
      <c r="C79" s="310" t="s">
        <v>128</v>
      </c>
      <c r="D79" s="309" t="s">
        <v>79</v>
      </c>
      <c r="E79" s="311"/>
      <c r="F79" s="311">
        <f>F82</f>
        <v>2</v>
      </c>
      <c r="G79" s="325"/>
      <c r="H79" s="261"/>
      <c r="I79" s="325"/>
      <c r="J79" s="261"/>
      <c r="K79" s="325"/>
      <c r="L79" s="261"/>
      <c r="M79" s="261"/>
    </row>
    <row r="80" spans="1:13" ht="21.75" customHeight="1" x14ac:dyDescent="0.25">
      <c r="A80" s="515"/>
      <c r="B80" s="309"/>
      <c r="C80" s="164" t="s">
        <v>23</v>
      </c>
      <c r="D80" s="225" t="s">
        <v>25</v>
      </c>
      <c r="E80" s="105">
        <v>0.46</v>
      </c>
      <c r="F80" s="105">
        <f>F79*E80</f>
        <v>0.92</v>
      </c>
      <c r="G80" s="308"/>
      <c r="H80" s="261"/>
      <c r="I80" s="308"/>
      <c r="J80" s="261">
        <f>F80*I80</f>
        <v>0</v>
      </c>
      <c r="K80" s="308"/>
      <c r="L80" s="261"/>
      <c r="M80" s="261">
        <f t="shared" si="5"/>
        <v>0</v>
      </c>
    </row>
    <row r="81" spans="1:13" ht="15.75" x14ac:dyDescent="0.25">
      <c r="A81" s="515"/>
      <c r="B81" s="309"/>
      <c r="C81" s="164" t="s">
        <v>107</v>
      </c>
      <c r="D81" s="225" t="s">
        <v>121</v>
      </c>
      <c r="E81" s="105">
        <v>0.02</v>
      </c>
      <c r="F81" s="105">
        <f>F79*E81</f>
        <v>0.04</v>
      </c>
      <c r="G81" s="308"/>
      <c r="H81" s="261"/>
      <c r="I81" s="308"/>
      <c r="J81" s="261"/>
      <c r="K81" s="308"/>
      <c r="L81" s="261">
        <f>F81*K81</f>
        <v>0</v>
      </c>
      <c r="M81" s="261">
        <f t="shared" si="5"/>
        <v>0</v>
      </c>
    </row>
    <row r="82" spans="1:13" ht="21.75" customHeight="1" x14ac:dyDescent="0.25">
      <c r="A82" s="515"/>
      <c r="B82" s="309" t="s">
        <v>169</v>
      </c>
      <c r="C82" s="164" t="s">
        <v>168</v>
      </c>
      <c r="D82" s="225" t="s">
        <v>79</v>
      </c>
      <c r="E82" s="105">
        <v>1</v>
      </c>
      <c r="F82" s="105">
        <v>2</v>
      </c>
      <c r="G82" s="308"/>
      <c r="H82" s="261">
        <f t="shared" si="6"/>
        <v>0</v>
      </c>
      <c r="I82" s="308"/>
      <c r="J82" s="261"/>
      <c r="K82" s="308"/>
      <c r="L82" s="261"/>
      <c r="M82" s="261">
        <f t="shared" si="5"/>
        <v>0</v>
      </c>
    </row>
    <row r="83" spans="1:13" ht="15.75" x14ac:dyDescent="0.25">
      <c r="A83" s="516"/>
      <c r="B83" s="309"/>
      <c r="C83" s="164" t="s">
        <v>28</v>
      </c>
      <c r="D83" s="225" t="s">
        <v>121</v>
      </c>
      <c r="E83" s="105">
        <v>0.11</v>
      </c>
      <c r="F83" s="105">
        <f>F79*E83</f>
        <v>0.22</v>
      </c>
      <c r="G83" s="308"/>
      <c r="H83" s="261">
        <f t="shared" si="6"/>
        <v>0</v>
      </c>
      <c r="I83" s="308"/>
      <c r="J83" s="261"/>
      <c r="K83" s="308"/>
      <c r="L83" s="261"/>
      <c r="M83" s="261">
        <f t="shared" si="5"/>
        <v>0</v>
      </c>
    </row>
    <row r="84" spans="1:13" ht="21.75" customHeight="1" x14ac:dyDescent="0.25">
      <c r="A84" s="514">
        <v>4</v>
      </c>
      <c r="B84" s="309" t="s">
        <v>137</v>
      </c>
      <c r="C84" s="310" t="s">
        <v>138</v>
      </c>
      <c r="D84" s="309" t="s">
        <v>79</v>
      </c>
      <c r="E84" s="311"/>
      <c r="F84" s="311">
        <v>30</v>
      </c>
      <c r="G84" s="325"/>
      <c r="H84" s="261"/>
      <c r="I84" s="325"/>
      <c r="J84" s="261"/>
      <c r="K84" s="325"/>
      <c r="L84" s="261"/>
      <c r="M84" s="261"/>
    </row>
    <row r="85" spans="1:13" ht="15.75" x14ac:dyDescent="0.25">
      <c r="A85" s="515"/>
      <c r="B85" s="309"/>
      <c r="C85" s="164" t="s">
        <v>23</v>
      </c>
      <c r="D85" s="225" t="s">
        <v>90</v>
      </c>
      <c r="E85" s="105">
        <v>2.67</v>
      </c>
      <c r="F85" s="105">
        <f>F84*E85</f>
        <v>80.099999999999994</v>
      </c>
      <c r="G85" s="308"/>
      <c r="H85" s="261"/>
      <c r="I85" s="308"/>
      <c r="J85" s="261">
        <f>F85*I85</f>
        <v>0</v>
      </c>
      <c r="K85" s="308"/>
      <c r="L85" s="261"/>
      <c r="M85" s="261">
        <f t="shared" si="5"/>
        <v>0</v>
      </c>
    </row>
    <row r="86" spans="1:13" ht="15.75" x14ac:dyDescent="0.25">
      <c r="A86" s="515"/>
      <c r="B86" s="309"/>
      <c r="C86" s="164" t="s">
        <v>107</v>
      </c>
      <c r="D86" s="225" t="s">
        <v>121</v>
      </c>
      <c r="E86" s="105">
        <v>0.28999999999999998</v>
      </c>
      <c r="F86" s="105">
        <f>F84*E86</f>
        <v>8.6999999999999993</v>
      </c>
      <c r="G86" s="308"/>
      <c r="H86" s="261"/>
      <c r="I86" s="308"/>
      <c r="J86" s="261"/>
      <c r="K86" s="308"/>
      <c r="L86" s="261">
        <f>F86*K86</f>
        <v>0</v>
      </c>
      <c r="M86" s="261">
        <f t="shared" si="5"/>
        <v>0</v>
      </c>
    </row>
    <row r="87" spans="1:13" ht="31.5" x14ac:dyDescent="0.25">
      <c r="A87" s="515"/>
      <c r="B87" s="309"/>
      <c r="C87" s="164" t="s">
        <v>338</v>
      </c>
      <c r="D87" s="225" t="s">
        <v>13</v>
      </c>
      <c r="E87" s="105"/>
      <c r="F87" s="105">
        <f>F84</f>
        <v>30</v>
      </c>
      <c r="G87" s="308"/>
      <c r="H87" s="261">
        <f t="shared" si="6"/>
        <v>0</v>
      </c>
      <c r="I87" s="308"/>
      <c r="J87" s="261"/>
      <c r="K87" s="308"/>
      <c r="L87" s="261"/>
      <c r="M87" s="261">
        <f t="shared" si="5"/>
        <v>0</v>
      </c>
    </row>
    <row r="88" spans="1:13" ht="18" hidden="1" x14ac:dyDescent="0.25">
      <c r="A88" s="515"/>
      <c r="B88" s="309"/>
      <c r="C88" s="306" t="s">
        <v>256</v>
      </c>
      <c r="D88" s="305" t="s">
        <v>13</v>
      </c>
      <c r="E88" s="307"/>
      <c r="F88" s="105"/>
      <c r="G88" s="308"/>
      <c r="H88" s="261">
        <f t="shared" si="6"/>
        <v>0</v>
      </c>
      <c r="I88" s="308"/>
      <c r="J88" s="261"/>
      <c r="K88" s="261"/>
      <c r="L88" s="261"/>
      <c r="M88" s="261">
        <f t="shared" si="5"/>
        <v>0</v>
      </c>
    </row>
    <row r="89" spans="1:13" ht="18" hidden="1" x14ac:dyDescent="0.25">
      <c r="A89" s="515"/>
      <c r="B89" s="309"/>
      <c r="C89" s="306" t="s">
        <v>257</v>
      </c>
      <c r="D89" s="305" t="s">
        <v>13</v>
      </c>
      <c r="E89" s="307"/>
      <c r="F89" s="105"/>
      <c r="G89" s="308"/>
      <c r="H89" s="261">
        <f t="shared" si="6"/>
        <v>0</v>
      </c>
      <c r="I89" s="308"/>
      <c r="J89" s="261"/>
      <c r="K89" s="261"/>
      <c r="L89" s="261"/>
      <c r="M89" s="261">
        <f t="shared" si="5"/>
        <v>0</v>
      </c>
    </row>
    <row r="90" spans="1:13" ht="18" hidden="1" x14ac:dyDescent="0.25">
      <c r="A90" s="515"/>
      <c r="B90" s="309"/>
      <c r="C90" s="306" t="s">
        <v>322</v>
      </c>
      <c r="D90" s="305" t="s">
        <v>13</v>
      </c>
      <c r="E90" s="307"/>
      <c r="F90" s="105"/>
      <c r="G90" s="308"/>
      <c r="H90" s="261">
        <f t="shared" si="6"/>
        <v>0</v>
      </c>
      <c r="I90" s="308"/>
      <c r="J90" s="261"/>
      <c r="K90" s="261"/>
      <c r="L90" s="261"/>
      <c r="M90" s="261">
        <f t="shared" si="5"/>
        <v>0</v>
      </c>
    </row>
    <row r="91" spans="1:13" ht="18" hidden="1" x14ac:dyDescent="0.25">
      <c r="A91" s="515"/>
      <c r="B91" s="309"/>
      <c r="C91" s="306" t="s">
        <v>323</v>
      </c>
      <c r="D91" s="305" t="s">
        <v>13</v>
      </c>
      <c r="E91" s="307"/>
      <c r="F91" s="105"/>
      <c r="G91" s="308"/>
      <c r="H91" s="261">
        <f t="shared" si="6"/>
        <v>0</v>
      </c>
      <c r="I91" s="308"/>
      <c r="J91" s="261"/>
      <c r="K91" s="261"/>
      <c r="L91" s="261"/>
      <c r="M91" s="261">
        <f t="shared" si="5"/>
        <v>0</v>
      </c>
    </row>
    <row r="92" spans="1:13" ht="18" hidden="1" x14ac:dyDescent="0.25">
      <c r="A92" s="515"/>
      <c r="B92" s="309"/>
      <c r="C92" s="306" t="s">
        <v>324</v>
      </c>
      <c r="D92" s="305" t="s">
        <v>13</v>
      </c>
      <c r="E92" s="307"/>
      <c r="F92" s="105"/>
      <c r="G92" s="308"/>
      <c r="H92" s="261">
        <f t="shared" si="6"/>
        <v>0</v>
      </c>
      <c r="I92" s="308"/>
      <c r="J92" s="261"/>
      <c r="K92" s="261"/>
      <c r="L92" s="261"/>
      <c r="M92" s="261">
        <f t="shared" si="5"/>
        <v>0</v>
      </c>
    </row>
    <row r="93" spans="1:13" ht="18" hidden="1" x14ac:dyDescent="0.25">
      <c r="A93" s="515"/>
      <c r="B93" s="309"/>
      <c r="C93" s="306" t="s">
        <v>258</v>
      </c>
      <c r="D93" s="305" t="s">
        <v>13</v>
      </c>
      <c r="E93" s="307"/>
      <c r="F93" s="105"/>
      <c r="G93" s="308"/>
      <c r="H93" s="261">
        <f t="shared" si="6"/>
        <v>0</v>
      </c>
      <c r="I93" s="308"/>
      <c r="J93" s="261"/>
      <c r="K93" s="261"/>
      <c r="L93" s="261"/>
      <c r="M93" s="261">
        <f t="shared" si="5"/>
        <v>0</v>
      </c>
    </row>
    <row r="94" spans="1:13" ht="18" hidden="1" x14ac:dyDescent="0.25">
      <c r="A94" s="515"/>
      <c r="B94" s="309"/>
      <c r="C94" s="306" t="s">
        <v>325</v>
      </c>
      <c r="D94" s="305" t="s">
        <v>13</v>
      </c>
      <c r="E94" s="307"/>
      <c r="F94" s="105"/>
      <c r="G94" s="308"/>
      <c r="H94" s="261">
        <f t="shared" si="6"/>
        <v>0</v>
      </c>
      <c r="I94" s="308"/>
      <c r="J94" s="261"/>
      <c r="K94" s="261"/>
      <c r="L94" s="261"/>
      <c r="M94" s="261">
        <f t="shared" si="5"/>
        <v>0</v>
      </c>
    </row>
    <row r="95" spans="1:13" ht="15.75" hidden="1" x14ac:dyDescent="0.25">
      <c r="A95" s="515"/>
      <c r="B95" s="309"/>
      <c r="C95" s="306" t="s">
        <v>326</v>
      </c>
      <c r="D95" s="305" t="s">
        <v>13</v>
      </c>
      <c r="E95" s="307"/>
      <c r="F95" s="105"/>
      <c r="G95" s="308"/>
      <c r="H95" s="261">
        <f t="shared" si="6"/>
        <v>0</v>
      </c>
      <c r="I95" s="308"/>
      <c r="J95" s="261"/>
      <c r="K95" s="261"/>
      <c r="L95" s="261"/>
      <c r="M95" s="261">
        <f t="shared" si="5"/>
        <v>0</v>
      </c>
    </row>
    <row r="96" spans="1:13" ht="15.75" hidden="1" x14ac:dyDescent="0.25">
      <c r="A96" s="515"/>
      <c r="B96" s="309"/>
      <c r="C96" s="306" t="s">
        <v>327</v>
      </c>
      <c r="D96" s="305" t="s">
        <v>13</v>
      </c>
      <c r="E96" s="307"/>
      <c r="F96" s="105"/>
      <c r="G96" s="308"/>
      <c r="H96" s="261">
        <f t="shared" si="6"/>
        <v>0</v>
      </c>
      <c r="I96" s="308"/>
      <c r="J96" s="261"/>
      <c r="K96" s="261"/>
      <c r="L96" s="261"/>
      <c r="M96" s="261">
        <f t="shared" si="5"/>
        <v>0</v>
      </c>
    </row>
    <row r="97" spans="1:13" ht="15.75" x14ac:dyDescent="0.25">
      <c r="A97" s="516"/>
      <c r="B97" s="309"/>
      <c r="C97" s="164" t="s">
        <v>28</v>
      </c>
      <c r="D97" s="225" t="s">
        <v>121</v>
      </c>
      <c r="E97" s="105">
        <v>0.2</v>
      </c>
      <c r="F97" s="105">
        <f>F84*E97</f>
        <v>6</v>
      </c>
      <c r="G97" s="308"/>
      <c r="H97" s="261">
        <f t="shared" si="6"/>
        <v>0</v>
      </c>
      <c r="I97" s="308"/>
      <c r="J97" s="261"/>
      <c r="K97" s="308"/>
      <c r="L97" s="261"/>
      <c r="M97" s="261">
        <f t="shared" si="5"/>
        <v>0</v>
      </c>
    </row>
    <row r="98" spans="1:13" ht="15.75" hidden="1" x14ac:dyDescent="0.25">
      <c r="A98" s="514">
        <v>5</v>
      </c>
      <c r="B98" s="309" t="s">
        <v>104</v>
      </c>
      <c r="C98" s="310" t="s">
        <v>105</v>
      </c>
      <c r="D98" s="309" t="s">
        <v>106</v>
      </c>
      <c r="E98" s="311"/>
      <c r="F98" s="311">
        <v>0</v>
      </c>
      <c r="G98" s="216"/>
      <c r="H98" s="261"/>
      <c r="I98" s="261"/>
      <c r="J98" s="261"/>
      <c r="K98" s="261"/>
      <c r="L98" s="261"/>
      <c r="M98" s="261"/>
    </row>
    <row r="99" spans="1:13" ht="15.75" hidden="1" x14ac:dyDescent="0.25">
      <c r="A99" s="515"/>
      <c r="B99" s="309"/>
      <c r="C99" s="312" t="s">
        <v>23</v>
      </c>
      <c r="D99" s="313" t="s">
        <v>90</v>
      </c>
      <c r="E99" s="314">
        <v>1.002</v>
      </c>
      <c r="F99" s="314">
        <f>F98*E99</f>
        <v>0</v>
      </c>
      <c r="G99" s="216"/>
      <c r="H99" s="261"/>
      <c r="I99" s="261">
        <v>4.5999999999999996</v>
      </c>
      <c r="J99" s="261">
        <f>F99*I99</f>
        <v>0</v>
      </c>
      <c r="K99" s="261"/>
      <c r="L99" s="261"/>
      <c r="M99" s="261">
        <f t="shared" ref="M99:M107" si="7">H99+J99+L99</f>
        <v>0</v>
      </c>
    </row>
    <row r="100" spans="1:13" ht="15.75" hidden="1" x14ac:dyDescent="0.25">
      <c r="A100" s="516"/>
      <c r="B100" s="309"/>
      <c r="C100" s="312" t="s">
        <v>107</v>
      </c>
      <c r="D100" s="313" t="s">
        <v>21</v>
      </c>
      <c r="E100" s="314">
        <v>0.49340000000000001</v>
      </c>
      <c r="F100" s="314">
        <f>F98*E100</f>
        <v>0</v>
      </c>
      <c r="G100" s="216"/>
      <c r="H100" s="261"/>
      <c r="I100" s="261"/>
      <c r="J100" s="261"/>
      <c r="K100" s="261">
        <v>3.2</v>
      </c>
      <c r="L100" s="261">
        <f>F100*K100</f>
        <v>0</v>
      </c>
      <c r="M100" s="261">
        <f t="shared" si="7"/>
        <v>0</v>
      </c>
    </row>
    <row r="101" spans="1:13" ht="31.5" hidden="1" x14ac:dyDescent="0.25">
      <c r="A101" s="514">
        <v>6</v>
      </c>
      <c r="B101" s="309" t="s">
        <v>109</v>
      </c>
      <c r="C101" s="310" t="s">
        <v>108</v>
      </c>
      <c r="D101" s="225" t="s">
        <v>15</v>
      </c>
      <c r="E101" s="315">
        <f>0.12*0.12</f>
        <v>1.44E-2</v>
      </c>
      <c r="F101" s="311">
        <f>F98*E101</f>
        <v>0</v>
      </c>
      <c r="G101" s="216"/>
      <c r="H101" s="261"/>
      <c r="I101" s="261"/>
      <c r="J101" s="261"/>
      <c r="K101" s="261"/>
      <c r="L101" s="261"/>
      <c r="M101" s="261"/>
    </row>
    <row r="102" spans="1:13" ht="31.5" hidden="1" x14ac:dyDescent="0.25">
      <c r="A102" s="515"/>
      <c r="B102" s="309"/>
      <c r="C102" s="279" t="s">
        <v>29</v>
      </c>
      <c r="D102" s="277" t="s">
        <v>25</v>
      </c>
      <c r="E102" s="278">
        <v>74.2</v>
      </c>
      <c r="F102" s="316">
        <f>F101*E102</f>
        <v>0</v>
      </c>
      <c r="G102" s="317"/>
      <c r="H102" s="261"/>
      <c r="I102" s="261">
        <v>4.5999999999999996</v>
      </c>
      <c r="J102" s="261">
        <f>F102*I102</f>
        <v>0</v>
      </c>
      <c r="K102" s="261"/>
      <c r="L102" s="261"/>
      <c r="M102" s="261">
        <f t="shared" si="7"/>
        <v>0</v>
      </c>
    </row>
    <row r="103" spans="1:13" ht="15.75" hidden="1" x14ac:dyDescent="0.25">
      <c r="A103" s="515"/>
      <c r="B103" s="309"/>
      <c r="C103" s="279" t="s">
        <v>31</v>
      </c>
      <c r="D103" s="277" t="s">
        <v>21</v>
      </c>
      <c r="E103" s="278">
        <v>1.1000000000000001</v>
      </c>
      <c r="F103" s="316">
        <f>F101*E103</f>
        <v>0</v>
      </c>
      <c r="G103" s="317"/>
      <c r="H103" s="261"/>
      <c r="I103" s="261"/>
      <c r="J103" s="261"/>
      <c r="K103" s="261">
        <v>3.2</v>
      </c>
      <c r="L103" s="261">
        <f>F103*K103</f>
        <v>0</v>
      </c>
      <c r="M103" s="261">
        <f t="shared" si="7"/>
        <v>0</v>
      </c>
    </row>
    <row r="104" spans="1:13" ht="31.5" hidden="1" x14ac:dyDescent="0.25">
      <c r="A104" s="515"/>
      <c r="B104" s="309" t="s">
        <v>111</v>
      </c>
      <c r="C104" s="306" t="s">
        <v>78</v>
      </c>
      <c r="D104" s="277" t="s">
        <v>14</v>
      </c>
      <c r="E104" s="278">
        <v>1.04</v>
      </c>
      <c r="F104" s="316">
        <f>F101*E104</f>
        <v>0</v>
      </c>
      <c r="G104" s="317"/>
      <c r="H104" s="261">
        <f>F104*G104</f>
        <v>0</v>
      </c>
      <c r="I104" s="261"/>
      <c r="J104" s="261"/>
      <c r="K104" s="261"/>
      <c r="L104" s="261"/>
      <c r="M104" s="261">
        <f t="shared" si="7"/>
        <v>0</v>
      </c>
    </row>
    <row r="105" spans="1:13" ht="15.75" hidden="1" x14ac:dyDescent="0.25">
      <c r="A105" s="515"/>
      <c r="B105" s="309"/>
      <c r="C105" s="279" t="s">
        <v>110</v>
      </c>
      <c r="D105" s="277" t="s">
        <v>16</v>
      </c>
      <c r="E105" s="278">
        <v>5.9</v>
      </c>
      <c r="F105" s="316">
        <f>F101*E105</f>
        <v>0</v>
      </c>
      <c r="G105" s="317"/>
      <c r="H105" s="261">
        <f>F105*G105</f>
        <v>0</v>
      </c>
      <c r="I105" s="261"/>
      <c r="J105" s="261"/>
      <c r="K105" s="261"/>
      <c r="L105" s="261"/>
      <c r="M105" s="261">
        <f t="shared" si="7"/>
        <v>0</v>
      </c>
    </row>
    <row r="106" spans="1:13" ht="15.75" hidden="1" x14ac:dyDescent="0.25">
      <c r="A106" s="515"/>
      <c r="B106" s="309"/>
      <c r="C106" s="279" t="s">
        <v>173</v>
      </c>
      <c r="D106" s="277" t="s">
        <v>14</v>
      </c>
      <c r="E106" s="278">
        <f>0.21+0.18</f>
        <v>0.39</v>
      </c>
      <c r="F106" s="316">
        <f>F101*E106</f>
        <v>0</v>
      </c>
      <c r="G106" s="317"/>
      <c r="H106" s="261">
        <f>F106*G106</f>
        <v>0</v>
      </c>
      <c r="I106" s="261"/>
      <c r="J106" s="261"/>
      <c r="K106" s="261"/>
      <c r="L106" s="261"/>
      <c r="M106" s="261">
        <f t="shared" si="7"/>
        <v>0</v>
      </c>
    </row>
    <row r="107" spans="1:13" ht="15.75" hidden="1" x14ac:dyDescent="0.25">
      <c r="A107" s="516"/>
      <c r="B107" s="309"/>
      <c r="C107" s="279" t="s">
        <v>28</v>
      </c>
      <c r="D107" s="277" t="s">
        <v>21</v>
      </c>
      <c r="E107" s="278">
        <v>0</v>
      </c>
      <c r="F107" s="316">
        <f>F101*E107</f>
        <v>0</v>
      </c>
      <c r="G107" s="317"/>
      <c r="H107" s="261">
        <f>F107*G107</f>
        <v>0</v>
      </c>
      <c r="I107" s="261"/>
      <c r="J107" s="261"/>
      <c r="K107" s="261"/>
      <c r="L107" s="261"/>
      <c r="M107" s="261">
        <f t="shared" si="7"/>
        <v>0</v>
      </c>
    </row>
    <row r="108" spans="1:13" ht="63" x14ac:dyDescent="0.25">
      <c r="A108" s="517" t="s">
        <v>195</v>
      </c>
      <c r="B108" s="75" t="s">
        <v>181</v>
      </c>
      <c r="C108" s="211" t="s">
        <v>182</v>
      </c>
      <c r="D108" s="135" t="s">
        <v>183</v>
      </c>
      <c r="E108" s="212"/>
      <c r="F108" s="56">
        <v>1</v>
      </c>
      <c r="G108" s="215"/>
      <c r="H108" s="59"/>
      <c r="I108" s="215"/>
      <c r="J108" s="59"/>
      <c r="K108" s="215"/>
      <c r="L108" s="59"/>
      <c r="M108" s="59"/>
    </row>
    <row r="109" spans="1:13" ht="18.75" customHeight="1" x14ac:dyDescent="0.25">
      <c r="A109" s="518"/>
      <c r="B109" s="210"/>
      <c r="C109" s="97" t="s">
        <v>155</v>
      </c>
      <c r="D109" s="243" t="s">
        <v>25</v>
      </c>
      <c r="E109" s="35">
        <v>17</v>
      </c>
      <c r="F109" s="55">
        <f>F108*E109</f>
        <v>17</v>
      </c>
      <c r="G109" s="57"/>
      <c r="H109" s="59"/>
      <c r="I109" s="57"/>
      <c r="J109" s="59">
        <f>F109*I109</f>
        <v>0</v>
      </c>
      <c r="K109" s="57"/>
      <c r="L109" s="59"/>
      <c r="M109" s="59">
        <f>H109+J109+L109</f>
        <v>0</v>
      </c>
    </row>
    <row r="110" spans="1:13" ht="15.75" x14ac:dyDescent="0.25">
      <c r="A110" s="518"/>
      <c r="B110" s="243"/>
      <c r="C110" s="97" t="s">
        <v>189</v>
      </c>
      <c r="D110" s="243" t="s">
        <v>84</v>
      </c>
      <c r="E110" s="35">
        <v>0.05</v>
      </c>
      <c r="F110" s="55">
        <f>E110*F108</f>
        <v>0.05</v>
      </c>
      <c r="G110" s="341"/>
      <c r="H110" s="59">
        <f>F110*G110</f>
        <v>0</v>
      </c>
      <c r="I110" s="341"/>
      <c r="J110" s="59"/>
      <c r="K110" s="341"/>
      <c r="L110" s="59"/>
      <c r="M110" s="59">
        <f>H110+J110+L110</f>
        <v>0</v>
      </c>
    </row>
    <row r="111" spans="1:13" ht="15.75" x14ac:dyDescent="0.25">
      <c r="A111" s="518"/>
      <c r="B111" s="243"/>
      <c r="C111" s="97" t="s">
        <v>185</v>
      </c>
      <c r="D111" s="243" t="s">
        <v>236</v>
      </c>
      <c r="E111" s="35">
        <v>0.2</v>
      </c>
      <c r="F111" s="55">
        <f>E111*F109</f>
        <v>3.4000000000000004</v>
      </c>
      <c r="G111" s="341"/>
      <c r="H111" s="59">
        <f>F111*G111</f>
        <v>0</v>
      </c>
      <c r="I111" s="341"/>
      <c r="J111" s="59"/>
      <c r="K111" s="341"/>
      <c r="L111" s="59"/>
      <c r="M111" s="59">
        <f>H111+J111+L111</f>
        <v>0</v>
      </c>
    </row>
    <row r="112" spans="1:13" ht="15.75" x14ac:dyDescent="0.25">
      <c r="A112" s="518"/>
      <c r="B112" s="210"/>
      <c r="C112" s="97" t="s">
        <v>184</v>
      </c>
      <c r="D112" s="243" t="s">
        <v>16</v>
      </c>
      <c r="E112" s="35">
        <v>7.8</v>
      </c>
      <c r="F112" s="55">
        <f>E112*F108</f>
        <v>7.8</v>
      </c>
      <c r="G112" s="57"/>
      <c r="H112" s="59">
        <f>F112*G112</f>
        <v>0</v>
      </c>
      <c r="I112" s="57"/>
      <c r="J112" s="59"/>
      <c r="K112" s="341"/>
      <c r="L112" s="59"/>
      <c r="M112" s="59">
        <f>H112+J112+L112</f>
        <v>0</v>
      </c>
    </row>
    <row r="113" spans="1:13" ht="15.75" x14ac:dyDescent="0.25">
      <c r="A113" s="519"/>
      <c r="B113" s="210"/>
      <c r="C113" s="107" t="s">
        <v>28</v>
      </c>
      <c r="D113" s="243" t="s">
        <v>21</v>
      </c>
      <c r="E113" s="35">
        <v>1.08</v>
      </c>
      <c r="F113" s="55">
        <f>E113*F108</f>
        <v>1.08</v>
      </c>
      <c r="G113" s="57"/>
      <c r="H113" s="59">
        <f>F113*G113</f>
        <v>0</v>
      </c>
      <c r="I113" s="57"/>
      <c r="J113" s="59"/>
      <c r="K113" s="341"/>
      <c r="L113" s="59"/>
      <c r="M113" s="59">
        <f>H113+J113+L113</f>
        <v>0</v>
      </c>
    </row>
    <row r="114" spans="1:13" ht="27" x14ac:dyDescent="0.25">
      <c r="A114" s="114"/>
      <c r="B114" s="330"/>
      <c r="C114" s="12" t="s">
        <v>73</v>
      </c>
      <c r="D114" s="330"/>
      <c r="E114" s="331"/>
      <c r="F114" s="84"/>
      <c r="G114" s="332"/>
      <c r="H114" s="332"/>
      <c r="I114" s="332"/>
      <c r="J114" s="332"/>
      <c r="K114" s="332"/>
      <c r="L114" s="332"/>
      <c r="M114" s="332"/>
    </row>
    <row r="115" spans="1:13" x14ac:dyDescent="0.25">
      <c r="A115" s="501">
        <v>1</v>
      </c>
      <c r="B115" s="333" t="s">
        <v>120</v>
      </c>
      <c r="C115" s="334" t="s">
        <v>328</v>
      </c>
      <c r="D115" s="333" t="s">
        <v>79</v>
      </c>
      <c r="E115" s="335"/>
      <c r="F115" s="335">
        <f>F118</f>
        <v>1</v>
      </c>
      <c r="G115" s="336"/>
      <c r="H115" s="332"/>
      <c r="I115" s="336"/>
      <c r="J115" s="332"/>
      <c r="K115" s="336"/>
      <c r="L115" s="332"/>
      <c r="M115" s="332"/>
    </row>
    <row r="116" spans="1:13" ht="17.25" customHeight="1" x14ac:dyDescent="0.25">
      <c r="A116" s="502"/>
      <c r="B116" s="333"/>
      <c r="C116" s="337" t="s">
        <v>23</v>
      </c>
      <c r="D116" s="9" t="s">
        <v>25</v>
      </c>
      <c r="E116" s="31">
        <v>2.44</v>
      </c>
      <c r="F116" s="31">
        <f>F115*E116</f>
        <v>2.44</v>
      </c>
      <c r="G116" s="338"/>
      <c r="H116" s="332"/>
      <c r="I116" s="338"/>
      <c r="J116" s="332">
        <f>F116*I116</f>
        <v>0</v>
      </c>
      <c r="K116" s="338"/>
      <c r="L116" s="332"/>
      <c r="M116" s="332">
        <f t="shared" ref="M116:M144" si="8">H116+J116+L116</f>
        <v>0</v>
      </c>
    </row>
    <row r="117" spans="1:13" x14ac:dyDescent="0.25">
      <c r="A117" s="502"/>
      <c r="B117" s="333"/>
      <c r="C117" s="337" t="s">
        <v>107</v>
      </c>
      <c r="D117" s="9" t="s">
        <v>21</v>
      </c>
      <c r="E117" s="31">
        <v>0.13</v>
      </c>
      <c r="F117" s="31">
        <f>F115*E117</f>
        <v>0.13</v>
      </c>
      <c r="G117" s="338"/>
      <c r="H117" s="332"/>
      <c r="I117" s="338"/>
      <c r="J117" s="332"/>
      <c r="K117" s="338"/>
      <c r="L117" s="332">
        <f>F117*K117</f>
        <v>0</v>
      </c>
      <c r="M117" s="332">
        <f t="shared" si="8"/>
        <v>0</v>
      </c>
    </row>
    <row r="118" spans="1:13" ht="40.5" x14ac:dyDescent="0.25">
      <c r="A118" s="502"/>
      <c r="B118" s="333"/>
      <c r="C118" s="337" t="s">
        <v>393</v>
      </c>
      <c r="D118" s="9" t="s">
        <v>122</v>
      </c>
      <c r="E118" s="31"/>
      <c r="F118" s="31">
        <v>1</v>
      </c>
      <c r="G118" s="338"/>
      <c r="H118" s="332">
        <f t="shared" ref="H118:H143" si="9">F118*G118</f>
        <v>0</v>
      </c>
      <c r="I118" s="338"/>
      <c r="J118" s="332"/>
      <c r="K118" s="338"/>
      <c r="L118" s="332"/>
      <c r="M118" s="332">
        <f t="shared" si="8"/>
        <v>0</v>
      </c>
    </row>
    <row r="119" spans="1:13" x14ac:dyDescent="0.25">
      <c r="A119" s="503"/>
      <c r="B119" s="333"/>
      <c r="C119" s="337" t="s">
        <v>28</v>
      </c>
      <c r="D119" s="9" t="s">
        <v>121</v>
      </c>
      <c r="E119" s="31">
        <v>0.94</v>
      </c>
      <c r="F119" s="31">
        <f>F115*E119</f>
        <v>0.94</v>
      </c>
      <c r="G119" s="338"/>
      <c r="H119" s="332">
        <f t="shared" si="9"/>
        <v>0</v>
      </c>
      <c r="I119" s="338"/>
      <c r="J119" s="332"/>
      <c r="K119" s="338"/>
      <c r="L119" s="332"/>
      <c r="M119" s="332">
        <f t="shared" si="8"/>
        <v>0</v>
      </c>
    </row>
    <row r="120" spans="1:13" x14ac:dyDescent="0.25">
      <c r="A120" s="501">
        <v>2</v>
      </c>
      <c r="B120" s="333" t="s">
        <v>123</v>
      </c>
      <c r="C120" s="334" t="s">
        <v>124</v>
      </c>
      <c r="D120" s="333" t="s">
        <v>21</v>
      </c>
      <c r="E120" s="335"/>
      <c r="F120" s="335">
        <f>F123</f>
        <v>1</v>
      </c>
      <c r="G120" s="336"/>
      <c r="H120" s="332"/>
      <c r="I120" s="336"/>
      <c r="J120" s="332"/>
      <c r="K120" s="336"/>
      <c r="L120" s="332"/>
      <c r="M120" s="332">
        <f t="shared" si="8"/>
        <v>0</v>
      </c>
    </row>
    <row r="121" spans="1:13" ht="15" customHeight="1" x14ac:dyDescent="0.25">
      <c r="A121" s="502"/>
      <c r="B121" s="333"/>
      <c r="C121" s="337" t="s">
        <v>23</v>
      </c>
      <c r="D121" s="9" t="s">
        <v>25</v>
      </c>
      <c r="E121" s="31">
        <v>2.19</v>
      </c>
      <c r="F121" s="31">
        <f>F120*E121</f>
        <v>2.19</v>
      </c>
      <c r="G121" s="338"/>
      <c r="H121" s="332"/>
      <c r="I121" s="338"/>
      <c r="J121" s="332">
        <f>F121*I121</f>
        <v>0</v>
      </c>
      <c r="K121" s="338"/>
      <c r="L121" s="332"/>
      <c r="M121" s="332">
        <f t="shared" si="8"/>
        <v>0</v>
      </c>
    </row>
    <row r="122" spans="1:13" x14ac:dyDescent="0.25">
      <c r="A122" s="502"/>
      <c r="B122" s="333"/>
      <c r="C122" s="337" t="s">
        <v>107</v>
      </c>
      <c r="D122" s="9" t="s">
        <v>21</v>
      </c>
      <c r="E122" s="31">
        <v>7.0000000000000007E-2</v>
      </c>
      <c r="F122" s="31">
        <f>F120*E122</f>
        <v>7.0000000000000007E-2</v>
      </c>
      <c r="G122" s="338"/>
      <c r="H122" s="332"/>
      <c r="I122" s="338"/>
      <c r="J122" s="332"/>
      <c r="K122" s="338"/>
      <c r="L122" s="332">
        <f>F122*K122</f>
        <v>0</v>
      </c>
      <c r="M122" s="332">
        <f t="shared" si="8"/>
        <v>0</v>
      </c>
    </row>
    <row r="123" spans="1:13" ht="40.5" x14ac:dyDescent="0.25">
      <c r="A123" s="502"/>
      <c r="B123" s="333"/>
      <c r="C123" s="337" t="s">
        <v>392</v>
      </c>
      <c r="D123" s="9" t="s">
        <v>122</v>
      </c>
      <c r="E123" s="31">
        <v>1</v>
      </c>
      <c r="F123" s="31">
        <v>1</v>
      </c>
      <c r="G123" s="338"/>
      <c r="H123" s="332">
        <f t="shared" si="9"/>
        <v>0</v>
      </c>
      <c r="I123" s="338"/>
      <c r="J123" s="332"/>
      <c r="K123" s="338"/>
      <c r="L123" s="332"/>
      <c r="M123" s="332">
        <f t="shared" si="8"/>
        <v>0</v>
      </c>
    </row>
    <row r="124" spans="1:13" x14ac:dyDescent="0.25">
      <c r="A124" s="503"/>
      <c r="B124" s="333"/>
      <c r="C124" s="337" t="s">
        <v>28</v>
      </c>
      <c r="D124" s="9" t="s">
        <v>21</v>
      </c>
      <c r="E124" s="31">
        <v>0.37</v>
      </c>
      <c r="F124" s="31">
        <f>F120*E124</f>
        <v>0.37</v>
      </c>
      <c r="G124" s="338"/>
      <c r="H124" s="332">
        <f t="shared" si="9"/>
        <v>0</v>
      </c>
      <c r="I124" s="338"/>
      <c r="J124" s="332"/>
      <c r="K124" s="338"/>
      <c r="L124" s="332"/>
      <c r="M124" s="332">
        <f t="shared" si="8"/>
        <v>0</v>
      </c>
    </row>
    <row r="125" spans="1:13" ht="31.5" x14ac:dyDescent="0.25">
      <c r="A125" s="523" t="s">
        <v>75</v>
      </c>
      <c r="B125" s="388" t="s">
        <v>394</v>
      </c>
      <c r="C125" s="389" t="s">
        <v>395</v>
      </c>
      <c r="D125" s="388" t="s">
        <v>79</v>
      </c>
      <c r="E125" s="390"/>
      <c r="F125" s="391">
        <f>F128</f>
        <v>1</v>
      </c>
      <c r="G125" s="392"/>
      <c r="H125" s="59"/>
      <c r="I125" s="392"/>
      <c r="J125" s="59"/>
      <c r="K125" s="392"/>
      <c r="L125" s="59"/>
      <c r="M125" s="59"/>
    </row>
    <row r="126" spans="1:13" ht="27" x14ac:dyDescent="0.25">
      <c r="A126" s="524"/>
      <c r="B126" s="388"/>
      <c r="C126" s="97" t="s">
        <v>23</v>
      </c>
      <c r="D126" s="371" t="s">
        <v>25</v>
      </c>
      <c r="E126" s="35">
        <v>2.71</v>
      </c>
      <c r="F126" s="55">
        <f>F125*E126</f>
        <v>2.71</v>
      </c>
      <c r="G126" s="393"/>
      <c r="H126" s="59"/>
      <c r="I126" s="393"/>
      <c r="J126" s="59">
        <f t="shared" ref="J126" si="10">F126*I126</f>
        <v>0</v>
      </c>
      <c r="K126" s="393"/>
      <c r="L126" s="59"/>
      <c r="M126" s="59">
        <f t="shared" ref="M126:M129" si="11">H126+J126+L126</f>
        <v>0</v>
      </c>
    </row>
    <row r="127" spans="1:13" ht="15.75" x14ac:dyDescent="0.25">
      <c r="A127" s="524"/>
      <c r="B127" s="388"/>
      <c r="C127" s="97" t="s">
        <v>107</v>
      </c>
      <c r="D127" s="371" t="s">
        <v>121</v>
      </c>
      <c r="E127" s="35">
        <v>0.2</v>
      </c>
      <c r="F127" s="55">
        <f>F125*E127</f>
        <v>0.2</v>
      </c>
      <c r="G127" s="393"/>
      <c r="H127" s="59"/>
      <c r="I127" s="393"/>
      <c r="J127" s="59"/>
      <c r="K127" s="393"/>
      <c r="L127" s="59">
        <f t="shared" ref="L127" si="12">F127*K127</f>
        <v>0</v>
      </c>
      <c r="M127" s="59">
        <f t="shared" si="11"/>
        <v>0</v>
      </c>
    </row>
    <row r="128" spans="1:13" ht="47.25" x14ac:dyDescent="0.25">
      <c r="A128" s="524"/>
      <c r="B128" s="388" t="s">
        <v>396</v>
      </c>
      <c r="C128" s="97" t="s">
        <v>397</v>
      </c>
      <c r="D128" s="371" t="s">
        <v>122</v>
      </c>
      <c r="E128" s="35">
        <v>1</v>
      </c>
      <c r="F128" s="55">
        <v>1</v>
      </c>
      <c r="G128" s="393"/>
      <c r="H128" s="59">
        <f t="shared" ref="H128:H129" si="13">F128*G128</f>
        <v>0</v>
      </c>
      <c r="I128" s="393"/>
      <c r="J128" s="59"/>
      <c r="K128" s="393"/>
      <c r="L128" s="59"/>
      <c r="M128" s="59">
        <f t="shared" si="11"/>
        <v>0</v>
      </c>
    </row>
    <row r="129" spans="1:13" ht="15.75" x14ac:dyDescent="0.25">
      <c r="A129" s="525"/>
      <c r="B129" s="388"/>
      <c r="C129" s="97" t="s">
        <v>28</v>
      </c>
      <c r="D129" s="371" t="s">
        <v>121</v>
      </c>
      <c r="E129" s="35">
        <v>0.65</v>
      </c>
      <c r="F129" s="55">
        <f>F125*E129</f>
        <v>0.65</v>
      </c>
      <c r="G129" s="393"/>
      <c r="H129" s="59">
        <f t="shared" si="13"/>
        <v>0</v>
      </c>
      <c r="I129" s="393"/>
      <c r="J129" s="59"/>
      <c r="K129" s="393"/>
      <c r="L129" s="59"/>
      <c r="M129" s="59">
        <f t="shared" si="11"/>
        <v>0</v>
      </c>
    </row>
    <row r="130" spans="1:13" ht="33" x14ac:dyDescent="0.25">
      <c r="A130" s="520">
        <v>4</v>
      </c>
      <c r="B130" s="243" t="s">
        <v>249</v>
      </c>
      <c r="C130" s="339" t="s">
        <v>329</v>
      </c>
      <c r="D130" s="35" t="s">
        <v>79</v>
      </c>
      <c r="E130" s="55"/>
      <c r="F130" s="56">
        <f>F134+F135+F136</f>
        <v>2</v>
      </c>
      <c r="G130" s="55"/>
      <c r="H130" s="59"/>
      <c r="I130" s="55"/>
      <c r="J130" s="59"/>
      <c r="K130" s="55"/>
      <c r="L130" s="59"/>
      <c r="M130" s="59"/>
    </row>
    <row r="131" spans="1:13" ht="16.5" x14ac:dyDescent="0.25">
      <c r="A131" s="521"/>
      <c r="B131" s="243"/>
      <c r="C131" s="340" t="s">
        <v>23</v>
      </c>
      <c r="D131" s="35" t="s">
        <v>79</v>
      </c>
      <c r="E131" s="55">
        <v>3.8</v>
      </c>
      <c r="F131" s="55">
        <f>F130*E131</f>
        <v>7.6</v>
      </c>
      <c r="G131" s="55"/>
      <c r="H131" s="59"/>
      <c r="I131" s="57"/>
      <c r="J131" s="59">
        <f>F131*I131</f>
        <v>0</v>
      </c>
      <c r="K131" s="55"/>
      <c r="L131" s="59"/>
      <c r="M131" s="59">
        <f t="shared" si="8"/>
        <v>0</v>
      </c>
    </row>
    <row r="132" spans="1:13" ht="16.5" x14ac:dyDescent="0.25">
      <c r="A132" s="521"/>
      <c r="B132" s="243"/>
      <c r="C132" s="340" t="s">
        <v>102</v>
      </c>
      <c r="D132" s="35" t="s">
        <v>99</v>
      </c>
      <c r="E132" s="55">
        <v>2.5999999999999999E-3</v>
      </c>
      <c r="F132" s="55">
        <v>0.22</v>
      </c>
      <c r="G132" s="55"/>
      <c r="H132" s="59"/>
      <c r="I132" s="55"/>
      <c r="J132" s="59"/>
      <c r="K132" s="57"/>
      <c r="L132" s="59">
        <f>F132*K132</f>
        <v>0</v>
      </c>
      <c r="M132" s="59">
        <f t="shared" si="8"/>
        <v>0</v>
      </c>
    </row>
    <row r="133" spans="1:13" ht="16.5" x14ac:dyDescent="0.25">
      <c r="A133" s="521"/>
      <c r="B133" s="243"/>
      <c r="C133" s="340" t="s">
        <v>28</v>
      </c>
      <c r="D133" s="35" t="s">
        <v>21</v>
      </c>
      <c r="E133" s="55">
        <v>0.22</v>
      </c>
      <c r="F133" s="55">
        <f>F130*E133</f>
        <v>0.44</v>
      </c>
      <c r="G133" s="55"/>
      <c r="H133" s="59">
        <f t="shared" si="9"/>
        <v>0</v>
      </c>
      <c r="I133" s="55"/>
      <c r="J133" s="59"/>
      <c r="K133" s="55"/>
      <c r="L133" s="59"/>
      <c r="M133" s="59">
        <f t="shared" si="8"/>
        <v>0</v>
      </c>
    </row>
    <row r="134" spans="1:13" ht="33" x14ac:dyDescent="0.25">
      <c r="A134" s="521"/>
      <c r="B134" s="243"/>
      <c r="C134" s="340" t="s">
        <v>330</v>
      </c>
      <c r="D134" s="35" t="s">
        <v>79</v>
      </c>
      <c r="E134" s="55"/>
      <c r="F134" s="55">
        <v>1</v>
      </c>
      <c r="G134" s="55"/>
      <c r="H134" s="59">
        <f t="shared" si="9"/>
        <v>0</v>
      </c>
      <c r="I134" s="55"/>
      <c r="J134" s="59"/>
      <c r="K134" s="55"/>
      <c r="L134" s="59"/>
      <c r="M134" s="59">
        <f t="shared" si="8"/>
        <v>0</v>
      </c>
    </row>
    <row r="135" spans="1:13" ht="33" hidden="1" x14ac:dyDescent="0.25">
      <c r="A135" s="521"/>
      <c r="B135" s="243"/>
      <c r="C135" s="340" t="s">
        <v>331</v>
      </c>
      <c r="D135" s="35" t="s">
        <v>79</v>
      </c>
      <c r="E135" s="55"/>
      <c r="F135" s="55"/>
      <c r="G135" s="55"/>
      <c r="H135" s="59">
        <f t="shared" si="9"/>
        <v>0</v>
      </c>
      <c r="I135" s="55"/>
      <c r="J135" s="59"/>
      <c r="K135" s="55"/>
      <c r="L135" s="59"/>
      <c r="M135" s="59">
        <f t="shared" si="8"/>
        <v>0</v>
      </c>
    </row>
    <row r="136" spans="1:13" ht="33" x14ac:dyDescent="0.25">
      <c r="A136" s="522"/>
      <c r="B136" s="243"/>
      <c r="C136" s="340" t="s">
        <v>332</v>
      </c>
      <c r="D136" s="35" t="s">
        <v>79</v>
      </c>
      <c r="E136" s="55"/>
      <c r="F136" s="55">
        <v>1</v>
      </c>
      <c r="G136" s="55"/>
      <c r="H136" s="59">
        <f t="shared" si="9"/>
        <v>0</v>
      </c>
      <c r="I136" s="55"/>
      <c r="J136" s="59">
        <f>F136*I136</f>
        <v>0</v>
      </c>
      <c r="K136" s="55"/>
      <c r="L136" s="59">
        <f>F136*K136</f>
        <v>0</v>
      </c>
      <c r="M136" s="59">
        <f t="shared" si="8"/>
        <v>0</v>
      </c>
    </row>
    <row r="137" spans="1:13" x14ac:dyDescent="0.25">
      <c r="A137" s="501">
        <v>5</v>
      </c>
      <c r="B137" s="333" t="s">
        <v>125</v>
      </c>
      <c r="C137" s="334" t="s">
        <v>126</v>
      </c>
      <c r="D137" s="333" t="s">
        <v>79</v>
      </c>
      <c r="E137" s="335"/>
      <c r="F137" s="335">
        <f>F140+F141</f>
        <v>2</v>
      </c>
      <c r="G137" s="336"/>
      <c r="H137" s="332"/>
      <c r="I137" s="336"/>
      <c r="J137" s="332"/>
      <c r="K137" s="336"/>
      <c r="L137" s="332"/>
      <c r="M137" s="332"/>
    </row>
    <row r="138" spans="1:13" ht="18.75" customHeight="1" x14ac:dyDescent="0.25">
      <c r="A138" s="502"/>
      <c r="B138" s="333"/>
      <c r="C138" s="337" t="s">
        <v>23</v>
      </c>
      <c r="D138" s="9" t="s">
        <v>25</v>
      </c>
      <c r="E138" s="31">
        <v>0.82</v>
      </c>
      <c r="F138" s="31">
        <f>F137*E138</f>
        <v>1.64</v>
      </c>
      <c r="G138" s="338"/>
      <c r="H138" s="332"/>
      <c r="I138" s="338"/>
      <c r="J138" s="332">
        <f>F138*I138</f>
        <v>0</v>
      </c>
      <c r="K138" s="338"/>
      <c r="L138" s="332"/>
      <c r="M138" s="332">
        <f t="shared" si="8"/>
        <v>0</v>
      </c>
    </row>
    <row r="139" spans="1:13" x14ac:dyDescent="0.25">
      <c r="A139" s="502"/>
      <c r="B139" s="333"/>
      <c r="C139" s="337" t="s">
        <v>107</v>
      </c>
      <c r="D139" s="9" t="s">
        <v>121</v>
      </c>
      <c r="E139" s="31">
        <v>0.01</v>
      </c>
      <c r="F139" s="31">
        <f>F137*E139</f>
        <v>0.02</v>
      </c>
      <c r="G139" s="338"/>
      <c r="H139" s="332"/>
      <c r="I139" s="338"/>
      <c r="J139" s="332"/>
      <c r="K139" s="338"/>
      <c r="L139" s="332">
        <f>F139*K139</f>
        <v>0</v>
      </c>
      <c r="M139" s="332">
        <f t="shared" si="8"/>
        <v>0</v>
      </c>
    </row>
    <row r="140" spans="1:13" x14ac:dyDescent="0.25">
      <c r="A140" s="502"/>
      <c r="B140" s="333" t="s">
        <v>167</v>
      </c>
      <c r="C140" s="337" t="s">
        <v>178</v>
      </c>
      <c r="D140" s="9" t="s">
        <v>122</v>
      </c>
      <c r="E140" s="31">
        <v>1</v>
      </c>
      <c r="F140" s="31">
        <v>2</v>
      </c>
      <c r="G140" s="338"/>
      <c r="H140" s="332">
        <f t="shared" si="9"/>
        <v>0</v>
      </c>
      <c r="I140" s="338"/>
      <c r="J140" s="332"/>
      <c r="K140" s="338"/>
      <c r="L140" s="332"/>
      <c r="M140" s="332">
        <f t="shared" si="8"/>
        <v>0</v>
      </c>
    </row>
    <row r="141" spans="1:13" hidden="1" x14ac:dyDescent="0.25">
      <c r="A141" s="502"/>
      <c r="B141" s="333"/>
      <c r="C141" s="337" t="s">
        <v>179</v>
      </c>
      <c r="D141" s="9" t="s">
        <v>122</v>
      </c>
      <c r="E141" s="31">
        <v>1</v>
      </c>
      <c r="F141" s="31">
        <v>0</v>
      </c>
      <c r="G141" s="338"/>
      <c r="H141" s="332">
        <f t="shared" si="9"/>
        <v>0</v>
      </c>
      <c r="I141" s="338"/>
      <c r="J141" s="332"/>
      <c r="K141" s="338"/>
      <c r="L141" s="332"/>
      <c r="M141" s="332">
        <f t="shared" si="8"/>
        <v>0</v>
      </c>
    </row>
    <row r="142" spans="1:13" x14ac:dyDescent="0.25">
      <c r="A142" s="503"/>
      <c r="B142" s="333"/>
      <c r="C142" s="337" t="s">
        <v>28</v>
      </c>
      <c r="D142" s="9" t="s">
        <v>121</v>
      </c>
      <c r="E142" s="31">
        <v>7.0000000000000007E-2</v>
      </c>
      <c r="F142" s="31">
        <f>F137*E142</f>
        <v>0.14000000000000001</v>
      </c>
      <c r="G142" s="338"/>
      <c r="H142" s="332">
        <f t="shared" si="9"/>
        <v>0</v>
      </c>
      <c r="I142" s="338"/>
      <c r="J142" s="332"/>
      <c r="K142" s="338"/>
      <c r="L142" s="332"/>
      <c r="M142" s="332">
        <f t="shared" si="8"/>
        <v>0</v>
      </c>
    </row>
    <row r="143" spans="1:13" ht="44.25" customHeight="1" x14ac:dyDescent="0.25">
      <c r="A143" s="501">
        <v>6</v>
      </c>
      <c r="B143" s="330" t="s">
        <v>40</v>
      </c>
      <c r="C143" s="44" t="s">
        <v>67</v>
      </c>
      <c r="D143" s="330" t="s">
        <v>66</v>
      </c>
      <c r="E143" s="331"/>
      <c r="F143" s="84">
        <v>1</v>
      </c>
      <c r="G143" s="332"/>
      <c r="H143" s="332">
        <f t="shared" si="9"/>
        <v>0</v>
      </c>
      <c r="I143" s="332"/>
      <c r="J143" s="332"/>
      <c r="K143" s="332"/>
      <c r="L143" s="332"/>
      <c r="M143" s="332">
        <f t="shared" si="8"/>
        <v>0</v>
      </c>
    </row>
    <row r="144" spans="1:13" ht="23.25" customHeight="1" x14ac:dyDescent="0.25">
      <c r="A144" s="503"/>
      <c r="B144" s="330"/>
      <c r="C144" s="337" t="s">
        <v>23</v>
      </c>
      <c r="D144" s="9" t="s">
        <v>25</v>
      </c>
      <c r="E144" s="31">
        <v>1</v>
      </c>
      <c r="F144" s="31">
        <f>F143*E144</f>
        <v>1</v>
      </c>
      <c r="G144" s="338"/>
      <c r="H144" s="332"/>
      <c r="I144" s="338"/>
      <c r="J144" s="332">
        <f>F144*I144</f>
        <v>0</v>
      </c>
      <c r="K144" s="338"/>
      <c r="L144" s="332"/>
      <c r="M144" s="332">
        <f t="shared" si="8"/>
        <v>0</v>
      </c>
    </row>
    <row r="145" spans="1:13" ht="8.25" customHeight="1" x14ac:dyDescent="0.25">
      <c r="A145" s="243"/>
      <c r="B145" s="210"/>
      <c r="C145" s="107"/>
      <c r="D145" s="243"/>
      <c r="E145" s="55"/>
      <c r="F145" s="342"/>
      <c r="G145" s="57"/>
      <c r="H145" s="57"/>
      <c r="I145" s="57"/>
      <c r="J145" s="57"/>
      <c r="K145" s="65"/>
      <c r="L145" s="57"/>
      <c r="M145" s="57"/>
    </row>
    <row r="146" spans="1:13" ht="27" customHeight="1" x14ac:dyDescent="0.25">
      <c r="A146" s="22"/>
      <c r="B146" s="22"/>
      <c r="C146" s="297" t="s">
        <v>241</v>
      </c>
      <c r="D146" s="22"/>
      <c r="E146" s="203"/>
      <c r="F146" s="343"/>
      <c r="G146" s="74"/>
      <c r="H146" s="74">
        <f>SUM(H11:H144)</f>
        <v>0</v>
      </c>
      <c r="I146" s="74"/>
      <c r="J146" s="74">
        <f>SUM(J11:J144)</f>
        <v>0</v>
      </c>
      <c r="K146" s="74"/>
      <c r="L146" s="74">
        <f>SUM(L11:L144)</f>
        <v>0</v>
      </c>
      <c r="M146" s="74">
        <f>SUM(M11:M144)</f>
        <v>0</v>
      </c>
    </row>
    <row r="147" spans="1:13" ht="63" x14ac:dyDescent="0.25">
      <c r="A147" s="243"/>
      <c r="B147" s="344"/>
      <c r="C147" s="345" t="s">
        <v>333</v>
      </c>
      <c r="D147" s="54"/>
      <c r="E147" s="346"/>
      <c r="F147" s="423"/>
      <c r="G147" s="347"/>
      <c r="H147" s="347"/>
      <c r="I147" s="347"/>
      <c r="J147" s="347"/>
      <c r="K147" s="347"/>
      <c r="L147" s="347"/>
      <c r="M147" s="347">
        <f>H146*F147</f>
        <v>0</v>
      </c>
    </row>
    <row r="148" spans="1:13" ht="15.75" x14ac:dyDescent="0.25">
      <c r="A148" s="243"/>
      <c r="B148" s="344"/>
      <c r="C148" s="348" t="s">
        <v>61</v>
      </c>
      <c r="D148" s="54"/>
      <c r="E148" s="346"/>
      <c r="F148" s="346"/>
      <c r="G148" s="347"/>
      <c r="H148" s="347"/>
      <c r="I148" s="347"/>
      <c r="J148" s="347"/>
      <c r="K148" s="347"/>
      <c r="L148" s="347"/>
      <c r="M148" s="347">
        <f>M146+M147</f>
        <v>0</v>
      </c>
    </row>
    <row r="149" spans="1:13" ht="15.75" x14ac:dyDescent="0.25">
      <c r="A149" s="243"/>
      <c r="B149" s="243"/>
      <c r="C149" s="248" t="s">
        <v>334</v>
      </c>
      <c r="D149" s="243"/>
      <c r="E149" s="55"/>
      <c r="F149" s="355"/>
      <c r="G149" s="57"/>
      <c r="H149" s="57"/>
      <c r="I149" s="57"/>
      <c r="J149" s="57"/>
      <c r="K149" s="57"/>
      <c r="L149" s="57"/>
      <c r="M149" s="57">
        <f>M148*F149</f>
        <v>0</v>
      </c>
    </row>
    <row r="150" spans="1:13" ht="15.75" x14ac:dyDescent="0.25">
      <c r="A150" s="243"/>
      <c r="B150" s="243"/>
      <c r="C150" s="349" t="s">
        <v>61</v>
      </c>
      <c r="D150" s="243"/>
      <c r="E150" s="55"/>
      <c r="F150" s="246"/>
      <c r="G150" s="57"/>
      <c r="H150" s="57"/>
      <c r="I150" s="57"/>
      <c r="J150" s="57"/>
      <c r="K150" s="57"/>
      <c r="L150" s="57"/>
      <c r="M150" s="57">
        <f>M148+M149</f>
        <v>0</v>
      </c>
    </row>
    <row r="151" spans="1:13" ht="18.75" customHeight="1" x14ac:dyDescent="0.25">
      <c r="A151" s="243"/>
      <c r="B151" s="243"/>
      <c r="C151" s="248" t="s">
        <v>52</v>
      </c>
      <c r="D151" s="243"/>
      <c r="E151" s="55"/>
      <c r="F151" s="355"/>
      <c r="G151" s="57"/>
      <c r="H151" s="57"/>
      <c r="I151" s="57"/>
      <c r="J151" s="57"/>
      <c r="K151" s="57"/>
      <c r="L151" s="57"/>
      <c r="M151" s="57">
        <f>M150*F151</f>
        <v>0</v>
      </c>
    </row>
    <row r="152" spans="1:13" ht="15.75" x14ac:dyDescent="0.25">
      <c r="A152" s="350"/>
      <c r="B152" s="351"/>
      <c r="C152" s="191" t="s">
        <v>335</v>
      </c>
      <c r="D152" s="351"/>
      <c r="E152" s="352"/>
      <c r="F152" s="353"/>
      <c r="G152" s="354"/>
      <c r="H152" s="354"/>
      <c r="I152" s="354"/>
      <c r="J152" s="354"/>
      <c r="K152" s="354"/>
      <c r="L152" s="354"/>
      <c r="M152" s="218">
        <f>M150+M151</f>
        <v>0</v>
      </c>
    </row>
    <row r="153" spans="1:13" ht="15.75" x14ac:dyDescent="0.25">
      <c r="B153" s="7"/>
      <c r="C153" s="48"/>
      <c r="D153" s="87"/>
      <c r="E153" s="40"/>
      <c r="F153" s="206"/>
      <c r="G153" s="19"/>
      <c r="H153" s="19"/>
      <c r="I153" s="207"/>
      <c r="J153" s="207"/>
      <c r="K153" s="207"/>
      <c r="L153" s="207"/>
      <c r="M153" s="207"/>
    </row>
    <row r="154" spans="1:13" x14ac:dyDescent="0.25">
      <c r="B154" s="7"/>
      <c r="C154" s="170"/>
      <c r="D154" s="49"/>
      <c r="E154" s="213"/>
    </row>
    <row r="155" spans="1:13" x14ac:dyDescent="0.25">
      <c r="B155" s="21"/>
      <c r="C155" s="119"/>
      <c r="D155" s="119"/>
      <c r="E155" s="119"/>
    </row>
  </sheetData>
  <mergeCells count="34">
    <mergeCell ref="A67:A72"/>
    <mergeCell ref="A143:A144"/>
    <mergeCell ref="A73:A78"/>
    <mergeCell ref="A79:A83"/>
    <mergeCell ref="A84:A97"/>
    <mergeCell ref="A98:A100"/>
    <mergeCell ref="A101:A107"/>
    <mergeCell ref="A108:A113"/>
    <mergeCell ref="A115:A119"/>
    <mergeCell ref="A120:A124"/>
    <mergeCell ref="A130:A136"/>
    <mergeCell ref="A137:A142"/>
    <mergeCell ref="A125:A129"/>
    <mergeCell ref="A46:A48"/>
    <mergeCell ref="A49:A55"/>
    <mergeCell ref="A56:A60"/>
    <mergeCell ref="A61:A64"/>
    <mergeCell ref="A12:A17"/>
    <mergeCell ref="A18:A23"/>
    <mergeCell ref="A24:A38"/>
    <mergeCell ref="A39:A45"/>
    <mergeCell ref="A1:M1"/>
    <mergeCell ref="A3:M3"/>
    <mergeCell ref="A5:M5"/>
    <mergeCell ref="A7:A8"/>
    <mergeCell ref="B7:B8"/>
    <mergeCell ref="C7:C8"/>
    <mergeCell ref="D7:D8"/>
    <mergeCell ref="E7:E8"/>
    <mergeCell ref="F7:F8"/>
    <mergeCell ref="G7:H7"/>
    <mergeCell ref="I7:J7"/>
    <mergeCell ref="K7:L7"/>
    <mergeCell ref="M7:M8"/>
  </mergeCells>
  <pageMargins left="0.47244094488188981" right="0.17" top="0.59055118110236227" bottom="0.35433070866141736" header="0.31496062992125984" footer="0.23622047244094491"/>
  <pageSetup paperSize="9" orientation="landscape" r:id="rId1"/>
  <headerFooter>
    <oddHeader>&amp;R&amp;P--&amp;N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krebsiti</vt:lpstr>
      <vt:lpstr>#1</vt:lpstr>
      <vt:lpstr>#2</vt:lpstr>
      <vt:lpstr>#3</vt:lpstr>
      <vt:lpstr>'#1'!Print_Area</vt:lpstr>
      <vt:lpstr>'#2'!Print_Area</vt:lpstr>
      <vt:lpstr>'#3'!Print_Area</vt:lpstr>
      <vt:lpstr>krebsiti!Print_Area</vt:lpstr>
      <vt:lpstr>'#1'!Print_Titles</vt:lpstr>
      <vt:lpstr>'#2'!Print_Titles</vt:lpstr>
      <vt:lpstr>'#3'!Print_Titles</vt:lpstr>
      <vt:lpstr>krebsiti!Print_Titles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2020-03-10T12:34:43Z</dcterms:modified>
</cp:coreProperties>
</file>