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925" tabRatio="925"/>
  </bookViews>
  <sheets>
    <sheet name="krebsiti" sheetId="44" r:id="rId1"/>
    <sheet name="samsh" sheetId="16" r:id="rId2"/>
    <sheet name="eleqtroba" sheetId="40" r:id="rId3"/>
    <sheet name="gatboba" sheetId="41" r:id="rId4"/>
    <sheet name="wy-kan" sheetId="42" r:id="rId5"/>
    <sheet name="saxandzro" sheetId="43" r:id="rId6"/>
  </sheets>
  <definedNames>
    <definedName name="_xlnm.Print_Area" localSheetId="2">eleqtroba!$A$1:$N$99</definedName>
    <definedName name="_xlnm.Print_Area" localSheetId="3">gatboba!$A$1:$M$134</definedName>
    <definedName name="_xlnm.Print_Area" localSheetId="0">krebsiti!$A$1:$H$20</definedName>
    <definedName name="_xlnm.Print_Area" localSheetId="1">samsh!$A$1:$W$429</definedName>
    <definedName name="_xlnm.Print_Area" localSheetId="5">saxandzro!$A$1:$N$49</definedName>
    <definedName name="_xlnm.Print_Area" localSheetId="4">'wy-kan'!$A$1:$N$250</definedName>
    <definedName name="_xlnm.Print_Titles" localSheetId="2">eleqtroba!$8:$8</definedName>
    <definedName name="_xlnm.Print_Titles" localSheetId="3">gatboba!$7:$7</definedName>
    <definedName name="_xlnm.Print_Titles" localSheetId="0">krebsiti!$5:$5</definedName>
    <definedName name="_xlnm.Print_Titles" localSheetId="1">samsh!$7:$7</definedName>
    <definedName name="_xlnm.Print_Titles" localSheetId="5">saxandzro!$7:$7</definedName>
    <definedName name="_xlnm.Print_Titles" localSheetId="4">'wy-kan'!$7:$7</definedName>
  </definedNames>
  <calcPr calcId="152511"/>
</workbook>
</file>

<file path=xl/calcChain.xml><?xml version="1.0" encoding="utf-8"?>
<calcChain xmlns="http://schemas.openxmlformats.org/spreadsheetml/2006/main">
  <c r="F14" i="41" l="1"/>
  <c r="F29" i="41" l="1"/>
  <c r="G67" i="40"/>
  <c r="G41" i="40"/>
  <c r="G342" i="16" l="1"/>
  <c r="G250" i="16"/>
  <c r="G33" i="42" l="1"/>
  <c r="G45" i="42" s="1"/>
  <c r="G349" i="16" l="1"/>
  <c r="G98" i="42" l="1"/>
  <c r="G97" i="42"/>
  <c r="G96" i="42"/>
  <c r="G95" i="42"/>
  <c r="F98" i="41" l="1"/>
  <c r="F96" i="41"/>
  <c r="F97" i="41" l="1"/>
  <c r="G9" i="16" l="1"/>
  <c r="G134" i="16" l="1"/>
  <c r="G121" i="16"/>
  <c r="G114" i="16"/>
  <c r="G113" i="16"/>
  <c r="G108" i="16"/>
  <c r="G101" i="16"/>
  <c r="G100" i="16"/>
  <c r="G99" i="16"/>
  <c r="G31" i="16" l="1"/>
  <c r="G81" i="16" l="1"/>
  <c r="F11" i="16" l="1"/>
  <c r="G12" i="16"/>
  <c r="G11" i="16" l="1"/>
  <c r="G10" i="16"/>
  <c r="G167" i="16" l="1"/>
  <c r="G350" i="16"/>
  <c r="G355" i="16"/>
  <c r="G328" i="16"/>
  <c r="G390" i="16"/>
  <c r="G388" i="16" s="1"/>
  <c r="G314" i="16"/>
  <c r="G313" i="16"/>
  <c r="G238" i="16"/>
  <c r="G211" i="16"/>
  <c r="G201" i="16"/>
  <c r="G19" i="43"/>
  <c r="G15" i="43"/>
  <c r="G16" i="43"/>
  <c r="G385" i="16"/>
  <c r="G413" i="16"/>
  <c r="G412" i="16"/>
  <c r="G242" i="16" l="1"/>
  <c r="G237" i="16"/>
  <c r="G49" i="16" l="1"/>
  <c r="G167" i="42" l="1"/>
  <c r="G159" i="42"/>
  <c r="G163" i="42" s="1"/>
  <c r="G154" i="42"/>
  <c r="G156" i="42" s="1"/>
  <c r="G149" i="42"/>
  <c r="G151" i="42" s="1"/>
  <c r="G115" i="42"/>
  <c r="G119" i="42" s="1"/>
  <c r="G113" i="42"/>
  <c r="G110" i="42" s="1"/>
  <c r="G114" i="42" s="1"/>
  <c r="G108" i="42"/>
  <c r="F24" i="41"/>
  <c r="F19" i="41"/>
  <c r="F23" i="41" s="1"/>
  <c r="F28" i="41" l="1"/>
  <c r="F115" i="41"/>
  <c r="G161" i="42"/>
  <c r="F16" i="41"/>
  <c r="F21" i="41"/>
  <c r="G117" i="42"/>
  <c r="G150" i="42"/>
  <c r="G153" i="42"/>
  <c r="G155" i="42"/>
  <c r="G158" i="42"/>
  <c r="G160" i="42"/>
  <c r="G164" i="42"/>
  <c r="G111" i="42"/>
  <c r="G116" i="42"/>
  <c r="G105" i="42"/>
  <c r="G112" i="42"/>
  <c r="F25" i="41"/>
  <c r="F20" i="41"/>
  <c r="F26" i="41"/>
  <c r="F15" i="41"/>
  <c r="F18" i="41"/>
  <c r="G165" i="42" l="1"/>
  <c r="G166" i="42"/>
  <c r="G168" i="42"/>
  <c r="G109" i="42"/>
  <c r="G107" i="42"/>
  <c r="G106" i="42"/>
  <c r="F329" i="16" l="1"/>
  <c r="F322" i="16"/>
  <c r="F315" i="16"/>
  <c r="G256" i="16"/>
  <c r="G171" i="16" l="1"/>
  <c r="G170" i="16"/>
  <c r="G169" i="16"/>
  <c r="G168" i="16"/>
  <c r="G139" i="16"/>
  <c r="G166" i="16"/>
  <c r="F165" i="16"/>
  <c r="G165" i="16" s="1"/>
  <c r="F164" i="16"/>
  <c r="G164" i="16" s="1"/>
  <c r="G163" i="16"/>
  <c r="F161" i="16"/>
  <c r="G161" i="16" s="1"/>
  <c r="F160" i="16"/>
  <c r="G160" i="16" s="1"/>
  <c r="G159" i="16"/>
  <c r="G157" i="16"/>
  <c r="G156" i="16"/>
  <c r="G155" i="16"/>
  <c r="G154" i="16"/>
  <c r="G153" i="16"/>
  <c r="G151" i="16"/>
  <c r="G150" i="16"/>
  <c r="G148" i="16"/>
  <c r="G147" i="16"/>
  <c r="G145" i="16"/>
  <c r="G144" i="16"/>
  <c r="G143" i="16"/>
  <c r="F133" i="16"/>
  <c r="G133" i="16" s="1"/>
  <c r="G132" i="16"/>
  <c r="G131" i="16"/>
  <c r="G129" i="16"/>
  <c r="G126" i="16"/>
  <c r="G125" i="16"/>
  <c r="G124" i="16"/>
  <c r="G122" i="16"/>
  <c r="G119" i="16"/>
  <c r="G118" i="16"/>
  <c r="G117" i="16"/>
  <c r="G115" i="16"/>
  <c r="G112" i="16"/>
  <c r="G111" i="16"/>
  <c r="G110" i="16"/>
  <c r="G106" i="16"/>
  <c r="F105" i="16"/>
  <c r="G105" i="16" s="1"/>
  <c r="G104" i="16"/>
  <c r="G103" i="16"/>
  <c r="G138" i="16" l="1"/>
  <c r="G137" i="16"/>
  <c r="G141" i="16"/>
  <c r="G136" i="16"/>
  <c r="G140" i="16"/>
  <c r="G241" i="16" l="1"/>
  <c r="G234" i="16"/>
  <c r="G240" i="16" l="1"/>
  <c r="G244" i="16"/>
  <c r="G245" i="16"/>
  <c r="G243" i="16"/>
  <c r="G239" i="16"/>
  <c r="G199" i="42" l="1"/>
  <c r="G20" i="42"/>
  <c r="M8" i="16"/>
  <c r="K8" i="16"/>
  <c r="I8" i="16"/>
  <c r="F192" i="16"/>
  <c r="G192" i="16" s="1"/>
  <c r="G191" i="16"/>
  <c r="F184" i="16"/>
  <c r="G184" i="16" s="1"/>
  <c r="G183" i="16"/>
  <c r="F177" i="16"/>
  <c r="G177" i="16" s="1"/>
  <c r="G176" i="16"/>
  <c r="F91" i="16"/>
  <c r="G91" i="16" s="1"/>
  <c r="G90" i="16"/>
  <c r="F80" i="16"/>
  <c r="G80" i="16" s="1"/>
  <c r="G79" i="16"/>
  <c r="F71" i="16"/>
  <c r="G71" i="16" s="1"/>
  <c r="F70" i="16"/>
  <c r="G70" i="16" s="1"/>
  <c r="F61" i="16"/>
  <c r="G61" i="16" s="1"/>
  <c r="G60" i="16"/>
  <c r="F51" i="16"/>
  <c r="G51" i="16" s="1"/>
  <c r="G50" i="16"/>
  <c r="N8" i="16" l="1"/>
  <c r="F43" i="16" l="1"/>
  <c r="G43" i="16" s="1"/>
  <c r="G236" i="42" l="1"/>
  <c r="G235" i="42"/>
  <c r="G234" i="42"/>
  <c r="F232" i="42"/>
  <c r="F231" i="42"/>
  <c r="F230" i="42"/>
  <c r="G228" i="42"/>
  <c r="G227" i="42"/>
  <c r="G226" i="42"/>
  <c r="G225" i="42"/>
  <c r="G223" i="42"/>
  <c r="G222" i="42"/>
  <c r="G221" i="42"/>
  <c r="G220" i="42"/>
  <c r="G219" i="42"/>
  <c r="G218" i="42"/>
  <c r="F217" i="42"/>
  <c r="G216" i="42"/>
  <c r="G215" i="42"/>
  <c r="G213" i="42"/>
  <c r="G212" i="42"/>
  <c r="G209" i="42"/>
  <c r="G210" i="42" s="1"/>
  <c r="G207" i="42"/>
  <c r="G206" i="42"/>
  <c r="F204" i="42"/>
  <c r="G204" i="42" s="1"/>
  <c r="G203" i="42"/>
  <c r="F202" i="42"/>
  <c r="G202" i="42" s="1"/>
  <c r="G201" i="42"/>
  <c r="G198" i="42"/>
  <c r="G196" i="42"/>
  <c r="G195" i="42"/>
  <c r="G192" i="42"/>
  <c r="G193" i="42" s="1"/>
  <c r="F191" i="42"/>
  <c r="G191" i="42" s="1"/>
  <c r="F190" i="42"/>
  <c r="G190" i="42" s="1"/>
  <c r="F189" i="42"/>
  <c r="G189" i="42" s="1"/>
  <c r="G187" i="42"/>
  <c r="G185" i="42"/>
  <c r="G184" i="42"/>
  <c r="G182" i="42"/>
  <c r="G181" i="42"/>
  <c r="G180" i="42"/>
  <c r="G179" i="42"/>
  <c r="G177" i="42"/>
  <c r="G175" i="42"/>
  <c r="G174" i="42"/>
  <c r="G147" i="42"/>
  <c r="G145" i="42"/>
  <c r="G144" i="42"/>
  <c r="G143" i="42"/>
  <c r="F124" i="42"/>
  <c r="F122" i="42"/>
  <c r="G120" i="42"/>
  <c r="G101" i="42"/>
  <c r="F93" i="42"/>
  <c r="G93" i="42" s="1"/>
  <c r="G90" i="42"/>
  <c r="F89" i="42"/>
  <c r="G89" i="42" s="1"/>
  <c r="G88" i="42"/>
  <c r="G86" i="42"/>
  <c r="G83" i="42"/>
  <c r="G82" i="42"/>
  <c r="G81" i="42"/>
  <c r="G80" i="42"/>
  <c r="G79" i="42"/>
  <c r="G77" i="42"/>
  <c r="G76" i="42"/>
  <c r="F75" i="42"/>
  <c r="G75" i="42" s="1"/>
  <c r="G74" i="42"/>
  <c r="G73" i="42"/>
  <c r="G71" i="42"/>
  <c r="G70" i="42"/>
  <c r="F69" i="42"/>
  <c r="G69" i="42" s="1"/>
  <c r="G68" i="42"/>
  <c r="G67" i="42"/>
  <c r="G65" i="42"/>
  <c r="G63" i="42"/>
  <c r="G61" i="42"/>
  <c r="G60" i="42"/>
  <c r="G59" i="42"/>
  <c r="G58" i="42"/>
  <c r="G56" i="42"/>
  <c r="G55" i="42"/>
  <c r="G54" i="42"/>
  <c r="G53" i="42"/>
  <c r="G51" i="42"/>
  <c r="G50" i="42"/>
  <c r="G49" i="42"/>
  <c r="G48" i="42"/>
  <c r="G47" i="42"/>
  <c r="G35" i="42"/>
  <c r="G31" i="42"/>
  <c r="G25" i="42"/>
  <c r="G229" i="42" s="1"/>
  <c r="G23" i="42"/>
  <c r="G19" i="42"/>
  <c r="G17" i="42"/>
  <c r="G16" i="42"/>
  <c r="G13" i="42"/>
  <c r="G14" i="42" s="1"/>
  <c r="F12" i="42"/>
  <c r="G12" i="42" s="1"/>
  <c r="F11" i="42"/>
  <c r="G11" i="42" s="1"/>
  <c r="F10" i="42"/>
  <c r="G10" i="42" s="1"/>
  <c r="G124" i="42" l="1"/>
  <c r="G100" i="42"/>
  <c r="G121" i="42"/>
  <c r="G27" i="42"/>
  <c r="G102" i="42"/>
  <c r="G34" i="42"/>
  <c r="G122" i="42"/>
  <c r="G103" i="42"/>
  <c r="G395" i="16"/>
  <c r="G393" i="16" l="1"/>
  <c r="G232" i="42"/>
  <c r="G230" i="42"/>
  <c r="G231" i="42"/>
  <c r="G419" i="16"/>
  <c r="G418" i="16"/>
  <c r="G416" i="16"/>
  <c r="G414" i="16"/>
  <c r="G411" i="16"/>
  <c r="G410" i="16"/>
  <c r="G394" i="16" l="1"/>
  <c r="G397" i="16"/>
  <c r="G396" i="16"/>
  <c r="G398" i="16"/>
  <c r="G404" i="16"/>
  <c r="G378" i="16"/>
  <c r="G372" i="16"/>
  <c r="G374" i="16"/>
  <c r="F401" i="16"/>
  <c r="G377" i="16" l="1"/>
  <c r="G376" i="16"/>
  <c r="G375" i="16"/>
  <c r="G405" i="16"/>
  <c r="G406" i="16"/>
  <c r="G407" i="16"/>
  <c r="M4" i="42" l="1"/>
  <c r="G392" i="16"/>
  <c r="G391" i="16"/>
  <c r="G389" i="16"/>
  <c r="G387" i="16"/>
  <c r="G386" i="16"/>
  <c r="G384" i="16"/>
  <c r="G381" i="16"/>
  <c r="G373" i="16"/>
  <c r="E102" i="41"/>
  <c r="F102" i="41" s="1"/>
  <c r="E101" i="41"/>
  <c r="F101" i="41" s="1"/>
  <c r="E100" i="41"/>
  <c r="F100" i="41" s="1"/>
  <c r="F94" i="41"/>
  <c r="F93" i="41"/>
  <c r="F92" i="41"/>
  <c r="F90" i="41"/>
  <c r="F89" i="41"/>
  <c r="F88" i="41"/>
  <c r="F87" i="41"/>
  <c r="F85" i="41"/>
  <c r="F84" i="41"/>
  <c r="F83" i="41"/>
  <c r="F110" i="41"/>
  <c r="F81" i="41"/>
  <c r="F78" i="41"/>
  <c r="F77" i="41"/>
  <c r="F71" i="41"/>
  <c r="E75" i="41"/>
  <c r="E73" i="41"/>
  <c r="F60" i="41"/>
  <c r="F61" i="41" s="1"/>
  <c r="F66" i="41"/>
  <c r="F68" i="41" s="1"/>
  <c r="E65" i="41"/>
  <c r="E62" i="41"/>
  <c r="F59" i="41"/>
  <c r="F58" i="41"/>
  <c r="F57" i="41"/>
  <c r="F56" i="41"/>
  <c r="G380" i="16" l="1"/>
  <c r="G379" i="16"/>
  <c r="G382" i="16"/>
  <c r="F103" i="41"/>
  <c r="F75" i="41"/>
  <c r="F72" i="41"/>
  <c r="F73" i="41"/>
  <c r="F62" i="41"/>
  <c r="F65" i="41"/>
  <c r="F67" i="41"/>
  <c r="F70" i="41"/>
  <c r="G400" i="16" l="1"/>
  <c r="G399" i="16"/>
  <c r="G402" i="16"/>
  <c r="G401" i="16"/>
  <c r="F104" i="41"/>
  <c r="F105" i="41"/>
  <c r="F106" i="41" s="1"/>
  <c r="F54" i="41" l="1"/>
  <c r="F35" i="41"/>
  <c r="F46" i="41" l="1"/>
  <c r="F36" i="41"/>
  <c r="F48" i="41"/>
  <c r="G20" i="43" l="1"/>
  <c r="G23" i="43"/>
  <c r="G22" i="43"/>
  <c r="G26" i="43"/>
  <c r="G25" i="43"/>
  <c r="G29" i="43"/>
  <c r="G28" i="43"/>
  <c r="G32" i="43"/>
  <c r="G31" i="43"/>
  <c r="G36" i="43"/>
  <c r="G35" i="43"/>
  <c r="G34" i="43"/>
  <c r="G15" i="40" l="1"/>
  <c r="G60" i="40"/>
  <c r="F83" i="40"/>
  <c r="G83" i="40" s="1"/>
  <c r="G82" i="40"/>
  <c r="F81" i="40"/>
  <c r="G81" i="40" s="1"/>
  <c r="F80" i="40"/>
  <c r="G80" i="40" s="1"/>
  <c r="G62" i="40"/>
  <c r="G33" i="40"/>
  <c r="G29" i="40" s="1"/>
  <c r="G64" i="40" l="1"/>
  <c r="G63" i="40"/>
  <c r="F17" i="43" l="1"/>
  <c r="G17" i="43" s="1"/>
  <c r="G9" i="43"/>
  <c r="E117" i="41" l="1"/>
  <c r="E118" i="41"/>
  <c r="E116" i="41"/>
  <c r="F114" i="41" l="1"/>
  <c r="F109" i="41"/>
  <c r="F108" i="41"/>
  <c r="D33" i="41"/>
  <c r="E58" i="40"/>
  <c r="F13" i="41"/>
  <c r="F11" i="41"/>
  <c r="F10" i="41"/>
  <c r="F9" i="41"/>
  <c r="G68" i="40"/>
  <c r="F61" i="40"/>
  <c r="F50" i="40"/>
  <c r="G27" i="40"/>
  <c r="G19" i="40"/>
  <c r="G16" i="40"/>
  <c r="F222" i="16"/>
  <c r="G218" i="16"/>
  <c r="G235" i="16"/>
  <c r="G229" i="16"/>
  <c r="G228" i="16"/>
  <c r="G227" i="16"/>
  <c r="G226" i="16"/>
  <c r="G61" i="40" l="1"/>
  <c r="F34" i="41"/>
  <c r="G20" i="40"/>
  <c r="G30" i="40"/>
  <c r="G59" i="40"/>
  <c r="G223" i="16"/>
  <c r="F30" i="41"/>
  <c r="F31" i="41"/>
  <c r="G50" i="40"/>
  <c r="G42" i="40"/>
  <c r="G24" i="40"/>
  <c r="G222" i="16"/>
  <c r="G231" i="16"/>
  <c r="G232" i="16"/>
  <c r="G233" i="16"/>
  <c r="L4" i="43" l="1"/>
  <c r="F116" i="41"/>
  <c r="F117" i="41"/>
  <c r="F118" i="41"/>
  <c r="F302" i="16" l="1"/>
  <c r="G302" i="16" s="1"/>
  <c r="F301" i="16"/>
  <c r="G301" i="16" s="1"/>
  <c r="G300" i="16"/>
  <c r="G367" i="16"/>
  <c r="G366" i="16" l="1"/>
  <c r="G362" i="16"/>
  <c r="G365" i="16"/>
  <c r="G364" i="16"/>
  <c r="G363" i="16"/>
  <c r="F294" i="16" l="1"/>
  <c r="G294" i="16" s="1"/>
  <c r="F293" i="16"/>
  <c r="G293" i="16" s="1"/>
  <c r="F292" i="16"/>
  <c r="G292" i="16" s="1"/>
  <c r="F291" i="16"/>
  <c r="G291" i="16" s="1"/>
  <c r="G290" i="16"/>
  <c r="F298" i="16" l="1"/>
  <c r="G298" i="16" s="1"/>
  <c r="F297" i="16"/>
  <c r="G354" i="16"/>
  <c r="F352" i="16"/>
  <c r="G353" i="16"/>
  <c r="G351" i="16"/>
  <c r="F200" i="16"/>
  <c r="L4" i="41" l="1"/>
  <c r="G359" i="16"/>
  <c r="G360" i="16"/>
  <c r="G356" i="16"/>
  <c r="G357" i="16"/>
  <c r="G358" i="16"/>
  <c r="G352" i="16"/>
  <c r="G203" i="16" l="1"/>
  <c r="G205" i="16"/>
  <c r="G204" i="16"/>
  <c r="G348" i="16"/>
  <c r="G346" i="16"/>
  <c r="G347" i="16"/>
  <c r="G345" i="16"/>
  <c r="E341" i="16"/>
  <c r="F339" i="16"/>
  <c r="G339" i="16" s="1"/>
  <c r="G343" i="16"/>
  <c r="G341" i="16"/>
  <c r="G340" i="16"/>
  <c r="G338" i="16"/>
  <c r="G200" i="16" l="1"/>
  <c r="G197" i="16"/>
  <c r="G202" i="16"/>
  <c r="G370" i="16" l="1"/>
  <c r="G369" i="16"/>
  <c r="G368" i="16"/>
  <c r="G330" i="16" l="1"/>
  <c r="G329" i="16"/>
  <c r="G327" i="16"/>
  <c r="G326" i="16"/>
  <c r="G325" i="16"/>
  <c r="G323" i="16"/>
  <c r="G322" i="16"/>
  <c r="G321" i="16"/>
  <c r="G320" i="16"/>
  <c r="G319" i="16"/>
  <c r="G318" i="16"/>
  <c r="F308" i="16"/>
  <c r="G308" i="16" s="1"/>
  <c r="G305" i="16"/>
  <c r="F287" i="16"/>
  <c r="G287" i="16" s="1"/>
  <c r="F286" i="16"/>
  <c r="G286" i="16" s="1"/>
  <c r="G336" i="16"/>
  <c r="G335" i="16"/>
  <c r="G334" i="16"/>
  <c r="G333" i="16"/>
  <c r="G332" i="16"/>
  <c r="G316" i="16"/>
  <c r="G311" i="16"/>
  <c r="G309" i="16"/>
  <c r="G307" i="16"/>
  <c r="G306" i="16"/>
  <c r="G304" i="16"/>
  <c r="G297" i="16"/>
  <c r="G296" i="16"/>
  <c r="G288" i="16"/>
  <c r="G285" i="16"/>
  <c r="F279" i="16"/>
  <c r="F278" i="16"/>
  <c r="F277" i="16"/>
  <c r="F276" i="16"/>
  <c r="G275" i="16"/>
  <c r="G272" i="16"/>
  <c r="G274" i="16"/>
  <c r="G273" i="16"/>
  <c r="G271" i="16"/>
  <c r="G270" i="16"/>
  <c r="G282" i="16"/>
  <c r="G281" i="16"/>
  <c r="G268" i="16"/>
  <c r="G267" i="16"/>
  <c r="G266" i="16"/>
  <c r="G264" i="16"/>
  <c r="G263" i="16"/>
  <c r="G262" i="16"/>
  <c r="G261" i="16"/>
  <c r="G258" i="16"/>
  <c r="G257" i="16"/>
  <c r="G255" i="16"/>
  <c r="G254" i="16"/>
  <c r="G252" i="16"/>
  <c r="G251" i="16"/>
  <c r="G249" i="16"/>
  <c r="G248" i="16"/>
  <c r="G312" i="16" l="1"/>
  <c r="G315" i="16"/>
  <c r="G276" i="16"/>
  <c r="G279" i="16"/>
  <c r="G277" i="16"/>
  <c r="G278" i="16"/>
  <c r="G212" i="16"/>
  <c r="G215" i="16" s="1"/>
  <c r="G210" i="16"/>
  <c r="G209" i="16"/>
  <c r="G208" i="16"/>
  <c r="G220" i="16"/>
  <c r="G219" i="16"/>
  <c r="G214" i="16" l="1"/>
  <c r="G216" i="16"/>
  <c r="G213" i="16"/>
  <c r="G217" i="16"/>
  <c r="G187" i="16"/>
  <c r="G185" i="16"/>
  <c r="G182" i="16"/>
  <c r="G181" i="16"/>
  <c r="G194" i="16" l="1"/>
  <c r="G193" i="16"/>
  <c r="G190" i="16"/>
  <c r="G189" i="16"/>
  <c r="G179" i="16"/>
  <c r="G178" i="16"/>
  <c r="G175" i="16"/>
  <c r="G174" i="16"/>
  <c r="F77" i="16" l="1"/>
  <c r="E95" i="16"/>
  <c r="E74" i="16" l="1"/>
  <c r="E73" i="16"/>
  <c r="F45" i="16"/>
  <c r="G46" i="16"/>
  <c r="G30" i="16" l="1"/>
  <c r="G29" i="16"/>
  <c r="G28" i="16"/>
  <c r="G22" i="16" l="1"/>
  <c r="G21" i="16"/>
  <c r="G20" i="16"/>
  <c r="F16" i="16"/>
  <c r="F15" i="16"/>
  <c r="F14" i="16"/>
  <c r="G65" i="16" l="1"/>
  <c r="G62" i="16"/>
  <c r="G59" i="16"/>
  <c r="G58" i="16"/>
  <c r="G17" i="16"/>
  <c r="G23" i="16" s="1"/>
  <c r="G25" i="16" l="1"/>
  <c r="G32" i="16"/>
  <c r="G33" i="16"/>
  <c r="G24" i="16"/>
  <c r="G26" i="16"/>
  <c r="G84" i="16" l="1"/>
  <c r="G75" i="16"/>
  <c r="G96" i="16" l="1"/>
  <c r="G89" i="16"/>
  <c r="G88" i="16"/>
  <c r="G87" i="16"/>
  <c r="G78" i="16"/>
  <c r="G77" i="16"/>
  <c r="G55" i="16"/>
  <c r="G54" i="16"/>
  <c r="G48" i="16"/>
  <c r="G72" i="16"/>
  <c r="G69" i="16"/>
  <c r="G68" i="16"/>
  <c r="G39" i="16"/>
  <c r="G38" i="16"/>
  <c r="G37" i="16"/>
  <c r="G36" i="16"/>
  <c r="G45" i="16"/>
  <c r="G42" i="16"/>
  <c r="G41" i="16"/>
  <c r="G18" i="16" l="1"/>
  <c r="G16" i="16"/>
  <c r="G15" i="16"/>
  <c r="G14" i="16"/>
  <c r="M4" i="16" l="1"/>
  <c r="M5" i="40" l="1"/>
</calcChain>
</file>

<file path=xl/sharedStrings.xml><?xml version="1.0" encoding="utf-8"?>
<sst xmlns="http://schemas.openxmlformats.org/spreadsheetml/2006/main" count="2017" uniqueCount="621">
  <si>
    <t>#</t>
  </si>
  <si>
    <t>safuZv.</t>
  </si>
  <si>
    <t>ganz.</t>
  </si>
  <si>
    <t>masalebi</t>
  </si>
  <si>
    <t>sul</t>
  </si>
  <si>
    <t>erTeuli</t>
  </si>
  <si>
    <t>jami</t>
  </si>
  <si>
    <t>xelfasi</t>
  </si>
  <si>
    <t>Sromis danaxarjebi</t>
  </si>
  <si>
    <t>manqanebi</t>
  </si>
  <si>
    <t>k/sT</t>
  </si>
  <si>
    <t>lari</t>
  </si>
  <si>
    <t>m3</t>
  </si>
  <si>
    <t>sxva masalebi</t>
  </si>
  <si>
    <t>m/sT</t>
  </si>
  <si>
    <t>erT.
fasi</t>
  </si>
  <si>
    <t>samuSaoebis dasaxeleba</t>
  </si>
  <si>
    <t>sxva manqanebi</t>
  </si>
  <si>
    <t>manqana 
meqaniz.</t>
  </si>
  <si>
    <t>gegmiuri dagroveba</t>
  </si>
  <si>
    <t>tn</t>
  </si>
  <si>
    <t>m2</t>
  </si>
  <si>
    <t xml:space="preserve"> lari</t>
  </si>
  <si>
    <t>grZ/m</t>
  </si>
  <si>
    <t>balasti</t>
  </si>
  <si>
    <t>betoni b-15</t>
  </si>
  <si>
    <t>c</t>
  </si>
  <si>
    <t>m</t>
  </si>
  <si>
    <t>Sromis danaxarji</t>
  </si>
  <si>
    <t>betoni b-22.5</t>
  </si>
  <si>
    <t>kg</t>
  </si>
  <si>
    <t>12-8_4</t>
  </si>
  <si>
    <t>8-15_1</t>
  </si>
  <si>
    <t>cementis xsnari m-100</t>
  </si>
  <si>
    <t>10-20_1</t>
  </si>
  <si>
    <t>eleqtrodi</t>
  </si>
  <si>
    <t>11-1_5</t>
  </si>
  <si>
    <t xml:space="preserve">webocementi </t>
  </si>
  <si>
    <t>liTonis profilebi</t>
  </si>
  <si>
    <t>qviSa-cementis xsnari 1:3</t>
  </si>
  <si>
    <t>15-152-3</t>
  </si>
  <si>
    <t>fiTxi</t>
  </si>
  <si>
    <t>Surufi</t>
  </si>
  <si>
    <t>komp.</t>
  </si>
  <si>
    <t>eqskavatori 0.65 m3</t>
  </si>
  <si>
    <t>qviSa</t>
  </si>
  <si>
    <t>1_22-9</t>
  </si>
  <si>
    <t>rk.betonis wertilovani saZirkvlebis mowyoba betoniT b-22.5</t>
  </si>
  <si>
    <t xml:space="preserve"> manqanebi</t>
  </si>
  <si>
    <t>6_1-1</t>
  </si>
  <si>
    <t>betoni b-7.5 (m-100)</t>
  </si>
  <si>
    <t>6_15-9</t>
  </si>
  <si>
    <t>6_15-11</t>
  </si>
  <si>
    <t>6_16-1</t>
  </si>
  <si>
    <t>armatura ф20 А-III</t>
  </si>
  <si>
    <t xml:space="preserve">wyalemulsiis saRebavi </t>
  </si>
  <si>
    <t>msubuqi sakedle bloki 39X19X19</t>
  </si>
  <si>
    <t xml:space="preserve">plastikati </t>
  </si>
  <si>
    <t xml:space="preserve">antikoroziuli saRebavi </t>
  </si>
  <si>
    <t>15-164-7</t>
  </si>
  <si>
    <t>webo-cementi</t>
  </si>
  <si>
    <t>karkasis liTonis profilebi</t>
  </si>
  <si>
    <t>1-80-3</t>
  </si>
  <si>
    <t xml:space="preserve">miwis damuSaveba xeliT </t>
  </si>
  <si>
    <t>1-118-11</t>
  </si>
  <si>
    <t>mtkepnavi xelis</t>
  </si>
  <si>
    <t>glinula ф6 А-I</t>
  </si>
  <si>
    <t>armatura ф14 А-III</t>
  </si>
  <si>
    <t xml:space="preserve">mdf-is karis blokebis montaJi </t>
  </si>
  <si>
    <t xml:space="preserve">mdf-is karis bloki </t>
  </si>
  <si>
    <t>metaloplastikis karis bloki</t>
  </si>
  <si>
    <t>foladis xraxni</t>
  </si>
  <si>
    <t>11-8-1-</t>
  </si>
  <si>
    <t xml:space="preserve"> TabaSirmuyaos Sekiduli Weris mowyoba</t>
  </si>
  <si>
    <t xml:space="preserve">Weris mopirkeTeba plastikatiT </t>
  </si>
  <si>
    <t>iatakebis mopirkeTeba metlaxis keramikuli filebiT</t>
  </si>
  <si>
    <t>xaoiani metlaxis keramikuli fila</t>
  </si>
  <si>
    <t>keramikuli fila kedlis</t>
  </si>
  <si>
    <t xml:space="preserve">moajirebis SeRebva zeTovani saRebaviT
2-jer </t>
  </si>
  <si>
    <t>22-26_3
gam.</t>
  </si>
  <si>
    <t>civi wylis mricxvelis montaJi</t>
  </si>
  <si>
    <t>SeWra</t>
  </si>
  <si>
    <t>xelsabanis montaJi fexiT</t>
  </si>
  <si>
    <t>xelsabani fexiT</t>
  </si>
  <si>
    <t>17-4_2</t>
  </si>
  <si>
    <t>aziuri unitazi Camrecxi avziT</t>
  </si>
  <si>
    <t>17-1_9</t>
  </si>
  <si>
    <t>trapis montaJi d-50 mm</t>
  </si>
  <si>
    <t>trapi d-50 mm</t>
  </si>
  <si>
    <t>8-17_3
gam.</t>
  </si>
  <si>
    <t xml:space="preserve">Sromis danaxarji </t>
  </si>
  <si>
    <t>wyalemulsiis saRebavi maRali xarisxis</t>
  </si>
  <si>
    <t>15-168-3.</t>
  </si>
  <si>
    <t>safiTxni</t>
  </si>
  <si>
    <t>8-22-2.</t>
  </si>
  <si>
    <t>xaraCoebis mowyoba fasadze</t>
  </si>
  <si>
    <t>liTonis detalebi</t>
  </si>
  <si>
    <t>xe.masala daxerxili mSrali</t>
  </si>
  <si>
    <t>fari fenilis sisqiT 40 mm</t>
  </si>
  <si>
    <t>cali</t>
  </si>
  <si>
    <t>9-5-1.</t>
  </si>
  <si>
    <t>saRebavi antikoroziuli</t>
  </si>
  <si>
    <t>olifa</t>
  </si>
  <si>
    <t>xe-masala</t>
  </si>
  <si>
    <t>10-11.</t>
  </si>
  <si>
    <t>xe-masala daxerxili mSrali (proeqtis mix)</t>
  </si>
  <si>
    <t>samontaJo ankerebi</t>
  </si>
  <si>
    <t>metalokramitis saxuravis mowyoba</t>
  </si>
  <si>
    <t>sWvali metalokramitis</t>
  </si>
  <si>
    <t>saxuravis xis konstruqciebis mowyoba</t>
  </si>
  <si>
    <t>kompl</t>
  </si>
  <si>
    <t>milkvadrati 20X20X2 mm</t>
  </si>
  <si>
    <t>21-18-1.</t>
  </si>
  <si>
    <t>21-21-1.</t>
  </si>
  <si>
    <t>gamanawilebeli kolofebis montaJi</t>
  </si>
  <si>
    <t>8-612-9.</t>
  </si>
  <si>
    <t xml:space="preserve">avtomaturi amomrTvelis mowyoba </t>
  </si>
  <si>
    <t>CamrTveli daxuruli gayvanilobis</t>
  </si>
  <si>
    <t>23-1-1.</t>
  </si>
  <si>
    <t>fasonuri nawilebis montaJi</t>
  </si>
  <si>
    <t>wyali</t>
  </si>
  <si>
    <t>6_13-3</t>
  </si>
  <si>
    <t>saxarjTaRircxvo Rirebuleba</t>
  </si>
  <si>
    <t>armatura a-I d-6</t>
  </si>
  <si>
    <t>armatura a-III d-12</t>
  </si>
  <si>
    <t>normat res</t>
  </si>
  <si>
    <t>raode
noba</t>
  </si>
  <si>
    <t>21-16-1</t>
  </si>
  <si>
    <t xml:space="preserve">zednadebi xarjebi </t>
  </si>
  <si>
    <t>ც</t>
  </si>
  <si>
    <t>18_5-1</t>
  </si>
  <si>
    <t>zednadebi xarjebi mowyobilobis montaJidan</t>
  </si>
  <si>
    <t>16-6-1</t>
  </si>
  <si>
    <t>safuZvlis momzadeba mdinaris balastiT (proeqtis mix)</t>
  </si>
  <si>
    <t xml:space="preserve">III kat. Ggruntis damuSaveba eqskavatoriT, CamCiT 0.65 m3 </t>
  </si>
  <si>
    <t>zeZirkvlisa da pandusis kedlebis Sevseba mdinaris balastiT</t>
  </si>
  <si>
    <t>betonis momzadebis mowyoba saZirkvlebisa da Semkravebis qveS sisqiT 8,0 sm, betoni  b-7.5</t>
  </si>
  <si>
    <t>6_1-9</t>
  </si>
  <si>
    <t>6_15_5</t>
  </si>
  <si>
    <t>rk.betonis  monoliTuri svetebis mowyoba  betoniT b-22.5</t>
  </si>
  <si>
    <t xml:space="preserve">rk/betonis iatakis da gadaxurvis filebis mowyoba betoniT b22.5 </t>
  </si>
  <si>
    <t>armatura ф6 А-I</t>
  </si>
  <si>
    <t>armatura ф8 А-III</t>
  </si>
  <si>
    <t>armatura ф28 А-III</t>
  </si>
  <si>
    <t xml:space="preserve">rk.betonis monoliTuri zRudarebis mowyoba betoniT b-22.5 </t>
  </si>
  <si>
    <t xml:space="preserve">kibis safexurebis mowyoba betoniT b-15 </t>
  </si>
  <si>
    <t>6-16-5 misad</t>
  </si>
  <si>
    <t>pandusisa da aivnis kedlebis mowyoba betoniT b-15</t>
  </si>
  <si>
    <t>muxli igive masalis</t>
  </si>
  <si>
    <t>3. saZirkvlebi da Semkravebi</t>
  </si>
  <si>
    <t>4. zeZirkvlis rigelebi da iatakis Semkravebi</t>
  </si>
  <si>
    <t>pandusisa d aivnis iatakis  mowyoba rk/betoniT b-15</t>
  </si>
  <si>
    <t>6_12-10</t>
  </si>
  <si>
    <t>bloki 39X10X19 sm</t>
  </si>
  <si>
    <t>tixrebis mowyoba wvrili satixre msubuqi blokiT 39X10X19 sm</t>
  </si>
  <si>
    <t>metaloplastmasis karis blokebis montaJi</t>
  </si>
  <si>
    <t>sawvimari mili feradi liTonis d-100 mm</t>
  </si>
  <si>
    <t>sawvimari Rari feradi liTonis</t>
  </si>
  <si>
    <t xml:space="preserve"> metaloplastmasis fanjris blokebis montaJi </t>
  </si>
  <si>
    <t xml:space="preserve"> metaloplastmasis fanjris blokebi </t>
  </si>
  <si>
    <t>15-164-6</t>
  </si>
  <si>
    <t xml:space="preserve">liTonis karis mowyoba </t>
  </si>
  <si>
    <t>liTonis kari</t>
  </si>
  <si>
    <t xml:space="preserve"> iatakis moWimva qviSa-cementis xsnariT sisq. 4,0 sm (aivnis iatakebis CaTvliT)</t>
  </si>
  <si>
    <t>kedlebis lesva qviSa-cementis xsnariT (Sida da gare mxridan)</t>
  </si>
  <si>
    <t>TabaSirmuyaos fila sisqiT 12.5 mm</t>
  </si>
  <si>
    <t>TabaSirmuyaos nestgamZle fila sisqiT 12.5 mm</t>
  </si>
  <si>
    <t>amstrongis Weris mowyoba</t>
  </si>
  <si>
    <t>amstrongis Weri</t>
  </si>
  <si>
    <t>iatakebis mopirkeTeba laminatiT</t>
  </si>
  <si>
    <t>11-27-6.</t>
  </si>
  <si>
    <t>laminati</t>
  </si>
  <si>
    <t>laminatis qeCa</t>
  </si>
  <si>
    <t>laminatis plintusi</t>
  </si>
  <si>
    <t>iatakebis mopirkeTeba keramogranitis filebiT</t>
  </si>
  <si>
    <t>11-20-3</t>
  </si>
  <si>
    <t xml:space="preserve"> liTonis moajirebis mowyoba</t>
  </si>
  <si>
    <t>milkvadrati 40X40X3 mm</t>
  </si>
  <si>
    <t xml:space="preserve">5. rk/betonis monoliTuri svetebi </t>
  </si>
  <si>
    <t>7. kibeebi da pandusebi</t>
  </si>
  <si>
    <t>8.  moajirebi</t>
  </si>
  <si>
    <t>9. saxuravi</t>
  </si>
  <si>
    <t>10. kedlebi da tixrebi</t>
  </si>
  <si>
    <t>11. kar-fanjrebi</t>
  </si>
  <si>
    <t>12. Siga mosapirkeTebeli samuSaoebi</t>
  </si>
  <si>
    <t xml:space="preserve">TabaSirmuyaos filebis damuSaveba fiTxiT da SeRebva wyalemulsiis saRebaviT </t>
  </si>
  <si>
    <t>15-51-1.</t>
  </si>
  <si>
    <t>metalokramiti gluvi zedapiriT</t>
  </si>
  <si>
    <t>plastmasis sakanalizacio milis d-50 mm montaJi</t>
  </si>
  <si>
    <t>muxli d-50 mm</t>
  </si>
  <si>
    <t>samkapi d-50 mm</t>
  </si>
  <si>
    <t>plastmasis sakanalizacio milis d-100 mm montaJi</t>
  </si>
  <si>
    <t>16_6-2</t>
  </si>
  <si>
    <t>muxli d-100 mm</t>
  </si>
  <si>
    <t>samkapi d-100 mm</t>
  </si>
  <si>
    <t>gadamyvani d-100X50 mm</t>
  </si>
  <si>
    <t>gadamyvani d-50X50 mm</t>
  </si>
  <si>
    <t>jvaredina d-100X100X100X100 mm</t>
  </si>
  <si>
    <t>unitazis montaJi</t>
  </si>
  <si>
    <t>17-1-5.</t>
  </si>
  <si>
    <t>1.  kanalizaciis samuSaoebi</t>
  </si>
  <si>
    <t>2.  wyalmomaragebis samuSaoebi</t>
  </si>
  <si>
    <t>civi  wylis polieTilenis          milebi d-20 mm</t>
  </si>
  <si>
    <t>civi  wylis polieTilenis          milebi d-25 mm</t>
  </si>
  <si>
    <t>civi  wylis polieTilenis          milebi d-32 mm</t>
  </si>
  <si>
    <t>civi  wylis polieTilenis          milebi d-40 mm</t>
  </si>
  <si>
    <t>22-27_1</t>
  </si>
  <si>
    <t>შრომის დანახარჯი</t>
  </si>
  <si>
    <t>კაც/სთ</t>
  </si>
  <si>
    <t xml:space="preserve"> სხვა მანქანები</t>
  </si>
  <si>
    <t>ლარი</t>
  </si>
  <si>
    <t>სხვა მასალები</t>
  </si>
  <si>
    <t xml:space="preserve"> ვენტილების მონტაჟი</t>
  </si>
  <si>
    <t>d-40 mm ventili</t>
  </si>
  <si>
    <t>1-92-6.</t>
  </si>
  <si>
    <t>16-22</t>
  </si>
  <si>
    <t>სხვა მანქანები</t>
  </si>
  <si>
    <t>kbm</t>
  </si>
  <si>
    <t>sxva masala</t>
  </si>
  <si>
    <t>16-20-1</t>
  </si>
  <si>
    <t>wyalsadenis qselis daerTeba arsebul gare qselze</t>
  </si>
  <si>
    <t>wert</t>
  </si>
  <si>
    <t>სხვა მასალა</t>
  </si>
  <si>
    <t>miwis damuSaveba xeliT sakanalizacio Webisa da gare qselis milebis mosawyobad</t>
  </si>
  <si>
    <t>gruntis ukuCayra eqskavatoriT, CamCiT 0.65 m3 datkepniT, samuSaoebis dasrulebis Semdgom</t>
  </si>
  <si>
    <t xml:space="preserve"> balastis fenebis datkepna meqanizmebiT </t>
  </si>
  <si>
    <t>7-58-1. gam</t>
  </si>
  <si>
    <t>milsadenebis hidravlikuri Semowmeba da garecxva</t>
  </si>
  <si>
    <t>11-1-11</t>
  </si>
  <si>
    <t>kac/sT</t>
  </si>
  <si>
    <t>betoni b-22,5</t>
  </si>
  <si>
    <t>15-52-5.</t>
  </si>
  <si>
    <t>Sida da gare kedlebis SefiTxva da SeRebva  fanjris ferdoebis CaTvliT</t>
  </si>
  <si>
    <t xml:space="preserve">წყალმიმRები ძაბრების მოწყობა </t>
  </si>
  <si>
    <t xml:space="preserve">Sromis danaxarjebi </t>
  </si>
  <si>
    <t xml:space="preserve">sxva manqana  </t>
  </si>
  <si>
    <t xml:space="preserve">sxva masala </t>
  </si>
  <si>
    <t>wyalmimRebi Zabrebi feradi liTonis</t>
  </si>
  <si>
    <t>გ/მ</t>
  </si>
  <si>
    <t xml:space="preserve">sxva manqana </t>
  </si>
  <si>
    <t>grZ.m</t>
  </si>
  <si>
    <t>WanWiki</t>
  </si>
  <si>
    <t>naWedi</t>
  </si>
  <si>
    <t>წყალსაწრეტი მილebis mowyoba</t>
  </si>
  <si>
    <t>sawvimari milisa samagrebi (igive masalis)</t>
  </si>
  <si>
    <t>sawvimari Raris samagrebi (igive masalis)</t>
  </si>
  <si>
    <t xml:space="preserve">wyalmimRebi Rarebis mowyoba </t>
  </si>
  <si>
    <t>16-17-3</t>
  </si>
  <si>
    <t>21-27-3</t>
  </si>
  <si>
    <t>21-26-6.</t>
  </si>
  <si>
    <t xml:space="preserve">Zalovani izolirebuli sadenebis montaJi </t>
  </si>
  <si>
    <t>20-22-3.</t>
  </si>
  <si>
    <t>21-23-3.</t>
  </si>
  <si>
    <t>21-23_8</t>
  </si>
  <si>
    <t>liTonis mTavari eleqtrofaris montaJi</t>
  </si>
  <si>
    <t>luminiscirebuli naTurebis montaJi</t>
  </si>
  <si>
    <t>18-2-10</t>
  </si>
  <si>
    <t>კომპლ</t>
  </si>
  <si>
    <t>გრ/მ</t>
  </si>
  <si>
    <t xml:space="preserve"> სხვა მასალები</t>
  </si>
  <si>
    <t xml:space="preserve">ვენტილი რადიატორის მიწოდების </t>
  </si>
  <si>
    <t>radiatoris montaJi</t>
  </si>
  <si>
    <t xml:space="preserve"> radiatori 600X1600 </t>
  </si>
  <si>
    <t xml:space="preserve"> radiatori 600X1000 </t>
  </si>
  <si>
    <t xml:space="preserve"> radiatori 600X800 </t>
  </si>
  <si>
    <t xml:space="preserve"> radiatori 600X1200 </t>
  </si>
  <si>
    <t>18-8-4</t>
  </si>
  <si>
    <t>miltuCi (flianeci)</t>
  </si>
  <si>
    <t>masalebis transportireba</t>
  </si>
  <si>
    <t>26-15-1.</t>
  </si>
  <si>
    <t>gaTbobis sitemis hidravlikuri gamocda</t>
  </si>
  <si>
    <t>saavario gasasvlelis Suq maCvenebeli</t>
  </si>
  <si>
    <t>universaluri samisamarTo baza</t>
  </si>
  <si>
    <t>cecxlmedegi kabelebis montaJi</t>
  </si>
  <si>
    <t>21-20_1</t>
  </si>
  <si>
    <t>saxanZro sainventaro dafa cecxlmaqri saSualebebiT</t>
  </si>
  <si>
    <t>samSeneblo samuSaoebi</t>
  </si>
  <si>
    <t>6. rk/betonis monoliTuri iataki da saxuravi</t>
  </si>
  <si>
    <t>krebsiTi xarjTaRicxva</t>
  </si>
  <si>
    <t>##</t>
  </si>
  <si>
    <t>saxarjTaRricxvo gaangariSebis #</t>
  </si>
  <si>
    <t>samuSaoebisa da danaxarjebis dasaxeleba</t>
  </si>
  <si>
    <t>saxarjTaRricxvo Rirebuleba</t>
  </si>
  <si>
    <t>samontaJo samuSaoebi</t>
  </si>
  <si>
    <t>mowyobiloba</t>
  </si>
  <si>
    <t>lk 1</t>
  </si>
  <si>
    <t>saerTo samSeneblo samuSaoebi</t>
  </si>
  <si>
    <t>lk 2</t>
  </si>
  <si>
    <t>Senobis el montaJis samuSaoebi</t>
  </si>
  <si>
    <t>lk 3</t>
  </si>
  <si>
    <t>Senobis Sida wyalsadenisa da kanalizaciis qselis montaJis samuSaoebi</t>
  </si>
  <si>
    <t>lk 4</t>
  </si>
  <si>
    <t>lk 5</t>
  </si>
  <si>
    <t>Senobis saxanZro usafrTxoebis qselis  montaJi</t>
  </si>
  <si>
    <t>gauTvaliswinebeli xarjebi</t>
  </si>
  <si>
    <t xml:space="preserve">dRg </t>
  </si>
  <si>
    <t>sul xarjTaRricxviT</t>
  </si>
  <si>
    <t>lk #2 xarjTaRricxva</t>
  </si>
  <si>
    <t>lk #3 xarjTaRricxva</t>
  </si>
  <si>
    <t>lk #1 xarjTaRricxva</t>
  </si>
  <si>
    <t>lk #4  xarjTaRricxva</t>
  </si>
  <si>
    <t xml:space="preserve"> eleqtro montaJis samuSaoebi</t>
  </si>
  <si>
    <t>lk #5 xarjTaRricxva</t>
  </si>
  <si>
    <t>civi wylis milebis montaJi</t>
  </si>
  <si>
    <t>10-472-1.</t>
  </si>
  <si>
    <t>gamTiSi kontaqtebi xelis blokirebiT (pro. Mmix)</t>
  </si>
  <si>
    <t>gamTiSi kontaqtebi dnobadi mcvelebiT (pro. Mmix)</t>
  </si>
  <si>
    <t>diferencirebuli avtomaturi amomrTveli 400v/200 a</t>
  </si>
  <si>
    <t>el. amanawilebeli karada (pro.mix)</t>
  </si>
  <si>
    <t>damiwebis konturis mowyoba</t>
  </si>
  <si>
    <t>grZ.m.</t>
  </si>
  <si>
    <t>foladis  zolovana 40X4 mm</t>
  </si>
  <si>
    <t>luminiscirebuli (eko) naTura 35 vat</t>
  </si>
  <si>
    <t>luminiscirebuli (eko) naTura 23 vat</t>
  </si>
  <si>
    <t>milakur-dioduri naTura (pro.mix)</t>
  </si>
  <si>
    <t>amstrongis tipis ganaTeba (pro.mix)</t>
  </si>
  <si>
    <t>8-609-1</t>
  </si>
  <si>
    <t>gare sanaTebis montaJi</t>
  </si>
  <si>
    <t>კომპლ.</t>
  </si>
  <si>
    <t>mTavari Zalovani aluminis ZarRviani kabeli 3X50-1X25 mm2</t>
  </si>
  <si>
    <t xml:space="preserve">kabelis samagri xamuTi d-6 </t>
  </si>
  <si>
    <t>saStepselo rozetebis montaJi damiwebiT</t>
  </si>
  <si>
    <t>saStepselo rozetebi (pro.mix)</t>
  </si>
  <si>
    <t>CamrTveli erTklaviSiani (pro.mix)</t>
  </si>
  <si>
    <t>orRilakiani paketuri CamrTveli (pro.mix)</t>
  </si>
  <si>
    <t>CamrTveli orklaviSiani (pro.mix)</t>
  </si>
  <si>
    <t>gamanawilebeli kolofi (pro.mix)</t>
  </si>
  <si>
    <t>saStepselo komunikaciis kolofi (pro.mix)</t>
  </si>
  <si>
    <t>8-121-1</t>
  </si>
  <si>
    <t>სათადარიგო მუდმივი დენის წყარო აკუმულიატორის მონტაჟი</t>
  </si>
  <si>
    <t xml:space="preserve">Sromis danaxarjebi  </t>
  </si>
  <si>
    <t>კ/სთ</t>
  </si>
  <si>
    <t>ც.</t>
  </si>
  <si>
    <t>mtver-wyal gaumtari gare ganaTebis kedlis bra 23 vat</t>
  </si>
  <si>
    <t>maT Soris mowyobilobis Rirebuleba</t>
  </si>
  <si>
    <t>saxanZro signalizaciis sakontrolo 
mimRebi paneli (pro.mix)</t>
  </si>
  <si>
    <t>cecxlmedegi kabelebis (pro.mix)</t>
  </si>
  <si>
    <t>10-743-3</t>
  </si>
  <si>
    <t>universaluri samisamarToo bazis montaJi</t>
  </si>
  <si>
    <t>universaluri samisamarToo baza</t>
  </si>
  <si>
    <t>10-744-6</t>
  </si>
  <si>
    <t>samisamarTo sirena-strobis montaJi</t>
  </si>
  <si>
    <t>სირენა-strobi</t>
  </si>
  <si>
    <t>10-744-5</t>
  </si>
  <si>
    <t>samisamarTo sagangebo Rilaki</t>
  </si>
  <si>
    <t>samisamarTo sagangebo Rilakis montaJi</t>
  </si>
  <si>
    <t>samisamarTo Tburi   deteqtoris montaJi (pro.mix)</t>
  </si>
  <si>
    <t>Tburi deteqtori (pro.mix)</t>
  </si>
  <si>
    <t>samisamarTo kvamlis  optikuri deteqtoris montaJi</t>
  </si>
  <si>
    <t>kvamlis deteqtori</t>
  </si>
  <si>
    <t>plasmasis gofrirebuli saizolacio milebis montaJi (pro.mix)</t>
  </si>
  <si>
    <t xml:space="preserve">plastmasis sakanalizacio milis  d-100 mm </t>
  </si>
  <si>
    <t xml:space="preserve">plastmasis sakanalizacio milis d-50 mm </t>
  </si>
  <si>
    <t>Txrilis amovseba mdinaris balastiT</t>
  </si>
  <si>
    <t xml:space="preserve">qviSis safuZvlis mowyoba milis garSemo                </t>
  </si>
  <si>
    <t>6-1-16.</t>
  </si>
  <si>
    <t>betoni b.25</t>
  </si>
  <si>
    <t>armatura  А-III (pro.mix)</t>
  </si>
  <si>
    <t>6-11-10</t>
  </si>
  <si>
    <t>betoni b-25</t>
  </si>
  <si>
    <t>armatura  А-I (pro.mix)</t>
  </si>
  <si>
    <t>kanalizaciis mcocavi d-100</t>
  </si>
  <si>
    <t>revizia d-100</t>
  </si>
  <si>
    <t>17-1-8</t>
  </si>
  <si>
    <t>saSxape</t>
  </si>
  <si>
    <t>8-4-7</t>
  </si>
  <si>
    <t>bitumis emulsia</t>
  </si>
  <si>
    <t>kg.</t>
  </si>
  <si>
    <t>sakanalizacio Webis monoliTuri rk.betonis kedlebis zedapirebis damuSaveba bitumis emulsiiT (hidroizolacia)</t>
  </si>
  <si>
    <t>2.  cxeli wylis mowyobis samuSaoebi</t>
  </si>
  <si>
    <t>saSxapes mowyoba</t>
  </si>
  <si>
    <t>cxeli wylis milebis montaJi (proeqtis mix.)</t>
  </si>
  <si>
    <t xml:space="preserve"> cxeli wylis polipropilenis minaboWkovani milebi d-32 mm</t>
  </si>
  <si>
    <t xml:space="preserve"> cxeli wylis polipropilenis minaboWkovani milebi d25 mm</t>
  </si>
  <si>
    <t xml:space="preserve"> cxeli wylis polipropilenis minaboWkovani milebi d-20 mm</t>
  </si>
  <si>
    <t>13 mm kauCukis izolacia(pro.mix)</t>
  </si>
  <si>
    <t>22-5-3.</t>
  </si>
  <si>
    <t>cxeli wylis gare milebisTvis d-100 mm garcmis milis montaJi</t>
  </si>
  <si>
    <t xml:space="preserve"> radiatori 600X400 </t>
  </si>
  <si>
    <t xml:space="preserve"> radiatori 600X600 </t>
  </si>
  <si>
    <t xml:space="preserve"> radiatori 600X900 </t>
  </si>
  <si>
    <t xml:space="preserve"> radiatori 600X1100 </t>
  </si>
  <si>
    <t xml:space="preserve"> radiatori 600X1400 </t>
  </si>
  <si>
    <t>radiatoris ვენტილების montaJi</t>
  </si>
  <si>
    <t>drosel ventili pirdapiri</t>
  </si>
  <si>
    <t>plastmasis minaboWkovani milebis montaJi</t>
  </si>
  <si>
    <t>SromiTi resursebi</t>
  </si>
  <si>
    <t>plastmasis mili d-100 mm</t>
  </si>
  <si>
    <t xml:space="preserve">gamwovi ventilatorebis montaJi </t>
  </si>
  <si>
    <t>uJangavi foladis gamwovi paneli (pro.mix)</t>
  </si>
  <si>
    <t>haersadenebi moTuTiebuli foladis (pro.mix)</t>
  </si>
  <si>
    <t>or safexuriani sanTura qvabisTvis (pro.mix)</t>
  </si>
  <si>
    <t>18-6-2.</t>
  </si>
  <si>
    <t>safarToebeli avzis 60l montaJi</t>
  </si>
  <si>
    <t>safarToebeli avzi 60 l (pro.mix)</t>
  </si>
  <si>
    <t>22-5-1.</t>
  </si>
  <si>
    <t>26–16</t>
  </si>
  <si>
    <t>maT Soris uankero mili d219/7 mm</t>
  </si>
  <si>
    <t>Termostati (pro.mix)</t>
  </si>
  <si>
    <t>Camketi ventilebi (pro.mix)</t>
  </si>
  <si>
    <t>ukusarqveli d-50 mm</t>
  </si>
  <si>
    <t>18-15-2</t>
  </si>
  <si>
    <t>manometris montaJi</t>
  </si>
  <si>
    <t>manometri</t>
  </si>
  <si>
    <t>16-12-1.</t>
  </si>
  <si>
    <t>Termometris montaJi</t>
  </si>
  <si>
    <t>Termometri damcavi badiT</t>
  </si>
  <si>
    <t>avtomaturi haergamSvebebis montaJi (pro.mix)</t>
  </si>
  <si>
    <t>avtomaturi haergamSvebebi (pro.mix)</t>
  </si>
  <si>
    <t>plastmasis sakanalizacio milis d-200 mm montaJi</t>
  </si>
  <si>
    <t xml:space="preserve"> muxli d-32 mm</t>
  </si>
  <si>
    <t>quro d-32 mm</t>
  </si>
  <si>
    <t>milis samagri metalis Stiri</t>
  </si>
  <si>
    <t xml:space="preserve"> gadamyvani d-32X25 mm</t>
  </si>
  <si>
    <t xml:space="preserve"> gadamyvani d-32X20 mm</t>
  </si>
  <si>
    <t>gadamyvani 25X20 mm</t>
  </si>
  <si>
    <t>samkapi gadamyvani d-32X20 mm</t>
  </si>
  <si>
    <t>jvaredini d-32</t>
  </si>
  <si>
    <t xml:space="preserve"> muxli d-25 mm</t>
  </si>
  <si>
    <t xml:space="preserve"> samkapi d-25 mm</t>
  </si>
  <si>
    <t>quro d-25 mm</t>
  </si>
  <si>
    <t>quro d-20 mm</t>
  </si>
  <si>
    <t>17-3-3</t>
  </si>
  <si>
    <t>wylis შემრევebიs montaJi</t>
  </si>
  <si>
    <t>man.</t>
  </si>
  <si>
    <t xml:space="preserve">wylis შემრევი </t>
  </si>
  <si>
    <t>კომპ</t>
  </si>
  <si>
    <t>ventilebi</t>
  </si>
  <si>
    <t>rezinis Slangi</t>
  </si>
  <si>
    <t>milis samagrebi (pro.mix)</t>
  </si>
  <si>
    <t>haersataris izolacia  (proeqtis mix.)</t>
  </si>
  <si>
    <t>fasonuri nawilebis montaJi (milebis Rirebulebis 15 %)</t>
  </si>
  <si>
    <t>fasonuri nawilebi (pro.mix)</t>
  </si>
  <si>
    <t xml:space="preserve"> d-40 mm Stuceris montaJi gare xraxniT</t>
  </si>
  <si>
    <t>saxanZro onkani 25 m SlangiT da cecxmaqriT</t>
  </si>
  <si>
    <t>d-40 mm wylis mricxveli</t>
  </si>
  <si>
    <t>liTonis garcmis milis montaJi</t>
  </si>
  <si>
    <t>liTonis garcmis mili (pro.mix)</t>
  </si>
  <si>
    <t>23-12_3</t>
  </si>
  <si>
    <t xml:space="preserve">Wis Ziri rk.betonis </t>
  </si>
  <si>
    <t xml:space="preserve">sxva masalebi </t>
  </si>
  <si>
    <t>sakanalizacio Wis rk/betonis filis mowyoba (ormagi armirebiT)</t>
  </si>
  <si>
    <t>sakanalizacio Wis kedlebis mowyoba</t>
  </si>
  <si>
    <t>miwis damuSaveba xeliT Robis saZirkvlis mosawyobad</t>
  </si>
  <si>
    <t>safuZvlis momzadeba mdinaris balastiT sisqiT 15 sm</t>
  </si>
  <si>
    <t>6-1-20.</t>
  </si>
  <si>
    <t>7-21-8.</t>
  </si>
  <si>
    <t>liT. Robis mowyoba (proeqtis mix.)</t>
  </si>
  <si>
    <t>liTonis Robe (pro.mix)</t>
  </si>
  <si>
    <t>liTonis WiSkris mowyoba (proeqtis mix)</t>
  </si>
  <si>
    <t>liTonis WiSkari (pro.mix)</t>
  </si>
  <si>
    <t>11-1-6</t>
  </si>
  <si>
    <t>RorRi</t>
  </si>
  <si>
    <t>kvm</t>
  </si>
  <si>
    <t>8-3-1</t>
  </si>
  <si>
    <t>qviSis moednis mowyoba</t>
  </si>
  <si>
    <t>qviSa yviTeli</t>
  </si>
  <si>
    <t>sabazro</t>
  </si>
  <si>
    <t>sabaRe anakrebi skamebis SeZena montaJi</t>
  </si>
  <si>
    <t>RorRis fenilis mowyoba, sisqiT 20sm (pro.mix)</t>
  </si>
  <si>
    <t>27-20-3</t>
  </si>
  <si>
    <t>betonis filebis mowyoba</t>
  </si>
  <si>
    <t>dekoratiuli filebi</t>
  </si>
  <si>
    <t>48-5-4</t>
  </si>
  <si>
    <t>Savi miwa</t>
  </si>
  <si>
    <t>naZvis nergi</t>
  </si>
  <si>
    <t>mwvane nargavebis (naZvi) dargva (pro.mix)</t>
  </si>
  <si>
    <t>kedlebis wyoba msubuqi sakedle blokiT 39X19X19</t>
  </si>
  <si>
    <t>Senobis centraluri gaTbobis sistemis montaJis samuSaoebi</t>
  </si>
  <si>
    <t xml:space="preserve">centraluri gaTbobis sistemis montaJi </t>
  </si>
  <si>
    <t>13. ezos keTilmowyobis samuSaoebi</t>
  </si>
  <si>
    <t>liTonis kutikaris mowyoba (proeqtis mix)</t>
  </si>
  <si>
    <t>liTonis kuti-kari (pro.mix)</t>
  </si>
  <si>
    <t>plastmasis sakanalizacio milis d-150 mm montaJi</t>
  </si>
  <si>
    <t xml:space="preserve">plastmasis sakanalizacio milis  d-150 mm </t>
  </si>
  <si>
    <t>sakanalizacio Wis rk/betonis filis mowyoba</t>
  </si>
  <si>
    <t>Tujis xufi d-730 mm</t>
  </si>
  <si>
    <t>liTonis xufi d-150 mm</t>
  </si>
  <si>
    <t>Casasvleli kavi a-III d-20 mm</t>
  </si>
  <si>
    <t>rk/betonis Webis mowyoba (pro.mix)</t>
  </si>
  <si>
    <t>Wis saxuravi plastmasis d-64 sm</t>
  </si>
  <si>
    <t>46-19-3</t>
  </si>
  <si>
    <t>xvrelebis gamotexva</t>
  </si>
  <si>
    <t>adg.</t>
  </si>
  <si>
    <t>46-22-5</t>
  </si>
  <si>
    <t>xvrelebis aRdgena cementis xsnariT</t>
  </si>
  <si>
    <t>wvrilmarcvlovani         betoni b.25</t>
  </si>
  <si>
    <t>samSeneblo lursmani</t>
  </si>
  <si>
    <t>xis Zeli III xarisxis    50-60mm</t>
  </si>
  <si>
    <t>ficari III x. 25-32 mm</t>
  </si>
  <si>
    <t>wyalsadenis Webis anakrebi rk.betonis kedlebis zedapirebis damuSaveba bitumis emulsiiT (hidroizolacia)</t>
  </si>
  <si>
    <t>fari ficris yalibis sisqiT 25-32 mm</t>
  </si>
  <si>
    <t xml:space="preserve">rk.betonis Semkravebis mowyoba betoniT b-22.5 </t>
  </si>
  <si>
    <t xml:space="preserve"> rk.betonis monoliTuri rigelebis da zeZirkvlis rigelebis mowyoba betoniT b-22.5</t>
  </si>
  <si>
    <t>bazaltis boWkos bambis folgiani leibi (izolacia)</t>
  </si>
  <si>
    <t>izolirebuli milis garsacmi foladis moTuTiebuli furclebisgan sisqiT 0,8 mm</t>
  </si>
  <si>
    <t xml:space="preserve"> d-40 mm Stuceri </t>
  </si>
  <si>
    <t>betonis  saZirkvlisa da zeZirkvlis mowyoba (proeqtis mix.)</t>
  </si>
  <si>
    <t>2. miwis samuSaoebi</t>
  </si>
  <si>
    <t>betonis sarinelis mowyoba Senobis garSemo Sesabamisad sisqe siganiT 10X100 sm</t>
  </si>
  <si>
    <t>12-9-5</t>
  </si>
  <si>
    <t>pemza</t>
  </si>
  <si>
    <t>kac.sT.</t>
  </si>
  <si>
    <t>saxuravze damaTbunebeli fenis mowyoba qvabambiT</t>
  </si>
  <si>
    <t xml:space="preserve"> qvabamba</t>
  </si>
  <si>
    <t>12-9-1.</t>
  </si>
  <si>
    <t>saqvabe.</t>
  </si>
  <si>
    <t xml:space="preserve"> monoliTuri rk/betonis saZirkvlis filis mowyoba</t>
  </si>
  <si>
    <t>saqavabis rk.betonis  monoliTuri svetebis mowyoba  betoniT b-25</t>
  </si>
  <si>
    <t xml:space="preserve">saqvabis gadaxurvis filis mowyoba betoniT b-25 </t>
  </si>
  <si>
    <t>6_15_2</t>
  </si>
  <si>
    <t xml:space="preserve"> saqvabis rk.betonis monoliTuri rigelebis rigelebis mowyoba betoniT  b-25</t>
  </si>
  <si>
    <t>saqvabis monoliTuri rk/betonis parapetis kedlis mowyoba</t>
  </si>
  <si>
    <t>betonis sarinelis mowyoba saqvabis Senobis garSemo</t>
  </si>
  <si>
    <t>12_2-1</t>
  </si>
  <si>
    <t xml:space="preserve"> saxuravis burvilis mowyoba ori fena ~linikromiT</t>
  </si>
  <si>
    <t>linikromis zeda fena</t>
  </si>
  <si>
    <t>linikromis qveda fena</t>
  </si>
  <si>
    <t>praimeri</t>
  </si>
  <si>
    <t>normat,resursi</t>
  </si>
  <si>
    <t>1-31-6 1_118-11</t>
  </si>
  <si>
    <t>9-14-5,</t>
  </si>
  <si>
    <t>9-4-1,</t>
  </si>
  <si>
    <t>16-6-2,</t>
  </si>
  <si>
    <t>9-5-1,</t>
  </si>
  <si>
    <t>34-58-1,</t>
  </si>
  <si>
    <t>11-20-3,</t>
  </si>
  <si>
    <t>15-14-1,</t>
  </si>
  <si>
    <t>zednadebi xarjebi 75 % el. montaJidan</t>
  </si>
  <si>
    <t>8-477-2</t>
  </si>
  <si>
    <t>zednadebi xarjebi samS. samuS.</t>
  </si>
  <si>
    <t>16-24-5,</t>
  </si>
  <si>
    <t>16-24-4,</t>
  </si>
  <si>
    <t>16-24-3,</t>
  </si>
  <si>
    <t>16-24-2,</t>
  </si>
  <si>
    <t>18-15-4</t>
  </si>
  <si>
    <t>keramograniti yinvagamZle</t>
  </si>
  <si>
    <t>zednadebi xarjebi 10 % samS. samuS</t>
  </si>
  <si>
    <t>gamwovi ventilatori samzareulosTvis (pro.mix)</t>
  </si>
  <si>
    <t>kedlebis mopirkeTeba keramikuli filiT kafeliT, kedlis simaRliT 1.6 m</t>
  </si>
  <si>
    <t>1-66-6;15</t>
  </si>
  <si>
    <t xml:space="preserve">teritoriis mosworeba-planireba buldozeriT 30m gadaadgilebiT </t>
  </si>
  <si>
    <t>buldozeri 79 kvt. (108c.Z.)</t>
  </si>
  <si>
    <r>
      <t>m</t>
    </r>
    <r>
      <rPr>
        <b/>
        <vertAlign val="superscript"/>
        <sz val="9"/>
        <rFont val="AcadNusx"/>
      </rPr>
      <t>2</t>
    </r>
  </si>
  <si>
    <r>
      <t>m</t>
    </r>
    <r>
      <rPr>
        <b/>
        <vertAlign val="superscript"/>
        <sz val="9"/>
        <rFont val="AcadNusx"/>
      </rPr>
      <t>3</t>
    </r>
  </si>
  <si>
    <r>
      <t>m</t>
    </r>
    <r>
      <rPr>
        <vertAlign val="superscript"/>
        <sz val="9"/>
        <rFont val="AcadNusx"/>
      </rPr>
      <t>3</t>
    </r>
  </si>
  <si>
    <r>
      <t>m</t>
    </r>
    <r>
      <rPr>
        <vertAlign val="superscript"/>
        <sz val="9"/>
        <rFont val="AcadNusx"/>
      </rPr>
      <t>2</t>
    </r>
  </si>
  <si>
    <t>liTonis eleqtrofari         (pro. Mmix)</t>
  </si>
  <si>
    <t>Txrilis amovseba gafxvierebuli gruntiT</t>
  </si>
  <si>
    <r>
      <t>მილი</t>
    </r>
    <r>
      <rPr>
        <sz val="9"/>
        <color theme="1"/>
        <rFont val="AcadNusx"/>
      </rPr>
      <t xml:space="preserve"> პოლიპ</t>
    </r>
    <r>
      <rPr>
        <sz val="9"/>
        <color theme="1"/>
        <rFont val="Calibri"/>
        <family val="2"/>
        <scheme val="minor"/>
      </rPr>
      <t>როპილენის   დ-50  (მინაბოჭკოვანი)</t>
    </r>
  </si>
  <si>
    <t>pemzis damaTbunebeli fenis mowyoba moWimvebis qveS sisqiT 10,0 sm. (IsarTuldze)</t>
  </si>
  <si>
    <t>liTonis karis SeRebva antikoroziuli saRebaviT       2-jer</t>
  </si>
  <si>
    <t>RerZuli ventilatorebi (pro.mix)</t>
  </si>
  <si>
    <r>
      <t>m</t>
    </r>
    <r>
      <rPr>
        <sz val="9"/>
        <color theme="1"/>
        <rFont val="AcadNusx"/>
      </rPr>
      <t>3</t>
    </r>
  </si>
  <si>
    <r>
      <t xml:space="preserve"> Wis rgoli d-1000mm  </t>
    </r>
    <r>
      <rPr>
        <sz val="9"/>
        <color theme="1"/>
        <rFont val="Arial"/>
        <family val="2"/>
        <charset val="204"/>
      </rPr>
      <t>H</t>
    </r>
    <r>
      <rPr>
        <sz val="9"/>
        <color theme="1"/>
        <rFont val="AcadNusx"/>
      </rPr>
      <t>=1000 mm</t>
    </r>
  </si>
  <si>
    <t>jami lari</t>
  </si>
  <si>
    <r>
      <t>მილი</t>
    </r>
    <r>
      <rPr>
        <sz val="9"/>
        <color theme="1"/>
        <rFont val="AcadNusx"/>
      </rPr>
      <t xml:space="preserve"> პოლიპ</t>
    </r>
    <r>
      <rPr>
        <sz val="9"/>
        <color theme="1"/>
        <rFont val="Calibri"/>
        <family val="2"/>
        <scheme val="minor"/>
      </rPr>
      <t>როპილენის     დ-32  (მინაბოჭკოვანი)</t>
    </r>
  </si>
  <si>
    <r>
      <t>მილი</t>
    </r>
    <r>
      <rPr>
        <sz val="9"/>
        <color theme="1"/>
        <rFont val="AcadNusx"/>
      </rPr>
      <t xml:space="preserve"> პოლიპ</t>
    </r>
    <r>
      <rPr>
        <sz val="9"/>
        <color theme="1"/>
        <rFont val="Calibri"/>
        <family val="2"/>
        <scheme val="minor"/>
      </rPr>
      <t>როპილენის   დ-25  (მინაბოჭკოვანი)</t>
    </r>
  </si>
  <si>
    <t>safuZvlis momzadeba qviSis feniT sisqiT 10,0 sm</t>
  </si>
  <si>
    <t>11-1_3</t>
  </si>
  <si>
    <t>ბუნებრივ აირზე მომუშავე წყლის გამათბობელი  ქვაბი marTvis paneliT da sruli avtomatikiT, damcavi sarqvliT 70 kvt (pro.mix)</t>
  </si>
  <si>
    <t>ბუნებრივ აირზე მომუშავე წყლის გამათბობელი  ქვაბიs montaJi marTvis paneliT da sruli avtomatikiT, damcavi sarqvliT 70 kvt (pro.mix)</t>
  </si>
  <si>
    <t>plafonur-dioduri Weris sanaTi 35 vat</t>
  </si>
  <si>
    <t>tumbos 4,0 m3 warmadobiT, awevis simaRliT 7,0 m (pro.mix)</t>
  </si>
  <si>
    <t>tumbos montaJi 4,0 m3 warmadobiT, awevis simaRliT 7,0 m (pro.mix)</t>
  </si>
  <si>
    <t>kar-fanjrebis ferdoebis Selesva</t>
  </si>
  <si>
    <t>Cqarosnul-moculobiTi wyalgamacxelebeli avzis 500 l montaJi</t>
  </si>
  <si>
    <t xml:space="preserve">Cqarosnul-moculobiTi wyalgamacxelebeli avzi 500 l </t>
  </si>
  <si>
    <t>plastmasis sakanalizacio mili d-200 mm</t>
  </si>
  <si>
    <t>msubuqi pemza bloki 39X19X19</t>
  </si>
  <si>
    <t>rliTonis saventilacio mili    d-100 mm</t>
  </si>
  <si>
    <t>liTonis garcmis milis montaJi d-200 mm</t>
  </si>
  <si>
    <t>liTonis garcmis mili d-200 mm (pro.mix)</t>
  </si>
  <si>
    <t>saventilacio qolga</t>
  </si>
  <si>
    <t>22-5-6.</t>
  </si>
  <si>
    <t>liTonis saventilacio d-100 mm milebis montaJi</t>
  </si>
  <si>
    <t xml:space="preserve"> sam. samuSaoebi</t>
  </si>
  <si>
    <t>xelfasi el. motaJi. samuSaoebidan</t>
  </si>
  <si>
    <t xml:space="preserve"> samSeneblo samuSaoebi</t>
  </si>
  <si>
    <t>xelfasi samotaJ. samuSaoebidan</t>
  </si>
  <si>
    <t xml:space="preserve"> 16-16-2</t>
  </si>
  <si>
    <t>cxeli wylis polipropilenis fasonuri nawilebi</t>
  </si>
  <si>
    <t>liTonis garcmis mili d-100 mm</t>
  </si>
  <si>
    <t>milebis izolacia (pro.mix)</t>
  </si>
  <si>
    <t>16-16-2</t>
  </si>
  <si>
    <t>22-23-1,</t>
  </si>
  <si>
    <t xml:space="preserve"> santeqnikuri samuSaoebi</t>
  </si>
  <si>
    <t>kedlebis wyoba msubuqi pemza blokiT 39X30X19</t>
  </si>
  <si>
    <t>amomrTveli avtomati 3პ150 a</t>
  </si>
  <si>
    <r>
      <t xml:space="preserve">amomrTveli avtomati </t>
    </r>
    <r>
      <rPr>
        <sz val="9"/>
        <rFont val="Times New Roman"/>
        <family val="1"/>
      </rPr>
      <t>3P-C50ა</t>
    </r>
  </si>
  <si>
    <r>
      <t xml:space="preserve">amomrTveli avtomati </t>
    </r>
    <r>
      <rPr>
        <sz val="9"/>
        <rFont val="ტი"/>
      </rPr>
      <t>3P-C32ა</t>
    </r>
  </si>
  <si>
    <r>
      <t>diferencirebuli avtomaturi amomrTveli</t>
    </r>
    <r>
      <rPr>
        <sz val="9"/>
        <rFont val="Times New Roman"/>
        <family val="1"/>
      </rPr>
      <t xml:space="preserve"> 1p c10</t>
    </r>
    <r>
      <rPr>
        <sz val="9"/>
        <rFont val="AcadNusx"/>
      </rPr>
      <t>a</t>
    </r>
  </si>
  <si>
    <r>
      <t xml:space="preserve">amomrTveli avtomati </t>
    </r>
    <r>
      <rPr>
        <sz val="9"/>
        <rFont val="Times New Roman"/>
        <family val="1"/>
      </rPr>
      <t>1p c-16</t>
    </r>
    <r>
      <rPr>
        <sz val="9"/>
        <rFont val="AcadNusx"/>
      </rPr>
      <t>a</t>
    </r>
  </si>
  <si>
    <r>
      <t xml:space="preserve">amomrTveli avtomati </t>
    </r>
    <r>
      <rPr>
        <sz val="9"/>
        <rFont val="Times New Roman"/>
        <family val="1"/>
      </rPr>
      <t>1p c-25 ა</t>
    </r>
  </si>
  <si>
    <r>
      <t>amomrTveli avtomati 3</t>
    </r>
    <r>
      <rPr>
        <sz val="9"/>
        <rFont val="Times New Roman"/>
        <family val="1"/>
      </rPr>
      <t>p c-25 ა</t>
    </r>
  </si>
  <si>
    <t>el. amanawilebeli karada 2000*800*400 მმ</t>
  </si>
  <si>
    <r>
      <t xml:space="preserve">el. amanawilebeli karada 12 მოდულიანი </t>
    </r>
    <r>
      <rPr>
        <sz val="9"/>
        <color theme="1"/>
        <rFont val="Times New Roman"/>
        <family val="1"/>
      </rPr>
      <t>IP</t>
    </r>
    <r>
      <rPr>
        <sz val="9"/>
        <color theme="1"/>
        <rFont val="AcadNusx"/>
      </rPr>
      <t xml:space="preserve"> 31 - 250*250*70mm</t>
    </r>
  </si>
  <si>
    <r>
      <t xml:space="preserve">el. amanawilebeli karada 24 მოდულიანი </t>
    </r>
    <r>
      <rPr>
        <sz val="9"/>
        <color theme="1"/>
        <rFont val="Times New Roman"/>
        <family val="1"/>
      </rPr>
      <t>IP</t>
    </r>
    <r>
      <rPr>
        <sz val="9"/>
        <color theme="1"/>
        <rFont val="AcadNusx"/>
      </rPr>
      <t xml:space="preserve"> 31 - 250*400*70mm</t>
    </r>
  </si>
  <si>
    <t>kabeli spilenZis 5*10mm2</t>
  </si>
  <si>
    <t>kabeli spilenZis 5*6mm2</t>
  </si>
  <si>
    <t>kabeli spilenZis 5*4mm2</t>
  </si>
  <si>
    <t>kabeli spilenZis 3*2.5mm2</t>
  </si>
  <si>
    <t>kabeli spilenZis 3*1.5mm2</t>
  </si>
  <si>
    <t>plasmasis gofrirebuli saizolacio milebi d-50mm</t>
  </si>
  <si>
    <t>d-32mm</t>
  </si>
  <si>
    <t>d-25mm</t>
  </si>
  <si>
    <t>d-20mm</t>
  </si>
  <si>
    <t>d-16mm</t>
  </si>
  <si>
    <t>Weris sanaTi plafonuri  (pro.mix) 3*23vt</t>
  </si>
  <si>
    <t>Weris diodur-plafonuri wriuli sanaTi 3*23vat</t>
  </si>
  <si>
    <t>mtver-wyal gaumtari daxuruli tipis ganaTeba 2*9 vat</t>
  </si>
  <si>
    <t>mtver-wyal gaumtari daxuruli tipis ganaTeba 2*18 vat</t>
  </si>
  <si>
    <t>amstrongis tipis ganaTeba (pro.mix)  2*9vat</t>
  </si>
  <si>
    <t xml:space="preserve">damiwebis foladis eleqtrodi  d-18 mm. </t>
  </si>
  <si>
    <t>ქ. მცხეთაში სოფელი mWadijvrის საბავშო ბაღის მოწყობის სამუშაოები</t>
  </si>
  <si>
    <t xml:space="preserve"> </t>
  </si>
  <si>
    <t>haersatari moTuTiebuli foladis montaJi    (proeqtis mix.)</t>
  </si>
  <si>
    <t>haersatari moTuTiebuli foladis d-200  (proeqtis mix.)</t>
  </si>
  <si>
    <t>1-81-3.</t>
  </si>
  <si>
    <t>akumlatori 2X12 v/7 a (pro.mix)</t>
  </si>
  <si>
    <t>q. mcxeTaSi sofeli mWadijvris sabavSo baRis mowyobis samuSaoebi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</si>
</sst>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000"/>
    <numFmt numFmtId="165" formatCode="0.0"/>
    <numFmt numFmtId="166" formatCode="_-* #,##0.00_р_._-;\-* #,##0.00_р_._-;_-* &quot;-&quot;??_р_._-;_-@_-"/>
    <numFmt numFmtId="167" formatCode="0.000"/>
  </numFmts>
  <fonts count="4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cadNusx"/>
    </font>
    <font>
      <sz val="11"/>
      <color theme="1"/>
      <name val="AcadNusx"/>
    </font>
    <font>
      <b/>
      <sz val="10"/>
      <color theme="1"/>
      <name val="AcadNusx"/>
    </font>
    <font>
      <sz val="10"/>
      <color theme="1"/>
      <name val="AcadNusx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cadNusx"/>
    </font>
    <font>
      <b/>
      <sz val="10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2"/>
      <color theme="1"/>
      <name val="AcadNusx"/>
    </font>
    <font>
      <strike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Arial Cyr"/>
      <family val="2"/>
      <charset val="204"/>
    </font>
    <font>
      <b/>
      <sz val="9"/>
      <name val="AcadNusx"/>
    </font>
    <font>
      <sz val="9"/>
      <name val="AcadNusx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AcadNusx"/>
    </font>
    <font>
      <b/>
      <sz val="9"/>
      <color theme="1"/>
      <name val="AcadNusx"/>
    </font>
    <font>
      <b/>
      <vertAlign val="superscript"/>
      <sz val="9"/>
      <name val="AcadNusx"/>
    </font>
    <font>
      <sz val="9"/>
      <name val="Calibri"/>
      <family val="2"/>
      <scheme val="minor"/>
    </font>
    <font>
      <vertAlign val="superscript"/>
      <sz val="9"/>
      <name val="AcadNusx"/>
    </font>
    <font>
      <b/>
      <sz val="9"/>
      <color theme="1"/>
      <name val="Calibri"/>
      <family val="2"/>
      <scheme val="minor"/>
    </font>
    <font>
      <sz val="9"/>
      <color rgb="FF000000"/>
      <name val="Calibri"/>
      <family val="2"/>
      <charset val="204"/>
    </font>
    <font>
      <sz val="9"/>
      <name val="Times New Roman"/>
      <family val="1"/>
    </font>
    <font>
      <sz val="9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name val="Sylfaen"/>
      <family val="1"/>
      <charset val="204"/>
    </font>
    <font>
      <b/>
      <sz val="9"/>
      <name val="Arial"/>
      <family val="2"/>
    </font>
    <font>
      <b/>
      <sz val="9"/>
      <name val="Arial"/>
      <family val="2"/>
      <charset val="204"/>
    </font>
    <font>
      <sz val="9"/>
      <color rgb="FF000000"/>
      <name val="AcadNusx"/>
    </font>
    <font>
      <sz val="9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0"/>
      <name val="AcadNusx"/>
    </font>
    <font>
      <strike/>
      <sz val="9"/>
      <color theme="1"/>
      <name val="Calibri"/>
      <family val="2"/>
      <scheme val="minor"/>
    </font>
    <font>
      <sz val="9"/>
      <name val="ტი"/>
    </font>
    <font>
      <sz val="9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43" fontId="8" fillId="0" borderId="0" applyFont="0" applyFill="0" applyBorder="0" applyAlignment="0" applyProtection="0"/>
    <xf numFmtId="0" fontId="9" fillId="0" borderId="0"/>
    <xf numFmtId="0" fontId="9" fillId="0" borderId="0"/>
    <xf numFmtId="0" fontId="13" fillId="0" borderId="0"/>
    <xf numFmtId="0" fontId="8" fillId="0" borderId="0"/>
    <xf numFmtId="0" fontId="9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8" fillId="0" borderId="0"/>
    <xf numFmtId="0" fontId="19" fillId="0" borderId="0"/>
    <xf numFmtId="0" fontId="14" fillId="0" borderId="0"/>
    <xf numFmtId="0" fontId="13" fillId="0" borderId="0"/>
    <xf numFmtId="9" fontId="8" fillId="0" borderId="0" applyFont="0" applyFill="0" applyBorder="0" applyAlignment="0" applyProtection="0"/>
  </cellStyleXfs>
  <cellXfs count="474">
    <xf numFmtId="0" fontId="0" fillId="0" borderId="0" xfId="0"/>
    <xf numFmtId="2" fontId="5" fillId="2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wrapText="1"/>
    </xf>
    <xf numFmtId="0" fontId="1" fillId="0" borderId="0" xfId="0" applyNumberFormat="1" applyFont="1" applyFill="1" applyAlignment="1">
      <alignment wrapText="1"/>
    </xf>
    <xf numFmtId="0" fontId="0" fillId="0" borderId="0" xfId="0" applyNumberFormat="1" applyFont="1" applyFill="1" applyAlignment="1"/>
    <xf numFmtId="0" fontId="1" fillId="0" borderId="0" xfId="0" applyNumberFormat="1" applyFont="1" applyFill="1" applyAlignment="1"/>
    <xf numFmtId="0" fontId="3" fillId="0" borderId="0" xfId="0" applyNumberFormat="1" applyFont="1" applyFill="1" applyAlignment="1"/>
    <xf numFmtId="0" fontId="3" fillId="0" borderId="1" xfId="0" applyNumberFormat="1" applyFont="1" applyFill="1" applyBorder="1" applyAlignment="1"/>
    <xf numFmtId="0" fontId="3" fillId="0" borderId="0" xfId="0" applyFont="1" applyAlignment="1">
      <alignment horizontal="center" vertical="center" wrapText="1"/>
    </xf>
    <xf numFmtId="0" fontId="17" fillId="0" borderId="0" xfId="0" applyNumberFormat="1" applyFont="1" applyFill="1" applyAlignment="1"/>
    <xf numFmtId="0" fontId="17" fillId="0" borderId="0" xfId="0" applyNumberFormat="1" applyFont="1" applyFill="1"/>
    <xf numFmtId="0" fontId="6" fillId="2" borderId="0" xfId="0" applyNumberFormat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vertical="center" wrapText="1"/>
    </xf>
    <xf numFmtId="2" fontId="3" fillId="0" borderId="0" xfId="0" applyNumberFormat="1" applyFont="1" applyAlignment="1">
      <alignment horizontal="center" vertical="center" wrapText="1"/>
    </xf>
    <xf numFmtId="0" fontId="20" fillId="2" borderId="1" xfId="0" applyNumberFormat="1" applyFont="1" applyFill="1" applyBorder="1" applyAlignment="1">
      <alignment horizontal="left" vertical="center" wrapText="1"/>
    </xf>
    <xf numFmtId="0" fontId="25" fillId="2" borderId="1" xfId="0" applyNumberFormat="1" applyFont="1" applyFill="1" applyBorder="1" applyAlignment="1">
      <alignment horizontal="left" vertical="center" wrapText="1"/>
    </xf>
    <xf numFmtId="0" fontId="5" fillId="2" borderId="0" xfId="0" applyNumberFormat="1" applyFont="1" applyFill="1" applyAlignment="1">
      <alignment horizontal="center" vertical="center" wrapText="1"/>
    </xf>
    <xf numFmtId="0" fontId="4" fillId="2" borderId="0" xfId="0" applyNumberFormat="1" applyFont="1" applyFill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24" fillId="2" borderId="1" xfId="0" applyNumberFormat="1" applyFont="1" applyFill="1" applyBorder="1" applyAlignment="1">
      <alignment horizontal="center" vertical="center" wrapText="1"/>
    </xf>
    <xf numFmtId="0" fontId="21" fillId="2" borderId="1" xfId="0" applyNumberFormat="1" applyFont="1" applyFill="1" applyBorder="1" applyAlignment="1">
      <alignment horizontal="center" vertical="center" wrapText="1"/>
    </xf>
    <xf numFmtId="0" fontId="20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20" fillId="2" borderId="1" xfId="0" applyNumberFormat="1" applyFont="1" applyFill="1" applyBorder="1" applyAlignment="1">
      <alignment horizontal="center" vertical="center"/>
    </xf>
    <xf numFmtId="0" fontId="21" fillId="2" borderId="1" xfId="0" applyNumberFormat="1" applyFont="1" applyFill="1" applyBorder="1" applyAlignment="1">
      <alignment horizontal="center" vertical="center"/>
    </xf>
    <xf numFmtId="0" fontId="25" fillId="2" borderId="1" xfId="0" applyNumberFormat="1" applyFont="1" applyFill="1" applyBorder="1" applyAlignment="1">
      <alignment horizontal="center" vertical="center" wrapText="1"/>
    </xf>
    <xf numFmtId="0" fontId="10" fillId="2" borderId="0" xfId="0" applyNumberFormat="1" applyFont="1" applyFill="1" applyAlignment="1">
      <alignment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9" fontId="5" fillId="2" borderId="1" xfId="16" applyFont="1" applyFill="1" applyBorder="1" applyAlignment="1">
      <alignment horizontal="center" vertical="center" wrapText="1"/>
    </xf>
    <xf numFmtId="0" fontId="21" fillId="3" borderId="1" xfId="0" applyNumberFormat="1" applyFont="1" applyFill="1" applyBorder="1" applyAlignment="1">
      <alignment horizontal="center" vertical="center" wrapText="1"/>
    </xf>
    <xf numFmtId="0" fontId="24" fillId="3" borderId="1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Alignment="1">
      <alignment wrapText="1"/>
    </xf>
    <xf numFmtId="0" fontId="22" fillId="0" borderId="0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>
      <alignment horizontal="left" vertical="center" wrapText="1"/>
    </xf>
    <xf numFmtId="0" fontId="21" fillId="0" borderId="1" xfId="0" applyNumberFormat="1" applyFont="1" applyFill="1" applyBorder="1" applyAlignment="1">
      <alignment horizontal="left" vertical="center"/>
    </xf>
    <xf numFmtId="2" fontId="24" fillId="0" borderId="1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NumberFormat="1" applyFont="1" applyFill="1" applyBorder="1" applyAlignment="1">
      <alignment horizontal="left" vertical="center" wrapText="1"/>
    </xf>
    <xf numFmtId="0" fontId="21" fillId="0" borderId="5" xfId="0" applyNumberFormat="1" applyFont="1" applyFill="1" applyBorder="1" applyAlignment="1">
      <alignment horizontal="left" vertical="center" wrapText="1"/>
    </xf>
    <xf numFmtId="0" fontId="21" fillId="0" borderId="2" xfId="0" applyNumberFormat="1" applyFont="1" applyFill="1" applyBorder="1" applyAlignment="1">
      <alignment horizontal="left" vertical="center" wrapText="1"/>
    </xf>
    <xf numFmtId="0" fontId="20" fillId="0" borderId="2" xfId="0" applyNumberFormat="1" applyFont="1" applyFill="1" applyBorder="1" applyAlignment="1">
      <alignment horizontal="left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0" fontId="25" fillId="0" borderId="1" xfId="0" applyNumberFormat="1" applyFont="1" applyFill="1" applyBorder="1" applyAlignment="1">
      <alignment horizontal="left" vertical="center" wrapText="1"/>
    </xf>
    <xf numFmtId="2" fontId="25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24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2" fontId="27" fillId="0" borderId="1" xfId="0" applyNumberFormat="1" applyFont="1" applyFill="1" applyBorder="1" applyAlignment="1">
      <alignment horizontal="center" vertical="center" wrapText="1"/>
    </xf>
    <xf numFmtId="2" fontId="22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20" fillId="0" borderId="1" xfId="10" applyNumberFormat="1" applyFont="1" applyFill="1" applyBorder="1" applyAlignment="1">
      <alignment horizontal="left" vertical="center" wrapText="1"/>
    </xf>
    <xf numFmtId="0" fontId="20" fillId="0" borderId="1" xfId="10" applyNumberFormat="1" applyFont="1" applyFill="1" applyBorder="1" applyAlignment="1">
      <alignment horizontal="center" vertical="center" wrapText="1"/>
    </xf>
    <xf numFmtId="2" fontId="21" fillId="0" borderId="1" xfId="10" applyNumberFormat="1" applyFont="1" applyFill="1" applyBorder="1" applyAlignment="1">
      <alignment horizontal="center" vertical="center" wrapText="1"/>
    </xf>
    <xf numFmtId="0" fontId="21" fillId="0" borderId="1" xfId="10" applyNumberFormat="1" applyFont="1" applyFill="1" applyBorder="1" applyAlignment="1">
      <alignment horizontal="left" vertical="center" wrapText="1"/>
    </xf>
    <xf numFmtId="2" fontId="21" fillId="0" borderId="2" xfId="10" applyNumberFormat="1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/>
    </xf>
    <xf numFmtId="0" fontId="20" fillId="0" borderId="1" xfId="0" applyNumberFormat="1" applyFont="1" applyFill="1" applyBorder="1" applyAlignment="1">
      <alignment horizontal="center" vertical="center"/>
    </xf>
    <xf numFmtId="2" fontId="27" fillId="0" borderId="1" xfId="0" applyNumberFormat="1" applyFont="1" applyFill="1" applyBorder="1" applyAlignment="1">
      <alignment horizontal="center" vertical="center"/>
    </xf>
    <xf numFmtId="2" fontId="20" fillId="0" borderId="1" xfId="0" applyNumberFormat="1" applyFont="1" applyFill="1" applyBorder="1" applyAlignment="1">
      <alignment horizontal="center" vertical="center"/>
    </xf>
    <xf numFmtId="0" fontId="25" fillId="0" borderId="1" xfId="0" applyNumberFormat="1" applyFont="1" applyFill="1" applyBorder="1" applyAlignment="1">
      <alignment vertical="center" wrapText="1"/>
    </xf>
    <xf numFmtId="0" fontId="25" fillId="0" borderId="1" xfId="0" applyNumberFormat="1" applyFont="1" applyFill="1" applyBorder="1" applyAlignment="1">
      <alignment horizontal="center" vertical="center"/>
    </xf>
    <xf numFmtId="0" fontId="24" fillId="0" borderId="0" xfId="0" applyNumberFormat="1" applyFont="1" applyFill="1" applyAlignment="1">
      <alignment vertical="center"/>
    </xf>
    <xf numFmtId="2" fontId="25" fillId="0" borderId="1" xfId="0" applyNumberFormat="1" applyFont="1" applyFill="1" applyBorder="1" applyAlignment="1">
      <alignment horizontal="center" vertical="center"/>
    </xf>
    <xf numFmtId="0" fontId="24" fillId="0" borderId="1" xfId="0" applyNumberFormat="1" applyFont="1" applyFill="1" applyBorder="1" applyAlignment="1">
      <alignment vertical="center"/>
    </xf>
    <xf numFmtId="2" fontId="24" fillId="0" borderId="1" xfId="0" applyNumberFormat="1" applyFont="1" applyFill="1" applyBorder="1" applyAlignment="1">
      <alignment horizontal="center" vertical="center"/>
    </xf>
    <xf numFmtId="0" fontId="20" fillId="0" borderId="1" xfId="0" applyNumberFormat="1" applyFont="1" applyFill="1" applyBorder="1" applyAlignment="1">
      <alignment vertical="center" wrapText="1"/>
    </xf>
    <xf numFmtId="0" fontId="24" fillId="0" borderId="0" xfId="0" applyNumberFormat="1" applyFont="1" applyFill="1"/>
    <xf numFmtId="0" fontId="21" fillId="0" borderId="1" xfId="2" applyNumberFormat="1" applyFont="1" applyFill="1" applyBorder="1" applyAlignment="1">
      <alignment horizontal="center" vertical="center" wrapText="1"/>
    </xf>
    <xf numFmtId="2" fontId="21" fillId="0" borderId="1" xfId="2" applyNumberFormat="1" applyFont="1" applyFill="1" applyBorder="1" applyAlignment="1">
      <alignment horizontal="center" vertical="center" wrapText="1"/>
    </xf>
    <xf numFmtId="0" fontId="24" fillId="0" borderId="1" xfId="0" applyNumberFormat="1" applyFont="1" applyFill="1" applyBorder="1" applyAlignment="1">
      <alignment vertical="center" wrapText="1"/>
    </xf>
    <xf numFmtId="0" fontId="21" fillId="0" borderId="1" xfId="0" applyNumberFormat="1" applyFont="1" applyFill="1" applyBorder="1" applyAlignment="1">
      <alignment vertical="center" wrapText="1"/>
    </xf>
    <xf numFmtId="0" fontId="24" fillId="0" borderId="1" xfId="0" applyNumberFormat="1" applyFont="1" applyFill="1" applyBorder="1" applyAlignment="1">
      <alignment horizontal="left" vertical="center"/>
    </xf>
    <xf numFmtId="0" fontId="29" fillId="0" borderId="1" xfId="0" applyNumberFormat="1" applyFont="1" applyFill="1" applyBorder="1" applyAlignment="1">
      <alignment horizontal="center" vertical="center" wrapText="1"/>
    </xf>
    <xf numFmtId="2" fontId="29" fillId="0" borderId="1" xfId="0" applyNumberFormat="1" applyFont="1" applyFill="1" applyBorder="1" applyAlignment="1">
      <alignment horizontal="center" vertical="center" wrapText="1"/>
    </xf>
    <xf numFmtId="2" fontId="30" fillId="0" borderId="1" xfId="0" applyNumberFormat="1" applyFont="1" applyFill="1" applyBorder="1" applyAlignment="1">
      <alignment horizontal="center" wrapText="1"/>
    </xf>
    <xf numFmtId="0" fontId="3" fillId="0" borderId="0" xfId="0" applyNumberFormat="1" applyFont="1" applyFill="1" applyAlignment="1">
      <alignment wrapText="1"/>
    </xf>
    <xf numFmtId="165" fontId="20" fillId="0" borderId="1" xfId="0" applyNumberFormat="1" applyFont="1" applyFill="1" applyBorder="1" applyAlignment="1">
      <alignment horizontal="center" vertical="center" wrapText="1"/>
    </xf>
    <xf numFmtId="165" fontId="24" fillId="0" borderId="1" xfId="0" applyNumberFormat="1" applyFont="1" applyFill="1" applyBorder="1" applyAlignment="1">
      <alignment horizontal="center" vertical="center" wrapText="1"/>
    </xf>
    <xf numFmtId="0" fontId="24" fillId="0" borderId="1" xfId="0" applyNumberFormat="1" applyFont="1" applyFill="1" applyBorder="1" applyAlignment="1">
      <alignment horizontal="left" vertical="distributed" wrapText="1"/>
    </xf>
    <xf numFmtId="0" fontId="21" fillId="0" borderId="1" xfId="0" applyNumberFormat="1" applyFont="1" applyFill="1" applyBorder="1" applyAlignment="1" applyProtection="1">
      <alignment vertical="center" wrapText="1"/>
    </xf>
    <xf numFmtId="0" fontId="21" fillId="0" borderId="1" xfId="0" applyNumberFormat="1" applyFont="1" applyFill="1" applyBorder="1" applyAlignment="1" applyProtection="1">
      <alignment horizontal="center" vertical="center" wrapText="1"/>
    </xf>
    <xf numFmtId="0" fontId="21" fillId="0" borderId="1" xfId="1" applyNumberFormat="1" applyFont="1" applyFill="1" applyBorder="1" applyAlignment="1" applyProtection="1">
      <alignment horizontal="center" vertical="center" wrapText="1"/>
    </xf>
    <xf numFmtId="0" fontId="21" fillId="0" borderId="1" xfId="3" applyNumberFormat="1" applyFont="1" applyFill="1" applyBorder="1" applyAlignment="1" applyProtection="1">
      <alignment horizontal="center" vertical="center" wrapText="1"/>
    </xf>
    <xf numFmtId="0" fontId="20" fillId="0" borderId="3" xfId="0" applyNumberFormat="1" applyFont="1" applyFill="1" applyBorder="1" applyAlignment="1">
      <alignment horizontal="center" vertical="center" wrapText="1"/>
    </xf>
    <xf numFmtId="0" fontId="21" fillId="0" borderId="1" xfId="15" applyNumberFormat="1" applyFont="1" applyFill="1" applyBorder="1" applyAlignment="1">
      <alignment horizontal="left" vertical="center" wrapText="1"/>
    </xf>
    <xf numFmtId="0" fontId="21" fillId="0" borderId="3" xfId="15" applyNumberFormat="1" applyFont="1" applyFill="1" applyBorder="1" applyAlignment="1">
      <alignment horizontal="center" vertical="center" wrapText="1"/>
    </xf>
    <xf numFmtId="0" fontId="21" fillId="0" borderId="1" xfId="15" applyNumberFormat="1" applyFont="1" applyFill="1" applyBorder="1" applyAlignment="1">
      <alignment horizontal="center" vertical="center" wrapText="1"/>
    </xf>
    <xf numFmtId="0" fontId="21" fillId="0" borderId="3" xfId="0" applyNumberFormat="1" applyFont="1" applyFill="1" applyBorder="1" applyAlignment="1">
      <alignment horizontal="left" vertical="center" wrapText="1"/>
    </xf>
    <xf numFmtId="0" fontId="20" fillId="0" borderId="1" xfId="0" applyNumberFormat="1" applyFont="1" applyFill="1" applyBorder="1" applyAlignment="1">
      <alignment horizontal="center" wrapText="1"/>
    </xf>
    <xf numFmtId="2" fontId="20" fillId="0" borderId="1" xfId="0" applyNumberFormat="1" applyFont="1" applyFill="1" applyBorder="1" applyAlignment="1">
      <alignment horizontal="center" wrapText="1"/>
    </xf>
    <xf numFmtId="0" fontId="21" fillId="0" borderId="1" xfId="0" applyNumberFormat="1" applyFont="1" applyFill="1" applyBorder="1" applyAlignment="1">
      <alignment horizontal="center" wrapText="1"/>
    </xf>
    <xf numFmtId="2" fontId="21" fillId="0" borderId="1" xfId="0" applyNumberFormat="1" applyFont="1" applyFill="1" applyBorder="1" applyAlignment="1">
      <alignment horizontal="center" wrapText="1"/>
    </xf>
    <xf numFmtId="167" fontId="24" fillId="0" borderId="1" xfId="0" applyNumberFormat="1" applyFont="1" applyFill="1" applyBorder="1" applyAlignment="1">
      <alignment horizontal="center" vertical="center" wrapText="1"/>
    </xf>
    <xf numFmtId="2" fontId="24" fillId="0" borderId="1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24" fillId="0" borderId="1" xfId="0" applyNumberFormat="1" applyFont="1" applyFill="1" applyBorder="1"/>
    <xf numFmtId="0" fontId="21" fillId="0" borderId="1" xfId="4" applyNumberFormat="1" applyFont="1" applyFill="1" applyBorder="1" applyAlignment="1">
      <alignment horizontal="left" vertical="center" wrapText="1"/>
    </xf>
    <xf numFmtId="0" fontId="21" fillId="0" borderId="1" xfId="4" applyNumberFormat="1" applyFont="1" applyFill="1" applyBorder="1" applyAlignment="1">
      <alignment horizontal="center" vertical="center" wrapText="1"/>
    </xf>
    <xf numFmtId="0" fontId="20" fillId="0" borderId="1" xfId="4" applyNumberFormat="1" applyFont="1" applyFill="1" applyBorder="1" applyAlignment="1">
      <alignment horizontal="center" vertical="center" wrapText="1"/>
    </xf>
    <xf numFmtId="2" fontId="24" fillId="0" borderId="3" xfId="0" applyNumberFormat="1" applyFont="1" applyFill="1" applyBorder="1" applyAlignment="1">
      <alignment horizontal="center" vertical="center" wrapText="1"/>
    </xf>
    <xf numFmtId="0" fontId="27" fillId="0" borderId="1" xfId="0" applyNumberFormat="1" applyFont="1" applyFill="1" applyBorder="1" applyAlignment="1">
      <alignment horizontal="center" vertical="center" wrapText="1"/>
    </xf>
    <xf numFmtId="0" fontId="24" fillId="0" borderId="1" xfId="0" applyNumberFormat="1" applyFont="1" applyFill="1" applyBorder="1" applyAlignment="1">
      <alignment horizontal="center" wrapText="1"/>
    </xf>
    <xf numFmtId="0" fontId="25" fillId="0" borderId="1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22" fillId="0" borderId="0" xfId="0" applyNumberFormat="1" applyFont="1" applyFill="1" applyAlignment="1">
      <alignment horizontal="center" wrapText="1"/>
    </xf>
    <xf numFmtId="0" fontId="25" fillId="0" borderId="0" xfId="0" applyNumberFormat="1" applyFont="1" applyFill="1" applyAlignment="1">
      <alignment horizontal="center" vertical="center" wrapText="1"/>
    </xf>
    <xf numFmtId="0" fontId="27" fillId="0" borderId="0" xfId="0" applyNumberFormat="1" applyFont="1" applyFill="1" applyAlignment="1">
      <alignment horizontal="center" vertical="center" wrapText="1"/>
    </xf>
    <xf numFmtId="0" fontId="22" fillId="0" borderId="0" xfId="0" applyNumberFormat="1" applyFont="1" applyFill="1" applyAlignment="1">
      <alignment horizontal="center" vertical="center" wrapText="1"/>
    </xf>
    <xf numFmtId="0" fontId="22" fillId="0" borderId="0" xfId="0" applyNumberFormat="1" applyFont="1" applyFill="1" applyAlignment="1">
      <alignment horizontal="left" vertical="center" wrapText="1"/>
    </xf>
    <xf numFmtId="0" fontId="22" fillId="0" borderId="0" xfId="0" applyNumberFormat="1" applyFont="1" applyFill="1"/>
    <xf numFmtId="0" fontId="0" fillId="0" borderId="0" xfId="0" applyNumberFormat="1" applyFont="1" applyFill="1"/>
    <xf numFmtId="0" fontId="22" fillId="0" borderId="0" xfId="0" applyNumberFormat="1" applyFont="1" applyFill="1" applyAlignment="1">
      <alignment wrapText="1"/>
    </xf>
    <xf numFmtId="0" fontId="21" fillId="0" borderId="0" xfId="0" applyNumberFormat="1" applyFont="1" applyFill="1" applyAlignment="1">
      <alignment horizontal="center" wrapText="1"/>
    </xf>
    <xf numFmtId="0" fontId="20" fillId="0" borderId="0" xfId="0" applyNumberFormat="1" applyFont="1" applyFill="1" applyAlignment="1">
      <alignment horizontal="center" wrapText="1"/>
    </xf>
    <xf numFmtId="0" fontId="22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33" fillId="0" borderId="2" xfId="0" applyNumberFormat="1" applyFont="1" applyFill="1" applyBorder="1" applyAlignment="1">
      <alignment horizontal="center" vertical="center" wrapText="1"/>
    </xf>
    <xf numFmtId="0" fontId="23" fillId="0" borderId="2" xfId="0" applyNumberFormat="1" applyFont="1" applyFill="1" applyBorder="1" applyAlignment="1">
      <alignment horizontal="center" vertical="center" wrapText="1"/>
    </xf>
    <xf numFmtId="0" fontId="25" fillId="0" borderId="1" xfId="0" applyNumberFormat="1" applyFont="1" applyFill="1" applyBorder="1" applyAlignment="1">
      <alignment horizontal="left" vertical="distributed" wrapText="1"/>
    </xf>
    <xf numFmtId="0" fontId="30" fillId="0" borderId="1" xfId="0" applyNumberFormat="1" applyFont="1" applyFill="1" applyBorder="1" applyAlignment="1">
      <alignment horizontal="center" vertical="center" wrapText="1"/>
    </xf>
    <xf numFmtId="0" fontId="20" fillId="0" borderId="4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horizontal="center" vertical="center"/>
    </xf>
    <xf numFmtId="0" fontId="34" fillId="0" borderId="1" xfId="0" applyNumberFormat="1" applyFont="1" applyFill="1" applyBorder="1" applyAlignment="1" applyProtection="1">
      <alignment horizontal="center" vertical="center" wrapText="1"/>
    </xf>
    <xf numFmtId="0" fontId="20" fillId="0" borderId="4" xfId="0" applyNumberFormat="1" applyFont="1" applyFill="1" applyBorder="1" applyAlignment="1">
      <alignment horizontal="left" vertical="center" wrapText="1"/>
    </xf>
    <xf numFmtId="0" fontId="21" fillId="0" borderId="4" xfId="0" applyNumberFormat="1" applyFont="1" applyFill="1" applyBorder="1" applyAlignment="1">
      <alignment horizontal="left" vertical="center" wrapText="1"/>
    </xf>
    <xf numFmtId="0" fontId="21" fillId="0" borderId="1" xfId="7" applyNumberFormat="1" applyFont="1" applyFill="1" applyBorder="1" applyAlignment="1">
      <alignment horizontal="center" vertical="center" wrapText="1"/>
    </xf>
    <xf numFmtId="0" fontId="21" fillId="0" borderId="1" xfId="8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Alignment="1">
      <alignment vertical="center" wrapText="1"/>
    </xf>
    <xf numFmtId="0" fontId="22" fillId="0" borderId="1" xfId="0" applyNumberFormat="1" applyFont="1" applyFill="1" applyBorder="1" applyAlignment="1">
      <alignment vertical="center" wrapText="1"/>
    </xf>
    <xf numFmtId="0" fontId="3" fillId="0" borderId="0" xfId="0" applyNumberFormat="1" applyFont="1" applyFill="1" applyAlignment="1">
      <alignment horizontal="center" vertical="center" wrapText="1"/>
    </xf>
    <xf numFmtId="2" fontId="24" fillId="0" borderId="0" xfId="0" applyNumberFormat="1" applyFont="1" applyFill="1" applyAlignment="1">
      <alignment horizontal="center" vertical="center" wrapText="1"/>
    </xf>
    <xf numFmtId="0" fontId="32" fillId="0" borderId="0" xfId="0" applyNumberFormat="1" applyFont="1" applyFill="1" applyAlignment="1">
      <alignment wrapText="1"/>
    </xf>
    <xf numFmtId="0" fontId="22" fillId="0" borderId="0" xfId="0" applyNumberFormat="1" applyFont="1" applyFill="1" applyAlignment="1">
      <alignment horizontal="center"/>
    </xf>
    <xf numFmtId="0" fontId="0" fillId="0" borderId="0" xfId="0" applyNumberFormat="1" applyFill="1"/>
    <xf numFmtId="0" fontId="1" fillId="0" borderId="0" xfId="0" applyNumberFormat="1" applyFont="1" applyFill="1"/>
    <xf numFmtId="0" fontId="22" fillId="0" borderId="1" xfId="0" applyNumberFormat="1" applyFont="1" applyFill="1" applyBorder="1" applyAlignment="1">
      <alignment horizontal="left" vertical="center" wrapText="1"/>
    </xf>
    <xf numFmtId="0" fontId="20" fillId="0" borderId="1" xfId="11" applyNumberFormat="1" applyFont="1" applyFill="1" applyBorder="1" applyAlignment="1">
      <alignment horizontal="left" vertical="center" wrapText="1"/>
    </xf>
    <xf numFmtId="0" fontId="20" fillId="0" borderId="1" xfId="11" applyNumberFormat="1" applyFont="1" applyFill="1" applyBorder="1" applyAlignment="1">
      <alignment horizontal="center" vertical="center" wrapText="1"/>
    </xf>
    <xf numFmtId="0" fontId="35" fillId="0" borderId="1" xfId="6" applyNumberFormat="1" applyFont="1" applyFill="1" applyBorder="1" applyAlignment="1">
      <alignment horizontal="center" vertical="center"/>
    </xf>
    <xf numFmtId="0" fontId="21" fillId="0" borderId="1" xfId="11" applyNumberFormat="1" applyFont="1" applyFill="1" applyBorder="1" applyAlignment="1">
      <alignment horizontal="left"/>
    </xf>
    <xf numFmtId="0" fontId="21" fillId="0" borderId="1" xfId="11" applyNumberFormat="1" applyFont="1" applyFill="1" applyBorder="1" applyAlignment="1">
      <alignment horizontal="center"/>
    </xf>
    <xf numFmtId="0" fontId="21" fillId="0" borderId="1" xfId="11" applyNumberFormat="1" applyFont="1" applyFill="1" applyBorder="1" applyAlignment="1">
      <alignment horizontal="left" vertical="center" wrapText="1"/>
    </xf>
    <xf numFmtId="0" fontId="21" fillId="0" borderId="1" xfId="12" applyNumberFormat="1" applyFont="1" applyFill="1" applyBorder="1" applyAlignment="1">
      <alignment horizontal="center" vertical="center" wrapText="1"/>
    </xf>
    <xf numFmtId="0" fontId="21" fillId="0" borderId="1" xfId="11" applyNumberFormat="1" applyFont="1" applyFill="1" applyBorder="1" applyAlignment="1">
      <alignment horizontal="center" vertical="center"/>
    </xf>
    <xf numFmtId="0" fontId="24" fillId="0" borderId="1" xfId="12" applyNumberFormat="1" applyFont="1" applyFill="1" applyBorder="1" applyAlignment="1">
      <alignment horizontal="center" vertical="center" wrapText="1"/>
    </xf>
    <xf numFmtId="0" fontId="33" fillId="0" borderId="1" xfId="0" applyNumberFormat="1" applyFont="1" applyFill="1" applyBorder="1" applyAlignment="1">
      <alignment horizontal="center" vertical="center" wrapText="1"/>
    </xf>
    <xf numFmtId="2" fontId="32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 wrapText="1"/>
    </xf>
    <xf numFmtId="0" fontId="0" fillId="0" borderId="0" xfId="0" applyNumberFormat="1" applyFill="1" applyAlignment="1">
      <alignment wrapText="1"/>
    </xf>
    <xf numFmtId="2" fontId="7" fillId="0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Alignment="1">
      <alignment horizontal="center" vertical="center" wrapText="1"/>
    </xf>
    <xf numFmtId="2" fontId="15" fillId="0" borderId="0" xfId="0" applyNumberFormat="1" applyFont="1" applyFill="1" applyAlignment="1">
      <alignment horizontal="center" vertical="center" wrapText="1"/>
    </xf>
    <xf numFmtId="0" fontId="16" fillId="0" borderId="0" xfId="0" applyNumberFormat="1" applyFont="1" applyFill="1"/>
    <xf numFmtId="0" fontId="25" fillId="0" borderId="0" xfId="0" applyNumberFormat="1" applyFont="1" applyFill="1" applyAlignment="1">
      <alignment horizontal="left" vertical="center" wrapText="1"/>
    </xf>
    <xf numFmtId="0" fontId="25" fillId="0" borderId="2" xfId="0" applyNumberFormat="1" applyFont="1" applyFill="1" applyBorder="1" applyAlignment="1">
      <alignment horizontal="left" vertical="center" wrapText="1"/>
    </xf>
    <xf numFmtId="0" fontId="24" fillId="0" borderId="2" xfId="0" applyNumberFormat="1" applyFont="1" applyFill="1" applyBorder="1" applyAlignment="1">
      <alignment horizontal="left" vertical="center"/>
    </xf>
    <xf numFmtId="0" fontId="25" fillId="0" borderId="4" xfId="0" applyNumberFormat="1" applyFont="1" applyFill="1" applyBorder="1" applyAlignment="1">
      <alignment horizontal="left" vertical="center" wrapText="1"/>
    </xf>
    <xf numFmtId="0" fontId="37" fillId="0" borderId="1" xfId="0" applyNumberFormat="1" applyFont="1" applyFill="1" applyBorder="1" applyAlignment="1">
      <alignment horizontal="center" vertical="center" wrapText="1"/>
    </xf>
    <xf numFmtId="0" fontId="25" fillId="0" borderId="4" xfId="0" applyNumberFormat="1" applyFont="1" applyFill="1" applyBorder="1" applyAlignment="1">
      <alignment vertical="center" wrapText="1"/>
    </xf>
    <xf numFmtId="0" fontId="27" fillId="0" borderId="1" xfId="0" applyNumberFormat="1" applyFont="1" applyFill="1" applyBorder="1" applyAlignment="1">
      <alignment horizontal="center" vertical="center"/>
    </xf>
    <xf numFmtId="0" fontId="25" fillId="0" borderId="1" xfId="0" applyNumberFormat="1" applyFont="1" applyFill="1" applyBorder="1" applyAlignment="1">
      <alignment horizontal="left" vertical="distributed"/>
    </xf>
    <xf numFmtId="165" fontId="33" fillId="0" borderId="1" xfId="0" applyNumberFormat="1" applyFont="1" applyFill="1" applyBorder="1" applyAlignment="1">
      <alignment horizontal="center" vertical="center" wrapText="1"/>
    </xf>
    <xf numFmtId="0" fontId="24" fillId="0" borderId="1" xfId="0" applyNumberFormat="1" applyFont="1" applyFill="1" applyBorder="1" applyAlignment="1">
      <alignment horizontal="left" vertical="distributed"/>
    </xf>
    <xf numFmtId="165" fontId="22" fillId="0" borderId="1" xfId="0" applyNumberFormat="1" applyFont="1" applyFill="1" applyBorder="1" applyAlignment="1">
      <alignment horizontal="center" vertical="center"/>
    </xf>
    <xf numFmtId="0" fontId="25" fillId="0" borderId="1" xfId="10" applyNumberFormat="1" applyFont="1" applyFill="1" applyBorder="1" applyAlignment="1">
      <alignment horizontal="left" vertical="center" wrapText="1"/>
    </xf>
    <xf numFmtId="165" fontId="20" fillId="0" borderId="1" xfId="10" applyNumberFormat="1" applyFont="1" applyFill="1" applyBorder="1" applyAlignment="1">
      <alignment horizontal="center" vertical="center" wrapText="1"/>
    </xf>
    <xf numFmtId="0" fontId="21" fillId="0" borderId="8" xfId="0" applyNumberFormat="1" applyFont="1" applyFill="1" applyBorder="1" applyAlignment="1">
      <alignment horizontal="left" vertical="center" wrapText="1"/>
    </xf>
    <xf numFmtId="0" fontId="22" fillId="0" borderId="1" xfId="0" applyNumberFormat="1" applyFont="1" applyFill="1" applyBorder="1" applyAlignment="1">
      <alignment horizontal="center"/>
    </xf>
    <xf numFmtId="0" fontId="29" fillId="0" borderId="1" xfId="0" applyNumberFormat="1" applyFont="1" applyFill="1" applyBorder="1" applyAlignment="1">
      <alignment horizontal="center" vertical="center"/>
    </xf>
    <xf numFmtId="0" fontId="20" fillId="0" borderId="1" xfId="13" applyNumberFormat="1" applyFont="1" applyFill="1" applyBorder="1" applyAlignment="1">
      <alignment horizontal="left" vertical="center" wrapText="1"/>
    </xf>
    <xf numFmtId="0" fontId="20" fillId="0" borderId="1" xfId="13" applyNumberFormat="1" applyFont="1" applyFill="1" applyBorder="1" applyAlignment="1">
      <alignment horizontal="center" vertical="center" wrapText="1"/>
    </xf>
    <xf numFmtId="0" fontId="36" fillId="0" borderId="1" xfId="0" applyNumberFormat="1" applyFont="1" applyFill="1" applyBorder="1" applyAlignment="1">
      <alignment horizontal="center" vertical="center" wrapText="1"/>
    </xf>
    <xf numFmtId="0" fontId="38" fillId="0" borderId="1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Fill="1"/>
    <xf numFmtId="0" fontId="21" fillId="0" borderId="1" xfId="14" applyNumberFormat="1" applyFont="1" applyFill="1" applyBorder="1" applyAlignment="1">
      <alignment horizontal="left" vertical="center" wrapText="1"/>
    </xf>
    <xf numFmtId="0" fontId="21" fillId="0" borderId="1" xfId="14" applyNumberFormat="1" applyFont="1" applyFill="1" applyBorder="1" applyAlignment="1">
      <alignment horizontal="center" vertical="center" wrapText="1"/>
    </xf>
    <xf numFmtId="0" fontId="40" fillId="0" borderId="1" xfId="13" applyNumberFormat="1" applyFont="1" applyFill="1" applyBorder="1" applyAlignment="1">
      <alignment horizontal="center" vertical="center" wrapText="1"/>
    </xf>
    <xf numFmtId="0" fontId="21" fillId="0" borderId="1" xfId="0" applyNumberFormat="1" applyFont="1" applyFill="1" applyBorder="1" applyAlignment="1" applyProtection="1">
      <alignment horizontal="left" vertical="center" wrapText="1"/>
    </xf>
    <xf numFmtId="164" fontId="24" fillId="0" borderId="1" xfId="0" applyNumberFormat="1" applyFont="1" applyFill="1" applyBorder="1" applyAlignment="1">
      <alignment horizontal="center" vertical="center" wrapText="1"/>
    </xf>
    <xf numFmtId="0" fontId="32" fillId="0" borderId="0" xfId="0" applyNumberFormat="1" applyFont="1" applyFill="1" applyAlignment="1">
      <alignment horizontal="left" vertical="center" wrapText="1"/>
    </xf>
    <xf numFmtId="0" fontId="32" fillId="0" borderId="0" xfId="0" applyNumberFormat="1" applyFont="1" applyFill="1" applyAlignment="1">
      <alignment horizontal="center" vertical="center" wrapText="1"/>
    </xf>
    <xf numFmtId="0" fontId="41" fillId="0" borderId="0" xfId="0" applyNumberFormat="1" applyFont="1" applyFill="1" applyAlignment="1">
      <alignment horizontal="center" vertical="center"/>
    </xf>
    <xf numFmtId="0" fontId="41" fillId="0" borderId="0" xfId="0" applyNumberFormat="1" applyFont="1" applyFill="1" applyAlignment="1">
      <alignment horizontal="center"/>
    </xf>
    <xf numFmtId="0" fontId="41" fillId="0" borderId="0" xfId="0" applyNumberFormat="1" applyFont="1" applyFill="1" applyAlignment="1">
      <alignment horizontal="left"/>
    </xf>
    <xf numFmtId="0" fontId="41" fillId="0" borderId="0" xfId="0" applyNumberFormat="1" applyFont="1" applyFill="1"/>
    <xf numFmtId="0" fontId="41" fillId="0" borderId="0" xfId="0" applyNumberFormat="1" applyFont="1" applyFill="1" applyAlignment="1">
      <alignment vertical="center"/>
    </xf>
    <xf numFmtId="0" fontId="6" fillId="0" borderId="0" xfId="0" applyNumberFormat="1" applyFont="1" applyFill="1"/>
    <xf numFmtId="0" fontId="6" fillId="0" borderId="0" xfId="0" applyNumberFormat="1" applyFont="1" applyFill="1" applyAlignment="1">
      <alignment wrapText="1"/>
    </xf>
    <xf numFmtId="0" fontId="10" fillId="0" borderId="0" xfId="0" applyNumberFormat="1" applyFont="1" applyFill="1" applyBorder="1" applyAlignment="1">
      <alignment vertical="center" wrapText="1"/>
    </xf>
    <xf numFmtId="0" fontId="18" fillId="0" borderId="2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vertical="center"/>
    </xf>
    <xf numFmtId="0" fontId="4" fillId="0" borderId="1" xfId="0" applyNumberFormat="1" applyFont="1" applyFill="1" applyBorder="1" applyAlignment="1">
      <alignment horizontal="left" vertical="center" wrapText="1"/>
    </xf>
    <xf numFmtId="0" fontId="0" fillId="0" borderId="0" xfId="0" applyNumberFormat="1" applyFill="1" applyAlignment="1">
      <alignment vertical="center"/>
    </xf>
    <xf numFmtId="0" fontId="5" fillId="0" borderId="1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vertical="distributed" wrapText="1"/>
    </xf>
    <xf numFmtId="0" fontId="10" fillId="0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center" wrapText="1"/>
    </xf>
    <xf numFmtId="0" fontId="6" fillId="0" borderId="0" xfId="0" applyNumberFormat="1" applyFont="1" applyFill="1" applyAlignment="1">
      <alignment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/>
    <xf numFmtId="0" fontId="4" fillId="0" borderId="4" xfId="0" applyNumberFormat="1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vertical="center" wrapText="1"/>
    </xf>
    <xf numFmtId="0" fontId="6" fillId="0" borderId="0" xfId="0" applyNumberFormat="1" applyFont="1" applyFill="1" applyAlignment="1">
      <alignment horizont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12" fillId="0" borderId="0" xfId="0" applyNumberFormat="1" applyFont="1" applyFill="1" applyAlignment="1">
      <alignment wrapText="1"/>
    </xf>
    <xf numFmtId="0" fontId="6" fillId="0" borderId="0" xfId="0" applyNumberFormat="1" applyFont="1" applyFill="1" applyAlignment="1">
      <alignment horizontal="center"/>
    </xf>
    <xf numFmtId="0" fontId="25" fillId="0" borderId="1" xfId="0" applyNumberFormat="1" applyFont="1" applyFill="1" applyBorder="1" applyAlignment="1">
      <alignment vertical="center"/>
    </xf>
    <xf numFmtId="2" fontId="22" fillId="0" borderId="0" xfId="0" applyNumberFormat="1" applyFont="1" applyFill="1" applyAlignment="1">
      <alignment vertical="center" wrapText="1"/>
    </xf>
    <xf numFmtId="2" fontId="0" fillId="0" borderId="1" xfId="0" applyNumberFormat="1" applyFont="1" applyFill="1" applyBorder="1" applyAlignment="1">
      <alignment vertical="center"/>
    </xf>
    <xf numFmtId="2" fontId="22" fillId="0" borderId="0" xfId="0" applyNumberFormat="1" applyFont="1" applyFill="1" applyAlignment="1">
      <alignment vertical="center"/>
    </xf>
    <xf numFmtId="2" fontId="22" fillId="0" borderId="1" xfId="0" applyNumberFormat="1" applyFont="1" applyFill="1" applyBorder="1" applyAlignment="1">
      <alignment vertical="center"/>
    </xf>
    <xf numFmtId="2" fontId="22" fillId="0" borderId="1" xfId="0" applyNumberFormat="1" applyFont="1" applyFill="1" applyBorder="1" applyAlignment="1">
      <alignment vertical="center" wrapText="1"/>
    </xf>
    <xf numFmtId="0" fontId="32" fillId="0" borderId="2" xfId="0" applyNumberFormat="1" applyFont="1" applyFill="1" applyBorder="1" applyAlignment="1">
      <alignment horizontal="center" vertical="center" wrapText="1"/>
    </xf>
    <xf numFmtId="0" fontId="22" fillId="0" borderId="6" xfId="0" applyNumberFormat="1" applyFont="1" applyFill="1" applyBorder="1" applyAlignment="1">
      <alignment vertical="center"/>
    </xf>
    <xf numFmtId="167" fontId="21" fillId="0" borderId="1" xfId="0" applyNumberFormat="1" applyFont="1" applyFill="1" applyBorder="1" applyAlignment="1">
      <alignment horizontal="center" vertical="center" wrapText="1"/>
    </xf>
    <xf numFmtId="164" fontId="21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/>
    <xf numFmtId="0" fontId="5" fillId="3" borderId="1" xfId="0" applyNumberFormat="1" applyFont="1" applyFill="1" applyBorder="1" applyAlignment="1">
      <alignment horizontal="center" vertical="center" wrapText="1"/>
    </xf>
    <xf numFmtId="0" fontId="22" fillId="0" borderId="1" xfId="0" applyNumberFormat="1" applyFont="1" applyFill="1" applyBorder="1" applyAlignment="1">
      <alignment horizontal="center" vertical="center" wrapText="1"/>
    </xf>
    <xf numFmtId="2" fontId="21" fillId="0" borderId="3" xfId="15" applyNumberFormat="1" applyFont="1" applyFill="1" applyBorder="1" applyAlignment="1">
      <alignment horizontal="center" vertical="center" wrapText="1"/>
    </xf>
    <xf numFmtId="2" fontId="21" fillId="0" borderId="3" xfId="0" applyNumberFormat="1" applyFont="1" applyFill="1" applyBorder="1" applyAlignment="1">
      <alignment horizontal="center" vertical="center" wrapText="1"/>
    </xf>
    <xf numFmtId="2" fontId="21" fillId="0" borderId="1" xfId="15" applyNumberFormat="1" applyFont="1" applyFill="1" applyBorder="1" applyAlignment="1">
      <alignment horizontal="center" vertical="center" wrapText="1"/>
    </xf>
    <xf numFmtId="0" fontId="21" fillId="0" borderId="1" xfId="9" applyNumberFormat="1" applyFont="1" applyFill="1" applyBorder="1" applyAlignment="1" applyProtection="1">
      <alignment horizontal="center" vertical="center"/>
    </xf>
    <xf numFmtId="0" fontId="0" fillId="3" borderId="0" xfId="0" applyNumberFormat="1" applyFill="1"/>
    <xf numFmtId="0" fontId="20" fillId="2" borderId="0" xfId="0" applyNumberFormat="1" applyFont="1" applyFill="1" applyBorder="1" applyAlignment="1">
      <alignment horizontal="center" vertical="center" wrapText="1"/>
    </xf>
    <xf numFmtId="0" fontId="33" fillId="2" borderId="2" xfId="0" applyNumberFormat="1" applyFont="1" applyFill="1" applyBorder="1" applyAlignment="1">
      <alignment horizontal="center" vertical="center" wrapText="1"/>
    </xf>
    <xf numFmtId="0" fontId="23" fillId="2" borderId="2" xfId="0" applyNumberFormat="1" applyFont="1" applyFill="1" applyBorder="1" applyAlignment="1">
      <alignment horizontal="center" vertical="center" wrapText="1"/>
    </xf>
    <xf numFmtId="0" fontId="24" fillId="2" borderId="1" xfId="0" applyNumberFormat="1" applyFont="1" applyFill="1" applyBorder="1" applyAlignment="1">
      <alignment horizontal="left" vertical="center" wrapText="1"/>
    </xf>
    <xf numFmtId="2" fontId="24" fillId="2" borderId="1" xfId="0" applyNumberFormat="1" applyFont="1" applyFill="1" applyBorder="1" applyAlignment="1">
      <alignment horizontal="center" vertical="center" wrapText="1"/>
    </xf>
    <xf numFmtId="0" fontId="29" fillId="2" borderId="1" xfId="0" applyNumberFormat="1" applyFont="1" applyFill="1" applyBorder="1" applyAlignment="1">
      <alignment horizontal="center" vertical="center" wrapText="1"/>
    </xf>
    <xf numFmtId="165" fontId="29" fillId="2" borderId="1" xfId="0" applyNumberFormat="1" applyFont="1" applyFill="1" applyBorder="1" applyAlignment="1">
      <alignment horizontal="center" vertical="center" wrapText="1"/>
    </xf>
    <xf numFmtId="2" fontId="25" fillId="2" borderId="1" xfId="0" applyNumberFormat="1" applyFont="1" applyFill="1" applyBorder="1" applyAlignment="1">
      <alignment horizontal="center" vertical="center" wrapText="1"/>
    </xf>
    <xf numFmtId="0" fontId="22" fillId="2" borderId="1" xfId="0" applyNumberFormat="1" applyFont="1" applyFill="1" applyBorder="1" applyAlignment="1">
      <alignment horizontal="left" vertical="center" wrapText="1"/>
    </xf>
    <xf numFmtId="0" fontId="22" fillId="2" borderId="1" xfId="0" applyNumberFormat="1" applyFont="1" applyFill="1" applyBorder="1" applyAlignment="1">
      <alignment horizontal="center" vertical="center" wrapText="1"/>
    </xf>
    <xf numFmtId="165" fontId="25" fillId="2" borderId="1" xfId="0" applyNumberFormat="1" applyFont="1" applyFill="1" applyBorder="1" applyAlignment="1">
      <alignment horizontal="center" vertical="center" wrapText="1"/>
    </xf>
    <xf numFmtId="0" fontId="21" fillId="2" borderId="1" xfId="0" applyNumberFormat="1" applyFont="1" applyFill="1" applyBorder="1" applyAlignment="1">
      <alignment horizontal="left" vertical="center" wrapText="1"/>
    </xf>
    <xf numFmtId="0" fontId="24" fillId="2" borderId="1" xfId="0" applyNumberFormat="1" applyFont="1" applyFill="1" applyBorder="1" applyAlignment="1">
      <alignment horizontal="left" wrapText="1"/>
    </xf>
    <xf numFmtId="0" fontId="30" fillId="2" borderId="1" xfId="0" applyNumberFormat="1" applyFont="1" applyFill="1" applyBorder="1" applyAlignment="1">
      <alignment horizontal="center" vertical="center" wrapText="1"/>
    </xf>
    <xf numFmtId="0" fontId="20" fillId="2" borderId="3" xfId="0" applyNumberFormat="1" applyFont="1" applyFill="1" applyBorder="1" applyAlignment="1">
      <alignment horizontal="center" vertical="center" wrapText="1"/>
    </xf>
    <xf numFmtId="0" fontId="25" fillId="2" borderId="3" xfId="0" applyNumberFormat="1" applyFont="1" applyFill="1" applyBorder="1" applyAlignment="1">
      <alignment horizontal="center" vertical="center" wrapText="1"/>
    </xf>
    <xf numFmtId="165" fontId="20" fillId="2" borderId="3" xfId="0" applyNumberFormat="1" applyFont="1" applyFill="1" applyBorder="1" applyAlignment="1">
      <alignment horizontal="center" vertical="center" wrapText="1"/>
    </xf>
    <xf numFmtId="0" fontId="20" fillId="2" borderId="3" xfId="4" applyNumberFormat="1" applyFont="1" applyFill="1" applyBorder="1" applyAlignment="1">
      <alignment horizontal="center" vertical="center" wrapText="1"/>
    </xf>
    <xf numFmtId="0" fontId="21" fillId="2" borderId="1" xfId="4" applyNumberFormat="1" applyFont="1" applyFill="1" applyBorder="1" applyAlignment="1">
      <alignment horizontal="left" wrapText="1"/>
    </xf>
    <xf numFmtId="0" fontId="21" fillId="2" borderId="1" xfId="4" applyNumberFormat="1" applyFont="1" applyFill="1" applyBorder="1" applyAlignment="1">
      <alignment horizontal="center"/>
    </xf>
    <xf numFmtId="0" fontId="21" fillId="2" borderId="1" xfId="4" applyNumberFormat="1" applyFont="1" applyFill="1" applyBorder="1" applyAlignment="1">
      <alignment horizontal="center" vertical="center"/>
    </xf>
    <xf numFmtId="0" fontId="21" fillId="2" borderId="1" xfId="5" applyNumberFormat="1" applyFont="1" applyFill="1" applyBorder="1" applyAlignment="1">
      <alignment horizontal="center" vertical="center" wrapText="1"/>
    </xf>
    <xf numFmtId="0" fontId="21" fillId="2" borderId="1" xfId="4" applyNumberFormat="1" applyFont="1" applyFill="1" applyBorder="1" applyAlignment="1">
      <alignment horizontal="center" vertical="center" wrapText="1"/>
    </xf>
    <xf numFmtId="0" fontId="20" fillId="2" borderId="1" xfId="0" applyNumberFormat="1" applyFont="1" applyFill="1" applyBorder="1" applyAlignment="1">
      <alignment vertical="center" wrapText="1"/>
    </xf>
    <xf numFmtId="165" fontId="20" fillId="2" borderId="1" xfId="0" applyNumberFormat="1" applyFont="1" applyFill="1" applyBorder="1" applyAlignment="1">
      <alignment horizontal="center" vertical="center" wrapText="1"/>
    </xf>
    <xf numFmtId="0" fontId="20" fillId="2" borderId="1" xfId="11" applyNumberFormat="1" applyFont="1" applyFill="1" applyBorder="1" applyAlignment="1">
      <alignment horizontal="left" vertical="center" wrapText="1"/>
    </xf>
    <xf numFmtId="0" fontId="20" fillId="2" borderId="1" xfId="11" applyNumberFormat="1" applyFont="1" applyFill="1" applyBorder="1" applyAlignment="1">
      <alignment horizontal="center" vertical="center" wrapText="1"/>
    </xf>
    <xf numFmtId="165" fontId="35" fillId="2" borderId="1" xfId="6" applyNumberFormat="1" applyFont="1" applyFill="1" applyBorder="1" applyAlignment="1">
      <alignment horizontal="center" vertical="center"/>
    </xf>
    <xf numFmtId="0" fontId="21" fillId="2" borderId="1" xfId="11" applyNumberFormat="1" applyFont="1" applyFill="1" applyBorder="1" applyAlignment="1">
      <alignment horizontal="left"/>
    </xf>
    <xf numFmtId="0" fontId="21" fillId="2" borderId="1" xfId="11" applyNumberFormat="1" applyFont="1" applyFill="1" applyBorder="1" applyAlignment="1">
      <alignment horizontal="center"/>
    </xf>
    <xf numFmtId="0" fontId="21" fillId="2" borderId="1" xfId="11" applyNumberFormat="1" applyFont="1" applyFill="1" applyBorder="1" applyAlignment="1">
      <alignment horizontal="left" vertical="center" wrapText="1"/>
    </xf>
    <xf numFmtId="0" fontId="21" fillId="2" borderId="1" xfId="12" applyNumberFormat="1" applyFont="1" applyFill="1" applyBorder="1" applyAlignment="1">
      <alignment horizontal="center" vertical="center" wrapText="1"/>
    </xf>
    <xf numFmtId="0" fontId="21" fillId="2" borderId="1" xfId="11" applyNumberFormat="1" applyFont="1" applyFill="1" applyBorder="1" applyAlignment="1">
      <alignment horizontal="center" vertical="center"/>
    </xf>
    <xf numFmtId="0" fontId="24" fillId="2" borderId="1" xfId="12" applyNumberFormat="1" applyFont="1" applyFill="1" applyBorder="1" applyAlignment="1">
      <alignment horizontal="center" vertical="center" wrapText="1"/>
    </xf>
    <xf numFmtId="0" fontId="33" fillId="2" borderId="1" xfId="0" applyNumberFormat="1" applyFont="1" applyFill="1" applyBorder="1" applyAlignment="1">
      <alignment horizontal="center" vertical="center" wrapText="1"/>
    </xf>
    <xf numFmtId="0" fontId="22" fillId="2" borderId="1" xfId="0" applyNumberFormat="1" applyFont="1" applyFill="1" applyBorder="1" applyAlignment="1">
      <alignment horizontal="center" vertical="center"/>
    </xf>
    <xf numFmtId="0" fontId="20" fillId="2" borderId="1" xfId="6" applyNumberFormat="1" applyFont="1" applyFill="1" applyBorder="1" applyAlignment="1">
      <alignment horizontal="center" vertical="center"/>
    </xf>
    <xf numFmtId="0" fontId="35" fillId="2" borderId="1" xfId="6" applyNumberFormat="1" applyFont="1" applyFill="1" applyBorder="1" applyAlignment="1">
      <alignment horizontal="center" vertical="center"/>
    </xf>
    <xf numFmtId="0" fontId="21" fillId="2" borderId="3" xfId="0" applyNumberFormat="1" applyFont="1" applyFill="1" applyBorder="1" applyAlignment="1">
      <alignment horizontal="center" vertical="center" wrapText="1"/>
    </xf>
    <xf numFmtId="0" fontId="21" fillId="2" borderId="1" xfId="0" applyNumberFormat="1" applyFont="1" applyFill="1" applyBorder="1" applyAlignment="1">
      <alignment vertical="center" wrapText="1"/>
    </xf>
    <xf numFmtId="0" fontId="21" fillId="2" borderId="3" xfId="0" applyNumberFormat="1" applyFont="1" applyFill="1" applyBorder="1" applyAlignment="1">
      <alignment horizontal="center" vertical="center"/>
    </xf>
    <xf numFmtId="0" fontId="24" fillId="2" borderId="1" xfId="12" applyNumberFormat="1" applyFont="1" applyFill="1" applyBorder="1" applyAlignment="1">
      <alignment horizontal="left" vertical="center" wrapText="1"/>
    </xf>
    <xf numFmtId="0" fontId="25" fillId="2" borderId="1" xfId="0" applyFont="1" applyFill="1" applyBorder="1" applyAlignment="1">
      <alignment horizontal="left" vertical="distributed"/>
    </xf>
    <xf numFmtId="0" fontId="25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/>
    </xf>
    <xf numFmtId="2" fontId="25" fillId="2" borderId="1" xfId="0" applyNumberFormat="1" applyFont="1" applyFill="1" applyBorder="1" applyAlignment="1">
      <alignment horizontal="center" vertical="center"/>
    </xf>
    <xf numFmtId="2" fontId="24" fillId="2" borderId="1" xfId="0" applyNumberFormat="1" applyFont="1" applyFill="1" applyBorder="1" applyAlignment="1">
      <alignment horizontal="center"/>
    </xf>
    <xf numFmtId="0" fontId="21" fillId="2" borderId="1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center" vertical="center"/>
    </xf>
    <xf numFmtId="2" fontId="21" fillId="2" borderId="1" xfId="0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left" vertical="distributed"/>
    </xf>
    <xf numFmtId="167" fontId="21" fillId="2" borderId="1" xfId="0" applyNumberFormat="1" applyFont="1" applyFill="1" applyBorder="1" applyAlignment="1">
      <alignment horizontal="center" vertical="center"/>
    </xf>
    <xf numFmtId="165" fontId="21" fillId="2" borderId="1" xfId="0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167" fontId="24" fillId="2" borderId="1" xfId="0" applyNumberFormat="1" applyFont="1" applyFill="1" applyBorder="1" applyAlignment="1">
      <alignment horizontal="center" vertical="center" wrapText="1"/>
    </xf>
    <xf numFmtId="167" fontId="22" fillId="2" borderId="1" xfId="0" applyNumberFormat="1" applyFont="1" applyFill="1" applyBorder="1" applyAlignment="1">
      <alignment horizontal="center" vertical="center" wrapText="1"/>
    </xf>
    <xf numFmtId="167" fontId="30" fillId="2" borderId="1" xfId="0" applyNumberFormat="1" applyFont="1" applyFill="1" applyBorder="1" applyAlignment="1">
      <alignment horizontal="center"/>
    </xf>
    <xf numFmtId="0" fontId="21" fillId="2" borderId="1" xfId="0" applyNumberFormat="1" applyFont="1" applyFill="1" applyBorder="1" applyAlignment="1">
      <alignment horizontal="left" vertical="center"/>
    </xf>
    <xf numFmtId="0" fontId="21" fillId="2" borderId="2" xfId="0" applyNumberFormat="1" applyFont="1" applyFill="1" applyBorder="1" applyAlignment="1">
      <alignment horizontal="left" vertical="center"/>
    </xf>
    <xf numFmtId="0" fontId="20" fillId="2" borderId="2" xfId="0" applyNumberFormat="1" applyFont="1" applyFill="1" applyBorder="1" applyAlignment="1">
      <alignment horizontal="left" vertical="center" wrapText="1"/>
    </xf>
    <xf numFmtId="0" fontId="20" fillId="2" borderId="4" xfId="0" applyNumberFormat="1" applyFont="1" applyFill="1" applyBorder="1" applyAlignment="1">
      <alignment vertical="center" wrapText="1"/>
    </xf>
    <xf numFmtId="2" fontId="32" fillId="2" borderId="1" xfId="0" applyNumberFormat="1" applyFont="1" applyFill="1" applyBorder="1" applyAlignment="1">
      <alignment horizontal="center" vertical="center" wrapText="1"/>
    </xf>
    <xf numFmtId="0" fontId="36" fillId="2" borderId="1" xfId="6" applyNumberFormat="1" applyFont="1" applyFill="1" applyBorder="1" applyAlignment="1">
      <alignment horizontal="center" vertical="center" wrapText="1"/>
    </xf>
    <xf numFmtId="2" fontId="20" fillId="2" borderId="1" xfId="0" applyNumberFormat="1" applyFont="1" applyFill="1" applyBorder="1" applyAlignment="1">
      <alignment horizontal="center" vertical="center" wrapText="1"/>
    </xf>
    <xf numFmtId="0" fontId="24" fillId="2" borderId="1" xfId="0" applyNumberFormat="1" applyFont="1" applyFill="1" applyBorder="1" applyAlignment="1">
      <alignment horizontal="center" wrapText="1"/>
    </xf>
    <xf numFmtId="0" fontId="22" fillId="2" borderId="0" xfId="0" applyNumberFormat="1" applyFont="1" applyFill="1" applyAlignment="1">
      <alignment horizontal="center" vertical="center" wrapText="1"/>
    </xf>
    <xf numFmtId="0" fontId="0" fillId="2" borderId="0" xfId="0" applyNumberFormat="1" applyFill="1" applyAlignment="1">
      <alignment wrapText="1"/>
    </xf>
    <xf numFmtId="0" fontId="25" fillId="2" borderId="5" xfId="0" applyNumberFormat="1" applyFont="1" applyFill="1" applyBorder="1" applyAlignment="1"/>
    <xf numFmtId="0" fontId="24" fillId="2" borderId="1" xfId="0" applyNumberFormat="1" applyFont="1" applyFill="1" applyBorder="1" applyAlignment="1">
      <alignment horizontal="center"/>
    </xf>
    <xf numFmtId="0" fontId="22" fillId="2" borderId="1" xfId="0" applyNumberFormat="1" applyFont="1" applyFill="1" applyBorder="1" applyAlignment="1">
      <alignment horizontal="center"/>
    </xf>
    <xf numFmtId="2" fontId="25" fillId="2" borderId="1" xfId="0" applyNumberFormat="1" applyFont="1" applyFill="1" applyBorder="1" applyAlignment="1">
      <alignment horizontal="center"/>
    </xf>
    <xf numFmtId="0" fontId="25" fillId="2" borderId="1" xfId="0" applyNumberFormat="1" applyFont="1" applyFill="1" applyBorder="1" applyAlignment="1"/>
    <xf numFmtId="2" fontId="29" fillId="2" borderId="1" xfId="0" applyNumberFormat="1" applyFont="1" applyFill="1" applyBorder="1" applyAlignment="1">
      <alignment horizontal="center" vertical="center" wrapText="1"/>
    </xf>
    <xf numFmtId="0" fontId="22" fillId="2" borderId="0" xfId="0" applyNumberFormat="1" applyFont="1" applyFill="1" applyAlignment="1">
      <alignment wrapText="1"/>
    </xf>
    <xf numFmtId="0" fontId="29" fillId="2" borderId="0" xfId="0" applyNumberFormat="1" applyFont="1" applyFill="1" applyAlignment="1">
      <alignment horizontal="center" wrapText="1"/>
    </xf>
    <xf numFmtId="0" fontId="22" fillId="2" borderId="0" xfId="0" applyNumberFormat="1" applyFont="1" applyFill="1" applyAlignment="1">
      <alignment horizontal="center" wrapText="1"/>
    </xf>
    <xf numFmtId="0" fontId="24" fillId="2" borderId="0" xfId="0" applyNumberFormat="1" applyFont="1" applyFill="1" applyAlignment="1">
      <alignment horizontal="center" vertical="center" wrapText="1"/>
    </xf>
    <xf numFmtId="0" fontId="25" fillId="2" borderId="0" xfId="0" applyNumberFormat="1" applyFont="1" applyFill="1" applyAlignment="1">
      <alignment horizontal="center" vertical="center" wrapText="1"/>
    </xf>
    <xf numFmtId="0" fontId="22" fillId="2" borderId="0" xfId="0" applyNumberFormat="1" applyFont="1" applyFill="1"/>
    <xf numFmtId="0" fontId="29" fillId="2" borderId="0" xfId="0" applyNumberFormat="1" applyFont="1" applyFill="1" applyAlignment="1">
      <alignment horizontal="center"/>
    </xf>
    <xf numFmtId="0" fontId="22" fillId="2" borderId="0" xfId="0" applyNumberFormat="1" applyFont="1" applyFill="1" applyAlignment="1">
      <alignment horizontal="center"/>
    </xf>
    <xf numFmtId="0" fontId="22" fillId="2" borderId="0" xfId="0" applyNumberFormat="1" applyFont="1" applyFill="1" applyAlignment="1">
      <alignment horizontal="center" vertical="center"/>
    </xf>
    <xf numFmtId="0" fontId="21" fillId="0" borderId="2" xfId="0" applyNumberFormat="1" applyFont="1" applyFill="1" applyBorder="1" applyAlignment="1">
      <alignment horizontal="center" vertical="center" wrapText="1"/>
    </xf>
    <xf numFmtId="0" fontId="21" fillId="0" borderId="6" xfId="0" applyNumberFormat="1" applyFont="1" applyFill="1" applyBorder="1" applyAlignment="1">
      <alignment horizontal="center" vertical="center" wrapText="1"/>
    </xf>
    <xf numFmtId="0" fontId="21" fillId="0" borderId="3" xfId="0" applyNumberFormat="1" applyFont="1" applyFill="1" applyBorder="1" applyAlignment="1">
      <alignment horizontal="center" vertical="center" wrapText="1"/>
    </xf>
    <xf numFmtId="0" fontId="24" fillId="0" borderId="2" xfId="0" applyNumberFormat="1" applyFont="1" applyFill="1" applyBorder="1" applyAlignment="1">
      <alignment horizontal="center" vertical="center" wrapText="1"/>
    </xf>
    <xf numFmtId="0" fontId="24" fillId="0" borderId="6" xfId="0" applyNumberFormat="1" applyFont="1" applyFill="1" applyBorder="1" applyAlignment="1">
      <alignment horizontal="center" vertical="center" wrapText="1"/>
    </xf>
    <xf numFmtId="0" fontId="24" fillId="0" borderId="3" xfId="0" applyNumberFormat="1" applyFont="1" applyFill="1" applyBorder="1" applyAlignment="1">
      <alignment horizontal="center" vertical="center" wrapText="1"/>
    </xf>
    <xf numFmtId="0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NumberFormat="1" applyFont="1" applyFill="1" applyBorder="1" applyAlignment="1">
      <alignment horizontal="center" vertical="center"/>
    </xf>
    <xf numFmtId="0" fontId="21" fillId="0" borderId="1" xfId="10" applyNumberFormat="1" applyFont="1" applyFill="1" applyBorder="1" applyAlignment="1">
      <alignment horizontal="center" vertical="center" wrapText="1"/>
    </xf>
    <xf numFmtId="0" fontId="24" fillId="0" borderId="1" xfId="0" applyNumberFormat="1" applyFont="1" applyFill="1" applyBorder="1" applyAlignment="1">
      <alignment horizontal="center" vertical="center" wrapText="1"/>
    </xf>
    <xf numFmtId="0" fontId="24" fillId="0" borderId="1" xfId="0" applyNumberFormat="1" applyFont="1" applyFill="1" applyBorder="1" applyAlignment="1">
      <alignment horizontal="center" vertical="center"/>
    </xf>
    <xf numFmtId="0" fontId="22" fillId="0" borderId="2" xfId="0" applyNumberFormat="1" applyFont="1" applyFill="1" applyBorder="1" applyAlignment="1">
      <alignment horizontal="center" vertical="center"/>
    </xf>
    <xf numFmtId="0" fontId="22" fillId="0" borderId="6" xfId="0" applyNumberFormat="1" applyFont="1" applyFill="1" applyBorder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 wrapText="1"/>
    </xf>
    <xf numFmtId="0" fontId="24" fillId="0" borderId="3" xfId="0" applyNumberFormat="1" applyFont="1" applyFill="1" applyBorder="1" applyAlignment="1">
      <alignment horizontal="center" vertical="distributed" wrapText="1"/>
    </xf>
    <xf numFmtId="0" fontId="10" fillId="0" borderId="0" xfId="0" applyNumberFormat="1" applyFont="1" applyFill="1" applyAlignment="1">
      <alignment horizontal="center" vertical="center" wrapText="1"/>
    </xf>
    <xf numFmtId="0" fontId="20" fillId="0" borderId="0" xfId="0" applyNumberFormat="1" applyFont="1" applyFill="1" applyAlignment="1">
      <alignment horizontal="center" vertical="center" wrapText="1"/>
    </xf>
    <xf numFmtId="0" fontId="20" fillId="0" borderId="1" xfId="0" applyNumberFormat="1" applyFont="1" applyFill="1" applyBorder="1" applyAlignment="1">
      <alignment horizontal="center" vertical="center" wrapText="1"/>
    </xf>
    <xf numFmtId="0" fontId="20" fillId="0" borderId="2" xfId="0" applyNumberFormat="1" applyFont="1" applyFill="1" applyBorder="1" applyAlignment="1">
      <alignment horizontal="center" vertical="center" wrapText="1"/>
    </xf>
    <xf numFmtId="0" fontId="25" fillId="0" borderId="1" xfId="0" applyNumberFormat="1" applyFont="1" applyFill="1" applyBorder="1" applyAlignment="1">
      <alignment horizontal="center" vertical="center" wrapText="1"/>
    </xf>
    <xf numFmtId="0" fontId="21" fillId="0" borderId="3" xfId="0" applyNumberFormat="1" applyFont="1" applyFill="1" applyBorder="1" applyAlignment="1">
      <alignment horizontal="center" vertical="center"/>
    </xf>
    <xf numFmtId="0" fontId="22" fillId="0" borderId="1" xfId="0" applyNumberFormat="1" applyFont="1" applyFill="1" applyBorder="1" applyAlignment="1">
      <alignment horizontal="center" vertical="center"/>
    </xf>
    <xf numFmtId="0" fontId="21" fillId="0" borderId="2" xfId="1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/>
    </xf>
    <xf numFmtId="0" fontId="5" fillId="3" borderId="1" xfId="0" applyNumberFormat="1" applyFont="1" applyFill="1" applyBorder="1" applyAlignment="1">
      <alignment vertical="center" wrapText="1"/>
    </xf>
    <xf numFmtId="0" fontId="4" fillId="2" borderId="0" xfId="0" applyNumberFormat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center" vertical="center" wrapText="1"/>
    </xf>
    <xf numFmtId="0" fontId="10" fillId="2" borderId="0" xfId="0" applyNumberFormat="1" applyFont="1" applyFill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24" fillId="0" borderId="2" xfId="0" applyNumberFormat="1" applyFont="1" applyFill="1" applyBorder="1" applyAlignment="1">
      <alignment horizontal="center" vertical="center" wrapText="1"/>
    </xf>
    <xf numFmtId="0" fontId="24" fillId="0" borderId="6" xfId="0" applyNumberFormat="1" applyFont="1" applyFill="1" applyBorder="1" applyAlignment="1">
      <alignment horizontal="center" vertical="center" wrapText="1"/>
    </xf>
    <xf numFmtId="0" fontId="24" fillId="0" borderId="3" xfId="0" applyNumberFormat="1" applyFont="1" applyFill="1" applyBorder="1" applyAlignment="1">
      <alignment horizontal="center" vertical="center" wrapText="1"/>
    </xf>
    <xf numFmtId="0" fontId="25" fillId="0" borderId="4" xfId="0" applyNumberFormat="1" applyFont="1" applyFill="1" applyBorder="1" applyAlignment="1">
      <alignment horizontal="center" vertical="center" wrapText="1"/>
    </xf>
    <xf numFmtId="0" fontId="25" fillId="0" borderId="5" xfId="0" applyNumberFormat="1" applyFont="1" applyFill="1" applyBorder="1" applyAlignment="1">
      <alignment horizontal="center" vertical="center" wrapText="1"/>
    </xf>
    <xf numFmtId="0" fontId="25" fillId="0" borderId="1" xfId="0" applyNumberFormat="1" applyFont="1" applyFill="1" applyBorder="1" applyAlignment="1">
      <alignment horizontal="center" vertical="center" wrapText="1"/>
    </xf>
    <xf numFmtId="0" fontId="21" fillId="0" borderId="2" xfId="0" applyNumberFormat="1" applyFont="1" applyFill="1" applyBorder="1" applyAlignment="1">
      <alignment horizontal="center" vertical="center" wrapText="1"/>
    </xf>
    <xf numFmtId="0" fontId="21" fillId="0" borderId="6" xfId="0" applyNumberFormat="1" applyFont="1" applyFill="1" applyBorder="1" applyAlignment="1">
      <alignment horizontal="center" vertical="center" wrapText="1"/>
    </xf>
    <xf numFmtId="0" fontId="21" fillId="0" borderId="3" xfId="0" applyNumberFormat="1" applyFont="1" applyFill="1" applyBorder="1" applyAlignment="1">
      <alignment horizontal="center" vertical="center" wrapText="1"/>
    </xf>
    <xf numFmtId="0" fontId="31" fillId="0" borderId="2" xfId="0" quotePrefix="1" applyNumberFormat="1" applyFont="1" applyFill="1" applyBorder="1" applyAlignment="1">
      <alignment horizontal="center" vertical="center" wrapText="1"/>
    </xf>
    <xf numFmtId="0" fontId="31" fillId="0" borderId="6" xfId="0" quotePrefix="1" applyNumberFormat="1" applyFont="1" applyFill="1" applyBorder="1" applyAlignment="1">
      <alignment horizontal="center" vertical="center" wrapText="1"/>
    </xf>
    <xf numFmtId="0" fontId="31" fillId="0" borderId="3" xfId="0" quotePrefix="1" applyNumberFormat="1" applyFont="1" applyFill="1" applyBorder="1" applyAlignment="1">
      <alignment horizontal="center" vertical="center" wrapText="1"/>
    </xf>
    <xf numFmtId="0" fontId="21" fillId="0" borderId="2" xfId="4" applyNumberFormat="1" applyFont="1" applyFill="1" applyBorder="1" applyAlignment="1">
      <alignment horizontal="center" vertical="center" wrapText="1"/>
    </xf>
    <xf numFmtId="0" fontId="21" fillId="0" borderId="6" xfId="4" applyNumberFormat="1" applyFont="1" applyFill="1" applyBorder="1" applyAlignment="1">
      <alignment horizontal="center" vertical="center" wrapText="1"/>
    </xf>
    <xf numFmtId="0" fontId="21" fillId="0" borderId="3" xfId="4" applyNumberFormat="1" applyFont="1" applyFill="1" applyBorder="1" applyAlignment="1">
      <alignment horizontal="center" vertical="center" wrapText="1"/>
    </xf>
    <xf numFmtId="0" fontId="24" fillId="0" borderId="2" xfId="0" applyNumberFormat="1" applyFont="1" applyFill="1" applyBorder="1" applyAlignment="1">
      <alignment horizontal="center" vertical="center"/>
    </xf>
    <xf numFmtId="0" fontId="24" fillId="0" borderId="6" xfId="0" applyNumberFormat="1" applyFont="1" applyFill="1" applyBorder="1" applyAlignment="1">
      <alignment horizontal="center" vertical="center"/>
    </xf>
    <xf numFmtId="0" fontId="24" fillId="0" borderId="3" xfId="0" applyNumberFormat="1" applyFont="1" applyFill="1" applyBorder="1" applyAlignment="1">
      <alignment horizontal="center" vertical="center"/>
    </xf>
    <xf numFmtId="0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NumberFormat="1" applyFont="1" applyFill="1" applyBorder="1" applyAlignment="1">
      <alignment horizontal="center" vertical="center"/>
    </xf>
    <xf numFmtId="0" fontId="21" fillId="0" borderId="1" xfId="10" applyNumberFormat="1" applyFont="1" applyFill="1" applyBorder="1" applyAlignment="1">
      <alignment horizontal="center" vertical="center" wrapText="1"/>
    </xf>
    <xf numFmtId="0" fontId="25" fillId="0" borderId="4" xfId="0" applyNumberFormat="1" applyFont="1" applyFill="1" applyBorder="1" applyAlignment="1">
      <alignment horizontal="center" wrapText="1"/>
    </xf>
    <xf numFmtId="0" fontId="25" fillId="0" borderId="5" xfId="0" applyNumberFormat="1" applyFont="1" applyFill="1" applyBorder="1" applyAlignment="1">
      <alignment horizontal="center" wrapText="1"/>
    </xf>
    <xf numFmtId="0" fontId="10" fillId="0" borderId="0" xfId="0" applyNumberFormat="1" applyFont="1" applyFill="1" applyAlignment="1">
      <alignment horizontal="center" vertical="center" wrapText="1"/>
    </xf>
    <xf numFmtId="0" fontId="20" fillId="0" borderId="0" xfId="0" applyNumberFormat="1" applyFont="1" applyFill="1" applyAlignment="1">
      <alignment horizontal="center" vertical="center" wrapText="1"/>
    </xf>
    <xf numFmtId="0" fontId="20" fillId="0" borderId="1" xfId="0" applyNumberFormat="1" applyFont="1" applyFill="1" applyBorder="1" applyAlignment="1">
      <alignment horizontal="center" vertical="center" wrapText="1"/>
    </xf>
    <xf numFmtId="0" fontId="23" fillId="0" borderId="1" xfId="0" applyNumberFormat="1" applyFont="1" applyFill="1" applyBorder="1" applyAlignment="1">
      <alignment horizontal="center" vertical="center" wrapText="1"/>
    </xf>
    <xf numFmtId="0" fontId="20" fillId="0" borderId="2" xfId="0" applyNumberFormat="1" applyFont="1" applyFill="1" applyBorder="1" applyAlignment="1">
      <alignment horizontal="center" vertical="center" wrapText="1"/>
    </xf>
    <xf numFmtId="0" fontId="23" fillId="0" borderId="3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Border="1" applyAlignment="1">
      <alignment horizontal="right" vertical="center" wrapText="1"/>
    </xf>
    <xf numFmtId="0" fontId="21" fillId="0" borderId="0" xfId="0" applyNumberFormat="1" applyFont="1" applyFill="1" applyBorder="1" applyAlignment="1">
      <alignment horizontal="center" vertical="center" wrapText="1"/>
    </xf>
    <xf numFmtId="0" fontId="22" fillId="0" borderId="2" xfId="0" applyNumberFormat="1" applyFont="1" applyFill="1" applyBorder="1" applyAlignment="1">
      <alignment horizontal="center" vertical="center"/>
    </xf>
    <xf numFmtId="0" fontId="22" fillId="0" borderId="6" xfId="0" applyNumberFormat="1" applyFont="1" applyFill="1" applyBorder="1" applyAlignment="1">
      <alignment horizontal="center" vertical="center"/>
    </xf>
    <xf numFmtId="0" fontId="22" fillId="0" borderId="3" xfId="0" applyNumberFormat="1" applyFont="1" applyFill="1" applyBorder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24" fillId="0" borderId="2" xfId="0" applyNumberFormat="1" applyFont="1" applyFill="1" applyBorder="1" applyAlignment="1">
      <alignment horizontal="center" vertical="distributed" wrapText="1"/>
    </xf>
    <xf numFmtId="0" fontId="24" fillId="0" borderId="6" xfId="0" applyNumberFormat="1" applyFont="1" applyFill="1" applyBorder="1" applyAlignment="1">
      <alignment horizontal="center" vertical="distributed" wrapText="1"/>
    </xf>
    <xf numFmtId="0" fontId="24" fillId="0" borderId="3" xfId="0" applyNumberFormat="1" applyFont="1" applyFill="1" applyBorder="1" applyAlignment="1">
      <alignment horizontal="center" vertical="distributed" wrapText="1"/>
    </xf>
    <xf numFmtId="0" fontId="24" fillId="0" borderId="1" xfId="0" applyNumberFormat="1" applyFont="1" applyFill="1" applyBorder="1" applyAlignment="1">
      <alignment horizontal="center" vertical="center" wrapText="1"/>
    </xf>
    <xf numFmtId="0" fontId="24" fillId="0" borderId="1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left" wrapText="1"/>
    </xf>
    <xf numFmtId="0" fontId="25" fillId="0" borderId="7" xfId="0" applyNumberFormat="1" applyFont="1" applyFill="1" applyBorder="1" applyAlignment="1">
      <alignment horizontal="center" vertical="center" wrapText="1"/>
    </xf>
    <xf numFmtId="0" fontId="25" fillId="0" borderId="4" xfId="0" applyNumberFormat="1" applyFont="1" applyFill="1" applyBorder="1" applyAlignment="1">
      <alignment horizontal="center" vertical="center"/>
    </xf>
    <xf numFmtId="0" fontId="25" fillId="0" borderId="7" xfId="0" applyNumberFormat="1" applyFont="1" applyFill="1" applyBorder="1" applyAlignment="1">
      <alignment horizontal="center" vertical="center"/>
    </xf>
    <xf numFmtId="0" fontId="22" fillId="2" borderId="2" xfId="0" applyNumberFormat="1" applyFont="1" applyFill="1" applyBorder="1" applyAlignment="1">
      <alignment horizontal="center" vertical="center"/>
    </xf>
    <xf numFmtId="0" fontId="22" fillId="2" borderId="6" xfId="0" applyNumberFormat="1" applyFont="1" applyFill="1" applyBorder="1" applyAlignment="1">
      <alignment horizontal="center" vertical="center"/>
    </xf>
    <xf numFmtId="0" fontId="22" fillId="2" borderId="3" xfId="0" applyNumberFormat="1" applyFont="1" applyFill="1" applyBorder="1" applyAlignment="1">
      <alignment horizontal="center" vertical="center"/>
    </xf>
    <xf numFmtId="0" fontId="21" fillId="2" borderId="1" xfId="0" applyNumberFormat="1" applyFont="1" applyFill="1" applyBorder="1" applyAlignment="1">
      <alignment horizontal="center" vertical="center" wrapText="1"/>
    </xf>
    <xf numFmtId="0" fontId="25" fillId="2" borderId="4" xfId="0" applyNumberFormat="1" applyFont="1" applyFill="1" applyBorder="1" applyAlignment="1">
      <alignment horizontal="center" wrapText="1"/>
    </xf>
    <xf numFmtId="0" fontId="25" fillId="2" borderId="5" xfId="0" applyNumberFormat="1" applyFont="1" applyFill="1" applyBorder="1" applyAlignment="1">
      <alignment horizontal="center" wrapText="1"/>
    </xf>
    <xf numFmtId="0" fontId="27" fillId="2" borderId="2" xfId="0" applyNumberFormat="1" applyFont="1" applyFill="1" applyBorder="1" applyAlignment="1">
      <alignment horizontal="center" vertical="center" wrapText="1"/>
    </xf>
    <xf numFmtId="0" fontId="27" fillId="2" borderId="6" xfId="0" applyNumberFormat="1" applyFont="1" applyFill="1" applyBorder="1" applyAlignment="1">
      <alignment horizontal="center" vertical="center" wrapText="1"/>
    </xf>
    <xf numFmtId="0" fontId="27" fillId="2" borderId="3" xfId="0" applyNumberFormat="1" applyFont="1" applyFill="1" applyBorder="1" applyAlignment="1">
      <alignment horizontal="center" vertical="center" wrapText="1"/>
    </xf>
    <xf numFmtId="0" fontId="29" fillId="2" borderId="2" xfId="0" applyNumberFormat="1" applyFont="1" applyFill="1" applyBorder="1" applyAlignment="1">
      <alignment horizontal="center" vertical="center" wrapText="1"/>
    </xf>
    <xf numFmtId="0" fontId="29" fillId="2" borderId="6" xfId="0" applyNumberFormat="1" applyFont="1" applyFill="1" applyBorder="1" applyAlignment="1">
      <alignment horizontal="center" vertical="center" wrapText="1"/>
    </xf>
    <xf numFmtId="0" fontId="29" fillId="2" borderId="3" xfId="0" applyNumberFormat="1" applyFont="1" applyFill="1" applyBorder="1" applyAlignment="1">
      <alignment horizontal="center" vertical="center" wrapText="1"/>
    </xf>
    <xf numFmtId="0" fontId="24" fillId="2" borderId="1" xfId="0" applyNumberFormat="1" applyFont="1" applyFill="1" applyBorder="1" applyAlignment="1">
      <alignment horizontal="center" vertical="center" wrapText="1"/>
    </xf>
    <xf numFmtId="0" fontId="20" fillId="2" borderId="2" xfId="0" applyNumberFormat="1" applyFont="1" applyFill="1" applyBorder="1" applyAlignment="1">
      <alignment horizontal="center" vertical="center" wrapText="1"/>
    </xf>
    <xf numFmtId="0" fontId="20" fillId="2" borderId="6" xfId="0" applyNumberFormat="1" applyFont="1" applyFill="1" applyBorder="1" applyAlignment="1">
      <alignment horizontal="center" vertical="center" wrapText="1"/>
    </xf>
    <xf numFmtId="0" fontId="20" fillId="2" borderId="3" xfId="0" applyNumberFormat="1" applyFont="1" applyFill="1" applyBorder="1" applyAlignment="1">
      <alignment horizontal="center" vertical="center" wrapText="1"/>
    </xf>
    <xf numFmtId="0" fontId="25" fillId="2" borderId="2" xfId="0" applyNumberFormat="1" applyFont="1" applyFill="1" applyBorder="1" applyAlignment="1">
      <alignment horizontal="center" vertical="center" wrapText="1"/>
    </xf>
    <xf numFmtId="0" fontId="25" fillId="2" borderId="6" xfId="0" applyNumberFormat="1" applyFont="1" applyFill="1" applyBorder="1" applyAlignment="1">
      <alignment horizontal="center" vertical="center" wrapText="1"/>
    </xf>
    <xf numFmtId="0" fontId="22" fillId="2" borderId="1" xfId="0" applyNumberFormat="1" applyFont="1" applyFill="1" applyBorder="1" applyAlignment="1">
      <alignment horizontal="center" vertical="center"/>
    </xf>
    <xf numFmtId="0" fontId="21" fillId="2" borderId="2" xfId="0" applyNumberFormat="1" applyFont="1" applyFill="1" applyBorder="1" applyAlignment="1">
      <alignment horizontal="center" vertical="center" wrapText="1"/>
    </xf>
    <xf numFmtId="0" fontId="21" fillId="2" borderId="6" xfId="0" applyNumberFormat="1" applyFont="1" applyFill="1" applyBorder="1" applyAlignment="1">
      <alignment horizontal="center" vertical="center" wrapText="1"/>
    </xf>
    <xf numFmtId="0" fontId="21" fillId="2" borderId="3" xfId="0" applyNumberFormat="1" applyFont="1" applyFill="1" applyBorder="1" applyAlignment="1">
      <alignment horizontal="center" vertical="center" wrapText="1"/>
    </xf>
    <xf numFmtId="0" fontId="21" fillId="2" borderId="0" xfId="0" applyNumberFormat="1" applyFont="1" applyFill="1" applyBorder="1" applyAlignment="1">
      <alignment horizontal="right" vertical="center" wrapText="1"/>
    </xf>
    <xf numFmtId="0" fontId="22" fillId="2" borderId="1" xfId="0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center" vertical="center"/>
    </xf>
    <xf numFmtId="0" fontId="24" fillId="2" borderId="6" xfId="0" applyFont="1" applyFill="1" applyBorder="1" applyAlignment="1">
      <alignment horizontal="center" vertical="center"/>
    </xf>
    <xf numFmtId="0" fontId="24" fillId="2" borderId="3" xfId="0" applyFont="1" applyFill="1" applyBorder="1" applyAlignment="1">
      <alignment horizontal="center" vertical="center"/>
    </xf>
    <xf numFmtId="0" fontId="21" fillId="2" borderId="2" xfId="0" applyNumberFormat="1" applyFont="1" applyFill="1" applyBorder="1" applyAlignment="1">
      <alignment horizontal="center" vertical="center"/>
    </xf>
    <xf numFmtId="0" fontId="21" fillId="2" borderId="3" xfId="0" applyNumberFormat="1" applyFont="1" applyFill="1" applyBorder="1" applyAlignment="1">
      <alignment horizontal="center" vertical="center"/>
    </xf>
    <xf numFmtId="0" fontId="21" fillId="2" borderId="1" xfId="11" applyNumberFormat="1" applyFont="1" applyFill="1" applyBorder="1" applyAlignment="1">
      <alignment horizontal="center" vertical="center" wrapText="1"/>
    </xf>
    <xf numFmtId="0" fontId="22" fillId="2" borderId="1" xfId="0" applyNumberFormat="1" applyFont="1" applyFill="1" applyBorder="1" applyAlignment="1">
      <alignment horizontal="center" vertical="center" wrapText="1"/>
    </xf>
    <xf numFmtId="0" fontId="21" fillId="2" borderId="1" xfId="4" applyNumberFormat="1" applyFont="1" applyFill="1" applyBorder="1" applyAlignment="1">
      <alignment horizontal="center" vertical="center" wrapText="1"/>
    </xf>
    <xf numFmtId="0" fontId="25" fillId="2" borderId="4" xfId="0" applyNumberFormat="1" applyFont="1" applyFill="1" applyBorder="1" applyAlignment="1">
      <alignment horizontal="center" vertical="center" wrapText="1"/>
    </xf>
    <xf numFmtId="0" fontId="25" fillId="2" borderId="5" xfId="0" applyNumberFormat="1" applyFont="1" applyFill="1" applyBorder="1" applyAlignment="1">
      <alignment horizontal="center" vertical="center" wrapText="1"/>
    </xf>
    <xf numFmtId="0" fontId="25" fillId="2" borderId="4" xfId="0" applyNumberFormat="1" applyFont="1" applyFill="1" applyBorder="1" applyAlignment="1">
      <alignment horizontal="center" vertical="center"/>
    </xf>
    <xf numFmtId="0" fontId="25" fillId="2" borderId="7" xfId="0" applyNumberFormat="1" applyFont="1" applyFill="1" applyBorder="1" applyAlignment="1">
      <alignment horizontal="center" vertical="center"/>
    </xf>
    <xf numFmtId="0" fontId="20" fillId="2" borderId="0" xfId="0" applyNumberFormat="1" applyFont="1" applyFill="1" applyAlignment="1">
      <alignment horizontal="center" wrapText="1"/>
    </xf>
    <xf numFmtId="0" fontId="20" fillId="2" borderId="1" xfId="0" applyNumberFormat="1" applyFont="1" applyFill="1" applyBorder="1" applyAlignment="1">
      <alignment horizontal="center" vertical="center" wrapText="1"/>
    </xf>
    <xf numFmtId="0" fontId="23" fillId="2" borderId="1" xfId="0" applyNumberFormat="1" applyFont="1" applyFill="1" applyBorder="1" applyAlignment="1">
      <alignment horizontal="center" vertical="center" wrapText="1"/>
    </xf>
    <xf numFmtId="0" fontId="23" fillId="2" borderId="3" xfId="0" applyNumberFormat="1" applyFont="1" applyFill="1" applyBorder="1" applyAlignment="1">
      <alignment horizontal="center" vertical="center" wrapText="1"/>
    </xf>
    <xf numFmtId="0" fontId="21" fillId="2" borderId="0" xfId="0" applyNumberFormat="1" applyFont="1" applyFill="1" applyBorder="1" applyAlignment="1">
      <alignment horizontal="left" wrapText="1"/>
    </xf>
    <xf numFmtId="0" fontId="24" fillId="2" borderId="0" xfId="0" applyNumberFormat="1" applyFont="1" applyFill="1" applyAlignment="1">
      <alignment horizontal="center" vertical="center" wrapText="1"/>
    </xf>
    <xf numFmtId="0" fontId="27" fillId="0" borderId="2" xfId="0" applyNumberFormat="1" applyFont="1" applyFill="1" applyBorder="1" applyAlignment="1">
      <alignment horizontal="center" vertical="center" wrapText="1"/>
    </xf>
    <xf numFmtId="0" fontId="27" fillId="0" borderId="6" xfId="0" applyNumberFormat="1" applyFont="1" applyFill="1" applyBorder="1" applyAlignment="1">
      <alignment horizontal="center" vertical="center" wrapText="1"/>
    </xf>
    <xf numFmtId="0" fontId="27" fillId="0" borderId="3" xfId="0" applyNumberFormat="1" applyFont="1" applyFill="1" applyBorder="1" applyAlignment="1">
      <alignment horizontal="center" vertical="center" wrapText="1"/>
    </xf>
    <xf numFmtId="0" fontId="29" fillId="0" borderId="2" xfId="0" applyNumberFormat="1" applyFont="1" applyFill="1" applyBorder="1" applyAlignment="1">
      <alignment horizontal="center" vertical="center" wrapText="1"/>
    </xf>
    <xf numFmtId="0" fontId="29" fillId="0" borderId="6" xfId="0" applyNumberFormat="1" applyFont="1" applyFill="1" applyBorder="1" applyAlignment="1">
      <alignment horizontal="center" vertical="center" wrapText="1"/>
    </xf>
    <xf numFmtId="0" fontId="29" fillId="0" borderId="3" xfId="0" applyNumberFormat="1" applyFont="1" applyFill="1" applyBorder="1" applyAlignment="1">
      <alignment horizontal="center" vertical="center" wrapText="1"/>
    </xf>
    <xf numFmtId="0" fontId="21" fillId="0" borderId="1" xfId="11" applyNumberFormat="1" applyFont="1" applyFill="1" applyBorder="1" applyAlignment="1">
      <alignment horizontal="center" vertical="center" wrapText="1"/>
    </xf>
    <xf numFmtId="0" fontId="22" fillId="0" borderId="1" xfId="0" applyNumberFormat="1" applyFont="1" applyFill="1" applyBorder="1" applyAlignment="1">
      <alignment horizontal="center" vertical="center"/>
    </xf>
    <xf numFmtId="0" fontId="21" fillId="0" borderId="2" xfId="13" applyNumberFormat="1" applyFont="1" applyFill="1" applyBorder="1" applyAlignment="1">
      <alignment horizontal="center" vertical="center" wrapText="1"/>
    </xf>
    <xf numFmtId="0" fontId="21" fillId="0" borderId="6" xfId="13" applyNumberFormat="1" applyFont="1" applyFill="1" applyBorder="1" applyAlignment="1">
      <alignment horizontal="center" vertical="center" wrapText="1"/>
    </xf>
    <xf numFmtId="0" fontId="21" fillId="0" borderId="3" xfId="13" applyNumberFormat="1" applyFont="1" applyFill="1" applyBorder="1" applyAlignment="1">
      <alignment horizontal="center" vertical="center" wrapText="1"/>
    </xf>
    <xf numFmtId="0" fontId="21" fillId="0" borderId="2" xfId="10" applyNumberFormat="1" applyFont="1" applyFill="1" applyBorder="1" applyAlignment="1">
      <alignment horizontal="center" vertical="center" wrapText="1"/>
    </xf>
    <xf numFmtId="0" fontId="21" fillId="0" borderId="6" xfId="10" applyNumberFormat="1" applyFont="1" applyFill="1" applyBorder="1" applyAlignment="1">
      <alignment horizontal="center" vertical="center" wrapText="1"/>
    </xf>
    <xf numFmtId="0" fontId="21" fillId="0" borderId="3" xfId="10" applyNumberFormat="1" applyFont="1" applyFill="1" applyBorder="1" applyAlignment="1">
      <alignment horizontal="center" vertical="center" wrapText="1"/>
    </xf>
    <xf numFmtId="0" fontId="21" fillId="0" borderId="2" xfId="0" applyNumberFormat="1" applyFont="1" applyFill="1" applyBorder="1" applyAlignment="1">
      <alignment horizontal="center" vertical="center"/>
    </xf>
    <xf numFmtId="0" fontId="21" fillId="0" borderId="3" xfId="0" applyNumberFormat="1" applyFont="1" applyFill="1" applyBorder="1" applyAlignment="1">
      <alignment horizontal="center" vertical="center"/>
    </xf>
    <xf numFmtId="0" fontId="25" fillId="0" borderId="5" xfId="0" applyNumberFormat="1" applyFont="1" applyFill="1" applyBorder="1" applyAlignment="1">
      <alignment horizontal="center" vertical="center"/>
    </xf>
    <xf numFmtId="0" fontId="21" fillId="3" borderId="2" xfId="0" applyNumberFormat="1" applyFont="1" applyFill="1" applyBorder="1" applyAlignment="1">
      <alignment horizontal="center" vertical="center" wrapText="1"/>
    </xf>
    <xf numFmtId="0" fontId="21" fillId="3" borderId="6" xfId="0" applyNumberFormat="1" applyFont="1" applyFill="1" applyBorder="1" applyAlignment="1">
      <alignment horizontal="center" vertical="center" wrapText="1"/>
    </xf>
    <xf numFmtId="0" fontId="32" fillId="0" borderId="1" xfId="0" applyNumberFormat="1" applyFont="1" applyFill="1" applyBorder="1" applyAlignment="1">
      <alignment horizontal="center" vertical="center" wrapText="1"/>
    </xf>
    <xf numFmtId="0" fontId="21" fillId="0" borderId="1" xfId="13" applyNumberFormat="1" applyFont="1" applyFill="1" applyBorder="1" applyAlignment="1">
      <alignment horizontal="center" vertical="center" wrapText="1"/>
    </xf>
    <xf numFmtId="0" fontId="21" fillId="0" borderId="6" xfId="0" applyNumberFormat="1" applyFont="1" applyFill="1" applyBorder="1" applyAlignment="1">
      <alignment horizontal="center" vertical="center"/>
    </xf>
    <xf numFmtId="0" fontId="25" fillId="0" borderId="2" xfId="0" applyNumberFormat="1" applyFont="1" applyFill="1" applyBorder="1" applyAlignment="1">
      <alignment horizontal="center" vertical="center" wrapText="1"/>
    </xf>
    <xf numFmtId="0" fontId="25" fillId="0" borderId="3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>
      <alignment horizontal="center" wrapText="1"/>
    </xf>
    <xf numFmtId="0" fontId="2" fillId="0" borderId="0" xfId="0" applyNumberFormat="1" applyFont="1" applyFill="1" applyBorder="1" applyAlignment="1">
      <alignment horizont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</cellXfs>
  <cellStyles count="17">
    <cellStyle name="Comma" xfId="1" builtinId="3"/>
    <cellStyle name="Comma 12 2" xfId="9"/>
    <cellStyle name="Normal" xfId="0" builtinId="0"/>
    <cellStyle name="Normal 11 2" xfId="4"/>
    <cellStyle name="Normal 13 3 3" xfId="5"/>
    <cellStyle name="Normal 13 5 3 3" xfId="12"/>
    <cellStyle name="Normal 2" xfId="14"/>
    <cellStyle name="Normal 2 11" xfId="15"/>
    <cellStyle name="Normal 2 3" xfId="6"/>
    <cellStyle name="Normal 3" xfId="3"/>
    <cellStyle name="Normal_axalqalaqis skola  2" xfId="11"/>
    <cellStyle name="Normal_gare wyalsadfenigagarini 10" xfId="2"/>
    <cellStyle name="Normal_gare wyalsadfenigagarini_SUSTI DENEBI_axalqalaqis skola " xfId="8"/>
    <cellStyle name="Normal_qavtarazis mravalfunqciuri kompleqsis xarjTaRricxva" xfId="13"/>
    <cellStyle name="Normal_SUSTI DENEBI" xfId="7"/>
    <cellStyle name="Percent" xfId="16" builtinId="5"/>
    <cellStyle name="Обычный 2" xfId="10"/>
  </cellStyles>
  <dxfs count="3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mruColors>
      <color rgb="FFD60093"/>
      <color rgb="FF0F253F"/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view="pageBreakPreview" topLeftCell="B4" zoomScale="140" zoomScaleNormal="140" zoomScaleSheetLayoutView="140" workbookViewId="0">
      <selection activeCell="F14" sqref="F14"/>
    </sheetView>
  </sheetViews>
  <sheetFormatPr defaultColWidth="8.85546875" defaultRowHeight="15.75"/>
  <cols>
    <col min="1" max="1" width="2.140625" style="8" hidden="1" customWidth="1"/>
    <col min="2" max="2" width="5.140625" style="16" customWidth="1"/>
    <col min="3" max="3" width="15" style="16" customWidth="1"/>
    <col min="4" max="4" width="42.140625" style="16" customWidth="1"/>
    <col min="5" max="5" width="13.42578125" style="16" customWidth="1"/>
    <col min="6" max="6" width="13" style="16" customWidth="1"/>
    <col min="7" max="7" width="13.42578125" style="16" customWidth="1"/>
    <col min="8" max="8" width="12.140625" style="16" customWidth="1"/>
    <col min="9" max="9" width="11.140625" style="8" bestFit="1" customWidth="1"/>
    <col min="10" max="10" width="14" style="8" bestFit="1" customWidth="1"/>
    <col min="11" max="16384" width="8.85546875" style="8"/>
  </cols>
  <sheetData>
    <row r="1" spans="2:14">
      <c r="B1" s="343" t="s">
        <v>278</v>
      </c>
      <c r="C1" s="343"/>
      <c r="D1" s="343"/>
      <c r="E1" s="343"/>
      <c r="F1" s="343"/>
      <c r="G1" s="343"/>
      <c r="H1" s="343"/>
    </row>
    <row r="2" spans="2:14" ht="15.75" customHeight="1">
      <c r="B2" s="345" t="s">
        <v>620</v>
      </c>
      <c r="C2" s="345"/>
      <c r="D2" s="345"/>
      <c r="E2" s="345"/>
      <c r="F2" s="345"/>
      <c r="G2" s="345"/>
      <c r="H2" s="345"/>
      <c r="I2" s="26"/>
      <c r="J2" s="26"/>
      <c r="K2" s="26"/>
      <c r="L2" s="26"/>
      <c r="M2" s="26"/>
      <c r="N2" s="26"/>
    </row>
    <row r="3" spans="2:14" ht="27.75" customHeight="1">
      <c r="B3" s="346" t="s">
        <v>279</v>
      </c>
      <c r="C3" s="346" t="s">
        <v>280</v>
      </c>
      <c r="D3" s="346" t="s">
        <v>281</v>
      </c>
      <c r="E3" s="346" t="s">
        <v>282</v>
      </c>
      <c r="F3" s="346"/>
      <c r="G3" s="346"/>
      <c r="H3" s="346"/>
    </row>
    <row r="4" spans="2:14" ht="36" customHeight="1">
      <c r="B4" s="346"/>
      <c r="C4" s="346"/>
      <c r="D4" s="346"/>
      <c r="E4" s="18" t="s">
        <v>276</v>
      </c>
      <c r="F4" s="18" t="s">
        <v>283</v>
      </c>
      <c r="G4" s="18" t="s">
        <v>284</v>
      </c>
      <c r="H4" s="18" t="s">
        <v>555</v>
      </c>
    </row>
    <row r="5" spans="2:14">
      <c r="B5" s="18">
        <v>1</v>
      </c>
      <c r="C5" s="18">
        <v>2</v>
      </c>
      <c r="D5" s="18">
        <v>3</v>
      </c>
      <c r="E5" s="18">
        <v>4</v>
      </c>
      <c r="F5" s="18">
        <v>5</v>
      </c>
      <c r="G5" s="18">
        <v>6</v>
      </c>
      <c r="H5" s="18">
        <v>7</v>
      </c>
    </row>
    <row r="6" spans="2:14" ht="26.25" customHeight="1">
      <c r="B6" s="18">
        <v>1</v>
      </c>
      <c r="C6" s="18" t="s">
        <v>285</v>
      </c>
      <c r="D6" s="18" t="s">
        <v>286</v>
      </c>
      <c r="E6" s="1"/>
      <c r="F6" s="1"/>
      <c r="G6" s="1"/>
      <c r="H6" s="1"/>
    </row>
    <row r="7" spans="2:14" ht="24.75" customHeight="1">
      <c r="B7" s="18">
        <v>2</v>
      </c>
      <c r="C7" s="18" t="s">
        <v>287</v>
      </c>
      <c r="D7" s="18" t="s">
        <v>288</v>
      </c>
      <c r="E7" s="1"/>
      <c r="F7" s="1"/>
      <c r="G7" s="1"/>
      <c r="H7" s="1"/>
    </row>
    <row r="8" spans="2:14" ht="32.25" customHeight="1">
      <c r="B8" s="18">
        <v>3</v>
      </c>
      <c r="C8" s="18" t="s">
        <v>289</v>
      </c>
      <c r="D8" s="18" t="s">
        <v>468</v>
      </c>
      <c r="E8" s="1"/>
      <c r="F8" s="1"/>
      <c r="G8" s="1"/>
      <c r="H8" s="1"/>
    </row>
    <row r="9" spans="2:14" ht="42.75" customHeight="1">
      <c r="B9" s="18">
        <v>4</v>
      </c>
      <c r="C9" s="18" t="s">
        <v>291</v>
      </c>
      <c r="D9" s="18" t="s">
        <v>290</v>
      </c>
      <c r="E9" s="1"/>
      <c r="F9" s="1"/>
      <c r="G9" s="1"/>
      <c r="H9" s="1"/>
    </row>
    <row r="10" spans="2:14" ht="36.75" customHeight="1">
      <c r="B10" s="18">
        <v>5</v>
      </c>
      <c r="C10" s="18" t="s">
        <v>292</v>
      </c>
      <c r="D10" s="18" t="s">
        <v>293</v>
      </c>
      <c r="E10" s="1"/>
      <c r="F10" s="1"/>
      <c r="G10" s="1"/>
      <c r="H10" s="1"/>
    </row>
    <row r="11" spans="2:14" ht="21.75" customHeight="1">
      <c r="B11" s="18"/>
      <c r="C11" s="18"/>
      <c r="D11" s="22" t="s">
        <v>6</v>
      </c>
      <c r="E11" s="27"/>
      <c r="F11" s="1"/>
      <c r="G11" s="1"/>
      <c r="H11" s="27"/>
    </row>
    <row r="12" spans="2:14" ht="21" customHeight="1">
      <c r="B12" s="18"/>
      <c r="C12" s="18"/>
      <c r="D12" s="18" t="s">
        <v>294</v>
      </c>
      <c r="E12" s="28"/>
      <c r="F12" s="1"/>
      <c r="G12" s="1"/>
      <c r="H12" s="1"/>
    </row>
    <row r="13" spans="2:14">
      <c r="B13" s="18"/>
      <c r="C13" s="18"/>
      <c r="D13" s="18"/>
      <c r="E13" s="1"/>
      <c r="F13" s="1"/>
      <c r="G13" s="1"/>
      <c r="H13" s="27"/>
    </row>
    <row r="14" spans="2:14">
      <c r="B14" s="18"/>
      <c r="C14" s="18"/>
      <c r="D14" s="18" t="s">
        <v>295</v>
      </c>
      <c r="E14" s="28"/>
      <c r="F14" s="1"/>
      <c r="G14" s="1"/>
      <c r="H14" s="1"/>
    </row>
    <row r="15" spans="2:14">
      <c r="B15" s="18"/>
      <c r="C15" s="18"/>
      <c r="D15" s="22" t="s">
        <v>296</v>
      </c>
      <c r="E15" s="27"/>
      <c r="F15" s="1"/>
      <c r="G15" s="1"/>
      <c r="H15" s="27"/>
    </row>
    <row r="16" spans="2:14" ht="18" customHeight="1">
      <c r="I16" s="13"/>
    </row>
    <row r="17" spans="2:9">
      <c r="D17" s="17"/>
      <c r="E17" s="12"/>
      <c r="F17" s="344"/>
      <c r="G17" s="344"/>
      <c r="I17" s="13"/>
    </row>
    <row r="18" spans="2:9">
      <c r="B18" s="11"/>
      <c r="C18" s="11"/>
      <c r="E18" s="11"/>
      <c r="F18" s="11"/>
      <c r="G18" s="11"/>
      <c r="H18" s="11"/>
    </row>
    <row r="19" spans="2:9" ht="19.899999999999999" customHeight="1">
      <c r="B19" s="11"/>
      <c r="C19" s="11"/>
      <c r="D19" s="343"/>
      <c r="E19" s="343"/>
      <c r="F19" s="343"/>
      <c r="G19" s="343"/>
      <c r="H19" s="11"/>
    </row>
    <row r="20" spans="2:9" ht="8.4499999999999993" customHeight="1"/>
  </sheetData>
  <mergeCells count="8">
    <mergeCell ref="D19:G19"/>
    <mergeCell ref="F17:G17"/>
    <mergeCell ref="B1:H1"/>
    <mergeCell ref="B2:H2"/>
    <mergeCell ref="B3:B4"/>
    <mergeCell ref="C3:C4"/>
    <mergeCell ref="D3:D4"/>
    <mergeCell ref="E3:H3"/>
  </mergeCells>
  <pageMargins left="0.70866141732283472" right="0.70866141732283472" top="0.2" bottom="0.2" header="0.2" footer="0.2"/>
  <pageSetup paperSize="9" orientation="landscape" r:id="rId1"/>
  <headerFooter>
    <oddHeader>&amp;R&amp;P-&amp;N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Q429"/>
  <sheetViews>
    <sheetView view="pageBreakPreview" topLeftCell="A406" zoomScale="140" zoomScaleNormal="120" zoomScaleSheetLayoutView="140" workbookViewId="0">
      <selection activeCell="H30" sqref="H30"/>
    </sheetView>
  </sheetViews>
  <sheetFormatPr defaultColWidth="8.85546875" defaultRowHeight="15"/>
  <cols>
    <col min="1" max="1" width="0.140625" style="2" customWidth="1"/>
    <col min="2" max="2" width="2.85546875" style="107" customWidth="1"/>
    <col min="3" max="3" width="6.7109375" style="108" customWidth="1"/>
    <col min="4" max="4" width="43" style="109" customWidth="1"/>
    <col min="5" max="5" width="6.28515625" style="108" customWidth="1"/>
    <col min="6" max="6" width="7.42578125" style="108" customWidth="1"/>
    <col min="7" max="7" width="8.5703125" style="108" customWidth="1"/>
    <col min="8" max="8" width="6" style="108" customWidth="1"/>
    <col min="9" max="9" width="9.28515625" style="108" customWidth="1"/>
    <col min="10" max="10" width="6.42578125" style="108" customWidth="1"/>
    <col min="11" max="11" width="8.85546875" style="108" customWidth="1"/>
    <col min="12" max="12" width="6.28515625" style="108" customWidth="1"/>
    <col min="13" max="14" width="9.7109375" style="108" customWidth="1"/>
    <col min="15" max="23" width="8.85546875" style="4" hidden="1" customWidth="1"/>
    <col min="24" max="69" width="8.85546875" style="4"/>
    <col min="70" max="16384" width="8.85546875" style="2"/>
  </cols>
  <sheetData>
    <row r="1" spans="2:69" s="31" customFormat="1" ht="15.75">
      <c r="B1" s="370" t="s">
        <v>620</v>
      </c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</row>
    <row r="2" spans="2:69" s="31" customFormat="1" ht="15.75">
      <c r="B2" s="371" t="s">
        <v>299</v>
      </c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</row>
    <row r="3" spans="2:69" s="31" customFormat="1" ht="15.75">
      <c r="B3" s="371" t="s">
        <v>286</v>
      </c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</row>
    <row r="4" spans="2:69" s="31" customFormat="1" ht="15.75">
      <c r="B4" s="377"/>
      <c r="C4" s="377"/>
      <c r="D4" s="377"/>
      <c r="E4" s="377"/>
      <c r="F4" s="377"/>
      <c r="G4" s="32"/>
      <c r="H4" s="376" t="s">
        <v>122</v>
      </c>
      <c r="I4" s="376"/>
      <c r="J4" s="376"/>
      <c r="K4" s="376"/>
      <c r="L4" s="376"/>
      <c r="M4" s="33">
        <f>N426</f>
        <v>0</v>
      </c>
      <c r="N4" s="329" t="s">
        <v>22</v>
      </c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</row>
    <row r="5" spans="2:69" ht="27.75" customHeight="1">
      <c r="B5" s="372" t="s">
        <v>0</v>
      </c>
      <c r="C5" s="372" t="s">
        <v>1</v>
      </c>
      <c r="D5" s="374" t="s">
        <v>16</v>
      </c>
      <c r="E5" s="372" t="s">
        <v>2</v>
      </c>
      <c r="F5" s="372" t="s">
        <v>519</v>
      </c>
      <c r="G5" s="372"/>
      <c r="H5" s="372" t="s">
        <v>3</v>
      </c>
      <c r="I5" s="372"/>
      <c r="J5" s="372" t="s">
        <v>7</v>
      </c>
      <c r="K5" s="372"/>
      <c r="L5" s="372" t="s">
        <v>18</v>
      </c>
      <c r="M5" s="372"/>
      <c r="N5" s="372" t="s">
        <v>6</v>
      </c>
    </row>
    <row r="6" spans="2:69" ht="25.5">
      <c r="B6" s="373"/>
      <c r="C6" s="373"/>
      <c r="D6" s="375"/>
      <c r="E6" s="373"/>
      <c r="F6" s="330" t="s">
        <v>5</v>
      </c>
      <c r="G6" s="330" t="s">
        <v>4</v>
      </c>
      <c r="H6" s="330" t="s">
        <v>15</v>
      </c>
      <c r="I6" s="330" t="s">
        <v>6</v>
      </c>
      <c r="J6" s="330" t="s">
        <v>15</v>
      </c>
      <c r="K6" s="330" t="s">
        <v>6</v>
      </c>
      <c r="L6" s="330" t="s">
        <v>15</v>
      </c>
      <c r="M6" s="330" t="s">
        <v>6</v>
      </c>
      <c r="N6" s="373"/>
    </row>
    <row r="7" spans="2:69">
      <c r="B7" s="319">
        <v>1</v>
      </c>
      <c r="C7" s="319">
        <v>2</v>
      </c>
      <c r="D7" s="319">
        <v>3</v>
      </c>
      <c r="E7" s="319">
        <v>4</v>
      </c>
      <c r="F7" s="319">
        <v>5</v>
      </c>
      <c r="G7" s="319">
        <v>6</v>
      </c>
      <c r="H7" s="319">
        <v>7</v>
      </c>
      <c r="I7" s="319">
        <v>8</v>
      </c>
      <c r="J7" s="319">
        <v>9</v>
      </c>
      <c r="K7" s="319">
        <v>10</v>
      </c>
      <c r="L7" s="319">
        <v>11</v>
      </c>
      <c r="M7" s="319">
        <v>12</v>
      </c>
      <c r="N7" s="319">
        <v>13</v>
      </c>
    </row>
    <row r="8" spans="2:69">
      <c r="B8" s="313"/>
      <c r="C8" s="319"/>
      <c r="D8" s="34" t="s">
        <v>498</v>
      </c>
      <c r="E8" s="319"/>
      <c r="F8" s="319"/>
      <c r="G8" s="319"/>
      <c r="H8" s="319"/>
      <c r="I8" s="322">
        <f t="shared" ref="I8" si="0">H8*G8</f>
        <v>0</v>
      </c>
      <c r="J8" s="319"/>
      <c r="K8" s="319">
        <f t="shared" ref="K8" si="1">J8*G8</f>
        <v>0</v>
      </c>
      <c r="L8" s="319"/>
      <c r="M8" s="319">
        <f t="shared" ref="M8" si="2">L8*G8</f>
        <v>0</v>
      </c>
      <c r="N8" s="319">
        <f t="shared" ref="N8" si="3">M8+K8+I8</f>
        <v>0</v>
      </c>
    </row>
    <row r="9" spans="2:69" ht="25.5">
      <c r="B9" s="378">
        <v>1</v>
      </c>
      <c r="C9" s="365" t="s">
        <v>540</v>
      </c>
      <c r="D9" s="34" t="s">
        <v>541</v>
      </c>
      <c r="E9" s="330" t="s">
        <v>544</v>
      </c>
      <c r="F9" s="330"/>
      <c r="G9" s="330">
        <f>3841*0.4</f>
        <v>1536.4</v>
      </c>
      <c r="H9" s="330"/>
      <c r="I9" s="322"/>
      <c r="J9" s="330"/>
      <c r="K9" s="322"/>
      <c r="L9" s="330"/>
      <c r="M9" s="322"/>
      <c r="N9" s="322"/>
    </row>
    <row r="10" spans="2:69">
      <c r="B10" s="379"/>
      <c r="C10" s="365"/>
      <c r="D10" s="35" t="s">
        <v>8</v>
      </c>
      <c r="E10" s="319" t="s">
        <v>10</v>
      </c>
      <c r="F10" s="319">
        <v>2.7499999999999998E-3</v>
      </c>
      <c r="G10" s="37">
        <f>F10*G9</f>
        <v>4.2251000000000003</v>
      </c>
      <c r="H10" s="319"/>
      <c r="I10" s="322"/>
      <c r="J10" s="319"/>
      <c r="K10" s="36"/>
      <c r="L10" s="37"/>
      <c r="M10" s="36"/>
      <c r="N10" s="36"/>
    </row>
    <row r="11" spans="2:69">
      <c r="B11" s="379"/>
      <c r="C11" s="365"/>
      <c r="D11" s="38" t="s">
        <v>542</v>
      </c>
      <c r="E11" s="319" t="s">
        <v>14</v>
      </c>
      <c r="F11" s="319">
        <f>0.01+2*0.0066</f>
        <v>2.3199999999999998E-2</v>
      </c>
      <c r="G11" s="37">
        <f>F11*G9</f>
        <v>35.644480000000001</v>
      </c>
      <c r="H11" s="319"/>
      <c r="I11" s="322"/>
      <c r="J11" s="319"/>
      <c r="K11" s="36"/>
      <c r="L11" s="37"/>
      <c r="M11" s="36"/>
      <c r="N11" s="36"/>
    </row>
    <row r="12" spans="2:69">
      <c r="B12" s="380"/>
      <c r="C12" s="365"/>
      <c r="D12" s="38" t="s">
        <v>17</v>
      </c>
      <c r="E12" s="39" t="s">
        <v>11</v>
      </c>
      <c r="F12" s="319">
        <v>4.28E-3</v>
      </c>
      <c r="G12" s="37">
        <f>F12*G9</f>
        <v>6.5757920000000007</v>
      </c>
      <c r="H12" s="319"/>
      <c r="I12" s="322"/>
      <c r="J12" s="319"/>
      <c r="K12" s="36"/>
      <c r="L12" s="37"/>
      <c r="M12" s="36"/>
      <c r="N12" s="36"/>
    </row>
    <row r="13" spans="2:69" ht="25.5">
      <c r="B13" s="353">
        <v>3</v>
      </c>
      <c r="C13" s="353" t="s">
        <v>46</v>
      </c>
      <c r="D13" s="34" t="s">
        <v>134</v>
      </c>
      <c r="E13" s="330" t="s">
        <v>12</v>
      </c>
      <c r="F13" s="319"/>
      <c r="G13" s="330">
        <v>1370</v>
      </c>
      <c r="H13" s="319"/>
      <c r="I13" s="322"/>
      <c r="J13" s="319"/>
      <c r="K13" s="37"/>
      <c r="L13" s="37"/>
      <c r="M13" s="37"/>
      <c r="N13" s="37"/>
    </row>
    <row r="14" spans="2:69">
      <c r="B14" s="354"/>
      <c r="C14" s="354"/>
      <c r="D14" s="38" t="s">
        <v>8</v>
      </c>
      <c r="E14" s="319" t="s">
        <v>10</v>
      </c>
      <c r="F14" s="319">
        <f>13.2/1000</f>
        <v>1.32E-2</v>
      </c>
      <c r="G14" s="319">
        <f>G13*F14</f>
        <v>18.084</v>
      </c>
      <c r="H14" s="319"/>
      <c r="I14" s="322"/>
      <c r="J14" s="319"/>
      <c r="K14" s="37"/>
      <c r="L14" s="37"/>
      <c r="M14" s="37"/>
      <c r="N14" s="37"/>
    </row>
    <row r="15" spans="2:69">
      <c r="B15" s="354"/>
      <c r="C15" s="354"/>
      <c r="D15" s="40" t="s">
        <v>44</v>
      </c>
      <c r="E15" s="319" t="s">
        <v>14</v>
      </c>
      <c r="F15" s="319">
        <f>29.5/1000</f>
        <v>2.9499999999999998E-2</v>
      </c>
      <c r="G15" s="319">
        <f>F15*G13</f>
        <v>40.414999999999999</v>
      </c>
      <c r="H15" s="319"/>
      <c r="I15" s="322"/>
      <c r="J15" s="319"/>
      <c r="K15" s="37"/>
      <c r="L15" s="37"/>
      <c r="M15" s="37"/>
      <c r="N15" s="37"/>
    </row>
    <row r="16" spans="2:69">
      <c r="B16" s="355"/>
      <c r="C16" s="355"/>
      <c r="D16" s="40" t="s">
        <v>17</v>
      </c>
      <c r="E16" s="319" t="s">
        <v>11</v>
      </c>
      <c r="F16" s="319">
        <f>2.1/1000</f>
        <v>2.1000000000000003E-3</v>
      </c>
      <c r="G16" s="319">
        <f>F16*G13</f>
        <v>2.8770000000000002</v>
      </c>
      <c r="H16" s="319"/>
      <c r="I16" s="322"/>
      <c r="J16" s="319"/>
      <c r="K16" s="37"/>
      <c r="L16" s="37"/>
      <c r="M16" s="37"/>
      <c r="N16" s="37"/>
    </row>
    <row r="17" spans="2:69" s="3" customFormat="1">
      <c r="B17" s="353">
        <v>4</v>
      </c>
      <c r="C17" s="353" t="s">
        <v>62</v>
      </c>
      <c r="D17" s="41" t="s">
        <v>63</v>
      </c>
      <c r="E17" s="330" t="s">
        <v>12</v>
      </c>
      <c r="F17" s="330"/>
      <c r="G17" s="330">
        <f>G13*10%</f>
        <v>137</v>
      </c>
      <c r="H17" s="330"/>
      <c r="I17" s="322"/>
      <c r="J17" s="330"/>
      <c r="K17" s="37"/>
      <c r="L17" s="42"/>
      <c r="M17" s="37"/>
      <c r="N17" s="37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2:69">
      <c r="B18" s="355"/>
      <c r="C18" s="355"/>
      <c r="D18" s="38" t="s">
        <v>8</v>
      </c>
      <c r="E18" s="319" t="s">
        <v>10</v>
      </c>
      <c r="F18" s="319">
        <v>2.06</v>
      </c>
      <c r="G18" s="319">
        <f>F18*G17</f>
        <v>282.22000000000003</v>
      </c>
      <c r="H18" s="319"/>
      <c r="I18" s="322"/>
      <c r="J18" s="319"/>
      <c r="K18" s="37"/>
      <c r="L18" s="37"/>
      <c r="M18" s="37"/>
      <c r="N18" s="37"/>
    </row>
    <row r="19" spans="2:69" ht="25.5">
      <c r="B19" s="353">
        <v>5</v>
      </c>
      <c r="C19" s="347" t="s">
        <v>36</v>
      </c>
      <c r="D19" s="43" t="s">
        <v>133</v>
      </c>
      <c r="E19" s="332" t="s">
        <v>12</v>
      </c>
      <c r="F19" s="332"/>
      <c r="G19" s="332">
        <v>28</v>
      </c>
      <c r="H19" s="332"/>
      <c r="I19" s="322"/>
      <c r="J19" s="332"/>
      <c r="K19" s="37"/>
      <c r="L19" s="44"/>
      <c r="M19" s="37"/>
      <c r="N19" s="37"/>
    </row>
    <row r="20" spans="2:69">
      <c r="B20" s="354"/>
      <c r="C20" s="348"/>
      <c r="D20" s="46" t="s">
        <v>28</v>
      </c>
      <c r="E20" s="322" t="s">
        <v>10</v>
      </c>
      <c r="F20" s="322">
        <v>3.16</v>
      </c>
      <c r="G20" s="322">
        <f>F20*G19</f>
        <v>88.48</v>
      </c>
      <c r="H20" s="322"/>
      <c r="I20" s="322"/>
      <c r="J20" s="322"/>
      <c r="K20" s="37"/>
      <c r="L20" s="36"/>
      <c r="M20" s="37"/>
      <c r="N20" s="37"/>
    </row>
    <row r="21" spans="2:69">
      <c r="B21" s="354"/>
      <c r="C21" s="348"/>
      <c r="D21" s="46" t="s">
        <v>24</v>
      </c>
      <c r="E21" s="322" t="s">
        <v>12</v>
      </c>
      <c r="F21" s="322">
        <v>1.25</v>
      </c>
      <c r="G21" s="322">
        <f>F21*G19</f>
        <v>35</v>
      </c>
      <c r="H21" s="322"/>
      <c r="I21" s="322"/>
      <c r="J21" s="322"/>
      <c r="K21" s="37"/>
      <c r="L21" s="36"/>
      <c r="M21" s="37"/>
      <c r="N21" s="37"/>
    </row>
    <row r="22" spans="2:69">
      <c r="B22" s="355"/>
      <c r="C22" s="349"/>
      <c r="D22" s="46" t="s">
        <v>13</v>
      </c>
      <c r="E22" s="322" t="s">
        <v>11</v>
      </c>
      <c r="F22" s="322">
        <v>0.01</v>
      </c>
      <c r="G22" s="322">
        <f>F22*G19</f>
        <v>0.28000000000000003</v>
      </c>
      <c r="H22" s="322"/>
      <c r="I22" s="322"/>
      <c r="J22" s="322"/>
      <c r="K22" s="37"/>
      <c r="L22" s="36"/>
      <c r="M22" s="37"/>
      <c r="N22" s="37"/>
    </row>
    <row r="23" spans="2:69" ht="38.25">
      <c r="B23" s="353">
        <v>6</v>
      </c>
      <c r="C23" s="353" t="s">
        <v>520</v>
      </c>
      <c r="D23" s="34" t="s">
        <v>224</v>
      </c>
      <c r="E23" s="330" t="s">
        <v>12</v>
      </c>
      <c r="F23" s="319"/>
      <c r="G23" s="330">
        <f>G13+G17-G19-G40-G47</f>
        <v>1408.88</v>
      </c>
      <c r="H23" s="319"/>
      <c r="I23" s="322"/>
      <c r="J23" s="319"/>
      <c r="K23" s="37"/>
      <c r="L23" s="37"/>
      <c r="M23" s="37"/>
      <c r="N23" s="37"/>
    </row>
    <row r="24" spans="2:69">
      <c r="B24" s="354"/>
      <c r="C24" s="354"/>
      <c r="D24" s="38" t="s">
        <v>28</v>
      </c>
      <c r="E24" s="319" t="s">
        <v>10</v>
      </c>
      <c r="F24" s="319">
        <v>0.13400000000000001</v>
      </c>
      <c r="G24" s="319">
        <f>G23*F24</f>
        <v>188.78992000000002</v>
      </c>
      <c r="H24" s="319"/>
      <c r="I24" s="322"/>
      <c r="J24" s="319"/>
      <c r="K24" s="37"/>
      <c r="L24" s="37"/>
      <c r="M24" s="37"/>
      <c r="N24" s="37"/>
    </row>
    <row r="25" spans="2:69">
      <c r="B25" s="354"/>
      <c r="C25" s="354"/>
      <c r="D25" s="46" t="s">
        <v>65</v>
      </c>
      <c r="E25" s="322" t="s">
        <v>14</v>
      </c>
      <c r="F25" s="319">
        <v>0.13</v>
      </c>
      <c r="G25" s="322">
        <f>F25*G23</f>
        <v>183.15440000000001</v>
      </c>
      <c r="H25" s="322"/>
      <c r="I25" s="322"/>
      <c r="J25" s="322"/>
      <c r="K25" s="37"/>
      <c r="L25" s="37"/>
      <c r="M25" s="37"/>
      <c r="N25" s="37"/>
    </row>
    <row r="26" spans="2:69">
      <c r="B26" s="355"/>
      <c r="C26" s="355"/>
      <c r="D26" s="40" t="s">
        <v>44</v>
      </c>
      <c r="E26" s="319" t="s">
        <v>14</v>
      </c>
      <c r="F26" s="319">
        <v>5.13E-3</v>
      </c>
      <c r="G26" s="319">
        <f>F26*G23</f>
        <v>7.2275544000000007</v>
      </c>
      <c r="H26" s="319"/>
      <c r="I26" s="322"/>
      <c r="J26" s="319"/>
      <c r="K26" s="37"/>
      <c r="L26" s="37"/>
      <c r="M26" s="37"/>
      <c r="N26" s="37"/>
    </row>
    <row r="27" spans="2:69" ht="25.5">
      <c r="B27" s="353">
        <v>7</v>
      </c>
      <c r="C27" s="347" t="s">
        <v>36</v>
      </c>
      <c r="D27" s="43" t="s">
        <v>135</v>
      </c>
      <c r="E27" s="332" t="s">
        <v>12</v>
      </c>
      <c r="F27" s="332"/>
      <c r="G27" s="332">
        <v>250.6</v>
      </c>
      <c r="H27" s="332"/>
      <c r="I27" s="322"/>
      <c r="J27" s="332"/>
      <c r="K27" s="37"/>
      <c r="L27" s="44"/>
      <c r="M27" s="37"/>
      <c r="N27" s="37"/>
    </row>
    <row r="28" spans="2:69">
      <c r="B28" s="354"/>
      <c r="C28" s="348"/>
      <c r="D28" s="46" t="s">
        <v>28</v>
      </c>
      <c r="E28" s="322" t="s">
        <v>10</v>
      </c>
      <c r="F28" s="322">
        <v>3.16</v>
      </c>
      <c r="G28" s="322">
        <f>F28*G27</f>
        <v>791.89600000000007</v>
      </c>
      <c r="H28" s="322"/>
      <c r="I28" s="322"/>
      <c r="J28" s="322"/>
      <c r="K28" s="37"/>
      <c r="L28" s="36"/>
      <c r="M28" s="37"/>
      <c r="N28" s="37"/>
    </row>
    <row r="29" spans="2:69">
      <c r="B29" s="354"/>
      <c r="C29" s="348"/>
      <c r="D29" s="46" t="s">
        <v>24</v>
      </c>
      <c r="E29" s="322" t="s">
        <v>12</v>
      </c>
      <c r="F29" s="322">
        <v>1.25</v>
      </c>
      <c r="G29" s="322">
        <f>F29*G27</f>
        <v>313.25</v>
      </c>
      <c r="H29" s="322"/>
      <c r="I29" s="322"/>
      <c r="J29" s="322"/>
      <c r="K29" s="37"/>
      <c r="L29" s="36"/>
      <c r="M29" s="37"/>
      <c r="N29" s="37"/>
    </row>
    <row r="30" spans="2:69">
      <c r="B30" s="355"/>
      <c r="C30" s="349"/>
      <c r="D30" s="46" t="s">
        <v>13</v>
      </c>
      <c r="E30" s="322" t="s">
        <v>11</v>
      </c>
      <c r="F30" s="322">
        <v>0.01</v>
      </c>
      <c r="G30" s="322">
        <f>F30*G27</f>
        <v>2.5059999999999998</v>
      </c>
      <c r="H30" s="322"/>
      <c r="I30" s="322"/>
      <c r="J30" s="322"/>
      <c r="K30" s="37"/>
      <c r="L30" s="36"/>
      <c r="M30" s="37"/>
      <c r="N30" s="37"/>
    </row>
    <row r="31" spans="2:69" ht="25.5">
      <c r="B31" s="365">
        <v>8</v>
      </c>
      <c r="C31" s="386" t="s">
        <v>64</v>
      </c>
      <c r="D31" s="43" t="s">
        <v>225</v>
      </c>
      <c r="E31" s="332" t="s">
        <v>12</v>
      </c>
      <c r="F31" s="332"/>
      <c r="G31" s="332">
        <f>G27+G19</f>
        <v>278.60000000000002</v>
      </c>
      <c r="H31" s="332"/>
      <c r="I31" s="322"/>
      <c r="J31" s="332"/>
      <c r="K31" s="37"/>
      <c r="L31" s="44"/>
      <c r="M31" s="37"/>
      <c r="N31" s="37"/>
    </row>
    <row r="32" spans="2:69">
      <c r="B32" s="365"/>
      <c r="C32" s="386"/>
      <c r="D32" s="46" t="s">
        <v>28</v>
      </c>
      <c r="E32" s="322" t="s">
        <v>10</v>
      </c>
      <c r="F32" s="322">
        <v>0.13400000000000001</v>
      </c>
      <c r="G32" s="322">
        <f>F32*G31</f>
        <v>37.332400000000007</v>
      </c>
      <c r="H32" s="322"/>
      <c r="I32" s="322"/>
      <c r="J32" s="322"/>
      <c r="K32" s="37"/>
      <c r="L32" s="36"/>
      <c r="M32" s="37"/>
      <c r="N32" s="37"/>
    </row>
    <row r="33" spans="2:14">
      <c r="B33" s="365"/>
      <c r="C33" s="386"/>
      <c r="D33" s="46" t="s">
        <v>65</v>
      </c>
      <c r="E33" s="322" t="s">
        <v>14</v>
      </c>
      <c r="F33" s="322">
        <v>0.13</v>
      </c>
      <c r="G33" s="322">
        <f>F33*G31</f>
        <v>36.218000000000004</v>
      </c>
      <c r="H33" s="322"/>
      <c r="I33" s="322"/>
      <c r="J33" s="322"/>
      <c r="K33" s="37"/>
      <c r="L33" s="37"/>
      <c r="M33" s="37"/>
      <c r="N33" s="37"/>
    </row>
    <row r="34" spans="2:14">
      <c r="B34" s="315"/>
      <c r="C34" s="318"/>
      <c r="D34" s="34" t="s">
        <v>149</v>
      </c>
      <c r="E34" s="319"/>
      <c r="F34" s="319"/>
      <c r="G34" s="319"/>
      <c r="H34" s="319"/>
      <c r="I34" s="322"/>
      <c r="J34" s="319"/>
      <c r="K34" s="37"/>
      <c r="L34" s="37"/>
      <c r="M34" s="37"/>
      <c r="N34" s="37"/>
    </row>
    <row r="35" spans="2:14" ht="38.25">
      <c r="B35" s="353">
        <v>10</v>
      </c>
      <c r="C35" s="353" t="s">
        <v>49</v>
      </c>
      <c r="D35" s="34" t="s">
        <v>136</v>
      </c>
      <c r="E35" s="330" t="s">
        <v>12</v>
      </c>
      <c r="F35" s="330"/>
      <c r="G35" s="330">
        <v>15.29</v>
      </c>
      <c r="H35" s="319"/>
      <c r="I35" s="322"/>
      <c r="J35" s="319"/>
      <c r="K35" s="37"/>
      <c r="L35" s="48"/>
      <c r="M35" s="37"/>
      <c r="N35" s="37"/>
    </row>
    <row r="36" spans="2:14">
      <c r="B36" s="354"/>
      <c r="C36" s="354"/>
      <c r="D36" s="38" t="s">
        <v>8</v>
      </c>
      <c r="E36" s="319" t="s">
        <v>10</v>
      </c>
      <c r="F36" s="319">
        <v>1.37</v>
      </c>
      <c r="G36" s="319">
        <f>F36*G35</f>
        <v>20.947300000000002</v>
      </c>
      <c r="H36" s="319"/>
      <c r="I36" s="322"/>
      <c r="J36" s="319"/>
      <c r="K36" s="37"/>
      <c r="L36" s="37"/>
      <c r="M36" s="37"/>
      <c r="N36" s="37"/>
    </row>
    <row r="37" spans="2:14">
      <c r="B37" s="354"/>
      <c r="C37" s="354"/>
      <c r="D37" s="38" t="s">
        <v>48</v>
      </c>
      <c r="E37" s="319" t="s">
        <v>11</v>
      </c>
      <c r="F37" s="319">
        <v>0.28299999999999997</v>
      </c>
      <c r="G37" s="319">
        <f>F37*G35</f>
        <v>4.3270699999999991</v>
      </c>
      <c r="H37" s="319"/>
      <c r="I37" s="322"/>
      <c r="J37" s="319"/>
      <c r="K37" s="37"/>
      <c r="L37" s="37"/>
      <c r="M37" s="37"/>
      <c r="N37" s="37"/>
    </row>
    <row r="38" spans="2:14">
      <c r="B38" s="354"/>
      <c r="C38" s="354"/>
      <c r="D38" s="38" t="s">
        <v>50</v>
      </c>
      <c r="E38" s="319" t="s">
        <v>12</v>
      </c>
      <c r="F38" s="319">
        <v>1.02</v>
      </c>
      <c r="G38" s="319">
        <f>F38*G35</f>
        <v>15.595799999999999</v>
      </c>
      <c r="H38" s="319"/>
      <c r="I38" s="36"/>
      <c r="J38" s="319"/>
      <c r="K38" s="37"/>
      <c r="L38" s="37"/>
      <c r="M38" s="37"/>
      <c r="N38" s="37"/>
    </row>
    <row r="39" spans="2:14">
      <c r="B39" s="355"/>
      <c r="C39" s="355"/>
      <c r="D39" s="38" t="s">
        <v>13</v>
      </c>
      <c r="E39" s="319" t="s">
        <v>11</v>
      </c>
      <c r="F39" s="319">
        <v>0.62</v>
      </c>
      <c r="G39" s="319">
        <f>F39*G35</f>
        <v>9.4797999999999991</v>
      </c>
      <c r="H39" s="319"/>
      <c r="I39" s="36"/>
      <c r="J39" s="319"/>
      <c r="K39" s="37"/>
      <c r="L39" s="37"/>
      <c r="M39" s="37"/>
      <c r="N39" s="37"/>
    </row>
    <row r="40" spans="2:14" ht="25.5">
      <c r="B40" s="353">
        <v>12</v>
      </c>
      <c r="C40" s="353" t="s">
        <v>137</v>
      </c>
      <c r="D40" s="34" t="s">
        <v>47</v>
      </c>
      <c r="E40" s="330" t="s">
        <v>12</v>
      </c>
      <c r="F40" s="330"/>
      <c r="G40" s="330">
        <v>28.57</v>
      </c>
      <c r="H40" s="319"/>
      <c r="I40" s="36"/>
      <c r="J40" s="319"/>
      <c r="K40" s="37"/>
      <c r="L40" s="48"/>
      <c r="M40" s="37"/>
      <c r="N40" s="37"/>
    </row>
    <row r="41" spans="2:14">
      <c r="B41" s="354"/>
      <c r="C41" s="354"/>
      <c r="D41" s="38" t="s">
        <v>8</v>
      </c>
      <c r="E41" s="319" t="s">
        <v>10</v>
      </c>
      <c r="F41" s="319">
        <v>2.2999999999999998</v>
      </c>
      <c r="G41" s="319">
        <f>F41*G40</f>
        <v>65.710999999999999</v>
      </c>
      <c r="H41" s="319"/>
      <c r="I41" s="36"/>
      <c r="J41" s="319"/>
      <c r="K41" s="37"/>
      <c r="L41" s="37"/>
      <c r="M41" s="37"/>
      <c r="N41" s="37"/>
    </row>
    <row r="42" spans="2:14">
      <c r="B42" s="354"/>
      <c r="C42" s="354"/>
      <c r="D42" s="38" t="s">
        <v>48</v>
      </c>
      <c r="E42" s="319" t="s">
        <v>11</v>
      </c>
      <c r="F42" s="319">
        <v>0.9</v>
      </c>
      <c r="G42" s="319">
        <f>F42*G40</f>
        <v>25.713000000000001</v>
      </c>
      <c r="H42" s="319"/>
      <c r="I42" s="36"/>
      <c r="J42" s="319"/>
      <c r="K42" s="37"/>
      <c r="L42" s="37"/>
      <c r="M42" s="37"/>
      <c r="N42" s="37"/>
    </row>
    <row r="43" spans="2:14">
      <c r="B43" s="354"/>
      <c r="C43" s="354"/>
      <c r="D43" s="38" t="s">
        <v>103</v>
      </c>
      <c r="E43" s="319" t="s">
        <v>12</v>
      </c>
      <c r="F43" s="319">
        <f>0.39/100</f>
        <v>3.9000000000000003E-3</v>
      </c>
      <c r="G43" s="319">
        <f>F43*G40</f>
        <v>0.11142300000000001</v>
      </c>
      <c r="H43" s="319"/>
      <c r="I43" s="36"/>
      <c r="J43" s="319"/>
      <c r="K43" s="37"/>
      <c r="L43" s="37"/>
      <c r="M43" s="37"/>
      <c r="N43" s="37"/>
    </row>
    <row r="44" spans="2:14">
      <c r="B44" s="354"/>
      <c r="C44" s="354"/>
      <c r="D44" s="38" t="s">
        <v>124</v>
      </c>
      <c r="E44" s="322" t="s">
        <v>23</v>
      </c>
      <c r="F44" s="322"/>
      <c r="G44" s="322">
        <v>757.68</v>
      </c>
      <c r="H44" s="225"/>
      <c r="I44" s="36"/>
      <c r="J44" s="225"/>
      <c r="K44" s="37"/>
      <c r="L44" s="49"/>
      <c r="M44" s="37"/>
      <c r="N44" s="37"/>
    </row>
    <row r="45" spans="2:14">
      <c r="B45" s="354"/>
      <c r="C45" s="354"/>
      <c r="D45" s="38" t="s">
        <v>29</v>
      </c>
      <c r="E45" s="319" t="s">
        <v>12</v>
      </c>
      <c r="F45" s="319">
        <f>101.5/100</f>
        <v>1.0149999999999999</v>
      </c>
      <c r="G45" s="319">
        <f>F45*G40</f>
        <v>28.998549999999998</v>
      </c>
      <c r="H45" s="319"/>
      <c r="I45" s="36"/>
      <c r="J45" s="319"/>
      <c r="K45" s="37"/>
      <c r="L45" s="37"/>
      <c r="M45" s="37"/>
      <c r="N45" s="37"/>
    </row>
    <row r="46" spans="2:14">
      <c r="B46" s="355"/>
      <c r="C46" s="355"/>
      <c r="D46" s="38" t="s">
        <v>13</v>
      </c>
      <c r="E46" s="319" t="s">
        <v>11</v>
      </c>
      <c r="F46" s="319">
        <v>0.16</v>
      </c>
      <c r="G46" s="319">
        <f>F46*G40</f>
        <v>4.5712000000000002</v>
      </c>
      <c r="H46" s="319"/>
      <c r="I46" s="36"/>
      <c r="J46" s="319"/>
      <c r="K46" s="37"/>
      <c r="L46" s="37"/>
      <c r="M46" s="37"/>
      <c r="N46" s="37"/>
    </row>
    <row r="47" spans="2:14" ht="25.5">
      <c r="B47" s="353">
        <v>13</v>
      </c>
      <c r="C47" s="353" t="s">
        <v>51</v>
      </c>
      <c r="D47" s="34" t="s">
        <v>492</v>
      </c>
      <c r="E47" s="330" t="s">
        <v>12</v>
      </c>
      <c r="F47" s="330"/>
      <c r="G47" s="330">
        <v>41.55</v>
      </c>
      <c r="H47" s="319"/>
      <c r="I47" s="36"/>
      <c r="J47" s="319"/>
      <c r="K47" s="37"/>
      <c r="L47" s="48"/>
      <c r="M47" s="37"/>
      <c r="N47" s="37"/>
    </row>
    <row r="48" spans="2:14">
      <c r="B48" s="354"/>
      <c r="C48" s="354"/>
      <c r="D48" s="38" t="s">
        <v>8</v>
      </c>
      <c r="E48" s="319" t="s">
        <v>10</v>
      </c>
      <c r="F48" s="319">
        <v>8.5399999999999991</v>
      </c>
      <c r="G48" s="319">
        <f>F48*G47</f>
        <v>354.83699999999993</v>
      </c>
      <c r="H48" s="319"/>
      <c r="I48" s="36"/>
      <c r="J48" s="319"/>
      <c r="K48" s="37"/>
      <c r="L48" s="37"/>
      <c r="M48" s="37"/>
      <c r="N48" s="37"/>
    </row>
    <row r="49" spans="2:14">
      <c r="B49" s="354"/>
      <c r="C49" s="354"/>
      <c r="D49" s="38" t="s">
        <v>48</v>
      </c>
      <c r="E49" s="319" t="s">
        <v>11</v>
      </c>
      <c r="F49" s="319">
        <v>1.06</v>
      </c>
      <c r="G49" s="319">
        <f>F49*G47</f>
        <v>44.042999999999999</v>
      </c>
      <c r="H49" s="319"/>
      <c r="I49" s="36"/>
      <c r="J49" s="319"/>
      <c r="K49" s="37"/>
      <c r="L49" s="37"/>
      <c r="M49" s="37"/>
      <c r="N49" s="37"/>
    </row>
    <row r="50" spans="2:14">
      <c r="B50" s="354"/>
      <c r="C50" s="354"/>
      <c r="D50" s="38" t="s">
        <v>491</v>
      </c>
      <c r="E50" s="319" t="s">
        <v>21</v>
      </c>
      <c r="F50" s="319">
        <v>1.4</v>
      </c>
      <c r="G50" s="319">
        <f>F50*G47</f>
        <v>58.169999999999995</v>
      </c>
      <c r="H50" s="319"/>
      <c r="I50" s="36"/>
      <c r="J50" s="319"/>
      <c r="K50" s="37"/>
      <c r="L50" s="37"/>
      <c r="M50" s="37"/>
      <c r="N50" s="37"/>
    </row>
    <row r="51" spans="2:14">
      <c r="B51" s="354"/>
      <c r="C51" s="354"/>
      <c r="D51" s="38" t="s">
        <v>103</v>
      </c>
      <c r="E51" s="319" t="s">
        <v>12</v>
      </c>
      <c r="F51" s="319">
        <f>1.45/100</f>
        <v>1.4499999999999999E-2</v>
      </c>
      <c r="G51" s="37">
        <f>F51*G47</f>
        <v>0.60247499999999987</v>
      </c>
      <c r="H51" s="319"/>
      <c r="I51" s="36"/>
      <c r="J51" s="319"/>
      <c r="K51" s="37"/>
      <c r="L51" s="37"/>
      <c r="M51" s="37"/>
      <c r="N51" s="37"/>
    </row>
    <row r="52" spans="2:14">
      <c r="B52" s="354"/>
      <c r="C52" s="354"/>
      <c r="D52" s="38" t="s">
        <v>124</v>
      </c>
      <c r="E52" s="322" t="s">
        <v>23</v>
      </c>
      <c r="F52" s="322"/>
      <c r="G52" s="322">
        <v>2827.2</v>
      </c>
      <c r="H52" s="225"/>
      <c r="I52" s="36"/>
      <c r="J52" s="225"/>
      <c r="K52" s="37"/>
      <c r="L52" s="49"/>
      <c r="M52" s="37"/>
      <c r="N52" s="37"/>
    </row>
    <row r="53" spans="2:14">
      <c r="B53" s="354"/>
      <c r="C53" s="354"/>
      <c r="D53" s="38" t="s">
        <v>123</v>
      </c>
      <c r="E53" s="322" t="s">
        <v>23</v>
      </c>
      <c r="F53" s="322"/>
      <c r="G53" s="322">
        <v>4947.6000000000004</v>
      </c>
      <c r="H53" s="225"/>
      <c r="I53" s="36"/>
      <c r="J53" s="225"/>
      <c r="K53" s="37"/>
      <c r="L53" s="49"/>
      <c r="M53" s="37"/>
      <c r="N53" s="37"/>
    </row>
    <row r="54" spans="2:14">
      <c r="B54" s="354"/>
      <c r="C54" s="354"/>
      <c r="D54" s="38" t="s">
        <v>29</v>
      </c>
      <c r="E54" s="319" t="s">
        <v>12</v>
      </c>
      <c r="F54" s="319">
        <v>1.0149999999999999</v>
      </c>
      <c r="G54" s="37">
        <f>F54*G47</f>
        <v>42.173249999999996</v>
      </c>
      <c r="H54" s="319"/>
      <c r="I54" s="36"/>
      <c r="J54" s="319"/>
      <c r="K54" s="37"/>
      <c r="L54" s="37"/>
      <c r="M54" s="37"/>
      <c r="N54" s="37"/>
    </row>
    <row r="55" spans="2:14">
      <c r="B55" s="354"/>
      <c r="C55" s="354"/>
      <c r="D55" s="38" t="s">
        <v>13</v>
      </c>
      <c r="E55" s="319" t="s">
        <v>11</v>
      </c>
      <c r="F55" s="319">
        <v>0.74</v>
      </c>
      <c r="G55" s="319">
        <f>F55*G47</f>
        <v>30.746999999999996</v>
      </c>
      <c r="H55" s="319"/>
      <c r="I55" s="36"/>
      <c r="J55" s="319"/>
      <c r="K55" s="37"/>
      <c r="L55" s="37"/>
      <c r="M55" s="37"/>
      <c r="N55" s="37"/>
    </row>
    <row r="56" spans="2:14" ht="25.5">
      <c r="B56" s="355"/>
      <c r="C56" s="355"/>
      <c r="D56" s="330" t="s">
        <v>150</v>
      </c>
      <c r="E56" s="319"/>
      <c r="F56" s="319"/>
      <c r="G56" s="319"/>
      <c r="H56" s="319"/>
      <c r="I56" s="36"/>
      <c r="J56" s="319"/>
      <c r="K56" s="37"/>
      <c r="L56" s="37"/>
      <c r="M56" s="37"/>
      <c r="N56" s="37"/>
    </row>
    <row r="57" spans="2:14" ht="38.25">
      <c r="B57" s="353">
        <v>14</v>
      </c>
      <c r="C57" s="353" t="s">
        <v>138</v>
      </c>
      <c r="D57" s="34" t="s">
        <v>493</v>
      </c>
      <c r="E57" s="330" t="s">
        <v>12</v>
      </c>
      <c r="F57" s="330"/>
      <c r="G57" s="330">
        <v>73</v>
      </c>
      <c r="H57" s="319"/>
      <c r="I57" s="36"/>
      <c r="J57" s="319"/>
      <c r="K57" s="37"/>
      <c r="L57" s="48"/>
      <c r="M57" s="37"/>
      <c r="N57" s="37"/>
    </row>
    <row r="58" spans="2:14">
      <c r="B58" s="354"/>
      <c r="C58" s="354"/>
      <c r="D58" s="38" t="s">
        <v>8</v>
      </c>
      <c r="E58" s="319" t="s">
        <v>10</v>
      </c>
      <c r="F58" s="319">
        <v>17.100000000000001</v>
      </c>
      <c r="G58" s="319">
        <f>F58*G57</f>
        <v>1248.3000000000002</v>
      </c>
      <c r="H58" s="319"/>
      <c r="I58" s="36"/>
      <c r="J58" s="319"/>
      <c r="K58" s="37"/>
      <c r="L58" s="37"/>
      <c r="M58" s="37"/>
      <c r="N58" s="37"/>
    </row>
    <row r="59" spans="2:14">
      <c r="B59" s="354"/>
      <c r="C59" s="354"/>
      <c r="D59" s="38" t="s">
        <v>48</v>
      </c>
      <c r="E59" s="319" t="s">
        <v>11</v>
      </c>
      <c r="F59" s="319">
        <v>1.27</v>
      </c>
      <c r="G59" s="319">
        <f>F59*G57</f>
        <v>92.710000000000008</v>
      </c>
      <c r="H59" s="319"/>
      <c r="I59" s="36"/>
      <c r="J59" s="319"/>
      <c r="K59" s="37"/>
      <c r="L59" s="37"/>
      <c r="M59" s="37"/>
      <c r="N59" s="37"/>
    </row>
    <row r="60" spans="2:14">
      <c r="B60" s="354"/>
      <c r="C60" s="354"/>
      <c r="D60" s="38" t="s">
        <v>491</v>
      </c>
      <c r="E60" s="319" t="s">
        <v>21</v>
      </c>
      <c r="F60" s="319">
        <v>2.2799999999999998</v>
      </c>
      <c r="G60" s="319">
        <f>F60*G57</f>
        <v>166.44</v>
      </c>
      <c r="H60" s="319"/>
      <c r="I60" s="36"/>
      <c r="J60" s="319"/>
      <c r="K60" s="37"/>
      <c r="L60" s="37"/>
      <c r="M60" s="37"/>
      <c r="N60" s="37"/>
    </row>
    <row r="61" spans="2:14">
      <c r="B61" s="354"/>
      <c r="C61" s="354"/>
      <c r="D61" s="38" t="s">
        <v>103</v>
      </c>
      <c r="E61" s="319" t="s">
        <v>12</v>
      </c>
      <c r="F61" s="319">
        <f>0.22/100</f>
        <v>2.2000000000000001E-3</v>
      </c>
      <c r="G61" s="319">
        <f>F61*G57</f>
        <v>0.16060000000000002</v>
      </c>
      <c r="H61" s="319"/>
      <c r="I61" s="36"/>
      <c r="J61" s="319"/>
      <c r="K61" s="37"/>
      <c r="L61" s="37"/>
      <c r="M61" s="37"/>
      <c r="N61" s="37"/>
    </row>
    <row r="62" spans="2:14">
      <c r="B62" s="354"/>
      <c r="C62" s="354"/>
      <c r="D62" s="38" t="s">
        <v>29</v>
      </c>
      <c r="E62" s="319" t="s">
        <v>12</v>
      </c>
      <c r="F62" s="319">
        <v>1</v>
      </c>
      <c r="G62" s="319">
        <f>F62*G57</f>
        <v>73</v>
      </c>
      <c r="H62" s="319"/>
      <c r="I62" s="36"/>
      <c r="J62" s="319"/>
      <c r="K62" s="37"/>
      <c r="L62" s="37"/>
      <c r="M62" s="37"/>
      <c r="N62" s="37"/>
    </row>
    <row r="63" spans="2:14">
      <c r="B63" s="354"/>
      <c r="C63" s="354"/>
      <c r="D63" s="38" t="s">
        <v>54</v>
      </c>
      <c r="E63" s="319" t="s">
        <v>23</v>
      </c>
      <c r="F63" s="319"/>
      <c r="G63" s="319">
        <v>2827.2</v>
      </c>
      <c r="H63" s="319"/>
      <c r="I63" s="36"/>
      <c r="J63" s="319"/>
      <c r="K63" s="37"/>
      <c r="L63" s="37"/>
      <c r="M63" s="37"/>
      <c r="N63" s="37"/>
    </row>
    <row r="64" spans="2:14">
      <c r="B64" s="354"/>
      <c r="C64" s="354"/>
      <c r="D64" s="38" t="s">
        <v>66</v>
      </c>
      <c r="E64" s="319" t="s">
        <v>23</v>
      </c>
      <c r="F64" s="319"/>
      <c r="G64" s="319">
        <v>4435</v>
      </c>
      <c r="H64" s="319"/>
      <c r="I64" s="36"/>
      <c r="J64" s="319"/>
      <c r="K64" s="37"/>
      <c r="L64" s="37"/>
      <c r="M64" s="37"/>
      <c r="N64" s="37"/>
    </row>
    <row r="65" spans="2:14">
      <c r="B65" s="354"/>
      <c r="C65" s="354"/>
      <c r="D65" s="38" t="s">
        <v>13</v>
      </c>
      <c r="E65" s="319" t="s">
        <v>11</v>
      </c>
      <c r="F65" s="319">
        <v>1.1599999999999999</v>
      </c>
      <c r="G65" s="319">
        <f>F65*G57</f>
        <v>84.679999999999993</v>
      </c>
      <c r="H65" s="319"/>
      <c r="I65" s="36"/>
      <c r="J65" s="319"/>
      <c r="K65" s="37"/>
      <c r="L65" s="37"/>
      <c r="M65" s="37"/>
      <c r="N65" s="37"/>
    </row>
    <row r="66" spans="2:14">
      <c r="B66" s="355"/>
      <c r="C66" s="355"/>
      <c r="D66" s="330" t="s">
        <v>178</v>
      </c>
      <c r="E66" s="319"/>
      <c r="F66" s="319"/>
      <c r="G66" s="319"/>
      <c r="H66" s="319"/>
      <c r="I66" s="36"/>
      <c r="J66" s="319"/>
      <c r="K66" s="37"/>
      <c r="L66" s="37"/>
      <c r="M66" s="37"/>
      <c r="N66" s="37"/>
    </row>
    <row r="67" spans="2:14" ht="25.5">
      <c r="B67" s="353">
        <v>15</v>
      </c>
      <c r="C67" s="353" t="s">
        <v>152</v>
      </c>
      <c r="D67" s="34" t="s">
        <v>139</v>
      </c>
      <c r="E67" s="330" t="s">
        <v>12</v>
      </c>
      <c r="F67" s="330"/>
      <c r="G67" s="330">
        <v>21.88</v>
      </c>
      <c r="H67" s="319"/>
      <c r="I67" s="36"/>
      <c r="J67" s="319"/>
      <c r="K67" s="37"/>
      <c r="L67" s="48"/>
      <c r="M67" s="37"/>
      <c r="N67" s="37"/>
    </row>
    <row r="68" spans="2:14">
      <c r="B68" s="354"/>
      <c r="C68" s="354"/>
      <c r="D68" s="38" t="s">
        <v>8</v>
      </c>
      <c r="E68" s="319" t="s">
        <v>10</v>
      </c>
      <c r="F68" s="319">
        <v>7.08</v>
      </c>
      <c r="G68" s="319">
        <f>F68*G67</f>
        <v>154.91039999999998</v>
      </c>
      <c r="H68" s="319"/>
      <c r="I68" s="36"/>
      <c r="J68" s="319"/>
      <c r="K68" s="37"/>
      <c r="L68" s="37"/>
      <c r="M68" s="37"/>
      <c r="N68" s="37"/>
    </row>
    <row r="69" spans="2:14">
      <c r="B69" s="354"/>
      <c r="C69" s="354"/>
      <c r="D69" s="38" t="s">
        <v>48</v>
      </c>
      <c r="E69" s="319" t="s">
        <v>11</v>
      </c>
      <c r="F69" s="319">
        <v>1.7</v>
      </c>
      <c r="G69" s="319">
        <f>F69*G67</f>
        <v>37.195999999999998</v>
      </c>
      <c r="H69" s="319"/>
      <c r="I69" s="36"/>
      <c r="J69" s="319"/>
      <c r="K69" s="37"/>
      <c r="L69" s="37"/>
      <c r="M69" s="37"/>
      <c r="N69" s="37"/>
    </row>
    <row r="70" spans="2:14">
      <c r="B70" s="354"/>
      <c r="C70" s="354"/>
      <c r="D70" s="38" t="s">
        <v>491</v>
      </c>
      <c r="E70" s="319" t="s">
        <v>21</v>
      </c>
      <c r="F70" s="319">
        <f>89/100</f>
        <v>0.89</v>
      </c>
      <c r="G70" s="319">
        <f>F70*G67</f>
        <v>19.473199999999999</v>
      </c>
      <c r="H70" s="319"/>
      <c r="I70" s="36"/>
      <c r="J70" s="319"/>
      <c r="K70" s="37"/>
      <c r="L70" s="37"/>
      <c r="M70" s="37"/>
      <c r="N70" s="37"/>
    </row>
    <row r="71" spans="2:14">
      <c r="B71" s="354"/>
      <c r="C71" s="354"/>
      <c r="D71" s="38" t="s">
        <v>103</v>
      </c>
      <c r="E71" s="319" t="s">
        <v>12</v>
      </c>
      <c r="F71" s="319">
        <f>1.69/100</f>
        <v>1.6899999999999998E-2</v>
      </c>
      <c r="G71" s="319">
        <f>F71*G67</f>
        <v>0.36977199999999993</v>
      </c>
      <c r="H71" s="319"/>
      <c r="I71" s="36"/>
      <c r="J71" s="319"/>
      <c r="K71" s="37"/>
      <c r="L71" s="37"/>
      <c r="M71" s="37"/>
      <c r="N71" s="37"/>
    </row>
    <row r="72" spans="2:14">
      <c r="B72" s="354"/>
      <c r="C72" s="354"/>
      <c r="D72" s="38" t="s">
        <v>29</v>
      </c>
      <c r="E72" s="319" t="s">
        <v>12</v>
      </c>
      <c r="F72" s="319">
        <v>1.0149999999999999</v>
      </c>
      <c r="G72" s="319">
        <f>F72*G67</f>
        <v>22.208199999999998</v>
      </c>
      <c r="H72" s="319"/>
      <c r="I72" s="36"/>
      <c r="J72" s="319"/>
      <c r="K72" s="37"/>
      <c r="L72" s="37"/>
      <c r="M72" s="37"/>
      <c r="N72" s="37"/>
    </row>
    <row r="73" spans="2:14">
      <c r="B73" s="354"/>
      <c r="C73" s="354"/>
      <c r="D73" s="38" t="s">
        <v>54</v>
      </c>
      <c r="E73" s="319" t="str">
        <f>E63</f>
        <v>grZ/m</v>
      </c>
      <c r="F73" s="319"/>
      <c r="G73" s="319">
        <v>863</v>
      </c>
      <c r="H73" s="319"/>
      <c r="I73" s="36"/>
      <c r="J73" s="319"/>
      <c r="K73" s="37"/>
      <c r="L73" s="37"/>
      <c r="M73" s="37"/>
      <c r="N73" s="37"/>
    </row>
    <row r="74" spans="2:14">
      <c r="B74" s="354"/>
      <c r="C74" s="354"/>
      <c r="D74" s="38" t="s">
        <v>66</v>
      </c>
      <c r="E74" s="319" t="str">
        <f>E64</f>
        <v>grZ/m</v>
      </c>
      <c r="F74" s="319"/>
      <c r="G74" s="319">
        <v>2020.48</v>
      </c>
      <c r="H74" s="319"/>
      <c r="I74" s="36"/>
      <c r="J74" s="319"/>
      <c r="K74" s="37"/>
      <c r="L74" s="37"/>
      <c r="M74" s="37"/>
      <c r="N74" s="37"/>
    </row>
    <row r="75" spans="2:14">
      <c r="B75" s="355"/>
      <c r="C75" s="355"/>
      <c r="D75" s="38" t="s">
        <v>13</v>
      </c>
      <c r="E75" s="319" t="s">
        <v>11</v>
      </c>
      <c r="F75" s="319">
        <v>0.21</v>
      </c>
      <c r="G75" s="319">
        <f>F75*G67</f>
        <v>4.5947999999999993</v>
      </c>
      <c r="H75" s="319"/>
      <c r="I75" s="36"/>
      <c r="J75" s="319"/>
      <c r="K75" s="37"/>
      <c r="L75" s="37"/>
      <c r="M75" s="37"/>
      <c r="N75" s="37"/>
    </row>
    <row r="76" spans="2:14" ht="25.5">
      <c r="B76" s="353">
        <v>16</v>
      </c>
      <c r="C76" s="353" t="s">
        <v>52</v>
      </c>
      <c r="D76" s="34" t="s">
        <v>144</v>
      </c>
      <c r="E76" s="330" t="s">
        <v>12</v>
      </c>
      <c r="F76" s="330"/>
      <c r="G76" s="330">
        <v>4.32</v>
      </c>
      <c r="H76" s="319"/>
      <c r="I76" s="36"/>
      <c r="J76" s="319"/>
      <c r="K76" s="37"/>
      <c r="L76" s="48"/>
      <c r="M76" s="37"/>
      <c r="N76" s="37"/>
    </row>
    <row r="77" spans="2:14">
      <c r="B77" s="354"/>
      <c r="C77" s="354"/>
      <c r="D77" s="38" t="s">
        <v>8</v>
      </c>
      <c r="E77" s="319" t="s">
        <v>10</v>
      </c>
      <c r="F77" s="319">
        <f>1350/100</f>
        <v>13.5</v>
      </c>
      <c r="G77" s="319">
        <f>F77*G76</f>
        <v>58.320000000000007</v>
      </c>
      <c r="H77" s="319"/>
      <c r="I77" s="36"/>
      <c r="J77" s="319"/>
      <c r="K77" s="37"/>
      <c r="L77" s="37"/>
      <c r="M77" s="37"/>
      <c r="N77" s="37"/>
    </row>
    <row r="78" spans="2:14">
      <c r="B78" s="354"/>
      <c r="C78" s="354"/>
      <c r="D78" s="38" t="s">
        <v>48</v>
      </c>
      <c r="E78" s="319" t="s">
        <v>11</v>
      </c>
      <c r="F78" s="319">
        <v>1.1200000000000001</v>
      </c>
      <c r="G78" s="319">
        <f>F78*G76</f>
        <v>4.8384000000000009</v>
      </c>
      <c r="H78" s="319"/>
      <c r="I78" s="36"/>
      <c r="J78" s="319"/>
      <c r="K78" s="37"/>
      <c r="L78" s="37"/>
      <c r="M78" s="37"/>
      <c r="N78" s="37"/>
    </row>
    <row r="79" spans="2:14">
      <c r="B79" s="354"/>
      <c r="C79" s="354"/>
      <c r="D79" s="38" t="s">
        <v>491</v>
      </c>
      <c r="E79" s="319" t="s">
        <v>21</v>
      </c>
      <c r="F79" s="319">
        <v>2.9</v>
      </c>
      <c r="G79" s="319">
        <f>F79*G76</f>
        <v>12.528</v>
      </c>
      <c r="H79" s="319"/>
      <c r="I79" s="36"/>
      <c r="J79" s="319"/>
      <c r="K79" s="37"/>
      <c r="L79" s="37"/>
      <c r="M79" s="37"/>
      <c r="N79" s="37"/>
    </row>
    <row r="80" spans="2:14">
      <c r="B80" s="354"/>
      <c r="C80" s="354"/>
      <c r="D80" s="38" t="s">
        <v>103</v>
      </c>
      <c r="E80" s="319" t="s">
        <v>12</v>
      </c>
      <c r="F80" s="319">
        <f>3.78/100</f>
        <v>3.78E-2</v>
      </c>
      <c r="G80" s="319">
        <f>F80*G76</f>
        <v>0.16329600000000002</v>
      </c>
      <c r="H80" s="319"/>
      <c r="I80" s="36"/>
      <c r="J80" s="319"/>
      <c r="K80" s="37"/>
      <c r="L80" s="37"/>
      <c r="M80" s="37"/>
      <c r="N80" s="37"/>
    </row>
    <row r="81" spans="2:69">
      <c r="B81" s="354"/>
      <c r="C81" s="354"/>
      <c r="D81" s="38" t="s">
        <v>29</v>
      </c>
      <c r="E81" s="319" t="s">
        <v>12</v>
      </c>
      <c r="F81" s="319">
        <v>1.0149999999999999</v>
      </c>
      <c r="G81" s="319">
        <f>F81*G76</f>
        <v>4.3848000000000003</v>
      </c>
      <c r="H81" s="319"/>
      <c r="I81" s="36"/>
      <c r="J81" s="319"/>
      <c r="K81" s="37"/>
      <c r="L81" s="37"/>
      <c r="M81" s="37"/>
      <c r="N81" s="37"/>
    </row>
    <row r="82" spans="2:69">
      <c r="B82" s="354"/>
      <c r="C82" s="354"/>
      <c r="D82" s="38" t="s">
        <v>67</v>
      </c>
      <c r="E82" s="319" t="s">
        <v>23</v>
      </c>
      <c r="F82" s="319"/>
      <c r="G82" s="319">
        <v>320</v>
      </c>
      <c r="H82" s="319"/>
      <c r="I82" s="36"/>
      <c r="J82" s="319"/>
      <c r="K82" s="37"/>
      <c r="L82" s="37"/>
      <c r="M82" s="37"/>
      <c r="N82" s="37"/>
    </row>
    <row r="83" spans="2:69">
      <c r="B83" s="354"/>
      <c r="C83" s="354"/>
      <c r="D83" s="38" t="s">
        <v>66</v>
      </c>
      <c r="E83" s="319" t="s">
        <v>23</v>
      </c>
      <c r="F83" s="319"/>
      <c r="G83" s="319">
        <v>438</v>
      </c>
      <c r="H83" s="319"/>
      <c r="I83" s="36"/>
      <c r="J83" s="319"/>
      <c r="K83" s="37"/>
      <c r="L83" s="37"/>
      <c r="M83" s="37"/>
      <c r="N83" s="37"/>
    </row>
    <row r="84" spans="2:69">
      <c r="B84" s="355"/>
      <c r="C84" s="355"/>
      <c r="D84" s="38" t="s">
        <v>13</v>
      </c>
      <c r="E84" s="319" t="s">
        <v>11</v>
      </c>
      <c r="F84" s="319">
        <v>0.95</v>
      </c>
      <c r="G84" s="319">
        <f>F84*G76</f>
        <v>4.1040000000000001</v>
      </c>
      <c r="H84" s="319"/>
      <c r="I84" s="36"/>
      <c r="J84" s="319"/>
      <c r="K84" s="37"/>
      <c r="L84" s="37"/>
      <c r="M84" s="37"/>
      <c r="N84" s="37"/>
    </row>
    <row r="85" spans="2:69" s="3" customFormat="1" ht="25.5">
      <c r="B85" s="319"/>
      <c r="C85" s="225"/>
      <c r="D85" s="330" t="s">
        <v>277</v>
      </c>
      <c r="E85" s="34"/>
      <c r="F85" s="34"/>
      <c r="G85" s="330"/>
      <c r="H85" s="330"/>
      <c r="I85" s="36"/>
      <c r="J85" s="330"/>
      <c r="K85" s="37"/>
      <c r="L85" s="42"/>
      <c r="M85" s="37"/>
      <c r="N85" s="37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2:69" ht="25.5">
      <c r="B86" s="353">
        <v>17</v>
      </c>
      <c r="C86" s="353" t="s">
        <v>53</v>
      </c>
      <c r="D86" s="43" t="s">
        <v>140</v>
      </c>
      <c r="E86" s="330" t="s">
        <v>12</v>
      </c>
      <c r="F86" s="330"/>
      <c r="G86" s="330">
        <v>216.35</v>
      </c>
      <c r="H86" s="319"/>
      <c r="I86" s="36"/>
      <c r="J86" s="319"/>
      <c r="K86" s="37"/>
      <c r="L86" s="48"/>
      <c r="M86" s="37"/>
      <c r="N86" s="37"/>
    </row>
    <row r="87" spans="2:69">
      <c r="B87" s="354"/>
      <c r="C87" s="354"/>
      <c r="D87" s="38" t="s">
        <v>8</v>
      </c>
      <c r="E87" s="319" t="s">
        <v>10</v>
      </c>
      <c r="F87" s="319">
        <v>8.4</v>
      </c>
      <c r="G87" s="319">
        <f>F87*G86</f>
        <v>1817.34</v>
      </c>
      <c r="H87" s="319"/>
      <c r="I87" s="36"/>
      <c r="J87" s="319"/>
      <c r="K87" s="37"/>
      <c r="L87" s="37"/>
      <c r="M87" s="37"/>
      <c r="N87" s="37"/>
    </row>
    <row r="88" spans="2:69">
      <c r="B88" s="354"/>
      <c r="C88" s="354"/>
      <c r="D88" s="38" t="s">
        <v>48</v>
      </c>
      <c r="E88" s="319" t="s">
        <v>11</v>
      </c>
      <c r="F88" s="319">
        <v>0.81</v>
      </c>
      <c r="G88" s="37">
        <f>F88*G86</f>
        <v>175.24350000000001</v>
      </c>
      <c r="H88" s="319"/>
      <c r="I88" s="36"/>
      <c r="J88" s="319"/>
      <c r="K88" s="37"/>
      <c r="L88" s="37"/>
      <c r="M88" s="37"/>
      <c r="N88" s="37"/>
    </row>
    <row r="89" spans="2:69">
      <c r="B89" s="354"/>
      <c r="C89" s="354"/>
      <c r="D89" s="38" t="s">
        <v>29</v>
      </c>
      <c r="E89" s="319" t="s">
        <v>12</v>
      </c>
      <c r="F89" s="319">
        <v>1.0149999999999999</v>
      </c>
      <c r="G89" s="37">
        <f>F89*G86</f>
        <v>219.59524999999996</v>
      </c>
      <c r="H89" s="319"/>
      <c r="I89" s="36"/>
      <c r="J89" s="319"/>
      <c r="K89" s="37"/>
      <c r="L89" s="37"/>
      <c r="M89" s="37"/>
      <c r="N89" s="37"/>
    </row>
    <row r="90" spans="2:69">
      <c r="B90" s="354"/>
      <c r="C90" s="354"/>
      <c r="D90" s="38" t="s">
        <v>491</v>
      </c>
      <c r="E90" s="319" t="s">
        <v>21</v>
      </c>
      <c r="F90" s="319">
        <v>1.37</v>
      </c>
      <c r="G90" s="37">
        <f>F90*G86</f>
        <v>296.39949999999999</v>
      </c>
      <c r="H90" s="319"/>
      <c r="I90" s="36"/>
      <c r="J90" s="319"/>
      <c r="K90" s="37"/>
      <c r="L90" s="37"/>
      <c r="M90" s="37"/>
      <c r="N90" s="37"/>
    </row>
    <row r="91" spans="2:69">
      <c r="B91" s="354"/>
      <c r="C91" s="354"/>
      <c r="D91" s="38" t="s">
        <v>103</v>
      </c>
      <c r="E91" s="319" t="s">
        <v>12</v>
      </c>
      <c r="F91" s="319">
        <f>2.56/100</f>
        <v>2.5600000000000001E-2</v>
      </c>
      <c r="G91" s="37">
        <f>F91*G86</f>
        <v>5.5385600000000004</v>
      </c>
      <c r="H91" s="319"/>
      <c r="I91" s="36"/>
      <c r="J91" s="319"/>
      <c r="K91" s="37"/>
      <c r="L91" s="37"/>
      <c r="M91" s="37"/>
      <c r="N91" s="37"/>
    </row>
    <row r="92" spans="2:69">
      <c r="B92" s="354"/>
      <c r="C92" s="354"/>
      <c r="D92" s="38" t="s">
        <v>142</v>
      </c>
      <c r="E92" s="319" t="s">
        <v>23</v>
      </c>
      <c r="F92" s="319"/>
      <c r="G92" s="319">
        <v>7620</v>
      </c>
      <c r="H92" s="319"/>
      <c r="I92" s="36"/>
      <c r="J92" s="319"/>
      <c r="K92" s="37"/>
      <c r="L92" s="37"/>
      <c r="M92" s="37"/>
      <c r="N92" s="37"/>
    </row>
    <row r="93" spans="2:69">
      <c r="B93" s="354"/>
      <c r="C93" s="354"/>
      <c r="D93" s="38" t="s">
        <v>67</v>
      </c>
      <c r="E93" s="319" t="s">
        <v>23</v>
      </c>
      <c r="F93" s="319"/>
      <c r="G93" s="319">
        <v>15240</v>
      </c>
      <c r="H93" s="319"/>
      <c r="I93" s="36"/>
      <c r="J93" s="319"/>
      <c r="K93" s="37"/>
      <c r="L93" s="37"/>
      <c r="M93" s="37"/>
      <c r="N93" s="37"/>
    </row>
    <row r="94" spans="2:69">
      <c r="B94" s="354"/>
      <c r="C94" s="354"/>
      <c r="D94" s="38" t="s">
        <v>143</v>
      </c>
      <c r="E94" s="319" t="s">
        <v>23</v>
      </c>
      <c r="F94" s="319"/>
      <c r="G94" s="319">
        <v>2650</v>
      </c>
      <c r="H94" s="319"/>
      <c r="I94" s="36"/>
      <c r="J94" s="319"/>
      <c r="K94" s="37"/>
      <c r="L94" s="37"/>
      <c r="M94" s="37"/>
      <c r="N94" s="37"/>
    </row>
    <row r="95" spans="2:69">
      <c r="B95" s="354"/>
      <c r="C95" s="354"/>
      <c r="D95" s="38" t="s">
        <v>141</v>
      </c>
      <c r="E95" s="319" t="str">
        <f>E92</f>
        <v>grZ/m</v>
      </c>
      <c r="F95" s="319"/>
      <c r="G95" s="319">
        <v>5396</v>
      </c>
      <c r="H95" s="319"/>
      <c r="I95" s="36"/>
      <c r="J95" s="319"/>
      <c r="K95" s="37"/>
      <c r="L95" s="37"/>
      <c r="M95" s="37"/>
      <c r="N95" s="37"/>
    </row>
    <row r="96" spans="2:69">
      <c r="B96" s="355"/>
      <c r="C96" s="355"/>
      <c r="D96" s="38" t="s">
        <v>13</v>
      </c>
      <c r="E96" s="319" t="s">
        <v>11</v>
      </c>
      <c r="F96" s="319">
        <v>0.39</v>
      </c>
      <c r="G96" s="319">
        <f>F96*G86</f>
        <v>84.376500000000007</v>
      </c>
      <c r="H96" s="319"/>
      <c r="I96" s="36"/>
      <c r="J96" s="319"/>
      <c r="K96" s="37"/>
      <c r="L96" s="37"/>
      <c r="M96" s="37"/>
      <c r="N96" s="37"/>
    </row>
    <row r="97" spans="2:14">
      <c r="B97" s="315"/>
      <c r="C97" s="315"/>
      <c r="D97" s="332" t="s">
        <v>506</v>
      </c>
      <c r="E97" s="319"/>
      <c r="F97" s="319"/>
      <c r="G97" s="319"/>
      <c r="H97" s="319"/>
      <c r="I97" s="36"/>
      <c r="J97" s="319"/>
      <c r="K97" s="37"/>
      <c r="L97" s="37"/>
      <c r="M97" s="37"/>
      <c r="N97" s="37"/>
    </row>
    <row r="98" spans="2:14" ht="25.5">
      <c r="B98" s="353">
        <v>20</v>
      </c>
      <c r="C98" s="347" t="s">
        <v>559</v>
      </c>
      <c r="D98" s="43" t="s">
        <v>558</v>
      </c>
      <c r="E98" s="332" t="s">
        <v>12</v>
      </c>
      <c r="F98" s="332"/>
      <c r="G98" s="332">
        <v>2.5</v>
      </c>
      <c r="H98" s="332"/>
      <c r="I98" s="36"/>
      <c r="J98" s="332"/>
      <c r="K98" s="37"/>
      <c r="L98" s="44"/>
      <c r="M98" s="37"/>
      <c r="N98" s="37"/>
    </row>
    <row r="99" spans="2:14">
      <c r="B99" s="354"/>
      <c r="C99" s="348"/>
      <c r="D99" s="46" t="s">
        <v>28</v>
      </c>
      <c r="E99" s="322" t="s">
        <v>10</v>
      </c>
      <c r="F99" s="322">
        <v>3</v>
      </c>
      <c r="G99" s="322">
        <f>F99*G98</f>
        <v>7.5</v>
      </c>
      <c r="H99" s="322"/>
      <c r="I99" s="36"/>
      <c r="J99" s="322"/>
      <c r="K99" s="37"/>
      <c r="L99" s="36"/>
      <c r="M99" s="37"/>
      <c r="N99" s="37"/>
    </row>
    <row r="100" spans="2:14">
      <c r="B100" s="354"/>
      <c r="C100" s="348"/>
      <c r="D100" s="46" t="s">
        <v>45</v>
      </c>
      <c r="E100" s="322" t="s">
        <v>12</v>
      </c>
      <c r="F100" s="322">
        <v>1.1200000000000001</v>
      </c>
      <c r="G100" s="322">
        <f>F100*G98</f>
        <v>2.8000000000000003</v>
      </c>
      <c r="H100" s="322"/>
      <c r="I100" s="36"/>
      <c r="J100" s="322"/>
      <c r="K100" s="37"/>
      <c r="L100" s="36"/>
      <c r="M100" s="37"/>
      <c r="N100" s="37"/>
    </row>
    <row r="101" spans="2:14">
      <c r="B101" s="355"/>
      <c r="C101" s="349"/>
      <c r="D101" s="46" t="s">
        <v>13</v>
      </c>
      <c r="E101" s="322" t="s">
        <v>11</v>
      </c>
      <c r="F101" s="322">
        <v>0.01</v>
      </c>
      <c r="G101" s="322">
        <f>F101*G98</f>
        <v>2.5000000000000001E-2</v>
      </c>
      <c r="H101" s="322"/>
      <c r="I101" s="36"/>
      <c r="J101" s="322"/>
      <c r="K101" s="37"/>
      <c r="L101" s="36"/>
      <c r="M101" s="37"/>
      <c r="N101" s="37"/>
    </row>
    <row r="102" spans="2:14" ht="25.5">
      <c r="B102" s="362">
        <v>22</v>
      </c>
      <c r="C102" s="367" t="s">
        <v>355</v>
      </c>
      <c r="D102" s="51" t="s">
        <v>507</v>
      </c>
      <c r="E102" s="52" t="s">
        <v>12</v>
      </c>
      <c r="F102" s="321"/>
      <c r="G102" s="52">
        <v>5.75</v>
      </c>
      <c r="H102" s="321"/>
      <c r="I102" s="36"/>
      <c r="J102" s="321"/>
      <c r="K102" s="36"/>
      <c r="L102" s="53"/>
      <c r="M102" s="36"/>
      <c r="N102" s="36"/>
    </row>
    <row r="103" spans="2:14">
      <c r="B103" s="363"/>
      <c r="C103" s="367"/>
      <c r="D103" s="54" t="s">
        <v>28</v>
      </c>
      <c r="E103" s="321" t="s">
        <v>10</v>
      </c>
      <c r="F103" s="321">
        <v>1.87</v>
      </c>
      <c r="G103" s="321">
        <f>F103*G102</f>
        <v>10.752500000000001</v>
      </c>
      <c r="H103" s="321"/>
      <c r="I103" s="36"/>
      <c r="J103" s="321"/>
      <c r="K103" s="36"/>
      <c r="L103" s="53"/>
      <c r="M103" s="36"/>
      <c r="N103" s="36"/>
    </row>
    <row r="104" spans="2:14">
      <c r="B104" s="363"/>
      <c r="C104" s="367"/>
      <c r="D104" s="38" t="s">
        <v>17</v>
      </c>
      <c r="E104" s="321" t="s">
        <v>11</v>
      </c>
      <c r="F104" s="321">
        <v>0.77</v>
      </c>
      <c r="G104" s="321">
        <f>F104*G102</f>
        <v>4.4275000000000002</v>
      </c>
      <c r="H104" s="321"/>
      <c r="I104" s="36"/>
      <c r="J104" s="321"/>
      <c r="K104" s="36"/>
      <c r="L104" s="53"/>
      <c r="M104" s="36"/>
      <c r="N104" s="36"/>
    </row>
    <row r="105" spans="2:14">
      <c r="B105" s="363"/>
      <c r="C105" s="367"/>
      <c r="D105" s="54" t="s">
        <v>356</v>
      </c>
      <c r="E105" s="321" t="s">
        <v>545</v>
      </c>
      <c r="F105" s="321">
        <f>101.5*0.01</f>
        <v>1.0150000000000001</v>
      </c>
      <c r="G105" s="321">
        <f>F105*G102</f>
        <v>5.8362500000000006</v>
      </c>
      <c r="H105" s="321"/>
      <c r="I105" s="36"/>
      <c r="J105" s="321"/>
      <c r="K105" s="36"/>
      <c r="L105" s="53"/>
      <c r="M105" s="36"/>
      <c r="N105" s="36"/>
    </row>
    <row r="106" spans="2:14">
      <c r="B106" s="363"/>
      <c r="C106" s="367"/>
      <c r="D106" s="54" t="s">
        <v>13</v>
      </c>
      <c r="E106" s="335" t="s">
        <v>11</v>
      </c>
      <c r="F106" s="320">
        <v>7.0000000000000001E-3</v>
      </c>
      <c r="G106" s="335">
        <f>F106*G102</f>
        <v>4.0250000000000001E-2</v>
      </c>
      <c r="H106" s="335"/>
      <c r="I106" s="36"/>
      <c r="J106" s="335"/>
      <c r="K106" s="36"/>
      <c r="L106" s="55"/>
      <c r="M106" s="36"/>
      <c r="N106" s="36"/>
    </row>
    <row r="107" spans="2:14">
      <c r="B107" s="363"/>
      <c r="C107" s="367"/>
      <c r="D107" s="35" t="s">
        <v>357</v>
      </c>
      <c r="E107" s="320" t="s">
        <v>20</v>
      </c>
      <c r="F107" s="320"/>
      <c r="G107" s="320">
        <v>0.17699999999999999</v>
      </c>
      <c r="H107" s="320"/>
      <c r="I107" s="56"/>
      <c r="J107" s="320"/>
      <c r="K107" s="56"/>
      <c r="L107" s="56"/>
      <c r="M107" s="56"/>
      <c r="N107" s="56"/>
    </row>
    <row r="108" spans="2:14">
      <c r="B108" s="364"/>
      <c r="C108" s="367"/>
      <c r="D108" s="35" t="s">
        <v>360</v>
      </c>
      <c r="E108" s="320" t="s">
        <v>20</v>
      </c>
      <c r="F108" s="320"/>
      <c r="G108" s="320">
        <f>21/1000</f>
        <v>2.1000000000000001E-2</v>
      </c>
      <c r="H108" s="320"/>
      <c r="I108" s="56"/>
      <c r="J108" s="320"/>
      <c r="K108" s="56"/>
      <c r="L108" s="56"/>
      <c r="M108" s="56"/>
      <c r="N108" s="56"/>
    </row>
    <row r="109" spans="2:14" ht="25.5">
      <c r="B109" s="362">
        <v>23</v>
      </c>
      <c r="C109" s="366" t="s">
        <v>152</v>
      </c>
      <c r="D109" s="34" t="s">
        <v>508</v>
      </c>
      <c r="E109" s="57" t="s">
        <v>12</v>
      </c>
      <c r="F109" s="57"/>
      <c r="G109" s="57">
        <v>1.26</v>
      </c>
      <c r="H109" s="320"/>
      <c r="I109" s="56"/>
      <c r="J109" s="320"/>
      <c r="K109" s="56"/>
      <c r="L109" s="58"/>
      <c r="M109" s="56"/>
      <c r="N109" s="59"/>
    </row>
    <row r="110" spans="2:14">
      <c r="B110" s="363"/>
      <c r="C110" s="366"/>
      <c r="D110" s="35" t="s">
        <v>8</v>
      </c>
      <c r="E110" s="320" t="s">
        <v>10</v>
      </c>
      <c r="F110" s="320">
        <v>7.08</v>
      </c>
      <c r="G110" s="320">
        <f>F110*G109</f>
        <v>8.9207999999999998</v>
      </c>
      <c r="H110" s="320"/>
      <c r="I110" s="56"/>
      <c r="J110" s="320"/>
      <c r="K110" s="56"/>
      <c r="L110" s="56"/>
      <c r="M110" s="56"/>
      <c r="N110" s="56"/>
    </row>
    <row r="111" spans="2:14">
      <c r="B111" s="363"/>
      <c r="C111" s="366"/>
      <c r="D111" s="35" t="s">
        <v>48</v>
      </c>
      <c r="E111" s="320" t="s">
        <v>11</v>
      </c>
      <c r="F111" s="320">
        <v>1.7</v>
      </c>
      <c r="G111" s="320">
        <f>F111*G109</f>
        <v>2.1419999999999999</v>
      </c>
      <c r="H111" s="320"/>
      <c r="I111" s="56"/>
      <c r="J111" s="320"/>
      <c r="K111" s="56"/>
      <c r="L111" s="56"/>
      <c r="M111" s="56"/>
      <c r="N111" s="56"/>
    </row>
    <row r="112" spans="2:14">
      <c r="B112" s="363"/>
      <c r="C112" s="366"/>
      <c r="D112" s="35" t="s">
        <v>359</v>
      </c>
      <c r="E112" s="320" t="s">
        <v>12</v>
      </c>
      <c r="F112" s="320">
        <v>1.0149999999999999</v>
      </c>
      <c r="G112" s="320">
        <f>F112*G109</f>
        <v>1.2788999999999999</v>
      </c>
      <c r="H112" s="320"/>
      <c r="I112" s="56"/>
      <c r="J112" s="320"/>
      <c r="K112" s="56"/>
      <c r="L112" s="56"/>
      <c r="M112" s="56"/>
      <c r="N112" s="56"/>
    </row>
    <row r="113" spans="2:14">
      <c r="B113" s="363"/>
      <c r="C113" s="366"/>
      <c r="D113" s="35" t="s">
        <v>357</v>
      </c>
      <c r="E113" s="320" t="s">
        <v>20</v>
      </c>
      <c r="F113" s="320"/>
      <c r="G113" s="320">
        <f>93/1000</f>
        <v>9.2999999999999999E-2</v>
      </c>
      <c r="H113" s="320"/>
      <c r="I113" s="56"/>
      <c r="J113" s="320"/>
      <c r="K113" s="56"/>
      <c r="L113" s="56"/>
      <c r="M113" s="56"/>
      <c r="N113" s="56"/>
    </row>
    <row r="114" spans="2:14">
      <c r="B114" s="363"/>
      <c r="C114" s="366"/>
      <c r="D114" s="35" t="s">
        <v>360</v>
      </c>
      <c r="E114" s="320" t="s">
        <v>20</v>
      </c>
      <c r="F114" s="320"/>
      <c r="G114" s="320">
        <f>45/1000</f>
        <v>4.4999999999999998E-2</v>
      </c>
      <c r="H114" s="320"/>
      <c r="I114" s="56"/>
      <c r="J114" s="320"/>
      <c r="K114" s="56"/>
      <c r="L114" s="56"/>
      <c r="M114" s="56"/>
      <c r="N114" s="56"/>
    </row>
    <row r="115" spans="2:14">
      <c r="B115" s="364"/>
      <c r="C115" s="366"/>
      <c r="D115" s="35" t="s">
        <v>13</v>
      </c>
      <c r="E115" s="320" t="s">
        <v>11</v>
      </c>
      <c r="F115" s="320">
        <v>0.21</v>
      </c>
      <c r="G115" s="320">
        <f>F115*G109</f>
        <v>0.2646</v>
      </c>
      <c r="H115" s="320"/>
      <c r="I115" s="56"/>
      <c r="J115" s="320"/>
      <c r="K115" s="56"/>
      <c r="L115" s="56"/>
      <c r="M115" s="56"/>
      <c r="N115" s="56"/>
    </row>
    <row r="116" spans="2:14" ht="25.5">
      <c r="B116" s="362">
        <v>24</v>
      </c>
      <c r="C116" s="366" t="s">
        <v>53</v>
      </c>
      <c r="D116" s="43" t="s">
        <v>509</v>
      </c>
      <c r="E116" s="57" t="s">
        <v>12</v>
      </c>
      <c r="F116" s="57"/>
      <c r="G116" s="57">
        <v>2.9</v>
      </c>
      <c r="H116" s="320"/>
      <c r="I116" s="56"/>
      <c r="J116" s="320"/>
      <c r="K116" s="56"/>
      <c r="L116" s="58"/>
      <c r="M116" s="56"/>
      <c r="N116" s="59"/>
    </row>
    <row r="117" spans="2:14">
      <c r="B117" s="363"/>
      <c r="C117" s="366"/>
      <c r="D117" s="35" t="s">
        <v>8</v>
      </c>
      <c r="E117" s="320" t="s">
        <v>10</v>
      </c>
      <c r="F117" s="320">
        <v>8.4</v>
      </c>
      <c r="G117" s="320">
        <f>F117*G116</f>
        <v>24.36</v>
      </c>
      <c r="H117" s="320"/>
      <c r="I117" s="56"/>
      <c r="J117" s="320"/>
      <c r="K117" s="56"/>
      <c r="L117" s="56"/>
      <c r="M117" s="56"/>
      <c r="N117" s="56"/>
    </row>
    <row r="118" spans="2:14">
      <c r="B118" s="363"/>
      <c r="C118" s="366"/>
      <c r="D118" s="35" t="s">
        <v>48</v>
      </c>
      <c r="E118" s="320" t="s">
        <v>11</v>
      </c>
      <c r="F118" s="320">
        <v>0.81</v>
      </c>
      <c r="G118" s="320">
        <f>F118*G116</f>
        <v>2.3490000000000002</v>
      </c>
      <c r="H118" s="320"/>
      <c r="I118" s="56"/>
      <c r="J118" s="320"/>
      <c r="K118" s="56"/>
      <c r="L118" s="56"/>
      <c r="M118" s="56"/>
      <c r="N118" s="56"/>
    </row>
    <row r="119" spans="2:14">
      <c r="B119" s="363"/>
      <c r="C119" s="366"/>
      <c r="D119" s="35" t="s">
        <v>359</v>
      </c>
      <c r="E119" s="320" t="s">
        <v>12</v>
      </c>
      <c r="F119" s="320">
        <v>1.0149999999999999</v>
      </c>
      <c r="G119" s="320">
        <f>F119*G116</f>
        <v>2.9434999999999998</v>
      </c>
      <c r="H119" s="320"/>
      <c r="I119" s="56"/>
      <c r="J119" s="320"/>
      <c r="K119" s="56"/>
      <c r="L119" s="56"/>
      <c r="M119" s="56"/>
      <c r="N119" s="56"/>
    </row>
    <row r="120" spans="2:14">
      <c r="B120" s="363"/>
      <c r="C120" s="366"/>
      <c r="D120" s="35" t="s">
        <v>357</v>
      </c>
      <c r="E120" s="320" t="s">
        <v>20</v>
      </c>
      <c r="F120" s="320"/>
      <c r="G120" s="320">
        <v>0.35</v>
      </c>
      <c r="H120" s="320"/>
      <c r="I120" s="56"/>
      <c r="J120" s="320"/>
      <c r="K120" s="56"/>
      <c r="L120" s="56"/>
      <c r="M120" s="56"/>
      <c r="N120" s="56"/>
    </row>
    <row r="121" spans="2:14">
      <c r="B121" s="363"/>
      <c r="C121" s="366"/>
      <c r="D121" s="35" t="s">
        <v>360</v>
      </c>
      <c r="E121" s="320" t="s">
        <v>20</v>
      </c>
      <c r="F121" s="320"/>
      <c r="G121" s="320">
        <f>35/1000</f>
        <v>3.5000000000000003E-2</v>
      </c>
      <c r="H121" s="320"/>
      <c r="I121" s="56"/>
      <c r="J121" s="320"/>
      <c r="K121" s="56"/>
      <c r="L121" s="56"/>
      <c r="M121" s="56"/>
      <c r="N121" s="56"/>
    </row>
    <row r="122" spans="2:14">
      <c r="B122" s="364"/>
      <c r="C122" s="366"/>
      <c r="D122" s="35" t="s">
        <v>13</v>
      </c>
      <c r="E122" s="320" t="s">
        <v>11</v>
      </c>
      <c r="F122" s="320">
        <v>0.39</v>
      </c>
      <c r="G122" s="320">
        <f>F122*G116</f>
        <v>1.131</v>
      </c>
      <c r="H122" s="320"/>
      <c r="I122" s="56"/>
      <c r="J122" s="320"/>
      <c r="K122" s="56"/>
      <c r="L122" s="56"/>
      <c r="M122" s="56"/>
      <c r="N122" s="56"/>
    </row>
    <row r="123" spans="2:14" ht="38.25">
      <c r="B123" s="362">
        <v>25</v>
      </c>
      <c r="C123" s="366" t="s">
        <v>510</v>
      </c>
      <c r="D123" s="34" t="s">
        <v>511</v>
      </c>
      <c r="E123" s="57" t="s">
        <v>12</v>
      </c>
      <c r="F123" s="57"/>
      <c r="G123" s="57">
        <v>1.1200000000000001</v>
      </c>
      <c r="H123" s="320"/>
      <c r="I123" s="56"/>
      <c r="J123" s="320"/>
      <c r="K123" s="56"/>
      <c r="L123" s="58"/>
      <c r="M123" s="56"/>
      <c r="N123" s="59"/>
    </row>
    <row r="124" spans="2:14">
      <c r="B124" s="363"/>
      <c r="C124" s="366"/>
      <c r="D124" s="35" t="s">
        <v>8</v>
      </c>
      <c r="E124" s="320" t="s">
        <v>10</v>
      </c>
      <c r="F124" s="320">
        <v>14.7</v>
      </c>
      <c r="G124" s="320">
        <f>F124*G123</f>
        <v>16.464000000000002</v>
      </c>
      <c r="H124" s="320"/>
      <c r="I124" s="56"/>
      <c r="J124" s="320"/>
      <c r="K124" s="56"/>
      <c r="L124" s="56"/>
      <c r="M124" s="56"/>
      <c r="N124" s="56"/>
    </row>
    <row r="125" spans="2:14">
      <c r="B125" s="363"/>
      <c r="C125" s="366"/>
      <c r="D125" s="35" t="s">
        <v>48</v>
      </c>
      <c r="E125" s="320" t="s">
        <v>11</v>
      </c>
      <c r="F125" s="320">
        <v>1.21</v>
      </c>
      <c r="G125" s="320">
        <f>F125*G123</f>
        <v>1.3552000000000002</v>
      </c>
      <c r="H125" s="320"/>
      <c r="I125" s="56"/>
      <c r="J125" s="320"/>
      <c r="K125" s="56"/>
      <c r="L125" s="56"/>
      <c r="M125" s="56"/>
      <c r="N125" s="56"/>
    </row>
    <row r="126" spans="2:14">
      <c r="B126" s="363"/>
      <c r="C126" s="366"/>
      <c r="D126" s="35" t="s">
        <v>359</v>
      </c>
      <c r="E126" s="320" t="s">
        <v>12</v>
      </c>
      <c r="F126" s="320">
        <v>1</v>
      </c>
      <c r="G126" s="320">
        <f>F126*G123</f>
        <v>1.1200000000000001</v>
      </c>
      <c r="H126" s="320"/>
      <c r="I126" s="56"/>
      <c r="J126" s="320"/>
      <c r="K126" s="56"/>
      <c r="L126" s="56"/>
      <c r="M126" s="56"/>
      <c r="N126" s="56"/>
    </row>
    <row r="127" spans="2:14">
      <c r="B127" s="363"/>
      <c r="C127" s="366"/>
      <c r="D127" s="35" t="s">
        <v>357</v>
      </c>
      <c r="E127" s="320" t="s">
        <v>20</v>
      </c>
      <c r="F127" s="320"/>
      <c r="G127" s="320">
        <v>0.17</v>
      </c>
      <c r="H127" s="320"/>
      <c r="I127" s="56"/>
      <c r="J127" s="320"/>
      <c r="K127" s="56"/>
      <c r="L127" s="56"/>
      <c r="M127" s="56"/>
      <c r="N127" s="56"/>
    </row>
    <row r="128" spans="2:14">
      <c r="B128" s="363"/>
      <c r="C128" s="366"/>
      <c r="D128" s="35" t="s">
        <v>360</v>
      </c>
      <c r="E128" s="320" t="s">
        <v>20</v>
      </c>
      <c r="F128" s="320"/>
      <c r="G128" s="320">
        <v>0.107</v>
      </c>
      <c r="H128" s="320"/>
      <c r="I128" s="56"/>
      <c r="J128" s="320"/>
      <c r="K128" s="56"/>
      <c r="L128" s="56"/>
      <c r="M128" s="56"/>
      <c r="N128" s="56"/>
    </row>
    <row r="129" spans="2:14">
      <c r="B129" s="364"/>
      <c r="C129" s="366"/>
      <c r="D129" s="35" t="s">
        <v>13</v>
      </c>
      <c r="E129" s="320" t="s">
        <v>11</v>
      </c>
      <c r="F129" s="320">
        <v>0.9</v>
      </c>
      <c r="G129" s="320">
        <f>F129*G123</f>
        <v>1.0080000000000002</v>
      </c>
      <c r="H129" s="320"/>
      <c r="I129" s="56"/>
      <c r="J129" s="320"/>
      <c r="K129" s="56"/>
      <c r="L129" s="56"/>
      <c r="M129" s="56"/>
      <c r="N129" s="56"/>
    </row>
    <row r="130" spans="2:14" ht="25.5">
      <c r="B130" s="362">
        <v>26</v>
      </c>
      <c r="C130" s="367" t="s">
        <v>358</v>
      </c>
      <c r="D130" s="51" t="s">
        <v>512</v>
      </c>
      <c r="E130" s="52" t="s">
        <v>12</v>
      </c>
      <c r="F130" s="321"/>
      <c r="G130" s="52">
        <v>1.01</v>
      </c>
      <c r="H130" s="321"/>
      <c r="I130" s="36"/>
      <c r="J130" s="321"/>
      <c r="K130" s="36"/>
      <c r="L130" s="53"/>
      <c r="M130" s="36"/>
      <c r="N130" s="36"/>
    </row>
    <row r="131" spans="2:14">
      <c r="B131" s="363"/>
      <c r="C131" s="367"/>
      <c r="D131" s="54" t="s">
        <v>28</v>
      </c>
      <c r="E131" s="321" t="s">
        <v>10</v>
      </c>
      <c r="F131" s="321">
        <v>9.9</v>
      </c>
      <c r="G131" s="321">
        <f>F131*G130</f>
        <v>9.9990000000000006</v>
      </c>
      <c r="H131" s="321"/>
      <c r="I131" s="36"/>
      <c r="J131" s="321"/>
      <c r="K131" s="36"/>
      <c r="L131" s="53"/>
      <c r="M131" s="36"/>
      <c r="N131" s="36"/>
    </row>
    <row r="132" spans="2:14">
      <c r="B132" s="363"/>
      <c r="C132" s="367"/>
      <c r="D132" s="38" t="s">
        <v>17</v>
      </c>
      <c r="E132" s="321" t="s">
        <v>11</v>
      </c>
      <c r="F132" s="321">
        <v>1.35</v>
      </c>
      <c r="G132" s="321">
        <f>F132*G130</f>
        <v>1.3635000000000002</v>
      </c>
      <c r="H132" s="321"/>
      <c r="I132" s="36"/>
      <c r="J132" s="321"/>
      <c r="K132" s="36"/>
      <c r="L132" s="53"/>
      <c r="M132" s="36"/>
      <c r="N132" s="36"/>
    </row>
    <row r="133" spans="2:14">
      <c r="B133" s="363"/>
      <c r="C133" s="367"/>
      <c r="D133" s="54" t="s">
        <v>356</v>
      </c>
      <c r="E133" s="321" t="s">
        <v>545</v>
      </c>
      <c r="F133" s="321">
        <f>101.5*0.01</f>
        <v>1.0150000000000001</v>
      </c>
      <c r="G133" s="321">
        <f>F133*G130</f>
        <v>1.0251500000000002</v>
      </c>
      <c r="H133" s="321"/>
      <c r="I133" s="36"/>
      <c r="J133" s="321"/>
      <c r="K133" s="36"/>
      <c r="L133" s="53"/>
      <c r="M133" s="36"/>
      <c r="N133" s="36"/>
    </row>
    <row r="134" spans="2:14">
      <c r="B134" s="364"/>
      <c r="C134" s="367"/>
      <c r="D134" s="35" t="s">
        <v>357</v>
      </c>
      <c r="E134" s="320" t="s">
        <v>20</v>
      </c>
      <c r="F134" s="320"/>
      <c r="G134" s="320">
        <f>52/1000</f>
        <v>5.1999999999999998E-2</v>
      </c>
      <c r="H134" s="320"/>
      <c r="I134" s="56"/>
      <c r="J134" s="320"/>
      <c r="K134" s="56"/>
      <c r="L134" s="56"/>
      <c r="M134" s="56"/>
      <c r="N134" s="56"/>
    </row>
    <row r="135" spans="2:14" ht="25.5">
      <c r="B135" s="362">
        <v>68</v>
      </c>
      <c r="C135" s="387" t="s">
        <v>514</v>
      </c>
      <c r="D135" s="60" t="s">
        <v>515</v>
      </c>
      <c r="E135" s="61" t="s">
        <v>21</v>
      </c>
      <c r="F135" s="62"/>
      <c r="G135" s="61">
        <v>18.239999999999998</v>
      </c>
      <c r="H135" s="61"/>
      <c r="I135" s="63"/>
      <c r="J135" s="61"/>
      <c r="K135" s="63"/>
      <c r="L135" s="63"/>
      <c r="M135" s="63"/>
      <c r="N135" s="63"/>
    </row>
    <row r="136" spans="2:14">
      <c r="B136" s="363"/>
      <c r="C136" s="387"/>
      <c r="D136" s="64" t="s">
        <v>28</v>
      </c>
      <c r="E136" s="323" t="s">
        <v>10</v>
      </c>
      <c r="F136" s="323">
        <v>0.32800000000000001</v>
      </c>
      <c r="G136" s="323">
        <f>F136*G135</f>
        <v>5.9827199999999996</v>
      </c>
      <c r="H136" s="323"/>
      <c r="I136" s="65"/>
      <c r="J136" s="323"/>
      <c r="K136" s="65"/>
      <c r="L136" s="65"/>
      <c r="M136" s="65"/>
      <c r="N136" s="65"/>
    </row>
    <row r="137" spans="2:14">
      <c r="B137" s="363"/>
      <c r="C137" s="387"/>
      <c r="D137" s="64" t="s">
        <v>9</v>
      </c>
      <c r="E137" s="323" t="s">
        <v>11</v>
      </c>
      <c r="F137" s="323">
        <v>2.63E-2</v>
      </c>
      <c r="G137" s="323">
        <f>F137*G135</f>
        <v>0.47971199999999997</v>
      </c>
      <c r="H137" s="323"/>
      <c r="I137" s="65"/>
      <c r="J137" s="323"/>
      <c r="K137" s="65"/>
      <c r="L137" s="65"/>
      <c r="M137" s="65"/>
      <c r="N137" s="65"/>
    </row>
    <row r="138" spans="2:14">
      <c r="B138" s="363"/>
      <c r="C138" s="387"/>
      <c r="D138" s="64" t="s">
        <v>516</v>
      </c>
      <c r="E138" s="323" t="s">
        <v>21</v>
      </c>
      <c r="F138" s="323">
        <v>1.23</v>
      </c>
      <c r="G138" s="323">
        <f>G135*F139</f>
        <v>22.435199999999998</v>
      </c>
      <c r="H138" s="323"/>
      <c r="I138" s="65"/>
      <c r="J138" s="323"/>
      <c r="K138" s="65"/>
      <c r="L138" s="65"/>
      <c r="M138" s="65"/>
      <c r="N138" s="65"/>
    </row>
    <row r="139" spans="2:14">
      <c r="B139" s="363"/>
      <c r="C139" s="387"/>
      <c r="D139" s="64" t="s">
        <v>517</v>
      </c>
      <c r="E139" s="323" t="s">
        <v>21</v>
      </c>
      <c r="F139" s="323">
        <v>1.23</v>
      </c>
      <c r="G139" s="323">
        <f>F139*G135</f>
        <v>22.435199999999998</v>
      </c>
      <c r="H139" s="323"/>
      <c r="I139" s="65"/>
      <c r="J139" s="323"/>
      <c r="K139" s="65"/>
      <c r="L139" s="65"/>
      <c r="M139" s="65"/>
      <c r="N139" s="65"/>
    </row>
    <row r="140" spans="2:14">
      <c r="B140" s="363"/>
      <c r="C140" s="387"/>
      <c r="D140" s="64" t="s">
        <v>518</v>
      </c>
      <c r="E140" s="323" t="s">
        <v>30</v>
      </c>
      <c r="F140" s="323">
        <v>0.2</v>
      </c>
      <c r="G140" s="323">
        <f>F140*G135</f>
        <v>3.6479999999999997</v>
      </c>
      <c r="H140" s="323"/>
      <c r="I140" s="65"/>
      <c r="J140" s="323"/>
      <c r="K140" s="65"/>
      <c r="L140" s="65"/>
      <c r="M140" s="65"/>
      <c r="N140" s="65"/>
    </row>
    <row r="141" spans="2:14">
      <c r="B141" s="364"/>
      <c r="C141" s="387"/>
      <c r="D141" s="64" t="s">
        <v>13</v>
      </c>
      <c r="E141" s="323" t="s">
        <v>11</v>
      </c>
      <c r="F141" s="323">
        <v>2.53E-2</v>
      </c>
      <c r="G141" s="323">
        <f>F141*G135</f>
        <v>0.46147199999999994</v>
      </c>
      <c r="H141" s="323"/>
      <c r="I141" s="65"/>
      <c r="J141" s="323"/>
      <c r="K141" s="65"/>
      <c r="L141" s="65"/>
      <c r="M141" s="65"/>
      <c r="N141" s="65"/>
    </row>
    <row r="142" spans="2:14" ht="25.5">
      <c r="B142" s="362">
        <v>27</v>
      </c>
      <c r="C142" s="386" t="s">
        <v>228</v>
      </c>
      <c r="D142" s="66" t="s">
        <v>513</v>
      </c>
      <c r="E142" s="319" t="s">
        <v>12</v>
      </c>
      <c r="F142" s="67"/>
      <c r="G142" s="330">
        <v>2.73</v>
      </c>
      <c r="H142" s="68"/>
      <c r="I142" s="36"/>
      <c r="J142" s="319"/>
      <c r="K142" s="36"/>
      <c r="L142" s="69"/>
      <c r="M142" s="36"/>
      <c r="N142" s="36"/>
    </row>
    <row r="143" spans="2:14" ht="25.5">
      <c r="B143" s="363"/>
      <c r="C143" s="386"/>
      <c r="D143" s="70" t="s">
        <v>8</v>
      </c>
      <c r="E143" s="322" t="s">
        <v>229</v>
      </c>
      <c r="F143" s="322">
        <v>2.9</v>
      </c>
      <c r="G143" s="322">
        <f>F143*G142</f>
        <v>7.9169999999999998</v>
      </c>
      <c r="H143" s="322"/>
      <c r="I143" s="36"/>
      <c r="J143" s="322"/>
      <c r="K143" s="36"/>
      <c r="L143" s="69"/>
      <c r="M143" s="36"/>
      <c r="N143" s="36"/>
    </row>
    <row r="144" spans="2:14">
      <c r="B144" s="363"/>
      <c r="C144" s="386"/>
      <c r="D144" s="71" t="s">
        <v>359</v>
      </c>
      <c r="E144" s="319" t="s">
        <v>217</v>
      </c>
      <c r="F144" s="319">
        <v>1.02</v>
      </c>
      <c r="G144" s="319">
        <f>F144*G142</f>
        <v>2.7846000000000002</v>
      </c>
      <c r="H144" s="68"/>
      <c r="I144" s="36"/>
      <c r="J144" s="319"/>
      <c r="K144" s="36"/>
      <c r="L144" s="69"/>
      <c r="M144" s="36"/>
      <c r="N144" s="36"/>
    </row>
    <row r="145" spans="2:14">
      <c r="B145" s="364"/>
      <c r="C145" s="386"/>
      <c r="D145" s="72" t="s">
        <v>13</v>
      </c>
      <c r="E145" s="319" t="s">
        <v>11</v>
      </c>
      <c r="F145" s="319">
        <v>0.88</v>
      </c>
      <c r="G145" s="319">
        <f>F145*G142</f>
        <v>2.4024000000000001</v>
      </c>
      <c r="H145" s="68"/>
      <c r="I145" s="36"/>
      <c r="J145" s="319"/>
      <c r="K145" s="36"/>
      <c r="L145" s="69"/>
      <c r="M145" s="36"/>
      <c r="N145" s="36"/>
    </row>
    <row r="146" spans="2:14" ht="25.5">
      <c r="B146" s="353">
        <v>28</v>
      </c>
      <c r="C146" s="347" t="s">
        <v>32</v>
      </c>
      <c r="D146" s="43" t="s">
        <v>467</v>
      </c>
      <c r="E146" s="332" t="s">
        <v>12</v>
      </c>
      <c r="F146" s="332"/>
      <c r="G146" s="332">
        <v>11.24</v>
      </c>
      <c r="H146" s="332"/>
      <c r="I146" s="36"/>
      <c r="J146" s="332"/>
      <c r="K146" s="37"/>
      <c r="L146" s="44"/>
      <c r="M146" s="37"/>
      <c r="N146" s="37"/>
    </row>
    <row r="147" spans="2:14">
      <c r="B147" s="354"/>
      <c r="C147" s="348"/>
      <c r="D147" s="46" t="s">
        <v>28</v>
      </c>
      <c r="E147" s="322" t="s">
        <v>10</v>
      </c>
      <c r="F147" s="322">
        <v>3.36</v>
      </c>
      <c r="G147" s="322">
        <f>F147*G146</f>
        <v>37.766399999999997</v>
      </c>
      <c r="H147" s="322"/>
      <c r="I147" s="36"/>
      <c r="J147" s="322"/>
      <c r="K147" s="37"/>
      <c r="L147" s="36"/>
      <c r="M147" s="37"/>
      <c r="N147" s="37"/>
    </row>
    <row r="148" spans="2:14">
      <c r="B148" s="354"/>
      <c r="C148" s="348"/>
      <c r="D148" s="46" t="s">
        <v>9</v>
      </c>
      <c r="E148" s="322" t="s">
        <v>11</v>
      </c>
      <c r="F148" s="322">
        <v>0.92</v>
      </c>
      <c r="G148" s="322">
        <f>F148*G146</f>
        <v>10.3408</v>
      </c>
      <c r="H148" s="322"/>
      <c r="I148" s="36"/>
      <c r="J148" s="322"/>
      <c r="K148" s="37"/>
      <c r="L148" s="36"/>
      <c r="M148" s="37"/>
      <c r="N148" s="37"/>
    </row>
    <row r="149" spans="2:14">
      <c r="B149" s="354"/>
      <c r="C149" s="348"/>
      <c r="D149" s="46" t="s">
        <v>56</v>
      </c>
      <c r="E149" s="322" t="s">
        <v>26</v>
      </c>
      <c r="F149" s="322">
        <v>65.37</v>
      </c>
      <c r="G149" s="322">
        <v>735</v>
      </c>
      <c r="H149" s="322"/>
      <c r="I149" s="36"/>
      <c r="J149" s="322"/>
      <c r="K149" s="37"/>
      <c r="L149" s="36"/>
      <c r="M149" s="37"/>
      <c r="N149" s="37"/>
    </row>
    <row r="150" spans="2:14">
      <c r="B150" s="354"/>
      <c r="C150" s="348"/>
      <c r="D150" s="46" t="s">
        <v>33</v>
      </c>
      <c r="E150" s="322" t="s">
        <v>12</v>
      </c>
      <c r="F150" s="322">
        <v>0.11</v>
      </c>
      <c r="G150" s="322">
        <f>F150*G146</f>
        <v>1.2363999999999999</v>
      </c>
      <c r="H150" s="322"/>
      <c r="I150" s="36"/>
      <c r="J150" s="322"/>
      <c r="K150" s="37"/>
      <c r="L150" s="36"/>
      <c r="M150" s="37"/>
      <c r="N150" s="37"/>
    </row>
    <row r="151" spans="2:14">
      <c r="B151" s="355"/>
      <c r="C151" s="349"/>
      <c r="D151" s="46" t="s">
        <v>13</v>
      </c>
      <c r="E151" s="322" t="s">
        <v>11</v>
      </c>
      <c r="F151" s="322">
        <v>0.16</v>
      </c>
      <c r="G151" s="322">
        <f>F151*G146</f>
        <v>1.7984</v>
      </c>
      <c r="H151" s="322"/>
      <c r="I151" s="36"/>
      <c r="J151" s="322"/>
      <c r="K151" s="37"/>
      <c r="L151" s="36"/>
      <c r="M151" s="37"/>
      <c r="N151" s="37"/>
    </row>
    <row r="152" spans="2:14">
      <c r="B152" s="353">
        <v>32</v>
      </c>
      <c r="C152" s="353" t="s">
        <v>100</v>
      </c>
      <c r="D152" s="66" t="s">
        <v>161</v>
      </c>
      <c r="E152" s="332" t="s">
        <v>21</v>
      </c>
      <c r="F152" s="322"/>
      <c r="G152" s="330">
        <v>3.96</v>
      </c>
      <c r="H152" s="73"/>
      <c r="I152" s="36"/>
      <c r="J152" s="73"/>
      <c r="K152" s="37"/>
      <c r="L152" s="74"/>
      <c r="M152" s="37"/>
      <c r="N152" s="37"/>
    </row>
    <row r="153" spans="2:14">
      <c r="B153" s="354"/>
      <c r="C153" s="354"/>
      <c r="D153" s="38" t="s">
        <v>90</v>
      </c>
      <c r="E153" s="322" t="s">
        <v>10</v>
      </c>
      <c r="F153" s="322">
        <v>1.1100000000000001</v>
      </c>
      <c r="G153" s="322">
        <f t="shared" ref="G153" si="4">F153*G152</f>
        <v>4.3956</v>
      </c>
      <c r="H153" s="225"/>
      <c r="I153" s="36"/>
      <c r="J153" s="225"/>
      <c r="K153" s="37"/>
      <c r="L153" s="49"/>
      <c r="M153" s="37"/>
      <c r="N153" s="37"/>
    </row>
    <row r="154" spans="2:14">
      <c r="B154" s="354"/>
      <c r="C154" s="354"/>
      <c r="D154" s="46" t="s">
        <v>162</v>
      </c>
      <c r="E154" s="322" t="s">
        <v>21</v>
      </c>
      <c r="F154" s="322"/>
      <c r="G154" s="322">
        <f>G152</f>
        <v>3.96</v>
      </c>
      <c r="H154" s="225"/>
      <c r="I154" s="36"/>
      <c r="J154" s="225"/>
      <c r="K154" s="37"/>
      <c r="L154" s="49"/>
      <c r="M154" s="37"/>
      <c r="N154" s="37"/>
    </row>
    <row r="155" spans="2:14">
      <c r="B155" s="354"/>
      <c r="C155" s="354"/>
      <c r="D155" s="46" t="s">
        <v>9</v>
      </c>
      <c r="E155" s="322" t="s">
        <v>11</v>
      </c>
      <c r="F155" s="322">
        <v>0.51600000000000001</v>
      </c>
      <c r="G155" s="322">
        <f>F155*G152</f>
        <v>2.0433599999999998</v>
      </c>
      <c r="H155" s="322"/>
      <c r="I155" s="36"/>
      <c r="J155" s="322"/>
      <c r="K155" s="37"/>
      <c r="L155" s="36"/>
      <c r="M155" s="37"/>
      <c r="N155" s="37"/>
    </row>
    <row r="156" spans="2:14">
      <c r="B156" s="354"/>
      <c r="C156" s="354"/>
      <c r="D156" s="38" t="s">
        <v>13</v>
      </c>
      <c r="E156" s="322" t="s">
        <v>11</v>
      </c>
      <c r="F156" s="322">
        <v>5.3999999999999999E-2</v>
      </c>
      <c r="G156" s="322">
        <f>G152*F156</f>
        <v>0.21384</v>
      </c>
      <c r="H156" s="225"/>
      <c r="I156" s="36"/>
      <c r="J156" s="225"/>
      <c r="K156" s="37"/>
      <c r="L156" s="75"/>
      <c r="M156" s="37"/>
      <c r="N156" s="37"/>
    </row>
    <row r="157" spans="2:14">
      <c r="B157" s="355"/>
      <c r="C157" s="355"/>
      <c r="D157" s="38" t="s">
        <v>35</v>
      </c>
      <c r="E157" s="322" t="s">
        <v>30</v>
      </c>
      <c r="F157" s="322">
        <v>4.8000000000000001E-2</v>
      </c>
      <c r="G157" s="322">
        <f>G152*F157</f>
        <v>0.19008</v>
      </c>
      <c r="H157" s="225"/>
      <c r="I157" s="36"/>
      <c r="J157" s="225"/>
      <c r="K157" s="37"/>
      <c r="L157" s="75"/>
      <c r="M157" s="37"/>
      <c r="N157" s="37"/>
    </row>
    <row r="158" spans="2:14" ht="25.5">
      <c r="B158" s="353"/>
      <c r="C158" s="347" t="s">
        <v>186</v>
      </c>
      <c r="D158" s="43" t="s">
        <v>164</v>
      </c>
      <c r="E158" s="332" t="s">
        <v>21</v>
      </c>
      <c r="F158" s="332"/>
      <c r="G158" s="44">
        <v>114</v>
      </c>
      <c r="H158" s="332"/>
      <c r="I158" s="36"/>
      <c r="J158" s="332"/>
      <c r="K158" s="37"/>
      <c r="L158" s="44"/>
      <c r="M158" s="37"/>
      <c r="N158" s="37"/>
    </row>
    <row r="159" spans="2:14">
      <c r="B159" s="354"/>
      <c r="C159" s="348"/>
      <c r="D159" s="46" t="s">
        <v>28</v>
      </c>
      <c r="E159" s="322" t="s">
        <v>10</v>
      </c>
      <c r="F159" s="322">
        <v>0.57399999999999995</v>
      </c>
      <c r="G159" s="322">
        <f>F159*G158</f>
        <v>65.435999999999993</v>
      </c>
      <c r="H159" s="322"/>
      <c r="I159" s="36"/>
      <c r="J159" s="322"/>
      <c r="K159" s="37"/>
      <c r="L159" s="36"/>
      <c r="M159" s="37"/>
      <c r="N159" s="37"/>
    </row>
    <row r="160" spans="2:14">
      <c r="B160" s="354"/>
      <c r="C160" s="348"/>
      <c r="D160" s="46" t="s">
        <v>9</v>
      </c>
      <c r="E160" s="322" t="s">
        <v>11</v>
      </c>
      <c r="F160" s="322">
        <f>2.1/100</f>
        <v>2.1000000000000001E-2</v>
      </c>
      <c r="G160" s="322">
        <f>F160*G158</f>
        <v>2.3940000000000001</v>
      </c>
      <c r="H160" s="322"/>
      <c r="I160" s="36"/>
      <c r="J160" s="322"/>
      <c r="K160" s="37"/>
      <c r="L160" s="36"/>
      <c r="M160" s="37"/>
      <c r="N160" s="37"/>
    </row>
    <row r="161" spans="2:69">
      <c r="B161" s="354"/>
      <c r="C161" s="348"/>
      <c r="D161" s="46" t="s">
        <v>39</v>
      </c>
      <c r="E161" s="322" t="s">
        <v>12</v>
      </c>
      <c r="F161" s="322">
        <f>1.89/100</f>
        <v>1.89E-2</v>
      </c>
      <c r="G161" s="322">
        <f>F161*G158</f>
        <v>2.1545999999999998</v>
      </c>
      <c r="H161" s="322"/>
      <c r="I161" s="36"/>
      <c r="J161" s="322"/>
      <c r="K161" s="37"/>
      <c r="L161" s="36"/>
      <c r="M161" s="37"/>
      <c r="N161" s="37"/>
    </row>
    <row r="162" spans="2:69">
      <c r="B162" s="353"/>
      <c r="C162" s="347" t="s">
        <v>231</v>
      </c>
      <c r="D162" s="43" t="s">
        <v>565</v>
      </c>
      <c r="E162" s="332" t="s">
        <v>21</v>
      </c>
      <c r="F162" s="332"/>
      <c r="G162" s="332">
        <v>1.24</v>
      </c>
      <c r="H162" s="332"/>
      <c r="I162" s="36"/>
      <c r="J162" s="332"/>
      <c r="K162" s="37"/>
      <c r="L162" s="44"/>
      <c r="M162" s="37"/>
      <c r="N162" s="37"/>
    </row>
    <row r="163" spans="2:69">
      <c r="B163" s="354"/>
      <c r="C163" s="348"/>
      <c r="D163" s="46" t="s">
        <v>28</v>
      </c>
      <c r="E163" s="322" t="s">
        <v>10</v>
      </c>
      <c r="F163" s="322">
        <v>0.49</v>
      </c>
      <c r="G163" s="322">
        <f>F163*G162</f>
        <v>0.60760000000000003</v>
      </c>
      <c r="H163" s="322"/>
      <c r="I163" s="36"/>
      <c r="J163" s="322"/>
      <c r="K163" s="37"/>
      <c r="L163" s="36"/>
      <c r="M163" s="37"/>
      <c r="N163" s="37"/>
    </row>
    <row r="164" spans="2:69">
      <c r="B164" s="354"/>
      <c r="C164" s="348"/>
      <c r="D164" s="46" t="s">
        <v>9</v>
      </c>
      <c r="E164" s="322" t="s">
        <v>11</v>
      </c>
      <c r="F164" s="322">
        <f>1.8/100</f>
        <v>1.8000000000000002E-2</v>
      </c>
      <c r="G164" s="322">
        <f>F164*G162</f>
        <v>2.2320000000000003E-2</v>
      </c>
      <c r="H164" s="322"/>
      <c r="I164" s="36"/>
      <c r="J164" s="322"/>
      <c r="K164" s="37"/>
      <c r="L164" s="36"/>
      <c r="M164" s="37"/>
      <c r="N164" s="37"/>
    </row>
    <row r="165" spans="2:69">
      <c r="B165" s="354"/>
      <c r="C165" s="348"/>
      <c r="D165" s="46" t="s">
        <v>39</v>
      </c>
      <c r="E165" s="322" t="s">
        <v>12</v>
      </c>
      <c r="F165" s="322">
        <f>1.06/100</f>
        <v>1.06E-2</v>
      </c>
      <c r="G165" s="322">
        <f>F165*G162</f>
        <v>1.3143999999999999E-2</v>
      </c>
      <c r="H165" s="322"/>
      <c r="I165" s="36"/>
      <c r="J165" s="322"/>
      <c r="K165" s="37"/>
      <c r="L165" s="36"/>
      <c r="M165" s="37"/>
      <c r="N165" s="37"/>
    </row>
    <row r="166" spans="2:69">
      <c r="B166" s="355"/>
      <c r="C166" s="349"/>
      <c r="D166" s="46" t="s">
        <v>13</v>
      </c>
      <c r="E166" s="322" t="s">
        <v>11</v>
      </c>
      <c r="F166" s="322">
        <v>3.0000000000000001E-3</v>
      </c>
      <c r="G166" s="322">
        <f>F166*G162</f>
        <v>3.7200000000000002E-3</v>
      </c>
      <c r="H166" s="322"/>
      <c r="I166" s="36"/>
      <c r="J166" s="322"/>
      <c r="K166" s="37"/>
      <c r="L166" s="36"/>
      <c r="M166" s="37"/>
      <c r="N166" s="37"/>
    </row>
    <row r="167" spans="2:69" ht="25.5">
      <c r="B167" s="353"/>
      <c r="C167" s="347" t="s">
        <v>521</v>
      </c>
      <c r="D167" s="43" t="s">
        <v>158</v>
      </c>
      <c r="E167" s="332" t="s">
        <v>21</v>
      </c>
      <c r="F167" s="332"/>
      <c r="G167" s="332">
        <f>1.5*1.8</f>
        <v>2.7</v>
      </c>
      <c r="H167" s="332"/>
      <c r="I167" s="36"/>
      <c r="J167" s="332"/>
      <c r="K167" s="37"/>
      <c r="L167" s="44"/>
      <c r="M167" s="37"/>
      <c r="N167" s="37"/>
    </row>
    <row r="168" spans="2:69">
      <c r="B168" s="354"/>
      <c r="C168" s="348"/>
      <c r="D168" s="46" t="s">
        <v>28</v>
      </c>
      <c r="E168" s="322" t="s">
        <v>10</v>
      </c>
      <c r="F168" s="322">
        <v>2.72</v>
      </c>
      <c r="G168" s="322">
        <f>F168*G167</f>
        <v>7.3440000000000012</v>
      </c>
      <c r="H168" s="322"/>
      <c r="I168" s="36"/>
      <c r="J168" s="322"/>
      <c r="K168" s="37"/>
      <c r="L168" s="36"/>
      <c r="M168" s="37"/>
      <c r="N168" s="37"/>
    </row>
    <row r="169" spans="2:69">
      <c r="B169" s="354"/>
      <c r="C169" s="348"/>
      <c r="D169" s="46" t="s">
        <v>48</v>
      </c>
      <c r="E169" s="322" t="s">
        <v>11</v>
      </c>
      <c r="F169" s="322">
        <v>0</v>
      </c>
      <c r="G169" s="322">
        <f>F169*G167</f>
        <v>0</v>
      </c>
      <c r="H169" s="322"/>
      <c r="I169" s="36"/>
      <c r="J169" s="322"/>
      <c r="K169" s="37"/>
      <c r="L169" s="36"/>
      <c r="M169" s="37"/>
      <c r="N169" s="37"/>
    </row>
    <row r="170" spans="2:69">
      <c r="B170" s="354"/>
      <c r="C170" s="348"/>
      <c r="D170" s="46" t="s">
        <v>159</v>
      </c>
      <c r="E170" s="322" t="s">
        <v>21</v>
      </c>
      <c r="F170" s="322">
        <v>1</v>
      </c>
      <c r="G170" s="322">
        <f>F170*G167</f>
        <v>2.7</v>
      </c>
      <c r="H170" s="322"/>
      <c r="I170" s="36"/>
      <c r="J170" s="322"/>
      <c r="K170" s="37"/>
      <c r="L170" s="36"/>
      <c r="M170" s="37"/>
      <c r="N170" s="37"/>
    </row>
    <row r="171" spans="2:69">
      <c r="B171" s="354"/>
      <c r="C171" s="348"/>
      <c r="D171" s="46" t="s">
        <v>71</v>
      </c>
      <c r="E171" s="322" t="s">
        <v>30</v>
      </c>
      <c r="F171" s="322">
        <v>6</v>
      </c>
      <c r="G171" s="322">
        <f>F171*G167</f>
        <v>16.200000000000003</v>
      </c>
      <c r="H171" s="322"/>
      <c r="I171" s="36"/>
      <c r="J171" s="322"/>
      <c r="K171" s="37"/>
      <c r="L171" s="36"/>
      <c r="M171" s="37"/>
      <c r="N171" s="37"/>
    </row>
    <row r="172" spans="2:69" s="76" customFormat="1" ht="15.75">
      <c r="B172" s="319"/>
      <c r="C172" s="322"/>
      <c r="D172" s="332" t="s">
        <v>179</v>
      </c>
      <c r="E172" s="322"/>
      <c r="F172" s="322"/>
      <c r="G172" s="322"/>
      <c r="H172" s="322"/>
      <c r="I172" s="36"/>
      <c r="J172" s="322"/>
      <c r="K172" s="37"/>
      <c r="L172" s="36"/>
      <c r="M172" s="37"/>
      <c r="N172" s="37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</row>
    <row r="173" spans="2:69" s="76" customFormat="1" ht="25.5">
      <c r="B173" s="353">
        <v>18</v>
      </c>
      <c r="C173" s="353" t="s">
        <v>121</v>
      </c>
      <c r="D173" s="34" t="s">
        <v>147</v>
      </c>
      <c r="E173" s="330" t="s">
        <v>12</v>
      </c>
      <c r="F173" s="330"/>
      <c r="G173" s="330">
        <v>10.5</v>
      </c>
      <c r="H173" s="319"/>
      <c r="I173" s="36"/>
      <c r="J173" s="319"/>
      <c r="K173" s="37"/>
      <c r="L173" s="48"/>
      <c r="M173" s="37"/>
      <c r="N173" s="37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</row>
    <row r="174" spans="2:69" s="76" customFormat="1" ht="15.75">
      <c r="B174" s="354"/>
      <c r="C174" s="354"/>
      <c r="D174" s="38" t="s">
        <v>8</v>
      </c>
      <c r="E174" s="319" t="s">
        <v>10</v>
      </c>
      <c r="F174" s="319">
        <v>9.09</v>
      </c>
      <c r="G174" s="319">
        <f>F174*G173</f>
        <v>95.444999999999993</v>
      </c>
      <c r="H174" s="319"/>
      <c r="I174" s="36"/>
      <c r="J174" s="319"/>
      <c r="K174" s="37"/>
      <c r="L174" s="37"/>
      <c r="M174" s="37"/>
      <c r="N174" s="37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</row>
    <row r="175" spans="2:69" s="76" customFormat="1" ht="15.75">
      <c r="B175" s="354"/>
      <c r="C175" s="354"/>
      <c r="D175" s="38" t="s">
        <v>48</v>
      </c>
      <c r="E175" s="319" t="s">
        <v>11</v>
      </c>
      <c r="F175" s="319">
        <v>0.76</v>
      </c>
      <c r="G175" s="319">
        <f>F175*G173</f>
        <v>7.98</v>
      </c>
      <c r="H175" s="319"/>
      <c r="I175" s="36"/>
      <c r="J175" s="319"/>
      <c r="K175" s="37"/>
      <c r="L175" s="37"/>
      <c r="M175" s="37"/>
      <c r="N175" s="37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</row>
    <row r="176" spans="2:69" s="76" customFormat="1" ht="15.75">
      <c r="B176" s="354"/>
      <c r="C176" s="354"/>
      <c r="D176" s="38" t="s">
        <v>491</v>
      </c>
      <c r="E176" s="319" t="s">
        <v>21</v>
      </c>
      <c r="F176" s="319">
        <v>2.64</v>
      </c>
      <c r="G176" s="319">
        <f>F176*G173</f>
        <v>27.720000000000002</v>
      </c>
      <c r="H176" s="319"/>
      <c r="I176" s="36"/>
      <c r="J176" s="319"/>
      <c r="K176" s="37"/>
      <c r="L176" s="37"/>
      <c r="M176" s="37"/>
      <c r="N176" s="37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</row>
    <row r="177" spans="2:69" s="76" customFormat="1" ht="15.75">
      <c r="B177" s="354"/>
      <c r="C177" s="354"/>
      <c r="D177" s="38" t="s">
        <v>103</v>
      </c>
      <c r="E177" s="319" t="s">
        <v>12</v>
      </c>
      <c r="F177" s="319">
        <f>5.49/100</f>
        <v>5.4900000000000004E-2</v>
      </c>
      <c r="G177" s="319">
        <f>F177*G173</f>
        <v>0.57645000000000002</v>
      </c>
      <c r="H177" s="319"/>
      <c r="I177" s="36"/>
      <c r="J177" s="319"/>
      <c r="K177" s="37"/>
      <c r="L177" s="37"/>
      <c r="M177" s="37"/>
      <c r="N177" s="37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</row>
    <row r="178" spans="2:69" s="76" customFormat="1" ht="15.75">
      <c r="B178" s="354"/>
      <c r="C178" s="354"/>
      <c r="D178" s="38" t="s">
        <v>25</v>
      </c>
      <c r="E178" s="319" t="s">
        <v>12</v>
      </c>
      <c r="F178" s="319">
        <v>1.02</v>
      </c>
      <c r="G178" s="319">
        <f>F178*G173</f>
        <v>10.71</v>
      </c>
      <c r="H178" s="319"/>
      <c r="I178" s="36"/>
      <c r="J178" s="319"/>
      <c r="K178" s="37"/>
      <c r="L178" s="37"/>
      <c r="M178" s="37"/>
      <c r="N178" s="37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</row>
    <row r="179" spans="2:69" s="76" customFormat="1" ht="15.75">
      <c r="B179" s="355"/>
      <c r="C179" s="355"/>
      <c r="D179" s="38" t="s">
        <v>13</v>
      </c>
      <c r="E179" s="319" t="s">
        <v>11</v>
      </c>
      <c r="F179" s="319">
        <v>0.49</v>
      </c>
      <c r="G179" s="319">
        <f>F179*G173</f>
        <v>5.1449999999999996</v>
      </c>
      <c r="H179" s="319"/>
      <c r="I179" s="36"/>
      <c r="J179" s="319"/>
      <c r="K179" s="37"/>
      <c r="L179" s="37"/>
      <c r="M179" s="37"/>
      <c r="N179" s="37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</row>
    <row r="180" spans="2:69" s="76" customFormat="1" ht="25.5">
      <c r="B180" s="353">
        <v>19</v>
      </c>
      <c r="C180" s="353" t="s">
        <v>53</v>
      </c>
      <c r="D180" s="66" t="s">
        <v>151</v>
      </c>
      <c r="E180" s="330" t="s">
        <v>12</v>
      </c>
      <c r="F180" s="330"/>
      <c r="G180" s="330">
        <v>3.09</v>
      </c>
      <c r="H180" s="319"/>
      <c r="I180" s="36"/>
      <c r="J180" s="319"/>
      <c r="K180" s="37"/>
      <c r="L180" s="48"/>
      <c r="M180" s="37"/>
      <c r="N180" s="37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</row>
    <row r="181" spans="2:69" s="76" customFormat="1" ht="15.75">
      <c r="B181" s="354"/>
      <c r="C181" s="354"/>
      <c r="D181" s="38" t="s">
        <v>8</v>
      </c>
      <c r="E181" s="319" t="s">
        <v>10</v>
      </c>
      <c r="F181" s="319">
        <v>8.4</v>
      </c>
      <c r="G181" s="37">
        <f>F181*G180</f>
        <v>25.956</v>
      </c>
      <c r="H181" s="319"/>
      <c r="I181" s="36"/>
      <c r="J181" s="319"/>
      <c r="K181" s="37"/>
      <c r="L181" s="37"/>
      <c r="M181" s="37"/>
      <c r="N181" s="37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</row>
    <row r="182" spans="2:69" s="76" customFormat="1" ht="15.75">
      <c r="B182" s="354"/>
      <c r="C182" s="354"/>
      <c r="D182" s="38" t="s">
        <v>48</v>
      </c>
      <c r="E182" s="319" t="s">
        <v>11</v>
      </c>
      <c r="F182" s="319">
        <v>0.81</v>
      </c>
      <c r="G182" s="37">
        <f>F182*G180</f>
        <v>2.5028999999999999</v>
      </c>
      <c r="H182" s="319"/>
      <c r="I182" s="36"/>
      <c r="J182" s="319"/>
      <c r="K182" s="37"/>
      <c r="L182" s="37"/>
      <c r="M182" s="37"/>
      <c r="N182" s="37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</row>
    <row r="183" spans="2:69" s="76" customFormat="1" ht="15.75">
      <c r="B183" s="354"/>
      <c r="C183" s="354"/>
      <c r="D183" s="38" t="s">
        <v>491</v>
      </c>
      <c r="E183" s="319" t="s">
        <v>21</v>
      </c>
      <c r="F183" s="319">
        <v>1.37</v>
      </c>
      <c r="G183" s="37">
        <f>F183*G180</f>
        <v>4.2332999999999998</v>
      </c>
      <c r="H183" s="319"/>
      <c r="I183" s="36"/>
      <c r="J183" s="319"/>
      <c r="K183" s="37"/>
      <c r="L183" s="37"/>
      <c r="M183" s="37"/>
      <c r="N183" s="37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</row>
    <row r="184" spans="2:69" s="76" customFormat="1" ht="15.75">
      <c r="B184" s="354"/>
      <c r="C184" s="354"/>
      <c r="D184" s="38" t="s">
        <v>103</v>
      </c>
      <c r="E184" s="319" t="s">
        <v>12</v>
      </c>
      <c r="F184" s="319">
        <f>2.56/100</f>
        <v>2.5600000000000001E-2</v>
      </c>
      <c r="G184" s="37">
        <f>F184*G180</f>
        <v>7.9103999999999994E-2</v>
      </c>
      <c r="H184" s="319"/>
      <c r="I184" s="36"/>
      <c r="J184" s="319"/>
      <c r="K184" s="37"/>
      <c r="L184" s="37"/>
      <c r="M184" s="37"/>
      <c r="N184" s="37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</row>
    <row r="185" spans="2:69" s="76" customFormat="1" ht="15.75">
      <c r="B185" s="354"/>
      <c r="C185" s="354"/>
      <c r="D185" s="38" t="s">
        <v>25</v>
      </c>
      <c r="E185" s="319" t="s">
        <v>12</v>
      </c>
      <c r="F185" s="319">
        <v>1.0149999999999999</v>
      </c>
      <c r="G185" s="37">
        <f>F185*G180</f>
        <v>3.1363499999999997</v>
      </c>
      <c r="H185" s="319"/>
      <c r="I185" s="36"/>
      <c r="J185" s="319"/>
      <c r="K185" s="37"/>
      <c r="L185" s="37"/>
      <c r="M185" s="37"/>
      <c r="N185" s="37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</row>
    <row r="186" spans="2:69" s="76" customFormat="1" ht="15.75">
      <c r="B186" s="354"/>
      <c r="C186" s="354"/>
      <c r="D186" s="38" t="s">
        <v>67</v>
      </c>
      <c r="E186" s="319" t="s">
        <v>23</v>
      </c>
      <c r="F186" s="319"/>
      <c r="G186" s="319">
        <v>370</v>
      </c>
      <c r="H186" s="319"/>
      <c r="I186" s="36"/>
      <c r="J186" s="319"/>
      <c r="K186" s="37"/>
      <c r="L186" s="37"/>
      <c r="M186" s="37"/>
      <c r="N186" s="37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</row>
    <row r="187" spans="2:69" s="76" customFormat="1" ht="15.75">
      <c r="B187" s="355"/>
      <c r="C187" s="355"/>
      <c r="D187" s="38" t="s">
        <v>13</v>
      </c>
      <c r="E187" s="319" t="s">
        <v>11</v>
      </c>
      <c r="F187" s="319">
        <v>0.39</v>
      </c>
      <c r="G187" s="37">
        <f>F187*G180</f>
        <v>1.2051000000000001</v>
      </c>
      <c r="H187" s="319"/>
      <c r="I187" s="36"/>
      <c r="J187" s="319"/>
      <c r="K187" s="37"/>
      <c r="L187" s="37"/>
      <c r="M187" s="37"/>
      <c r="N187" s="37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</row>
    <row r="188" spans="2:69" s="76" customFormat="1" ht="25.5">
      <c r="B188" s="353">
        <v>20</v>
      </c>
      <c r="C188" s="383" t="s">
        <v>146</v>
      </c>
      <c r="D188" s="43" t="s">
        <v>145</v>
      </c>
      <c r="E188" s="332" t="s">
        <v>12</v>
      </c>
      <c r="F188" s="332"/>
      <c r="G188" s="332">
        <v>3.2</v>
      </c>
      <c r="H188" s="332"/>
      <c r="I188" s="36"/>
      <c r="J188" s="332"/>
      <c r="K188" s="37"/>
      <c r="L188" s="44"/>
      <c r="M188" s="37"/>
      <c r="N188" s="37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</row>
    <row r="189" spans="2:69" s="76" customFormat="1" ht="15.75">
      <c r="B189" s="354"/>
      <c r="C189" s="384"/>
      <c r="D189" s="46" t="s">
        <v>28</v>
      </c>
      <c r="E189" s="322" t="s">
        <v>10</v>
      </c>
      <c r="F189" s="322">
        <v>13.9</v>
      </c>
      <c r="G189" s="322">
        <f>F189*G188</f>
        <v>44.480000000000004</v>
      </c>
      <c r="H189" s="322"/>
      <c r="I189" s="36"/>
      <c r="J189" s="322"/>
      <c r="K189" s="37"/>
      <c r="L189" s="36"/>
      <c r="M189" s="37"/>
      <c r="N189" s="37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</row>
    <row r="190" spans="2:69" s="76" customFormat="1" ht="15.75">
      <c r="B190" s="354"/>
      <c r="C190" s="384"/>
      <c r="D190" s="46" t="s">
        <v>9</v>
      </c>
      <c r="E190" s="322" t="s">
        <v>11</v>
      </c>
      <c r="F190" s="322">
        <v>1.28</v>
      </c>
      <c r="G190" s="322">
        <f>F190*G188</f>
        <v>4.0960000000000001</v>
      </c>
      <c r="H190" s="322"/>
      <c r="I190" s="36"/>
      <c r="J190" s="322"/>
      <c r="K190" s="37"/>
      <c r="L190" s="36"/>
      <c r="M190" s="37"/>
      <c r="N190" s="37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</row>
    <row r="191" spans="2:69" s="76" customFormat="1" ht="15.75">
      <c r="B191" s="354"/>
      <c r="C191" s="384"/>
      <c r="D191" s="38" t="s">
        <v>491</v>
      </c>
      <c r="E191" s="319" t="s">
        <v>21</v>
      </c>
      <c r="F191" s="319">
        <v>2.29</v>
      </c>
      <c r="G191" s="319">
        <f>F191*G188</f>
        <v>7.3280000000000003</v>
      </c>
      <c r="H191" s="319"/>
      <c r="I191" s="36"/>
      <c r="J191" s="319"/>
      <c r="K191" s="37"/>
      <c r="L191" s="37"/>
      <c r="M191" s="37"/>
      <c r="N191" s="37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</row>
    <row r="192" spans="2:69" s="76" customFormat="1" ht="15.75">
      <c r="B192" s="354"/>
      <c r="C192" s="384"/>
      <c r="D192" s="38" t="s">
        <v>103</v>
      </c>
      <c r="E192" s="319" t="s">
        <v>12</v>
      </c>
      <c r="F192" s="319">
        <f>4.29/100</f>
        <v>4.2900000000000001E-2</v>
      </c>
      <c r="G192" s="319">
        <f>F192*G188</f>
        <v>0.13728000000000001</v>
      </c>
      <c r="H192" s="319"/>
      <c r="I192" s="36"/>
      <c r="J192" s="319"/>
      <c r="K192" s="37"/>
      <c r="L192" s="37"/>
      <c r="M192" s="37"/>
      <c r="N192" s="37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</row>
    <row r="193" spans="2:69" s="76" customFormat="1" ht="15.75">
      <c r="B193" s="354"/>
      <c r="C193" s="384"/>
      <c r="D193" s="46" t="s">
        <v>25</v>
      </c>
      <c r="E193" s="322" t="s">
        <v>12</v>
      </c>
      <c r="F193" s="322">
        <v>1.0149999999999999</v>
      </c>
      <c r="G193" s="322">
        <f>F193*G188</f>
        <v>3.2479999999999998</v>
      </c>
      <c r="H193" s="322"/>
      <c r="I193" s="36"/>
      <c r="J193" s="322"/>
      <c r="K193" s="37"/>
      <c r="L193" s="36"/>
      <c r="M193" s="37"/>
      <c r="N193" s="37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</row>
    <row r="194" spans="2:69" s="76" customFormat="1" ht="15.75">
      <c r="B194" s="355"/>
      <c r="C194" s="385"/>
      <c r="D194" s="46" t="s">
        <v>13</v>
      </c>
      <c r="E194" s="322" t="s">
        <v>11</v>
      </c>
      <c r="F194" s="322">
        <v>0.93</v>
      </c>
      <c r="G194" s="322">
        <f>F194*G188</f>
        <v>2.9760000000000004</v>
      </c>
      <c r="H194" s="322"/>
      <c r="I194" s="36"/>
      <c r="J194" s="322"/>
      <c r="K194" s="37"/>
      <c r="L194" s="36"/>
      <c r="M194" s="37"/>
      <c r="N194" s="37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</row>
    <row r="195" spans="2:69" s="76" customFormat="1" ht="15.75">
      <c r="B195" s="315"/>
      <c r="C195" s="327"/>
      <c r="D195" s="332" t="s">
        <v>180</v>
      </c>
      <c r="E195" s="322"/>
      <c r="F195" s="322"/>
      <c r="G195" s="322"/>
      <c r="H195" s="322"/>
      <c r="I195" s="36"/>
      <c r="J195" s="322"/>
      <c r="K195" s="37"/>
      <c r="L195" s="36"/>
      <c r="M195" s="37"/>
      <c r="N195" s="37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</row>
    <row r="196" spans="2:69" s="76" customFormat="1" ht="15.75">
      <c r="B196" s="353">
        <v>21</v>
      </c>
      <c r="C196" s="383" t="s">
        <v>226</v>
      </c>
      <c r="D196" s="43" t="s">
        <v>176</v>
      </c>
      <c r="E196" s="332" t="s">
        <v>23</v>
      </c>
      <c r="F196" s="332"/>
      <c r="G196" s="332">
        <v>31.85</v>
      </c>
      <c r="H196" s="332"/>
      <c r="I196" s="36"/>
      <c r="J196" s="332"/>
      <c r="K196" s="37"/>
      <c r="L196" s="44"/>
      <c r="M196" s="37"/>
      <c r="N196" s="37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</row>
    <row r="197" spans="2:69" s="76" customFormat="1" ht="15.75">
      <c r="B197" s="354"/>
      <c r="C197" s="384"/>
      <c r="D197" s="46" t="s">
        <v>28</v>
      </c>
      <c r="E197" s="322" t="s">
        <v>10</v>
      </c>
      <c r="F197" s="322">
        <v>1.83</v>
      </c>
      <c r="G197" s="36">
        <f>F197*G196</f>
        <v>58.285500000000006</v>
      </c>
      <c r="H197" s="322"/>
      <c r="I197" s="36"/>
      <c r="J197" s="322"/>
      <c r="K197" s="37"/>
      <c r="L197" s="36"/>
      <c r="M197" s="37"/>
      <c r="N197" s="37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</row>
    <row r="198" spans="2:69" s="76" customFormat="1" ht="15.75">
      <c r="B198" s="354"/>
      <c r="C198" s="384"/>
      <c r="D198" s="46" t="s">
        <v>177</v>
      </c>
      <c r="E198" s="322" t="s">
        <v>23</v>
      </c>
      <c r="F198" s="322"/>
      <c r="G198" s="322">
        <v>114</v>
      </c>
      <c r="H198" s="322"/>
      <c r="I198" s="36"/>
      <c r="J198" s="322"/>
      <c r="K198" s="37"/>
      <c r="L198" s="36"/>
      <c r="M198" s="37"/>
      <c r="N198" s="37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</row>
    <row r="199" spans="2:69" s="76" customFormat="1" ht="15.75">
      <c r="B199" s="354"/>
      <c r="C199" s="384"/>
      <c r="D199" s="46" t="s">
        <v>111</v>
      </c>
      <c r="E199" s="322" t="s">
        <v>23</v>
      </c>
      <c r="F199" s="322"/>
      <c r="G199" s="322">
        <v>210</v>
      </c>
      <c r="H199" s="322"/>
      <c r="I199" s="36"/>
      <c r="J199" s="322"/>
      <c r="K199" s="37"/>
      <c r="L199" s="36"/>
      <c r="M199" s="37"/>
      <c r="N199" s="37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</row>
    <row r="200" spans="2:69" s="76" customFormat="1" ht="15.75">
      <c r="B200" s="355"/>
      <c r="C200" s="385"/>
      <c r="D200" s="46" t="s">
        <v>13</v>
      </c>
      <c r="E200" s="322" t="s">
        <v>11</v>
      </c>
      <c r="F200" s="322">
        <f>0.18/100</f>
        <v>1.8E-3</v>
      </c>
      <c r="G200" s="93">
        <f>F200*G196</f>
        <v>5.7329999999999999E-2</v>
      </c>
      <c r="H200" s="322"/>
      <c r="I200" s="36"/>
      <c r="J200" s="322"/>
      <c r="K200" s="37"/>
      <c r="L200" s="36"/>
      <c r="M200" s="37"/>
      <c r="N200" s="37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</row>
    <row r="201" spans="2:69" s="76" customFormat="1" ht="38.25">
      <c r="B201" s="353">
        <v>22</v>
      </c>
      <c r="C201" s="347" t="s">
        <v>59</v>
      </c>
      <c r="D201" s="43" t="s">
        <v>78</v>
      </c>
      <c r="E201" s="332" t="s">
        <v>21</v>
      </c>
      <c r="F201" s="332"/>
      <c r="G201" s="332">
        <f>35.04*1.2</f>
        <v>42.047999999999995</v>
      </c>
      <c r="H201" s="332"/>
      <c r="I201" s="36"/>
      <c r="J201" s="332"/>
      <c r="K201" s="37"/>
      <c r="L201" s="44"/>
      <c r="M201" s="37"/>
      <c r="N201" s="37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</row>
    <row r="202" spans="2:69" s="76" customFormat="1" ht="15.75">
      <c r="B202" s="354"/>
      <c r="C202" s="348"/>
      <c r="D202" s="46" t="s">
        <v>28</v>
      </c>
      <c r="E202" s="322" t="s">
        <v>10</v>
      </c>
      <c r="F202" s="322">
        <v>0.38800000000000001</v>
      </c>
      <c r="G202" s="93">
        <f>F202*G201</f>
        <v>16.314623999999998</v>
      </c>
      <c r="H202" s="322"/>
      <c r="I202" s="36"/>
      <c r="J202" s="322"/>
      <c r="K202" s="37"/>
      <c r="L202" s="36"/>
      <c r="M202" s="37"/>
      <c r="N202" s="37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</row>
    <row r="203" spans="2:69" s="76" customFormat="1" ht="15.75">
      <c r="B203" s="354"/>
      <c r="C203" s="348"/>
      <c r="D203" s="46" t="s">
        <v>9</v>
      </c>
      <c r="E203" s="322" t="s">
        <v>11</v>
      </c>
      <c r="F203" s="322">
        <v>3.0000000000000001E-3</v>
      </c>
      <c r="G203" s="93">
        <f>F203*G201</f>
        <v>0.12614399999999998</v>
      </c>
      <c r="H203" s="322"/>
      <c r="I203" s="36"/>
      <c r="J203" s="322"/>
      <c r="K203" s="37"/>
      <c r="L203" s="36"/>
      <c r="M203" s="37"/>
      <c r="N203" s="37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</row>
    <row r="204" spans="2:69" s="76" customFormat="1" ht="15.75">
      <c r="B204" s="354"/>
      <c r="C204" s="348"/>
      <c r="D204" s="46" t="s">
        <v>58</v>
      </c>
      <c r="E204" s="322" t="s">
        <v>30</v>
      </c>
      <c r="F204" s="322">
        <v>0.251</v>
      </c>
      <c r="G204" s="93">
        <f>F204*G201</f>
        <v>10.554047999999998</v>
      </c>
      <c r="H204" s="322"/>
      <c r="I204" s="36"/>
      <c r="J204" s="322"/>
      <c r="K204" s="37"/>
      <c r="L204" s="36"/>
      <c r="M204" s="37"/>
      <c r="N204" s="37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</row>
    <row r="205" spans="2:69" s="76" customFormat="1" ht="15.75">
      <c r="B205" s="354"/>
      <c r="C205" s="348"/>
      <c r="D205" s="46" t="s">
        <v>13</v>
      </c>
      <c r="E205" s="322" t="s">
        <v>11</v>
      </c>
      <c r="F205" s="322">
        <v>1.9E-3</v>
      </c>
      <c r="G205" s="93">
        <f>F205*G201</f>
        <v>7.9891199999999996E-2</v>
      </c>
      <c r="H205" s="322"/>
      <c r="I205" s="36"/>
      <c r="J205" s="322"/>
      <c r="K205" s="37"/>
      <c r="L205" s="36"/>
      <c r="M205" s="37"/>
      <c r="N205" s="37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</row>
    <row r="206" spans="2:69" s="76" customFormat="1" ht="15.75">
      <c r="B206" s="355"/>
      <c r="C206" s="349"/>
      <c r="D206" s="332" t="s">
        <v>181</v>
      </c>
      <c r="E206" s="322"/>
      <c r="F206" s="322"/>
      <c r="G206" s="322"/>
      <c r="H206" s="322"/>
      <c r="I206" s="36"/>
      <c r="J206" s="322"/>
      <c r="K206" s="37"/>
      <c r="L206" s="36"/>
      <c r="M206" s="37"/>
      <c r="N206" s="37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</row>
    <row r="207" spans="2:69" s="76" customFormat="1" ht="15.75">
      <c r="B207" s="353">
        <v>23</v>
      </c>
      <c r="C207" s="353" t="s">
        <v>104</v>
      </c>
      <c r="D207" s="66" t="s">
        <v>109</v>
      </c>
      <c r="E207" s="332" t="s">
        <v>12</v>
      </c>
      <c r="F207" s="322"/>
      <c r="G207" s="77">
        <v>15</v>
      </c>
      <c r="H207" s="73"/>
      <c r="I207" s="36"/>
      <c r="J207" s="73"/>
      <c r="K207" s="37"/>
      <c r="L207" s="74"/>
      <c r="M207" s="37"/>
      <c r="N207" s="37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</row>
    <row r="208" spans="2:69" s="76" customFormat="1" ht="15.75">
      <c r="B208" s="354"/>
      <c r="C208" s="354"/>
      <c r="D208" s="38" t="s">
        <v>90</v>
      </c>
      <c r="E208" s="322" t="s">
        <v>10</v>
      </c>
      <c r="F208" s="322">
        <v>23.8</v>
      </c>
      <c r="G208" s="322">
        <f>F208*G207</f>
        <v>357</v>
      </c>
      <c r="H208" s="225"/>
      <c r="I208" s="36"/>
      <c r="J208" s="225"/>
      <c r="K208" s="37"/>
      <c r="L208" s="49"/>
      <c r="M208" s="37"/>
      <c r="N208" s="37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</row>
    <row r="209" spans="2:69" s="76" customFormat="1" ht="15.75">
      <c r="B209" s="354"/>
      <c r="C209" s="354"/>
      <c r="D209" s="38" t="s">
        <v>105</v>
      </c>
      <c r="E209" s="322" t="s">
        <v>12</v>
      </c>
      <c r="F209" s="322"/>
      <c r="G209" s="78">
        <f>G207</f>
        <v>15</v>
      </c>
      <c r="H209" s="225"/>
      <c r="I209" s="36"/>
      <c r="J209" s="225"/>
      <c r="K209" s="37"/>
      <c r="L209" s="49"/>
      <c r="M209" s="37"/>
      <c r="N209" s="37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</row>
    <row r="210" spans="2:69" s="76" customFormat="1" ht="15.75">
      <c r="B210" s="354"/>
      <c r="C210" s="354"/>
      <c r="D210" s="38" t="s">
        <v>106</v>
      </c>
      <c r="E210" s="322" t="s">
        <v>30</v>
      </c>
      <c r="F210" s="322">
        <v>4.38</v>
      </c>
      <c r="G210" s="322">
        <f>G207*F210</f>
        <v>65.7</v>
      </c>
      <c r="H210" s="225"/>
      <c r="I210" s="36"/>
      <c r="J210" s="225"/>
      <c r="K210" s="37"/>
      <c r="L210" s="49"/>
      <c r="M210" s="37"/>
      <c r="N210" s="37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</row>
    <row r="211" spans="2:69" s="76" customFormat="1" ht="15.75">
      <c r="B211" s="355"/>
      <c r="C211" s="355"/>
      <c r="D211" s="38" t="s">
        <v>13</v>
      </c>
      <c r="E211" s="322" t="s">
        <v>11</v>
      </c>
      <c r="F211" s="322">
        <v>3.44</v>
      </c>
      <c r="G211" s="322">
        <f>F211*G207</f>
        <v>51.6</v>
      </c>
      <c r="H211" s="225"/>
      <c r="I211" s="36"/>
      <c r="J211" s="225"/>
      <c r="K211" s="37"/>
      <c r="L211" s="49"/>
      <c r="M211" s="37"/>
      <c r="N211" s="37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</row>
    <row r="212" spans="2:69" s="76" customFormat="1" ht="15.75">
      <c r="B212" s="353">
        <v>24</v>
      </c>
      <c r="C212" s="353" t="s">
        <v>522</v>
      </c>
      <c r="D212" s="66" t="s">
        <v>107</v>
      </c>
      <c r="E212" s="332" t="s">
        <v>21</v>
      </c>
      <c r="F212" s="322"/>
      <c r="G212" s="330">
        <f>807.4+40</f>
        <v>847.4</v>
      </c>
      <c r="H212" s="73"/>
      <c r="I212" s="36"/>
      <c r="J212" s="73"/>
      <c r="K212" s="37"/>
      <c r="L212" s="74"/>
      <c r="M212" s="37"/>
      <c r="N212" s="37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</row>
    <row r="213" spans="2:69" s="76" customFormat="1" ht="15.75">
      <c r="B213" s="354"/>
      <c r="C213" s="354"/>
      <c r="D213" s="38" t="s">
        <v>90</v>
      </c>
      <c r="E213" s="322" t="s">
        <v>10</v>
      </c>
      <c r="F213" s="322">
        <v>0.314</v>
      </c>
      <c r="G213" s="36">
        <f t="shared" ref="G213" si="5">F213*G212</f>
        <v>266.08359999999999</v>
      </c>
      <c r="H213" s="225"/>
      <c r="I213" s="36"/>
      <c r="J213" s="225"/>
      <c r="K213" s="37"/>
      <c r="L213" s="49"/>
      <c r="M213" s="37"/>
      <c r="N213" s="37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</row>
    <row r="214" spans="2:69" s="76" customFormat="1" ht="15.75">
      <c r="B214" s="354"/>
      <c r="C214" s="354"/>
      <c r="D214" s="46" t="s">
        <v>187</v>
      </c>
      <c r="E214" s="322" t="s">
        <v>21</v>
      </c>
      <c r="F214" s="322">
        <v>1.1499999999999999</v>
      </c>
      <c r="G214" s="36">
        <f>F214*G212</f>
        <v>974.50999999999988</v>
      </c>
      <c r="H214" s="225"/>
      <c r="I214" s="36"/>
      <c r="J214" s="225"/>
      <c r="K214" s="37"/>
      <c r="L214" s="49"/>
      <c r="M214" s="37"/>
      <c r="N214" s="37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</row>
    <row r="215" spans="2:69" s="76" customFormat="1" ht="15.75">
      <c r="B215" s="354"/>
      <c r="C215" s="354"/>
      <c r="D215" s="46" t="s">
        <v>108</v>
      </c>
      <c r="E215" s="322" t="s">
        <v>99</v>
      </c>
      <c r="F215" s="322">
        <v>6</v>
      </c>
      <c r="G215" s="36">
        <f>G212*F215</f>
        <v>5084.3999999999996</v>
      </c>
      <c r="H215" s="225"/>
      <c r="I215" s="36"/>
      <c r="J215" s="225"/>
      <c r="K215" s="37"/>
      <c r="L215" s="49"/>
      <c r="M215" s="37"/>
      <c r="N215" s="37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</row>
    <row r="216" spans="2:69" s="76" customFormat="1" ht="15.75">
      <c r="B216" s="354"/>
      <c r="C216" s="354"/>
      <c r="D216" s="38" t="s">
        <v>13</v>
      </c>
      <c r="E216" s="322" t="s">
        <v>11</v>
      </c>
      <c r="F216" s="322">
        <v>3.8600000000000002E-2</v>
      </c>
      <c r="G216" s="36">
        <f>G212*F216</f>
        <v>32.70964</v>
      </c>
      <c r="H216" s="225"/>
      <c r="I216" s="36"/>
      <c r="J216" s="225"/>
      <c r="K216" s="37"/>
      <c r="L216" s="75"/>
      <c r="M216" s="37"/>
      <c r="N216" s="37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</row>
    <row r="217" spans="2:69" s="76" customFormat="1" ht="15.75">
      <c r="B217" s="355"/>
      <c r="C217" s="355"/>
      <c r="D217" s="38" t="s">
        <v>17</v>
      </c>
      <c r="E217" s="322" t="s">
        <v>11</v>
      </c>
      <c r="F217" s="322">
        <v>3.3999999999999998E-3</v>
      </c>
      <c r="G217" s="36">
        <f>G212*F217</f>
        <v>2.8811599999999999</v>
      </c>
      <c r="H217" s="225"/>
      <c r="I217" s="36"/>
      <c r="J217" s="225"/>
      <c r="K217" s="37"/>
      <c r="L217" s="49"/>
      <c r="M217" s="37"/>
      <c r="N217" s="37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</row>
    <row r="218" spans="2:69" s="76" customFormat="1" ht="15.75">
      <c r="B218" s="353">
        <v>25</v>
      </c>
      <c r="C218" s="347" t="s">
        <v>31</v>
      </c>
      <c r="D218" s="43" t="s">
        <v>246</v>
      </c>
      <c r="E218" s="332" t="s">
        <v>23</v>
      </c>
      <c r="F218" s="332"/>
      <c r="G218" s="332">
        <f>G221</f>
        <v>117.5</v>
      </c>
      <c r="H218" s="332"/>
      <c r="I218" s="36"/>
      <c r="J218" s="332"/>
      <c r="K218" s="37"/>
      <c r="L218" s="44"/>
      <c r="M218" s="37"/>
      <c r="N218" s="37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</row>
    <row r="219" spans="2:69" s="76" customFormat="1" ht="15.75">
      <c r="B219" s="354"/>
      <c r="C219" s="348"/>
      <c r="D219" s="46" t="s">
        <v>28</v>
      </c>
      <c r="E219" s="322" t="s">
        <v>10</v>
      </c>
      <c r="F219" s="322">
        <v>0.28599999999999998</v>
      </c>
      <c r="G219" s="322">
        <f>F219*G218</f>
        <v>33.604999999999997</v>
      </c>
      <c r="H219" s="322"/>
      <c r="I219" s="36"/>
      <c r="J219" s="322"/>
      <c r="K219" s="37"/>
      <c r="L219" s="36"/>
      <c r="M219" s="37"/>
      <c r="N219" s="37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</row>
    <row r="220" spans="2:69" s="76" customFormat="1" ht="15.75">
      <c r="B220" s="354"/>
      <c r="C220" s="348"/>
      <c r="D220" s="46" t="s">
        <v>9</v>
      </c>
      <c r="E220" s="322" t="s">
        <v>11</v>
      </c>
      <c r="F220" s="322">
        <v>4.1000000000000003E-3</v>
      </c>
      <c r="G220" s="322">
        <f>F220*G218</f>
        <v>0.48175000000000007</v>
      </c>
      <c r="H220" s="322"/>
      <c r="I220" s="36"/>
      <c r="J220" s="322"/>
      <c r="K220" s="37"/>
      <c r="L220" s="36"/>
      <c r="M220" s="37"/>
      <c r="N220" s="37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</row>
    <row r="221" spans="2:69" s="76" customFormat="1" ht="15.75">
      <c r="B221" s="354"/>
      <c r="C221" s="348"/>
      <c r="D221" s="46" t="s">
        <v>157</v>
      </c>
      <c r="E221" s="322" t="s">
        <v>23</v>
      </c>
      <c r="F221" s="322"/>
      <c r="G221" s="322">
        <v>117.5</v>
      </c>
      <c r="H221" s="322"/>
      <c r="I221" s="36"/>
      <c r="J221" s="322"/>
      <c r="K221" s="37"/>
      <c r="L221" s="36"/>
      <c r="M221" s="37"/>
      <c r="N221" s="37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</row>
    <row r="222" spans="2:69" s="76" customFormat="1" ht="15.75">
      <c r="B222" s="354"/>
      <c r="C222" s="348"/>
      <c r="D222" s="46" t="s">
        <v>241</v>
      </c>
      <c r="E222" s="322" t="s">
        <v>30</v>
      </c>
      <c r="F222" s="322">
        <f>3.8/100</f>
        <v>3.7999999999999999E-2</v>
      </c>
      <c r="G222" s="322">
        <f>F222*G218</f>
        <v>4.4649999999999999</v>
      </c>
      <c r="H222" s="322"/>
      <c r="I222" s="36"/>
      <c r="J222" s="322"/>
      <c r="K222" s="37"/>
      <c r="L222" s="36"/>
      <c r="M222" s="37"/>
      <c r="N222" s="37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</row>
    <row r="223" spans="2:69" s="76" customFormat="1" ht="15.75">
      <c r="B223" s="354"/>
      <c r="C223" s="348"/>
      <c r="D223" s="46" t="s">
        <v>242</v>
      </c>
      <c r="E223" s="322" t="s">
        <v>30</v>
      </c>
      <c r="F223" s="322">
        <v>1.69</v>
      </c>
      <c r="G223" s="322">
        <f>F223*G218</f>
        <v>198.57499999999999</v>
      </c>
      <c r="H223" s="322"/>
      <c r="I223" s="36"/>
      <c r="J223" s="322"/>
      <c r="K223" s="37"/>
      <c r="L223" s="36"/>
      <c r="M223" s="37"/>
      <c r="N223" s="37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</row>
    <row r="224" spans="2:69" s="76" customFormat="1" ht="15.75">
      <c r="B224" s="355"/>
      <c r="C224" s="349"/>
      <c r="D224" s="79" t="s">
        <v>245</v>
      </c>
      <c r="E224" s="322" t="s">
        <v>26</v>
      </c>
      <c r="F224" s="322"/>
      <c r="G224" s="322">
        <v>118</v>
      </c>
      <c r="H224" s="322"/>
      <c r="I224" s="36"/>
      <c r="J224" s="322"/>
      <c r="K224" s="37"/>
      <c r="L224" s="36"/>
      <c r="M224" s="37"/>
      <c r="N224" s="37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</row>
    <row r="225" spans="2:69" s="76" customFormat="1" ht="15.75">
      <c r="B225" s="353">
        <v>26</v>
      </c>
      <c r="C225" s="353" t="s">
        <v>247</v>
      </c>
      <c r="D225" s="66" t="s">
        <v>233</v>
      </c>
      <c r="E225" s="330" t="s">
        <v>129</v>
      </c>
      <c r="F225" s="319"/>
      <c r="G225" s="330">
        <v>8</v>
      </c>
      <c r="H225" s="319"/>
      <c r="I225" s="36"/>
      <c r="J225" s="319"/>
      <c r="K225" s="37"/>
      <c r="L225" s="37"/>
      <c r="M225" s="37"/>
      <c r="N225" s="37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</row>
    <row r="226" spans="2:69" s="76" customFormat="1" ht="25.5">
      <c r="B226" s="354"/>
      <c r="C226" s="354"/>
      <c r="D226" s="80" t="s">
        <v>234</v>
      </c>
      <c r="E226" s="81" t="s">
        <v>229</v>
      </c>
      <c r="F226" s="81">
        <v>0.93</v>
      </c>
      <c r="G226" s="319">
        <f>G225*F226</f>
        <v>7.44</v>
      </c>
      <c r="H226" s="319"/>
      <c r="I226" s="36"/>
      <c r="J226" s="319"/>
      <c r="K226" s="37"/>
      <c r="L226" s="37"/>
      <c r="M226" s="37"/>
      <c r="N226" s="37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</row>
    <row r="227" spans="2:69" s="76" customFormat="1" ht="15.75">
      <c r="B227" s="354"/>
      <c r="C227" s="354"/>
      <c r="D227" s="80" t="s">
        <v>235</v>
      </c>
      <c r="E227" s="81" t="s">
        <v>11</v>
      </c>
      <c r="F227" s="81">
        <v>0.01</v>
      </c>
      <c r="G227" s="319">
        <f>G225*F227</f>
        <v>0.08</v>
      </c>
      <c r="H227" s="319"/>
      <c r="I227" s="36"/>
      <c r="J227" s="319"/>
      <c r="K227" s="37"/>
      <c r="L227" s="37"/>
      <c r="M227" s="37"/>
      <c r="N227" s="37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</row>
    <row r="228" spans="2:69" s="76" customFormat="1" ht="15.75">
      <c r="B228" s="354"/>
      <c r="C228" s="354"/>
      <c r="D228" s="80" t="s">
        <v>237</v>
      </c>
      <c r="E228" s="81" t="s">
        <v>99</v>
      </c>
      <c r="F228" s="81">
        <v>1</v>
      </c>
      <c r="G228" s="319">
        <f>G225*F228</f>
        <v>8</v>
      </c>
      <c r="H228" s="319"/>
      <c r="I228" s="36"/>
      <c r="J228" s="319"/>
      <c r="K228" s="37"/>
      <c r="L228" s="37"/>
      <c r="M228" s="37"/>
      <c r="N228" s="37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</row>
    <row r="229" spans="2:69" s="76" customFormat="1" ht="15.75">
      <c r="B229" s="355"/>
      <c r="C229" s="355"/>
      <c r="D229" s="80" t="s">
        <v>236</v>
      </c>
      <c r="E229" s="81" t="s">
        <v>11</v>
      </c>
      <c r="F229" s="81">
        <v>0.18</v>
      </c>
      <c r="G229" s="319">
        <f>G225*F229</f>
        <v>1.44</v>
      </c>
      <c r="H229" s="319"/>
      <c r="I229" s="36"/>
      <c r="J229" s="319"/>
      <c r="K229" s="37"/>
      <c r="L229" s="37"/>
      <c r="M229" s="37"/>
      <c r="N229" s="37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</row>
    <row r="230" spans="2:69" s="76" customFormat="1" ht="15.75">
      <c r="B230" s="353">
        <v>27</v>
      </c>
      <c r="C230" s="353" t="s">
        <v>523</v>
      </c>
      <c r="D230" s="66" t="s">
        <v>243</v>
      </c>
      <c r="E230" s="319" t="s">
        <v>238</v>
      </c>
      <c r="F230" s="319"/>
      <c r="G230" s="330">
        <v>28</v>
      </c>
      <c r="H230" s="319"/>
      <c r="I230" s="36"/>
      <c r="J230" s="319"/>
      <c r="K230" s="37"/>
      <c r="L230" s="37"/>
      <c r="M230" s="37"/>
      <c r="N230" s="37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</row>
    <row r="231" spans="2:69" s="76" customFormat="1" ht="25.5">
      <c r="B231" s="354"/>
      <c r="C231" s="354"/>
      <c r="D231" s="80" t="s">
        <v>234</v>
      </c>
      <c r="E231" s="81" t="s">
        <v>229</v>
      </c>
      <c r="F231" s="81">
        <v>0.58299999999999996</v>
      </c>
      <c r="G231" s="82">
        <f>G230*F231</f>
        <v>16.323999999999998</v>
      </c>
      <c r="H231" s="319"/>
      <c r="I231" s="36"/>
      <c r="J231" s="29"/>
      <c r="K231" s="37"/>
      <c r="L231" s="37"/>
      <c r="M231" s="37"/>
      <c r="N231" s="37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</row>
    <row r="232" spans="2:69" s="76" customFormat="1" ht="15.75">
      <c r="B232" s="354"/>
      <c r="C232" s="354"/>
      <c r="D232" s="80" t="s">
        <v>239</v>
      </c>
      <c r="E232" s="81" t="s">
        <v>11</v>
      </c>
      <c r="F232" s="81">
        <v>4.5999999999999999E-3</v>
      </c>
      <c r="G232" s="82">
        <f>G230*F232</f>
        <v>0.1288</v>
      </c>
      <c r="H232" s="319"/>
      <c r="I232" s="36"/>
      <c r="J232" s="319"/>
      <c r="K232" s="37"/>
      <c r="L232" s="37"/>
      <c r="M232" s="37"/>
      <c r="N232" s="37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</row>
    <row r="233" spans="2:69" s="76" customFormat="1" ht="15.75">
      <c r="B233" s="354"/>
      <c r="C233" s="354"/>
      <c r="D233" s="79" t="s">
        <v>156</v>
      </c>
      <c r="E233" s="83" t="s">
        <v>240</v>
      </c>
      <c r="F233" s="81">
        <v>1.05</v>
      </c>
      <c r="G233" s="82">
        <f>G230*F233</f>
        <v>29.400000000000002</v>
      </c>
      <c r="H233" s="319"/>
      <c r="I233" s="36"/>
      <c r="J233" s="319"/>
      <c r="K233" s="37"/>
      <c r="L233" s="37"/>
      <c r="M233" s="37"/>
      <c r="N233" s="37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</row>
    <row r="234" spans="2:69" s="76" customFormat="1" ht="15.75">
      <c r="B234" s="354"/>
      <c r="C234" s="354"/>
      <c r="D234" s="80" t="s">
        <v>242</v>
      </c>
      <c r="E234" s="81" t="s">
        <v>30</v>
      </c>
      <c r="F234" s="81">
        <v>0.14000000000000001</v>
      </c>
      <c r="G234" s="82">
        <f>G230*F234</f>
        <v>3.9200000000000004</v>
      </c>
      <c r="H234" s="319"/>
      <c r="I234" s="36"/>
      <c r="J234" s="319"/>
      <c r="K234" s="37"/>
      <c r="L234" s="37"/>
      <c r="M234" s="37"/>
      <c r="N234" s="37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</row>
    <row r="235" spans="2:69" s="76" customFormat="1" ht="15.75">
      <c r="B235" s="354"/>
      <c r="C235" s="354"/>
      <c r="D235" s="80" t="s">
        <v>236</v>
      </c>
      <c r="E235" s="81" t="s">
        <v>11</v>
      </c>
      <c r="F235" s="81">
        <v>0.20799999999999999</v>
      </c>
      <c r="G235" s="82">
        <f>G230*F235</f>
        <v>5.8239999999999998</v>
      </c>
      <c r="H235" s="322"/>
      <c r="I235" s="36"/>
      <c r="J235" s="322"/>
      <c r="K235" s="37"/>
      <c r="L235" s="36"/>
      <c r="M235" s="37"/>
      <c r="N235" s="37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</row>
    <row r="236" spans="2:69" s="76" customFormat="1" ht="15.75">
      <c r="B236" s="354"/>
      <c r="C236" s="354"/>
      <c r="D236" s="79" t="s">
        <v>244</v>
      </c>
      <c r="E236" s="322" t="s">
        <v>26</v>
      </c>
      <c r="F236" s="322"/>
      <c r="G236" s="322">
        <v>28</v>
      </c>
      <c r="H236" s="322"/>
      <c r="I236" s="36"/>
      <c r="J236" s="322"/>
      <c r="K236" s="37"/>
      <c r="L236" s="36"/>
      <c r="M236" s="37"/>
      <c r="N236" s="37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</row>
    <row r="237" spans="2:69" s="76" customFormat="1" ht="15.75">
      <c r="B237" s="355"/>
      <c r="C237" s="355"/>
      <c r="D237" s="46" t="s">
        <v>148</v>
      </c>
      <c r="E237" s="322" t="s">
        <v>26</v>
      </c>
      <c r="F237" s="322"/>
      <c r="G237" s="322">
        <f>8*2</f>
        <v>16</v>
      </c>
      <c r="H237" s="322"/>
      <c r="I237" s="36"/>
      <c r="J237" s="322"/>
      <c r="K237" s="37"/>
      <c r="L237" s="36"/>
      <c r="M237" s="37"/>
      <c r="N237" s="37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</row>
    <row r="238" spans="2:69" s="76" customFormat="1" ht="38.25">
      <c r="B238" s="353">
        <v>28</v>
      </c>
      <c r="C238" s="353" t="s">
        <v>500</v>
      </c>
      <c r="D238" s="34" t="s">
        <v>550</v>
      </c>
      <c r="E238" s="330" t="s">
        <v>544</v>
      </c>
      <c r="F238" s="319"/>
      <c r="G238" s="84">
        <f>675.5*0.1</f>
        <v>67.55</v>
      </c>
      <c r="H238" s="322"/>
      <c r="I238" s="36"/>
      <c r="J238" s="322"/>
      <c r="K238" s="36"/>
      <c r="L238" s="36"/>
      <c r="M238" s="36"/>
      <c r="N238" s="3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</row>
    <row r="239" spans="2:69" s="76" customFormat="1" ht="25.5">
      <c r="B239" s="354"/>
      <c r="C239" s="354"/>
      <c r="D239" s="38" t="s">
        <v>8</v>
      </c>
      <c r="E239" s="319" t="s">
        <v>229</v>
      </c>
      <c r="F239" s="319">
        <v>2.3199999999999998</v>
      </c>
      <c r="G239" s="319">
        <f>G238*F239</f>
        <v>156.71599999999998</v>
      </c>
      <c r="H239" s="322"/>
      <c r="I239" s="36"/>
      <c r="J239" s="322"/>
      <c r="K239" s="36"/>
      <c r="L239" s="36"/>
      <c r="M239" s="36"/>
      <c r="N239" s="3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</row>
    <row r="240" spans="2:69" s="76" customFormat="1" ht="15.75">
      <c r="B240" s="354"/>
      <c r="C240" s="354"/>
      <c r="D240" s="38" t="s">
        <v>17</v>
      </c>
      <c r="E240" s="319" t="s">
        <v>11</v>
      </c>
      <c r="F240" s="315">
        <v>1.08</v>
      </c>
      <c r="G240" s="315">
        <f>G238*F240</f>
        <v>72.954000000000008</v>
      </c>
      <c r="H240" s="322"/>
      <c r="I240" s="36"/>
      <c r="J240" s="322"/>
      <c r="K240" s="36"/>
      <c r="L240" s="36"/>
      <c r="M240" s="36"/>
      <c r="N240" s="3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</row>
    <row r="241" spans="2:69" s="76" customFormat="1" ht="15.75">
      <c r="B241" s="355"/>
      <c r="C241" s="355"/>
      <c r="D241" s="38" t="s">
        <v>501</v>
      </c>
      <c r="E241" s="319" t="s">
        <v>545</v>
      </c>
      <c r="F241" s="315">
        <v>1.1000000000000001</v>
      </c>
      <c r="G241" s="315">
        <f>F241*G238</f>
        <v>74.305000000000007</v>
      </c>
      <c r="H241" s="322"/>
      <c r="I241" s="36"/>
      <c r="J241" s="322"/>
      <c r="K241" s="36"/>
      <c r="L241" s="36"/>
      <c r="M241" s="36"/>
      <c r="N241" s="3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</row>
    <row r="242" spans="2:69" s="76" customFormat="1" ht="25.5">
      <c r="B242" s="353">
        <v>29</v>
      </c>
      <c r="C242" s="353" t="s">
        <v>505</v>
      </c>
      <c r="D242" s="34" t="s">
        <v>503</v>
      </c>
      <c r="E242" s="330" t="s">
        <v>543</v>
      </c>
      <c r="F242" s="315"/>
      <c r="G242" s="330">
        <f>35.1*20.4</f>
        <v>716.04</v>
      </c>
      <c r="H242" s="322"/>
      <c r="I242" s="36"/>
      <c r="J242" s="322"/>
      <c r="K242" s="36"/>
      <c r="L242" s="36"/>
      <c r="M242" s="36"/>
      <c r="N242" s="3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</row>
    <row r="243" spans="2:69" s="76" customFormat="1" ht="25.5">
      <c r="B243" s="354"/>
      <c r="C243" s="354"/>
      <c r="D243" s="85" t="s">
        <v>8</v>
      </c>
      <c r="E243" s="86" t="s">
        <v>502</v>
      </c>
      <c r="F243" s="87">
        <v>0.42</v>
      </c>
      <c r="G243" s="226">
        <f>G242*F243</f>
        <v>300.73679999999996</v>
      </c>
      <c r="H243" s="322"/>
      <c r="I243" s="36"/>
      <c r="J243" s="322"/>
      <c r="K243" s="36"/>
      <c r="L243" s="36"/>
      <c r="M243" s="36"/>
      <c r="N243" s="3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</row>
    <row r="244" spans="2:69" s="76" customFormat="1" ht="15.75">
      <c r="B244" s="354"/>
      <c r="C244" s="354"/>
      <c r="D244" s="88" t="s">
        <v>17</v>
      </c>
      <c r="E244" s="319" t="s">
        <v>11</v>
      </c>
      <c r="F244" s="315">
        <v>0.02</v>
      </c>
      <c r="G244" s="227">
        <f>G242*F244</f>
        <v>14.3208</v>
      </c>
      <c r="H244" s="322"/>
      <c r="I244" s="36"/>
      <c r="J244" s="322"/>
      <c r="K244" s="36"/>
      <c r="L244" s="36"/>
      <c r="M244" s="36"/>
      <c r="N244" s="3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</row>
    <row r="245" spans="2:69" s="76" customFormat="1" ht="15.75">
      <c r="B245" s="354"/>
      <c r="C245" s="354"/>
      <c r="D245" s="71" t="s">
        <v>504</v>
      </c>
      <c r="E245" s="86" t="s">
        <v>546</v>
      </c>
      <c r="F245" s="87">
        <v>1.03</v>
      </c>
      <c r="G245" s="228">
        <f>F245*G242</f>
        <v>737.52120000000002</v>
      </c>
      <c r="H245" s="322"/>
      <c r="I245" s="36"/>
      <c r="J245" s="322"/>
      <c r="K245" s="36"/>
      <c r="L245" s="36"/>
      <c r="M245" s="36"/>
      <c r="N245" s="3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</row>
    <row r="246" spans="2:69" s="76" customFormat="1" ht="15.75">
      <c r="B246" s="319"/>
      <c r="C246" s="322"/>
      <c r="D246" s="332" t="s">
        <v>182</v>
      </c>
      <c r="E246" s="332"/>
      <c r="F246" s="332"/>
      <c r="G246" s="332"/>
      <c r="H246" s="332"/>
      <c r="I246" s="36"/>
      <c r="J246" s="332"/>
      <c r="K246" s="37"/>
      <c r="L246" s="44"/>
      <c r="M246" s="37"/>
      <c r="N246" s="37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</row>
    <row r="247" spans="2:69" s="76" customFormat="1" ht="25.5">
      <c r="B247" s="353">
        <v>28</v>
      </c>
      <c r="C247" s="347" t="s">
        <v>32</v>
      </c>
      <c r="D247" s="43" t="s">
        <v>587</v>
      </c>
      <c r="E247" s="332" t="s">
        <v>12</v>
      </c>
      <c r="F247" s="332"/>
      <c r="G247" s="332">
        <v>103.73</v>
      </c>
      <c r="H247" s="332"/>
      <c r="I247" s="36"/>
      <c r="J247" s="332"/>
      <c r="K247" s="37"/>
      <c r="L247" s="44"/>
      <c r="M247" s="37"/>
      <c r="N247" s="37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</row>
    <row r="248" spans="2:69" s="76" customFormat="1" ht="15.75">
      <c r="B248" s="354"/>
      <c r="C248" s="348"/>
      <c r="D248" s="46" t="s">
        <v>28</v>
      </c>
      <c r="E248" s="322" t="s">
        <v>10</v>
      </c>
      <c r="F248" s="322">
        <v>3.36</v>
      </c>
      <c r="G248" s="36">
        <f>F248*G247</f>
        <v>348.53280000000001</v>
      </c>
      <c r="H248" s="322"/>
      <c r="I248" s="36"/>
      <c r="J248" s="322"/>
      <c r="K248" s="37"/>
      <c r="L248" s="36"/>
      <c r="M248" s="37"/>
      <c r="N248" s="37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</row>
    <row r="249" spans="2:69" s="76" customFormat="1" ht="15.75">
      <c r="B249" s="354"/>
      <c r="C249" s="348"/>
      <c r="D249" s="46" t="s">
        <v>9</v>
      </c>
      <c r="E249" s="322" t="s">
        <v>11</v>
      </c>
      <c r="F249" s="322">
        <v>0.92</v>
      </c>
      <c r="G249" s="36">
        <f>F249*G247</f>
        <v>95.431600000000003</v>
      </c>
      <c r="H249" s="322"/>
      <c r="I249" s="36"/>
      <c r="J249" s="322"/>
      <c r="K249" s="37"/>
      <c r="L249" s="36"/>
      <c r="M249" s="37"/>
      <c r="N249" s="37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</row>
    <row r="250" spans="2:69" s="76" customFormat="1" ht="15.75">
      <c r="B250" s="354"/>
      <c r="C250" s="348"/>
      <c r="D250" s="46" t="s">
        <v>569</v>
      </c>
      <c r="E250" s="322" t="s">
        <v>26</v>
      </c>
      <c r="F250" s="322">
        <v>65.37</v>
      </c>
      <c r="G250" s="36">
        <f>F250*G247</f>
        <v>6780.830100000001</v>
      </c>
      <c r="H250" s="78"/>
      <c r="I250" s="36"/>
      <c r="J250" s="322"/>
      <c r="K250" s="37"/>
      <c r="L250" s="36"/>
      <c r="M250" s="37"/>
      <c r="N250" s="37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</row>
    <row r="251" spans="2:69" s="76" customFormat="1" ht="15.75">
      <c r="B251" s="354"/>
      <c r="C251" s="348"/>
      <c r="D251" s="46" t="s">
        <v>33</v>
      </c>
      <c r="E251" s="322" t="s">
        <v>12</v>
      </c>
      <c r="F251" s="322">
        <v>0.11</v>
      </c>
      <c r="G251" s="36">
        <f>F251*G247</f>
        <v>11.410300000000001</v>
      </c>
      <c r="H251" s="322"/>
      <c r="I251" s="36"/>
      <c r="J251" s="322"/>
      <c r="K251" s="37"/>
      <c r="L251" s="36"/>
      <c r="M251" s="37"/>
      <c r="N251" s="37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</row>
    <row r="252" spans="2:69" s="76" customFormat="1" ht="15.75">
      <c r="B252" s="355"/>
      <c r="C252" s="349"/>
      <c r="D252" s="46" t="s">
        <v>13</v>
      </c>
      <c r="E252" s="322" t="s">
        <v>11</v>
      </c>
      <c r="F252" s="322">
        <v>0.16</v>
      </c>
      <c r="G252" s="36">
        <f>F252*G247</f>
        <v>16.596800000000002</v>
      </c>
      <c r="H252" s="322"/>
      <c r="I252" s="36"/>
      <c r="J252" s="322"/>
      <c r="K252" s="37"/>
      <c r="L252" s="36"/>
      <c r="M252" s="37"/>
      <c r="N252" s="37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</row>
    <row r="253" spans="2:69" s="76" customFormat="1" ht="25.5">
      <c r="B253" s="353">
        <v>29</v>
      </c>
      <c r="C253" s="347" t="s">
        <v>89</v>
      </c>
      <c r="D253" s="43" t="s">
        <v>154</v>
      </c>
      <c r="E253" s="332" t="s">
        <v>21</v>
      </c>
      <c r="F253" s="332"/>
      <c r="G253" s="332">
        <v>656.4</v>
      </c>
      <c r="H253" s="332"/>
      <c r="I253" s="36"/>
      <c r="J253" s="332"/>
      <c r="K253" s="37"/>
      <c r="L253" s="44"/>
      <c r="M253" s="37"/>
      <c r="N253" s="37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</row>
    <row r="254" spans="2:69" s="76" customFormat="1" ht="15.75">
      <c r="B254" s="354"/>
      <c r="C254" s="348"/>
      <c r="D254" s="46" t="s">
        <v>28</v>
      </c>
      <c r="E254" s="322" t="s">
        <v>10</v>
      </c>
      <c r="F254" s="322">
        <v>1.03</v>
      </c>
      <c r="G254" s="36">
        <f>F254*G253</f>
        <v>676.09199999999998</v>
      </c>
      <c r="H254" s="322"/>
      <c r="I254" s="36"/>
      <c r="J254" s="322"/>
      <c r="K254" s="37"/>
      <c r="L254" s="36"/>
      <c r="M254" s="37"/>
      <c r="N254" s="37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</row>
    <row r="255" spans="2:69" s="76" customFormat="1" ht="15.75">
      <c r="B255" s="354"/>
      <c r="C255" s="348"/>
      <c r="D255" s="46" t="s">
        <v>9</v>
      </c>
      <c r="E255" s="322" t="s">
        <v>11</v>
      </c>
      <c r="F255" s="322">
        <v>6.4399999999999999E-2</v>
      </c>
      <c r="G255" s="36">
        <f>F255*G253</f>
        <v>42.27216</v>
      </c>
      <c r="H255" s="322"/>
      <c r="I255" s="36"/>
      <c r="J255" s="322"/>
      <c r="K255" s="37"/>
      <c r="L255" s="36"/>
      <c r="M255" s="37"/>
      <c r="N255" s="37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</row>
    <row r="256" spans="2:69" s="76" customFormat="1" ht="15.75">
      <c r="B256" s="354"/>
      <c r="C256" s="348"/>
      <c r="D256" s="46" t="s">
        <v>153</v>
      </c>
      <c r="E256" s="322" t="s">
        <v>26</v>
      </c>
      <c r="F256" s="322">
        <v>12.5</v>
      </c>
      <c r="G256" s="36">
        <f>F256*G253</f>
        <v>8205</v>
      </c>
      <c r="H256" s="322"/>
      <c r="I256" s="36"/>
      <c r="J256" s="322"/>
      <c r="K256" s="37"/>
      <c r="L256" s="36"/>
      <c r="M256" s="37"/>
      <c r="N256" s="37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</row>
    <row r="257" spans="2:69" s="76" customFormat="1" ht="15.75">
      <c r="B257" s="354"/>
      <c r="C257" s="348"/>
      <c r="D257" s="46" t="s">
        <v>33</v>
      </c>
      <c r="E257" s="322" t="s">
        <v>12</v>
      </c>
      <c r="F257" s="322">
        <v>5.0000000000000001E-3</v>
      </c>
      <c r="G257" s="36">
        <f>F257*G253</f>
        <v>3.282</v>
      </c>
      <c r="H257" s="322"/>
      <c r="I257" s="36"/>
      <c r="J257" s="322"/>
      <c r="K257" s="37"/>
      <c r="L257" s="36"/>
      <c r="M257" s="37"/>
      <c r="N257" s="37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</row>
    <row r="258" spans="2:69" s="76" customFormat="1" ht="15.75">
      <c r="B258" s="355"/>
      <c r="C258" s="349"/>
      <c r="D258" s="46" t="s">
        <v>13</v>
      </c>
      <c r="E258" s="322" t="s">
        <v>11</v>
      </c>
      <c r="F258" s="322">
        <v>1.1999999999999999E-3</v>
      </c>
      <c r="G258" s="36">
        <f>F258*G253</f>
        <v>0.78767999999999994</v>
      </c>
      <c r="H258" s="322"/>
      <c r="I258" s="36"/>
      <c r="J258" s="322"/>
      <c r="K258" s="37"/>
      <c r="L258" s="36"/>
      <c r="M258" s="37"/>
      <c r="N258" s="37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</row>
    <row r="259" spans="2:69" s="76" customFormat="1" ht="15.75">
      <c r="B259" s="319"/>
      <c r="C259" s="319"/>
      <c r="D259" s="332" t="s">
        <v>183</v>
      </c>
      <c r="E259" s="319"/>
      <c r="F259" s="319"/>
      <c r="G259" s="319"/>
      <c r="H259" s="319"/>
      <c r="I259" s="36"/>
      <c r="J259" s="319"/>
      <c r="K259" s="37"/>
      <c r="L259" s="37"/>
      <c r="M259" s="37"/>
      <c r="N259" s="37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</row>
    <row r="260" spans="2:69" s="76" customFormat="1" ht="15.75">
      <c r="B260" s="353">
        <v>30</v>
      </c>
      <c r="C260" s="347" t="s">
        <v>34</v>
      </c>
      <c r="D260" s="43" t="s">
        <v>68</v>
      </c>
      <c r="E260" s="332" t="s">
        <v>21</v>
      </c>
      <c r="F260" s="332"/>
      <c r="G260" s="332">
        <v>40.5</v>
      </c>
      <c r="H260" s="332"/>
      <c r="I260" s="36"/>
      <c r="J260" s="332"/>
      <c r="K260" s="37"/>
      <c r="L260" s="44"/>
      <c r="M260" s="37"/>
      <c r="N260" s="37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</row>
    <row r="261" spans="2:69" s="76" customFormat="1" ht="15.75">
      <c r="B261" s="354"/>
      <c r="C261" s="348"/>
      <c r="D261" s="46" t="s">
        <v>28</v>
      </c>
      <c r="E261" s="322" t="s">
        <v>10</v>
      </c>
      <c r="F261" s="322">
        <v>0.91400000000000003</v>
      </c>
      <c r="G261" s="36">
        <f>F261*G260</f>
        <v>37.017000000000003</v>
      </c>
      <c r="H261" s="322"/>
      <c r="I261" s="36"/>
      <c r="J261" s="322"/>
      <c r="K261" s="37"/>
      <c r="L261" s="36"/>
      <c r="M261" s="37"/>
      <c r="N261" s="37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</row>
    <row r="262" spans="2:69" s="76" customFormat="1" ht="15.75">
      <c r="B262" s="354"/>
      <c r="C262" s="348"/>
      <c r="D262" s="46" t="s">
        <v>9</v>
      </c>
      <c r="E262" s="322" t="s">
        <v>11</v>
      </c>
      <c r="F262" s="322">
        <v>0.35299999999999998</v>
      </c>
      <c r="G262" s="36">
        <f>F262*G260</f>
        <v>14.2965</v>
      </c>
      <c r="H262" s="322"/>
      <c r="I262" s="36"/>
      <c r="J262" s="322"/>
      <c r="K262" s="37"/>
      <c r="L262" s="36"/>
      <c r="M262" s="37"/>
      <c r="N262" s="37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</row>
    <row r="263" spans="2:69" s="76" customFormat="1" ht="15.75">
      <c r="B263" s="354"/>
      <c r="C263" s="348"/>
      <c r="D263" s="46" t="s">
        <v>69</v>
      </c>
      <c r="E263" s="322" t="s">
        <v>21</v>
      </c>
      <c r="F263" s="322">
        <v>1</v>
      </c>
      <c r="G263" s="36">
        <f>F263*G260</f>
        <v>40.5</v>
      </c>
      <c r="H263" s="322"/>
      <c r="I263" s="36"/>
      <c r="J263" s="322"/>
      <c r="K263" s="37"/>
      <c r="L263" s="36"/>
      <c r="M263" s="37"/>
      <c r="N263" s="37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</row>
    <row r="264" spans="2:69" s="76" customFormat="1" ht="15.75">
      <c r="B264" s="355"/>
      <c r="C264" s="349"/>
      <c r="D264" s="46" t="s">
        <v>13</v>
      </c>
      <c r="E264" s="322" t="s">
        <v>11</v>
      </c>
      <c r="F264" s="322">
        <v>0.27600000000000002</v>
      </c>
      <c r="G264" s="36">
        <f>F264*G260</f>
        <v>11.178000000000001</v>
      </c>
      <c r="H264" s="322"/>
      <c r="I264" s="36"/>
      <c r="J264" s="322"/>
      <c r="K264" s="37"/>
      <c r="L264" s="36"/>
      <c r="M264" s="37"/>
      <c r="N264" s="37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</row>
    <row r="265" spans="2:69" s="76" customFormat="1" ht="25.5">
      <c r="B265" s="353">
        <v>31</v>
      </c>
      <c r="C265" s="347" t="s">
        <v>521</v>
      </c>
      <c r="D265" s="43" t="s">
        <v>155</v>
      </c>
      <c r="E265" s="332" t="s">
        <v>21</v>
      </c>
      <c r="F265" s="332"/>
      <c r="G265" s="332">
        <v>36.58</v>
      </c>
      <c r="H265" s="332"/>
      <c r="I265" s="36"/>
      <c r="J265" s="332"/>
      <c r="K265" s="37"/>
      <c r="L265" s="44"/>
      <c r="M265" s="37"/>
      <c r="N265" s="37"/>
      <c r="O265" s="6"/>
      <c r="P265" s="6"/>
      <c r="Q265" s="6"/>
      <c r="R265" s="6"/>
      <c r="S265" s="7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</row>
    <row r="266" spans="2:69" s="76" customFormat="1" ht="15.75">
      <c r="B266" s="354"/>
      <c r="C266" s="348"/>
      <c r="D266" s="46" t="s">
        <v>28</v>
      </c>
      <c r="E266" s="322" t="s">
        <v>10</v>
      </c>
      <c r="F266" s="322">
        <v>2.72</v>
      </c>
      <c r="G266" s="36">
        <f>F266*G265</f>
        <v>99.497600000000006</v>
      </c>
      <c r="H266" s="322"/>
      <c r="I266" s="36"/>
      <c r="J266" s="322"/>
      <c r="K266" s="37"/>
      <c r="L266" s="36"/>
      <c r="M266" s="37"/>
      <c r="N266" s="37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</row>
    <row r="267" spans="2:69" s="76" customFormat="1" ht="15.75">
      <c r="B267" s="354"/>
      <c r="C267" s="348"/>
      <c r="D267" s="46" t="s">
        <v>9</v>
      </c>
      <c r="E267" s="322" t="s">
        <v>11</v>
      </c>
      <c r="F267" s="322">
        <v>0</v>
      </c>
      <c r="G267" s="322">
        <f>F267*G265</f>
        <v>0</v>
      </c>
      <c r="H267" s="322"/>
      <c r="I267" s="36"/>
      <c r="J267" s="322"/>
      <c r="K267" s="37"/>
      <c r="L267" s="36"/>
      <c r="M267" s="37"/>
      <c r="N267" s="37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</row>
    <row r="268" spans="2:69" s="76" customFormat="1" ht="15.75">
      <c r="B268" s="354"/>
      <c r="C268" s="348"/>
      <c r="D268" s="46" t="s">
        <v>70</v>
      </c>
      <c r="E268" s="322" t="s">
        <v>21</v>
      </c>
      <c r="F268" s="322">
        <v>1</v>
      </c>
      <c r="G268" s="322">
        <f>F268*G265</f>
        <v>36.58</v>
      </c>
      <c r="H268" s="322"/>
      <c r="I268" s="36"/>
      <c r="J268" s="322"/>
      <c r="K268" s="37"/>
      <c r="L268" s="36"/>
      <c r="M268" s="37"/>
      <c r="N268" s="37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</row>
    <row r="269" spans="2:69" s="76" customFormat="1" ht="15.75">
      <c r="B269" s="353">
        <v>32</v>
      </c>
      <c r="C269" s="353" t="s">
        <v>524</v>
      </c>
      <c r="D269" s="66" t="s">
        <v>161</v>
      </c>
      <c r="E269" s="332" t="s">
        <v>21</v>
      </c>
      <c r="F269" s="322"/>
      <c r="G269" s="330">
        <v>7.56</v>
      </c>
      <c r="H269" s="73"/>
      <c r="I269" s="36"/>
      <c r="J269" s="73"/>
      <c r="K269" s="37"/>
      <c r="L269" s="74"/>
      <c r="M269" s="37"/>
      <c r="N269" s="37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</row>
    <row r="270" spans="2:69" s="76" customFormat="1" ht="15.75">
      <c r="B270" s="354"/>
      <c r="C270" s="354"/>
      <c r="D270" s="38" t="s">
        <v>90</v>
      </c>
      <c r="E270" s="322" t="s">
        <v>10</v>
      </c>
      <c r="F270" s="322">
        <v>1.1100000000000001</v>
      </c>
      <c r="G270" s="322">
        <f t="shared" ref="G270" si="6">F270*G269</f>
        <v>8.3916000000000004</v>
      </c>
      <c r="H270" s="225"/>
      <c r="I270" s="36"/>
      <c r="J270" s="225"/>
      <c r="K270" s="37"/>
      <c r="L270" s="49"/>
      <c r="M270" s="37"/>
      <c r="N270" s="37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</row>
    <row r="271" spans="2:69" s="76" customFormat="1" ht="15.75">
      <c r="B271" s="354"/>
      <c r="C271" s="354"/>
      <c r="D271" s="46" t="s">
        <v>162</v>
      </c>
      <c r="E271" s="322" t="s">
        <v>21</v>
      </c>
      <c r="F271" s="322"/>
      <c r="G271" s="322">
        <f>G269</f>
        <v>7.56</v>
      </c>
      <c r="H271" s="225"/>
      <c r="I271" s="36"/>
      <c r="J271" s="225"/>
      <c r="K271" s="37"/>
      <c r="L271" s="49"/>
      <c r="M271" s="37"/>
      <c r="N271" s="37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</row>
    <row r="272" spans="2:69" s="76" customFormat="1" ht="15.75">
      <c r="B272" s="354"/>
      <c r="C272" s="354"/>
      <c r="D272" s="46" t="s">
        <v>9</v>
      </c>
      <c r="E272" s="322" t="s">
        <v>11</v>
      </c>
      <c r="F272" s="322">
        <v>0.51600000000000001</v>
      </c>
      <c r="G272" s="93">
        <f>F272*G269</f>
        <v>3.90096</v>
      </c>
      <c r="H272" s="322"/>
      <c r="I272" s="36"/>
      <c r="J272" s="322"/>
      <c r="K272" s="37"/>
      <c r="L272" s="36"/>
      <c r="M272" s="37"/>
      <c r="N272" s="37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</row>
    <row r="273" spans="2:69" s="76" customFormat="1" ht="15.75">
      <c r="B273" s="354"/>
      <c r="C273" s="354"/>
      <c r="D273" s="38" t="s">
        <v>13</v>
      </c>
      <c r="E273" s="322" t="s">
        <v>11</v>
      </c>
      <c r="F273" s="322">
        <v>5.3999999999999999E-2</v>
      </c>
      <c r="G273" s="93">
        <f>G269*F273</f>
        <v>0.40823999999999999</v>
      </c>
      <c r="H273" s="225"/>
      <c r="I273" s="36"/>
      <c r="J273" s="225"/>
      <c r="K273" s="37"/>
      <c r="L273" s="75"/>
      <c r="M273" s="37"/>
      <c r="N273" s="37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</row>
    <row r="274" spans="2:69" s="76" customFormat="1" ht="15.75">
      <c r="B274" s="355"/>
      <c r="C274" s="355"/>
      <c r="D274" s="38" t="s">
        <v>35</v>
      </c>
      <c r="E274" s="322" t="s">
        <v>30</v>
      </c>
      <c r="F274" s="322">
        <v>4.8000000000000001E-2</v>
      </c>
      <c r="G274" s="93">
        <f>G269*F274</f>
        <v>0.36287999999999998</v>
      </c>
      <c r="H274" s="225"/>
      <c r="I274" s="36"/>
      <c r="J274" s="225"/>
      <c r="K274" s="37"/>
      <c r="L274" s="75"/>
      <c r="M274" s="37"/>
      <c r="N274" s="37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</row>
    <row r="275" spans="2:69" s="76" customFormat="1" ht="25.5">
      <c r="B275" s="353">
        <v>33</v>
      </c>
      <c r="C275" s="353" t="s">
        <v>160</v>
      </c>
      <c r="D275" s="66" t="s">
        <v>551</v>
      </c>
      <c r="E275" s="330" t="s">
        <v>21</v>
      </c>
      <c r="F275" s="89"/>
      <c r="G275" s="330">
        <f>G269*2</f>
        <v>15.12</v>
      </c>
      <c r="H275" s="89"/>
      <c r="I275" s="36"/>
      <c r="J275" s="89"/>
      <c r="K275" s="37"/>
      <c r="L275" s="90"/>
      <c r="M275" s="37"/>
      <c r="N275" s="37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</row>
    <row r="276" spans="2:69" s="76" customFormat="1" ht="15.75">
      <c r="B276" s="354"/>
      <c r="C276" s="354"/>
      <c r="D276" s="38" t="s">
        <v>8</v>
      </c>
      <c r="E276" s="91" t="s">
        <v>10</v>
      </c>
      <c r="F276" s="91">
        <f>6.2/100</f>
        <v>6.2E-2</v>
      </c>
      <c r="G276" s="221">
        <f>F276*G275</f>
        <v>0.93743999999999994</v>
      </c>
      <c r="H276" s="91"/>
      <c r="I276" s="36"/>
      <c r="J276" s="91"/>
      <c r="K276" s="37"/>
      <c r="L276" s="92"/>
      <c r="M276" s="37"/>
      <c r="N276" s="37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</row>
    <row r="277" spans="2:69" s="76" customFormat="1" ht="15.75">
      <c r="B277" s="354"/>
      <c r="C277" s="354"/>
      <c r="D277" s="38" t="s">
        <v>101</v>
      </c>
      <c r="E277" s="91" t="s">
        <v>30</v>
      </c>
      <c r="F277" s="91">
        <f>4.7/100</f>
        <v>4.7E-2</v>
      </c>
      <c r="G277" s="221">
        <f>F277*G275</f>
        <v>0.71063999999999994</v>
      </c>
      <c r="H277" s="91"/>
      <c r="I277" s="36"/>
      <c r="J277" s="91"/>
      <c r="K277" s="37"/>
      <c r="L277" s="92"/>
      <c r="M277" s="37"/>
      <c r="N277" s="37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</row>
    <row r="278" spans="2:69" s="76" customFormat="1" ht="15.75">
      <c r="B278" s="354"/>
      <c r="C278" s="354"/>
      <c r="D278" s="38" t="s">
        <v>102</v>
      </c>
      <c r="E278" s="322" t="s">
        <v>30</v>
      </c>
      <c r="F278" s="322">
        <f>0.5/100</f>
        <v>5.0000000000000001E-3</v>
      </c>
      <c r="G278" s="93">
        <f>G275*F278</f>
        <v>7.5600000000000001E-2</v>
      </c>
      <c r="H278" s="225"/>
      <c r="I278" s="36"/>
      <c r="J278" s="225"/>
      <c r="K278" s="37"/>
      <c r="L278" s="49"/>
      <c r="M278" s="37"/>
      <c r="N278" s="37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</row>
    <row r="279" spans="2:69" s="76" customFormat="1" ht="15.75">
      <c r="B279" s="354"/>
      <c r="C279" s="354"/>
      <c r="D279" s="38" t="s">
        <v>13</v>
      </c>
      <c r="E279" s="91" t="s">
        <v>11</v>
      </c>
      <c r="F279" s="91">
        <f>0.04/100</f>
        <v>4.0000000000000002E-4</v>
      </c>
      <c r="G279" s="221">
        <f>F279*G275</f>
        <v>6.0479999999999996E-3</v>
      </c>
      <c r="H279" s="91"/>
      <c r="I279" s="36"/>
      <c r="J279" s="91"/>
      <c r="K279" s="37"/>
      <c r="L279" s="92"/>
      <c r="M279" s="37"/>
      <c r="N279" s="37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</row>
    <row r="280" spans="2:69" s="76" customFormat="1" ht="25.5">
      <c r="B280" s="353">
        <v>34</v>
      </c>
      <c r="C280" s="347" t="s">
        <v>521</v>
      </c>
      <c r="D280" s="43" t="s">
        <v>158</v>
      </c>
      <c r="E280" s="332" t="s">
        <v>21</v>
      </c>
      <c r="F280" s="332"/>
      <c r="G280" s="332">
        <v>80.28</v>
      </c>
      <c r="H280" s="332"/>
      <c r="I280" s="36"/>
      <c r="J280" s="332"/>
      <c r="K280" s="37"/>
      <c r="L280" s="44"/>
      <c r="M280" s="37"/>
      <c r="N280" s="37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</row>
    <row r="281" spans="2:69" s="76" customFormat="1" ht="15.75">
      <c r="B281" s="354"/>
      <c r="C281" s="348"/>
      <c r="D281" s="46" t="s">
        <v>28</v>
      </c>
      <c r="E281" s="322" t="s">
        <v>10</v>
      </c>
      <c r="F281" s="322">
        <v>2.72</v>
      </c>
      <c r="G281" s="36">
        <f>F281*G280</f>
        <v>218.36160000000001</v>
      </c>
      <c r="H281" s="322"/>
      <c r="I281" s="36"/>
      <c r="J281" s="322"/>
      <c r="K281" s="37"/>
      <c r="L281" s="36"/>
      <c r="M281" s="37"/>
      <c r="N281" s="37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</row>
    <row r="282" spans="2:69" s="76" customFormat="1" ht="15.75">
      <c r="B282" s="354"/>
      <c r="C282" s="348"/>
      <c r="D282" s="46" t="s">
        <v>159</v>
      </c>
      <c r="E282" s="322" t="s">
        <v>21</v>
      </c>
      <c r="F282" s="322">
        <v>1</v>
      </c>
      <c r="G282" s="322">
        <f>F282*G280</f>
        <v>80.28</v>
      </c>
      <c r="H282" s="322"/>
      <c r="I282" s="36"/>
      <c r="J282" s="322"/>
      <c r="K282" s="37"/>
      <c r="L282" s="36"/>
      <c r="M282" s="37"/>
      <c r="N282" s="37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</row>
    <row r="283" spans="2:69" s="76" customFormat="1" ht="15.75">
      <c r="B283" s="319"/>
      <c r="C283" s="322"/>
      <c r="D283" s="43" t="s">
        <v>184</v>
      </c>
      <c r="E283" s="332"/>
      <c r="F283" s="332"/>
      <c r="G283" s="332"/>
      <c r="H283" s="332"/>
      <c r="I283" s="36"/>
      <c r="J283" s="332"/>
      <c r="K283" s="37"/>
      <c r="L283" s="44"/>
      <c r="M283" s="37"/>
      <c r="N283" s="37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</row>
    <row r="284" spans="2:69" s="76" customFormat="1" ht="38.25">
      <c r="B284" s="353">
        <v>35</v>
      </c>
      <c r="C284" s="347" t="s">
        <v>72</v>
      </c>
      <c r="D284" s="43" t="s">
        <v>163</v>
      </c>
      <c r="E284" s="332" t="s">
        <v>21</v>
      </c>
      <c r="F284" s="332"/>
      <c r="G284" s="332">
        <v>675.5</v>
      </c>
      <c r="H284" s="332"/>
      <c r="I284" s="36"/>
      <c r="J284" s="332"/>
      <c r="K284" s="37"/>
      <c r="L284" s="44"/>
      <c r="M284" s="37"/>
      <c r="N284" s="37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</row>
    <row r="285" spans="2:69" s="76" customFormat="1" ht="15.75">
      <c r="B285" s="354"/>
      <c r="C285" s="348"/>
      <c r="D285" s="46" t="s">
        <v>28</v>
      </c>
      <c r="E285" s="322" t="s">
        <v>10</v>
      </c>
      <c r="F285" s="322">
        <v>0.2</v>
      </c>
      <c r="G285" s="36">
        <f>F285*G284</f>
        <v>135.1</v>
      </c>
      <c r="H285" s="322"/>
      <c r="I285" s="36"/>
      <c r="J285" s="322"/>
      <c r="K285" s="37"/>
      <c r="L285" s="36"/>
      <c r="M285" s="37"/>
      <c r="N285" s="37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</row>
    <row r="286" spans="2:69" s="76" customFormat="1" ht="15.75">
      <c r="B286" s="354"/>
      <c r="C286" s="348"/>
      <c r="D286" s="46" t="s">
        <v>9</v>
      </c>
      <c r="E286" s="322" t="s">
        <v>11</v>
      </c>
      <c r="F286" s="322">
        <f>1.87/100</f>
        <v>1.8700000000000001E-2</v>
      </c>
      <c r="G286" s="36">
        <f>F286*G284</f>
        <v>12.63185</v>
      </c>
      <c r="H286" s="322"/>
      <c r="I286" s="36"/>
      <c r="J286" s="322"/>
      <c r="K286" s="37"/>
      <c r="L286" s="36"/>
      <c r="M286" s="37"/>
      <c r="N286" s="37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</row>
    <row r="287" spans="2:69" s="76" customFormat="1" ht="15.75">
      <c r="B287" s="354"/>
      <c r="C287" s="348"/>
      <c r="D287" s="46" t="s">
        <v>39</v>
      </c>
      <c r="E287" s="322" t="s">
        <v>12</v>
      </c>
      <c r="F287" s="322">
        <f>4.08/100</f>
        <v>4.0800000000000003E-2</v>
      </c>
      <c r="G287" s="36">
        <f>F287*G284</f>
        <v>27.560400000000001</v>
      </c>
      <c r="H287" s="322"/>
      <c r="I287" s="36"/>
      <c r="J287" s="322"/>
      <c r="K287" s="37"/>
      <c r="L287" s="36"/>
      <c r="M287" s="37"/>
      <c r="N287" s="37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</row>
    <row r="288" spans="2:69" s="76" customFormat="1" ht="15.75">
      <c r="B288" s="355"/>
      <c r="C288" s="349"/>
      <c r="D288" s="46" t="s">
        <v>13</v>
      </c>
      <c r="E288" s="322" t="s">
        <v>11</v>
      </c>
      <c r="F288" s="322">
        <v>6.3600000000000004E-2</v>
      </c>
      <c r="G288" s="36">
        <f>F288*G284</f>
        <v>42.961800000000004</v>
      </c>
      <c r="H288" s="322"/>
      <c r="I288" s="36"/>
      <c r="J288" s="322"/>
      <c r="K288" s="37"/>
      <c r="L288" s="36"/>
      <c r="M288" s="37"/>
      <c r="N288" s="37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</row>
    <row r="289" spans="2:69" s="76" customFormat="1" ht="15.75">
      <c r="B289" s="365">
        <v>36</v>
      </c>
      <c r="C289" s="365" t="s">
        <v>94</v>
      </c>
      <c r="D289" s="66" t="s">
        <v>95</v>
      </c>
      <c r="E289" s="332" t="s">
        <v>21</v>
      </c>
      <c r="F289" s="322"/>
      <c r="G289" s="330">
        <v>53</v>
      </c>
      <c r="H289" s="73"/>
      <c r="I289" s="36"/>
      <c r="J289" s="73"/>
      <c r="K289" s="37"/>
      <c r="L289" s="74"/>
      <c r="M289" s="37"/>
      <c r="N289" s="37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</row>
    <row r="290" spans="2:69" s="76" customFormat="1" ht="15.75">
      <c r="B290" s="365"/>
      <c r="C290" s="365"/>
      <c r="D290" s="38" t="s">
        <v>90</v>
      </c>
      <c r="E290" s="322" t="s">
        <v>10</v>
      </c>
      <c r="F290" s="322">
        <v>0.45</v>
      </c>
      <c r="G290" s="36">
        <f>F290*G289</f>
        <v>23.85</v>
      </c>
      <c r="H290" s="225"/>
      <c r="I290" s="36"/>
      <c r="J290" s="225"/>
      <c r="K290" s="37"/>
      <c r="L290" s="49"/>
      <c r="M290" s="37"/>
      <c r="N290" s="37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</row>
    <row r="291" spans="2:69" s="76" customFormat="1" ht="15.75">
      <c r="B291" s="365"/>
      <c r="C291" s="365"/>
      <c r="D291" s="38" t="s">
        <v>96</v>
      </c>
      <c r="E291" s="322" t="s">
        <v>20</v>
      </c>
      <c r="F291" s="322">
        <f>0.035/100</f>
        <v>3.5000000000000005E-4</v>
      </c>
      <c r="G291" s="36">
        <f>G289*F291</f>
        <v>1.8550000000000004E-2</v>
      </c>
      <c r="H291" s="225"/>
      <c r="I291" s="36"/>
      <c r="J291" s="225"/>
      <c r="K291" s="37"/>
      <c r="L291" s="49"/>
      <c r="M291" s="37"/>
      <c r="N291" s="37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</row>
    <row r="292" spans="2:69" s="76" customFormat="1" ht="15.75">
      <c r="B292" s="365"/>
      <c r="C292" s="365"/>
      <c r="D292" s="38" t="s">
        <v>17</v>
      </c>
      <c r="E292" s="322" t="s">
        <v>11</v>
      </c>
      <c r="F292" s="322">
        <f>0.23/100</f>
        <v>2.3E-3</v>
      </c>
      <c r="G292" s="36">
        <f>G289*F292</f>
        <v>0.12189999999999999</v>
      </c>
      <c r="H292" s="225"/>
      <c r="I292" s="36"/>
      <c r="J292" s="225"/>
      <c r="K292" s="37"/>
      <c r="L292" s="49"/>
      <c r="M292" s="37"/>
      <c r="N292" s="37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</row>
    <row r="293" spans="2:69" s="76" customFormat="1" ht="15.75">
      <c r="B293" s="365"/>
      <c r="C293" s="365"/>
      <c r="D293" s="38" t="s">
        <v>97</v>
      </c>
      <c r="E293" s="322" t="s">
        <v>12</v>
      </c>
      <c r="F293" s="322">
        <f>0.009/100</f>
        <v>8.9999999999999992E-5</v>
      </c>
      <c r="G293" s="36">
        <f>G289*F293</f>
        <v>4.7699999999999999E-3</v>
      </c>
      <c r="H293" s="225"/>
      <c r="I293" s="36"/>
      <c r="J293" s="225"/>
      <c r="K293" s="37"/>
      <c r="L293" s="49"/>
      <c r="M293" s="37"/>
      <c r="N293" s="37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</row>
    <row r="294" spans="2:69" s="76" customFormat="1" ht="15.75">
      <c r="B294" s="365"/>
      <c r="C294" s="365"/>
      <c r="D294" s="38" t="s">
        <v>98</v>
      </c>
      <c r="E294" s="322" t="s">
        <v>21</v>
      </c>
      <c r="F294" s="322">
        <f>3.4/100</f>
        <v>3.4000000000000002E-2</v>
      </c>
      <c r="G294" s="36">
        <f>G289*F294</f>
        <v>1.802</v>
      </c>
      <c r="H294" s="225"/>
      <c r="I294" s="36"/>
      <c r="J294" s="225"/>
      <c r="K294" s="37"/>
      <c r="L294" s="49"/>
      <c r="M294" s="37"/>
      <c r="N294" s="37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</row>
    <row r="295" spans="2:69" s="76" customFormat="1" ht="25.5">
      <c r="B295" s="353">
        <v>37</v>
      </c>
      <c r="C295" s="347" t="s">
        <v>186</v>
      </c>
      <c r="D295" s="43" t="s">
        <v>164</v>
      </c>
      <c r="E295" s="332" t="s">
        <v>21</v>
      </c>
      <c r="F295" s="332"/>
      <c r="G295" s="332">
        <v>1574.52</v>
      </c>
      <c r="H295" s="332"/>
      <c r="I295" s="36"/>
      <c r="J295" s="332"/>
      <c r="K295" s="37"/>
      <c r="L295" s="44"/>
      <c r="M295" s="37"/>
      <c r="N295" s="37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</row>
    <row r="296" spans="2:69" s="76" customFormat="1" ht="15.75">
      <c r="B296" s="354"/>
      <c r="C296" s="348"/>
      <c r="D296" s="46" t="s">
        <v>28</v>
      </c>
      <c r="E296" s="322" t="s">
        <v>10</v>
      </c>
      <c r="F296" s="322">
        <v>0.57399999999999995</v>
      </c>
      <c r="G296" s="36">
        <f>F296*G295</f>
        <v>903.77447999999993</v>
      </c>
      <c r="H296" s="322"/>
      <c r="I296" s="36"/>
      <c r="J296" s="322"/>
      <c r="K296" s="37"/>
      <c r="L296" s="36"/>
      <c r="M296" s="37"/>
      <c r="N296" s="37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</row>
    <row r="297" spans="2:69" s="76" customFormat="1" ht="15.75">
      <c r="B297" s="354"/>
      <c r="C297" s="348"/>
      <c r="D297" s="46" t="s">
        <v>9</v>
      </c>
      <c r="E297" s="322" t="s">
        <v>11</v>
      </c>
      <c r="F297" s="322">
        <f>2.1/100</f>
        <v>2.1000000000000001E-2</v>
      </c>
      <c r="G297" s="36">
        <f>F297*G295</f>
        <v>33.064920000000001</v>
      </c>
      <c r="H297" s="322"/>
      <c r="I297" s="36"/>
      <c r="J297" s="322"/>
      <c r="K297" s="37"/>
      <c r="L297" s="36"/>
      <c r="M297" s="37"/>
      <c r="N297" s="37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</row>
    <row r="298" spans="2:69" s="76" customFormat="1" ht="15.75">
      <c r="B298" s="354"/>
      <c r="C298" s="348"/>
      <c r="D298" s="46" t="s">
        <v>39</v>
      </c>
      <c r="E298" s="322" t="s">
        <v>12</v>
      </c>
      <c r="F298" s="322">
        <f>1.89/100</f>
        <v>1.89E-2</v>
      </c>
      <c r="G298" s="36">
        <f>F298*G295</f>
        <v>29.758427999999999</v>
      </c>
      <c r="H298" s="322"/>
      <c r="I298" s="36"/>
      <c r="J298" s="322"/>
      <c r="K298" s="37"/>
      <c r="L298" s="36"/>
      <c r="M298" s="37"/>
      <c r="N298" s="37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</row>
    <row r="299" spans="2:69" s="76" customFormat="1" ht="15.75">
      <c r="B299" s="353">
        <v>38</v>
      </c>
      <c r="C299" s="347" t="s">
        <v>231</v>
      </c>
      <c r="D299" s="43" t="s">
        <v>565</v>
      </c>
      <c r="E299" s="332" t="s">
        <v>21</v>
      </c>
      <c r="F299" s="332"/>
      <c r="G299" s="332">
        <v>22</v>
      </c>
      <c r="H299" s="332"/>
      <c r="I299" s="36"/>
      <c r="J299" s="332"/>
      <c r="K299" s="37"/>
      <c r="L299" s="44"/>
      <c r="M299" s="37"/>
      <c r="N299" s="37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</row>
    <row r="300" spans="2:69" s="76" customFormat="1" ht="15.75">
      <c r="B300" s="354"/>
      <c r="C300" s="348"/>
      <c r="D300" s="46" t="s">
        <v>28</v>
      </c>
      <c r="E300" s="322" t="s">
        <v>10</v>
      </c>
      <c r="F300" s="322">
        <v>0.49</v>
      </c>
      <c r="G300" s="322">
        <f>F300*G299</f>
        <v>10.78</v>
      </c>
      <c r="H300" s="322"/>
      <c r="I300" s="36"/>
      <c r="J300" s="322"/>
      <c r="K300" s="37"/>
      <c r="L300" s="36"/>
      <c r="M300" s="37"/>
      <c r="N300" s="37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</row>
    <row r="301" spans="2:69" s="76" customFormat="1" ht="15.75">
      <c r="B301" s="354"/>
      <c r="C301" s="348"/>
      <c r="D301" s="46" t="s">
        <v>9</v>
      </c>
      <c r="E301" s="322" t="s">
        <v>11</v>
      </c>
      <c r="F301" s="322">
        <f>1.8/100</f>
        <v>1.8000000000000002E-2</v>
      </c>
      <c r="G301" s="322">
        <f>F301*G299</f>
        <v>0.39600000000000002</v>
      </c>
      <c r="H301" s="322"/>
      <c r="I301" s="36"/>
      <c r="J301" s="322"/>
      <c r="K301" s="37"/>
      <c r="L301" s="36"/>
      <c r="M301" s="37"/>
      <c r="N301" s="37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</row>
    <row r="302" spans="2:69" s="76" customFormat="1" ht="15.75">
      <c r="B302" s="354"/>
      <c r="C302" s="348"/>
      <c r="D302" s="46" t="s">
        <v>39</v>
      </c>
      <c r="E302" s="322" t="s">
        <v>12</v>
      </c>
      <c r="F302" s="322">
        <f>1.06/100</f>
        <v>1.06E-2</v>
      </c>
      <c r="G302" s="322">
        <f>F302*G299</f>
        <v>0.23319999999999999</v>
      </c>
      <c r="H302" s="322"/>
      <c r="I302" s="36"/>
      <c r="J302" s="322"/>
      <c r="K302" s="37"/>
      <c r="L302" s="36"/>
      <c r="M302" s="37"/>
      <c r="N302" s="37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</row>
    <row r="303" spans="2:69" s="76" customFormat="1" ht="25.5">
      <c r="B303" s="353">
        <v>39</v>
      </c>
      <c r="C303" s="347" t="s">
        <v>525</v>
      </c>
      <c r="D303" s="43" t="s">
        <v>73</v>
      </c>
      <c r="E303" s="332" t="s">
        <v>21</v>
      </c>
      <c r="F303" s="332"/>
      <c r="G303" s="332">
        <v>55.9</v>
      </c>
      <c r="H303" s="332"/>
      <c r="I303" s="36"/>
      <c r="J303" s="332"/>
      <c r="K303" s="37"/>
      <c r="L303" s="44"/>
      <c r="M303" s="37"/>
      <c r="N303" s="37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</row>
    <row r="304" spans="2:69" s="76" customFormat="1" ht="15.75">
      <c r="B304" s="354"/>
      <c r="C304" s="348"/>
      <c r="D304" s="46" t="s">
        <v>28</v>
      </c>
      <c r="E304" s="322" t="s">
        <v>10</v>
      </c>
      <c r="F304" s="322">
        <v>1.53</v>
      </c>
      <c r="G304" s="322">
        <f>F304*G303</f>
        <v>85.527000000000001</v>
      </c>
      <c r="H304" s="322"/>
      <c r="I304" s="36"/>
      <c r="J304" s="322"/>
      <c r="K304" s="37"/>
      <c r="L304" s="36"/>
      <c r="M304" s="37"/>
      <c r="N304" s="37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</row>
    <row r="305" spans="2:69" s="76" customFormat="1" ht="15.75">
      <c r="B305" s="354"/>
      <c r="C305" s="348"/>
      <c r="D305" s="46" t="s">
        <v>9</v>
      </c>
      <c r="E305" s="322" t="s">
        <v>11</v>
      </c>
      <c r="F305" s="322">
        <v>4.2999999999999997E-2</v>
      </c>
      <c r="G305" s="322">
        <f>F305*G303</f>
        <v>2.4036999999999997</v>
      </c>
      <c r="H305" s="322"/>
      <c r="I305" s="36"/>
      <c r="J305" s="322"/>
      <c r="K305" s="37"/>
      <c r="L305" s="36"/>
      <c r="M305" s="37"/>
      <c r="N305" s="37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</row>
    <row r="306" spans="2:69" s="76" customFormat="1" ht="25.5">
      <c r="B306" s="354"/>
      <c r="C306" s="348"/>
      <c r="D306" s="46" t="s">
        <v>166</v>
      </c>
      <c r="E306" s="322" t="s">
        <v>21</v>
      </c>
      <c r="F306" s="322">
        <v>1.05</v>
      </c>
      <c r="G306" s="322">
        <f>F306*G303</f>
        <v>58.695</v>
      </c>
      <c r="H306" s="322"/>
      <c r="I306" s="36"/>
      <c r="J306" s="322"/>
      <c r="K306" s="37"/>
      <c r="L306" s="36"/>
      <c r="M306" s="37"/>
      <c r="N306" s="37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</row>
    <row r="307" spans="2:69" s="76" customFormat="1" ht="15.75">
      <c r="B307" s="354"/>
      <c r="C307" s="348"/>
      <c r="D307" s="46" t="s">
        <v>61</v>
      </c>
      <c r="E307" s="322" t="s">
        <v>23</v>
      </c>
      <c r="F307" s="322">
        <v>4</v>
      </c>
      <c r="G307" s="322">
        <f>F307*G303</f>
        <v>223.6</v>
      </c>
      <c r="H307" s="322"/>
      <c r="I307" s="36"/>
      <c r="J307" s="322"/>
      <c r="K307" s="37"/>
      <c r="L307" s="36"/>
      <c r="M307" s="37"/>
      <c r="N307" s="37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</row>
    <row r="308" spans="2:69" s="76" customFormat="1" ht="15.75">
      <c r="B308" s="354"/>
      <c r="C308" s="348"/>
      <c r="D308" s="46" t="s">
        <v>42</v>
      </c>
      <c r="E308" s="322" t="s">
        <v>30</v>
      </c>
      <c r="F308" s="322">
        <f>4.8/100</f>
        <v>4.8000000000000001E-2</v>
      </c>
      <c r="G308" s="322">
        <f>F308*G303</f>
        <v>2.6831999999999998</v>
      </c>
      <c r="H308" s="322"/>
      <c r="I308" s="36"/>
      <c r="J308" s="322"/>
      <c r="K308" s="37"/>
      <c r="L308" s="36"/>
      <c r="M308" s="37"/>
      <c r="N308" s="37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</row>
    <row r="309" spans="2:69" s="76" customFormat="1" ht="15.75">
      <c r="B309" s="355"/>
      <c r="C309" s="349"/>
      <c r="D309" s="46" t="s">
        <v>13</v>
      </c>
      <c r="E309" s="322" t="s">
        <v>11</v>
      </c>
      <c r="F309" s="322">
        <v>6.4000000000000001E-2</v>
      </c>
      <c r="G309" s="322">
        <f>F309*G303</f>
        <v>3.5775999999999999</v>
      </c>
      <c r="H309" s="322"/>
      <c r="I309" s="36"/>
      <c r="J309" s="322"/>
      <c r="K309" s="37"/>
      <c r="L309" s="36"/>
      <c r="M309" s="37"/>
      <c r="N309" s="37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</row>
    <row r="310" spans="2:69" s="76" customFormat="1" ht="15.75">
      <c r="B310" s="353">
        <v>40</v>
      </c>
      <c r="C310" s="347" t="s">
        <v>525</v>
      </c>
      <c r="D310" s="43" t="s">
        <v>74</v>
      </c>
      <c r="E310" s="332" t="s">
        <v>21</v>
      </c>
      <c r="F310" s="332"/>
      <c r="G310" s="332">
        <v>90</v>
      </c>
      <c r="H310" s="332"/>
      <c r="I310" s="36"/>
      <c r="J310" s="332"/>
      <c r="K310" s="37"/>
      <c r="L310" s="44"/>
      <c r="M310" s="37"/>
      <c r="N310" s="37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</row>
    <row r="311" spans="2:69" s="76" customFormat="1" ht="15.75">
      <c r="B311" s="354"/>
      <c r="C311" s="348"/>
      <c r="D311" s="46" t="s">
        <v>28</v>
      </c>
      <c r="E311" s="322" t="s">
        <v>10</v>
      </c>
      <c r="F311" s="322">
        <v>1.53</v>
      </c>
      <c r="G311" s="322">
        <f>F311*G310</f>
        <v>137.69999999999999</v>
      </c>
      <c r="H311" s="322"/>
      <c r="I311" s="36"/>
      <c r="J311" s="322"/>
      <c r="K311" s="37"/>
      <c r="L311" s="36"/>
      <c r="M311" s="37"/>
      <c r="N311" s="37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</row>
    <row r="312" spans="2:69" s="76" customFormat="1" ht="15.75">
      <c r="B312" s="354"/>
      <c r="C312" s="348"/>
      <c r="D312" s="46" t="s">
        <v>9</v>
      </c>
      <c r="E312" s="322" t="s">
        <v>11</v>
      </c>
      <c r="F312" s="322">
        <v>4.2999999999999997E-2</v>
      </c>
      <c r="G312" s="322">
        <f>F312*G310</f>
        <v>3.8699999999999997</v>
      </c>
      <c r="H312" s="322"/>
      <c r="I312" s="36"/>
      <c r="J312" s="322"/>
      <c r="K312" s="37"/>
      <c r="L312" s="36"/>
      <c r="M312" s="37"/>
      <c r="N312" s="37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</row>
    <row r="313" spans="2:69" s="76" customFormat="1" ht="15.75">
      <c r="B313" s="354"/>
      <c r="C313" s="348"/>
      <c r="D313" s="46" t="s">
        <v>57</v>
      </c>
      <c r="E313" s="322" t="s">
        <v>21</v>
      </c>
      <c r="F313" s="322">
        <v>1.05</v>
      </c>
      <c r="G313" s="322">
        <f>F313*G310</f>
        <v>94.5</v>
      </c>
      <c r="H313" s="322"/>
      <c r="I313" s="36"/>
      <c r="J313" s="322"/>
      <c r="K313" s="37"/>
      <c r="L313" s="36"/>
      <c r="M313" s="37"/>
      <c r="N313" s="37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</row>
    <row r="314" spans="2:69" s="76" customFormat="1" ht="15.75">
      <c r="B314" s="354"/>
      <c r="C314" s="348"/>
      <c r="D314" s="46" t="s">
        <v>38</v>
      </c>
      <c r="E314" s="322" t="s">
        <v>23</v>
      </c>
      <c r="F314" s="322">
        <v>4</v>
      </c>
      <c r="G314" s="322">
        <f>F314*G310</f>
        <v>360</v>
      </c>
      <c r="H314" s="322"/>
      <c r="I314" s="36"/>
      <c r="J314" s="322"/>
      <c r="K314" s="37"/>
      <c r="L314" s="36"/>
      <c r="M314" s="37"/>
      <c r="N314" s="37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</row>
    <row r="315" spans="2:69" s="76" customFormat="1" ht="15.75">
      <c r="B315" s="354"/>
      <c r="C315" s="348"/>
      <c r="D315" s="46" t="s">
        <v>42</v>
      </c>
      <c r="E315" s="322" t="s">
        <v>30</v>
      </c>
      <c r="F315" s="322">
        <f>4.8/100</f>
        <v>4.8000000000000001E-2</v>
      </c>
      <c r="G315" s="322">
        <f>F315*G310</f>
        <v>4.32</v>
      </c>
      <c r="H315" s="322"/>
      <c r="I315" s="36"/>
      <c r="J315" s="322"/>
      <c r="K315" s="37"/>
      <c r="L315" s="36"/>
      <c r="M315" s="37"/>
      <c r="N315" s="37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</row>
    <row r="316" spans="2:69" s="76" customFormat="1" ht="15.75">
      <c r="B316" s="355"/>
      <c r="C316" s="349"/>
      <c r="D316" s="46" t="s">
        <v>13</v>
      </c>
      <c r="E316" s="322" t="s">
        <v>11</v>
      </c>
      <c r="F316" s="322">
        <v>6.4000000000000001E-2</v>
      </c>
      <c r="G316" s="322">
        <f>F316*G310</f>
        <v>5.76</v>
      </c>
      <c r="H316" s="322"/>
      <c r="I316" s="36"/>
      <c r="J316" s="322"/>
      <c r="K316" s="37"/>
      <c r="L316" s="36"/>
      <c r="M316" s="37"/>
      <c r="N316" s="37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</row>
    <row r="317" spans="2:69" s="76" customFormat="1" ht="25.5">
      <c r="B317" s="353">
        <v>41</v>
      </c>
      <c r="C317" s="347" t="s">
        <v>525</v>
      </c>
      <c r="D317" s="43" t="s">
        <v>73</v>
      </c>
      <c r="E317" s="332" t="s">
        <v>21</v>
      </c>
      <c r="F317" s="332"/>
      <c r="G317" s="332">
        <v>413.2</v>
      </c>
      <c r="H317" s="332"/>
      <c r="I317" s="36"/>
      <c r="J317" s="332"/>
      <c r="K317" s="37"/>
      <c r="L317" s="44"/>
      <c r="M317" s="37"/>
      <c r="N317" s="37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</row>
    <row r="318" spans="2:69" s="76" customFormat="1" ht="15.75">
      <c r="B318" s="354"/>
      <c r="C318" s="348"/>
      <c r="D318" s="46" t="s">
        <v>28</v>
      </c>
      <c r="E318" s="322" t="s">
        <v>10</v>
      </c>
      <c r="F318" s="322">
        <v>1.53</v>
      </c>
      <c r="G318" s="36">
        <f>F318*G317</f>
        <v>632.19600000000003</v>
      </c>
      <c r="H318" s="322"/>
      <c r="I318" s="36"/>
      <c r="J318" s="322"/>
      <c r="K318" s="37"/>
      <c r="L318" s="36"/>
      <c r="M318" s="37"/>
      <c r="N318" s="37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</row>
    <row r="319" spans="2:69" s="76" customFormat="1" ht="15.75">
      <c r="B319" s="354"/>
      <c r="C319" s="348"/>
      <c r="D319" s="46" t="s">
        <v>9</v>
      </c>
      <c r="E319" s="322" t="s">
        <v>11</v>
      </c>
      <c r="F319" s="322">
        <v>4.2999999999999997E-2</v>
      </c>
      <c r="G319" s="36">
        <f>F319*G317</f>
        <v>17.767599999999998</v>
      </c>
      <c r="H319" s="322"/>
      <c r="I319" s="36"/>
      <c r="J319" s="322"/>
      <c r="K319" s="37"/>
      <c r="L319" s="36"/>
      <c r="M319" s="37"/>
      <c r="N319" s="37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</row>
    <row r="320" spans="2:69" s="76" customFormat="1" ht="15.75">
      <c r="B320" s="354"/>
      <c r="C320" s="348"/>
      <c r="D320" s="46" t="s">
        <v>165</v>
      </c>
      <c r="E320" s="322" t="s">
        <v>21</v>
      </c>
      <c r="F320" s="322">
        <v>1.05</v>
      </c>
      <c r="G320" s="36">
        <f>F320*G317</f>
        <v>433.86</v>
      </c>
      <c r="H320" s="322"/>
      <c r="I320" s="36"/>
      <c r="J320" s="322"/>
      <c r="K320" s="37"/>
      <c r="L320" s="36"/>
      <c r="M320" s="37"/>
      <c r="N320" s="37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</row>
    <row r="321" spans="2:69" s="76" customFormat="1" ht="15.75">
      <c r="B321" s="354"/>
      <c r="C321" s="348"/>
      <c r="D321" s="46" t="s">
        <v>61</v>
      </c>
      <c r="E321" s="322" t="s">
        <v>23</v>
      </c>
      <c r="F321" s="322">
        <v>4</v>
      </c>
      <c r="G321" s="36">
        <f>F321*G317</f>
        <v>1652.8</v>
      </c>
      <c r="H321" s="322"/>
      <c r="I321" s="36"/>
      <c r="J321" s="322"/>
      <c r="K321" s="37"/>
      <c r="L321" s="36"/>
      <c r="M321" s="37"/>
      <c r="N321" s="37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</row>
    <row r="322" spans="2:69" s="76" customFormat="1" ht="15.75">
      <c r="B322" s="354"/>
      <c r="C322" s="348"/>
      <c r="D322" s="46" t="s">
        <v>42</v>
      </c>
      <c r="E322" s="322" t="s">
        <v>30</v>
      </c>
      <c r="F322" s="322">
        <f>4.8/100</f>
        <v>4.8000000000000001E-2</v>
      </c>
      <c r="G322" s="36">
        <f>F322*G317</f>
        <v>19.833600000000001</v>
      </c>
      <c r="H322" s="322"/>
      <c r="I322" s="36"/>
      <c r="J322" s="322"/>
      <c r="K322" s="37"/>
      <c r="L322" s="36"/>
      <c r="M322" s="37"/>
      <c r="N322" s="37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</row>
    <row r="323" spans="2:69" s="76" customFormat="1" ht="15.75">
      <c r="B323" s="355"/>
      <c r="C323" s="349"/>
      <c r="D323" s="46" t="s">
        <v>13</v>
      </c>
      <c r="E323" s="322" t="s">
        <v>11</v>
      </c>
      <c r="F323" s="322">
        <v>6.4000000000000001E-2</v>
      </c>
      <c r="G323" s="36">
        <f>F323*G317</f>
        <v>26.444800000000001</v>
      </c>
      <c r="H323" s="322"/>
      <c r="I323" s="36"/>
      <c r="J323" s="322"/>
      <c r="K323" s="37"/>
      <c r="L323" s="36"/>
      <c r="M323" s="37"/>
      <c r="N323" s="37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</row>
    <row r="324" spans="2:69" s="76" customFormat="1" ht="15.75">
      <c r="B324" s="353">
        <v>42</v>
      </c>
      <c r="C324" s="347" t="s">
        <v>525</v>
      </c>
      <c r="D324" s="43" t="s">
        <v>167</v>
      </c>
      <c r="E324" s="332" t="s">
        <v>21</v>
      </c>
      <c r="F324" s="332"/>
      <c r="G324" s="332">
        <v>115.8</v>
      </c>
      <c r="H324" s="332"/>
      <c r="I324" s="36"/>
      <c r="J324" s="332"/>
      <c r="K324" s="37"/>
      <c r="L324" s="44"/>
      <c r="M324" s="37"/>
      <c r="N324" s="37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</row>
    <row r="325" spans="2:69" s="76" customFormat="1" ht="15.75">
      <c r="B325" s="354"/>
      <c r="C325" s="348"/>
      <c r="D325" s="46" t="s">
        <v>28</v>
      </c>
      <c r="E325" s="322" t="s">
        <v>10</v>
      </c>
      <c r="F325" s="322">
        <v>1.53</v>
      </c>
      <c r="G325" s="36">
        <f>F325*G324</f>
        <v>177.17400000000001</v>
      </c>
      <c r="H325" s="322"/>
      <c r="I325" s="36"/>
      <c r="J325" s="322"/>
      <c r="K325" s="37"/>
      <c r="L325" s="36"/>
      <c r="M325" s="37"/>
      <c r="N325" s="37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</row>
    <row r="326" spans="2:69" s="76" customFormat="1" ht="15.75">
      <c r="B326" s="354"/>
      <c r="C326" s="348"/>
      <c r="D326" s="46" t="s">
        <v>9</v>
      </c>
      <c r="E326" s="322" t="s">
        <v>11</v>
      </c>
      <c r="F326" s="322">
        <v>4.2999999999999997E-2</v>
      </c>
      <c r="G326" s="36">
        <f>F326*G324</f>
        <v>4.9793999999999992</v>
      </c>
      <c r="H326" s="322"/>
      <c r="I326" s="36"/>
      <c r="J326" s="322"/>
      <c r="K326" s="37"/>
      <c r="L326" s="36"/>
      <c r="M326" s="37"/>
      <c r="N326" s="37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</row>
    <row r="327" spans="2:69" s="76" customFormat="1" ht="15.75">
      <c r="B327" s="354"/>
      <c r="C327" s="348"/>
      <c r="D327" s="46" t="s">
        <v>168</v>
      </c>
      <c r="E327" s="322" t="s">
        <v>21</v>
      </c>
      <c r="F327" s="322">
        <v>1.05</v>
      </c>
      <c r="G327" s="36">
        <f>F327*G324</f>
        <v>121.59</v>
      </c>
      <c r="H327" s="322"/>
      <c r="I327" s="36"/>
      <c r="J327" s="322"/>
      <c r="K327" s="37"/>
      <c r="L327" s="36"/>
      <c r="M327" s="37"/>
      <c r="N327" s="37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</row>
    <row r="328" spans="2:69" s="76" customFormat="1" ht="15.75">
      <c r="B328" s="354"/>
      <c r="C328" s="348"/>
      <c r="D328" s="46" t="s">
        <v>61</v>
      </c>
      <c r="E328" s="322" t="s">
        <v>23</v>
      </c>
      <c r="F328" s="322">
        <v>4</v>
      </c>
      <c r="G328" s="36">
        <f>F328*G324</f>
        <v>463.2</v>
      </c>
      <c r="H328" s="322"/>
      <c r="I328" s="36"/>
      <c r="J328" s="322"/>
      <c r="K328" s="37"/>
      <c r="L328" s="36"/>
      <c r="M328" s="37"/>
      <c r="N328" s="37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</row>
    <row r="329" spans="2:69" s="76" customFormat="1" ht="15.75">
      <c r="B329" s="354"/>
      <c r="C329" s="348"/>
      <c r="D329" s="46" t="s">
        <v>42</v>
      </c>
      <c r="E329" s="322" t="s">
        <v>30</v>
      </c>
      <c r="F329" s="322">
        <f>4.8/100</f>
        <v>4.8000000000000001E-2</v>
      </c>
      <c r="G329" s="36">
        <f>F329*G324</f>
        <v>5.5583999999999998</v>
      </c>
      <c r="H329" s="322"/>
      <c r="I329" s="36"/>
      <c r="J329" s="322"/>
      <c r="K329" s="37"/>
      <c r="L329" s="36"/>
      <c r="M329" s="37"/>
      <c r="N329" s="37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</row>
    <row r="330" spans="2:69" s="76" customFormat="1" ht="15.75">
      <c r="B330" s="355"/>
      <c r="C330" s="349"/>
      <c r="D330" s="46" t="s">
        <v>13</v>
      </c>
      <c r="E330" s="322" t="s">
        <v>11</v>
      </c>
      <c r="F330" s="322">
        <v>6.4000000000000001E-2</v>
      </c>
      <c r="G330" s="36">
        <f>F330*G324</f>
        <v>7.4112</v>
      </c>
      <c r="H330" s="322"/>
      <c r="I330" s="36"/>
      <c r="J330" s="322"/>
      <c r="K330" s="37"/>
      <c r="L330" s="36"/>
      <c r="M330" s="37"/>
      <c r="N330" s="37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</row>
    <row r="331" spans="2:69" s="76" customFormat="1" ht="25.5">
      <c r="B331" s="353">
        <v>43</v>
      </c>
      <c r="C331" s="347" t="s">
        <v>175</v>
      </c>
      <c r="D331" s="43" t="s">
        <v>75</v>
      </c>
      <c r="E331" s="332" t="s">
        <v>21</v>
      </c>
      <c r="F331" s="332"/>
      <c r="G331" s="332">
        <v>171.6</v>
      </c>
      <c r="H331" s="332"/>
      <c r="I331" s="36"/>
      <c r="J331" s="332"/>
      <c r="K331" s="37"/>
      <c r="L331" s="44"/>
      <c r="M331" s="37"/>
      <c r="N331" s="37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</row>
    <row r="332" spans="2:69" s="76" customFormat="1" ht="15.75">
      <c r="B332" s="354"/>
      <c r="C332" s="348"/>
      <c r="D332" s="46" t="s">
        <v>28</v>
      </c>
      <c r="E332" s="322" t="s">
        <v>10</v>
      </c>
      <c r="F332" s="322">
        <v>1.08</v>
      </c>
      <c r="G332" s="36">
        <f>F332*G331</f>
        <v>185.328</v>
      </c>
      <c r="H332" s="322"/>
      <c r="I332" s="36"/>
      <c r="J332" s="322"/>
      <c r="K332" s="37"/>
      <c r="L332" s="36"/>
      <c r="M332" s="37"/>
      <c r="N332" s="37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</row>
    <row r="333" spans="2:69" s="76" customFormat="1" ht="15.75">
      <c r="B333" s="354"/>
      <c r="C333" s="348"/>
      <c r="D333" s="46" t="s">
        <v>9</v>
      </c>
      <c r="E333" s="322" t="s">
        <v>11</v>
      </c>
      <c r="F333" s="322">
        <v>4.5199999999999997E-2</v>
      </c>
      <c r="G333" s="36">
        <f>F333*G331</f>
        <v>7.7563199999999997</v>
      </c>
      <c r="H333" s="322"/>
      <c r="I333" s="36"/>
      <c r="J333" s="322"/>
      <c r="K333" s="37"/>
      <c r="L333" s="36"/>
      <c r="M333" s="37"/>
      <c r="N333" s="37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</row>
    <row r="334" spans="2:69" s="76" customFormat="1" ht="15.75">
      <c r="B334" s="354"/>
      <c r="C334" s="348"/>
      <c r="D334" s="46" t="s">
        <v>76</v>
      </c>
      <c r="E334" s="322" t="s">
        <v>21</v>
      </c>
      <c r="F334" s="322">
        <v>1.01</v>
      </c>
      <c r="G334" s="36">
        <f>F334*G331</f>
        <v>173.316</v>
      </c>
      <c r="H334" s="322"/>
      <c r="I334" s="36"/>
      <c r="J334" s="322"/>
      <c r="K334" s="37"/>
      <c r="L334" s="36"/>
      <c r="M334" s="37"/>
      <c r="N334" s="37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</row>
    <row r="335" spans="2:69" s="76" customFormat="1" ht="15.75">
      <c r="B335" s="354"/>
      <c r="C335" s="348"/>
      <c r="D335" s="46" t="s">
        <v>37</v>
      </c>
      <c r="E335" s="322" t="s">
        <v>30</v>
      </c>
      <c r="F335" s="322">
        <v>7.2</v>
      </c>
      <c r="G335" s="36">
        <f>F335*G331</f>
        <v>1235.52</v>
      </c>
      <c r="H335" s="322"/>
      <c r="I335" s="36"/>
      <c r="J335" s="322"/>
      <c r="K335" s="37"/>
      <c r="L335" s="36"/>
      <c r="M335" s="37"/>
      <c r="N335" s="37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</row>
    <row r="336" spans="2:69" s="76" customFormat="1" ht="15.75">
      <c r="B336" s="355"/>
      <c r="C336" s="349"/>
      <c r="D336" s="46" t="s">
        <v>13</v>
      </c>
      <c r="E336" s="322" t="s">
        <v>11</v>
      </c>
      <c r="F336" s="322">
        <v>4.6600000000000003E-2</v>
      </c>
      <c r="G336" s="36">
        <f>F336*G331</f>
        <v>7.9965600000000006</v>
      </c>
      <c r="H336" s="322"/>
      <c r="I336" s="36"/>
      <c r="J336" s="322"/>
      <c r="K336" s="37"/>
      <c r="L336" s="36"/>
      <c r="M336" s="37"/>
      <c r="N336" s="37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</row>
    <row r="337" spans="2:69" s="76" customFormat="1" ht="15.75">
      <c r="B337" s="353">
        <v>44</v>
      </c>
      <c r="C337" s="347" t="s">
        <v>170</v>
      </c>
      <c r="D337" s="43" t="s">
        <v>169</v>
      </c>
      <c r="E337" s="332" t="s">
        <v>21</v>
      </c>
      <c r="F337" s="332"/>
      <c r="G337" s="332">
        <v>387.4</v>
      </c>
      <c r="H337" s="332"/>
      <c r="I337" s="36"/>
      <c r="J337" s="332"/>
      <c r="K337" s="37"/>
      <c r="L337" s="44"/>
      <c r="M337" s="37"/>
      <c r="N337" s="37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</row>
    <row r="338" spans="2:69" s="76" customFormat="1" ht="15.75">
      <c r="B338" s="354"/>
      <c r="C338" s="348"/>
      <c r="D338" s="46" t="s">
        <v>28</v>
      </c>
      <c r="E338" s="322" t="s">
        <v>10</v>
      </c>
      <c r="F338" s="322">
        <v>0.99</v>
      </c>
      <c r="G338" s="36">
        <f>F338*G337</f>
        <v>383.52599999999995</v>
      </c>
      <c r="H338" s="322"/>
      <c r="I338" s="36"/>
      <c r="J338" s="322"/>
      <c r="K338" s="37"/>
      <c r="L338" s="36"/>
      <c r="M338" s="37"/>
      <c r="N338" s="37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</row>
    <row r="339" spans="2:69" s="76" customFormat="1" ht="15.75">
      <c r="B339" s="354"/>
      <c r="C339" s="348"/>
      <c r="D339" s="46" t="s">
        <v>9</v>
      </c>
      <c r="E339" s="322" t="s">
        <v>11</v>
      </c>
      <c r="F339" s="322">
        <f>2.51/100</f>
        <v>2.5099999999999997E-2</v>
      </c>
      <c r="G339" s="36">
        <f>F339*G337</f>
        <v>9.7237399999999976</v>
      </c>
      <c r="H339" s="322"/>
      <c r="I339" s="36"/>
      <c r="J339" s="322"/>
      <c r="K339" s="37"/>
      <c r="L339" s="36"/>
      <c r="M339" s="37"/>
      <c r="N339" s="37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</row>
    <row r="340" spans="2:69" s="76" customFormat="1" ht="15.75">
      <c r="B340" s="354"/>
      <c r="C340" s="348"/>
      <c r="D340" s="46" t="s">
        <v>171</v>
      </c>
      <c r="E340" s="322" t="s">
        <v>21</v>
      </c>
      <c r="F340" s="322">
        <v>1.02</v>
      </c>
      <c r="G340" s="36">
        <f>F340*G337</f>
        <v>395.14799999999997</v>
      </c>
      <c r="H340" s="322"/>
      <c r="I340" s="36"/>
      <c r="J340" s="322"/>
      <c r="K340" s="37"/>
      <c r="L340" s="36"/>
      <c r="M340" s="37"/>
      <c r="N340" s="37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</row>
    <row r="341" spans="2:69" s="76" customFormat="1" ht="15.75">
      <c r="B341" s="354"/>
      <c r="C341" s="348"/>
      <c r="D341" s="46" t="s">
        <v>172</v>
      </c>
      <c r="E341" s="322" t="str">
        <f>E340</f>
        <v>m2</v>
      </c>
      <c r="F341" s="322">
        <v>1.02</v>
      </c>
      <c r="G341" s="36">
        <f>F341*G337</f>
        <v>395.14799999999997</v>
      </c>
      <c r="H341" s="322"/>
      <c r="I341" s="36"/>
      <c r="J341" s="322"/>
      <c r="K341" s="37"/>
      <c r="L341" s="36"/>
      <c r="M341" s="37"/>
      <c r="N341" s="37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</row>
    <row r="342" spans="2:69" s="76" customFormat="1" ht="15.75">
      <c r="B342" s="354"/>
      <c r="C342" s="348"/>
      <c r="D342" s="46" t="s">
        <v>173</v>
      </c>
      <c r="E342" s="322" t="s">
        <v>23</v>
      </c>
      <c r="F342" s="322">
        <v>1.07</v>
      </c>
      <c r="G342" s="36">
        <f>F342*G337</f>
        <v>414.51799999999997</v>
      </c>
      <c r="H342" s="322"/>
      <c r="I342" s="36"/>
      <c r="J342" s="322"/>
      <c r="K342" s="37"/>
      <c r="L342" s="36"/>
      <c r="M342" s="37"/>
      <c r="N342" s="37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</row>
    <row r="343" spans="2:69" s="76" customFormat="1" ht="15.75">
      <c r="B343" s="355"/>
      <c r="C343" s="349"/>
      <c r="D343" s="46" t="s">
        <v>13</v>
      </c>
      <c r="E343" s="322" t="s">
        <v>11</v>
      </c>
      <c r="F343" s="322">
        <v>0.18</v>
      </c>
      <c r="G343" s="36">
        <f>F343*G337</f>
        <v>69.731999999999999</v>
      </c>
      <c r="H343" s="322"/>
      <c r="I343" s="36"/>
      <c r="J343" s="322"/>
      <c r="K343" s="37"/>
      <c r="L343" s="36"/>
      <c r="M343" s="37"/>
      <c r="N343" s="37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</row>
    <row r="344" spans="2:69" s="76" customFormat="1" ht="25.5">
      <c r="B344" s="353">
        <v>46</v>
      </c>
      <c r="C344" s="347" t="s">
        <v>526</v>
      </c>
      <c r="D344" s="43" t="s">
        <v>174</v>
      </c>
      <c r="E344" s="332" t="s">
        <v>21</v>
      </c>
      <c r="F344" s="332"/>
      <c r="G344" s="332">
        <v>143.6</v>
      </c>
      <c r="H344" s="332"/>
      <c r="I344" s="36"/>
      <c r="J344" s="332"/>
      <c r="K344" s="37"/>
      <c r="L344" s="44"/>
      <c r="M344" s="37"/>
      <c r="N344" s="37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</row>
    <row r="345" spans="2:69" s="76" customFormat="1" ht="15.75">
      <c r="B345" s="354"/>
      <c r="C345" s="348"/>
      <c r="D345" s="46" t="s">
        <v>28</v>
      </c>
      <c r="E345" s="322" t="s">
        <v>10</v>
      </c>
      <c r="F345" s="322">
        <v>1.08</v>
      </c>
      <c r="G345" s="36">
        <f>F345*G344</f>
        <v>155.08799999999999</v>
      </c>
      <c r="H345" s="322"/>
      <c r="I345" s="36"/>
      <c r="J345" s="322"/>
      <c r="K345" s="37"/>
      <c r="L345" s="36"/>
      <c r="M345" s="37"/>
      <c r="N345" s="37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</row>
    <row r="346" spans="2:69" s="76" customFormat="1" ht="15.75">
      <c r="B346" s="354"/>
      <c r="C346" s="348"/>
      <c r="D346" s="46" t="s">
        <v>9</v>
      </c>
      <c r="E346" s="322" t="s">
        <v>11</v>
      </c>
      <c r="F346" s="322">
        <v>4.5199999999999997E-2</v>
      </c>
      <c r="G346" s="36">
        <f>F346*G344</f>
        <v>6.4907199999999996</v>
      </c>
      <c r="H346" s="322"/>
      <c r="I346" s="36"/>
      <c r="J346" s="322"/>
      <c r="K346" s="37"/>
      <c r="L346" s="36"/>
      <c r="M346" s="37"/>
      <c r="N346" s="37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</row>
    <row r="347" spans="2:69" s="76" customFormat="1" ht="15.75">
      <c r="B347" s="354"/>
      <c r="C347" s="348"/>
      <c r="D347" s="46" t="s">
        <v>536</v>
      </c>
      <c r="E347" s="322" t="s">
        <v>21</v>
      </c>
      <c r="F347" s="322">
        <v>1</v>
      </c>
      <c r="G347" s="36">
        <f>F347*G344</f>
        <v>143.6</v>
      </c>
      <c r="H347" s="322"/>
      <c r="I347" s="36"/>
      <c r="J347" s="322"/>
      <c r="K347" s="37"/>
      <c r="L347" s="36"/>
      <c r="M347" s="37"/>
      <c r="N347" s="37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</row>
    <row r="348" spans="2:69" s="76" customFormat="1" ht="15.75">
      <c r="B348" s="354"/>
      <c r="C348" s="348"/>
      <c r="D348" s="46" t="s">
        <v>37</v>
      </c>
      <c r="E348" s="322" t="s">
        <v>30</v>
      </c>
      <c r="F348" s="322">
        <v>7.2</v>
      </c>
      <c r="G348" s="36">
        <f>F348*G344</f>
        <v>1033.92</v>
      </c>
      <c r="H348" s="322"/>
      <c r="I348" s="36"/>
      <c r="J348" s="322"/>
      <c r="K348" s="37"/>
      <c r="L348" s="36"/>
      <c r="M348" s="37"/>
      <c r="N348" s="37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</row>
    <row r="349" spans="2:69" s="76" customFormat="1" ht="15.75">
      <c r="B349" s="355"/>
      <c r="C349" s="349"/>
      <c r="D349" s="46" t="s">
        <v>13</v>
      </c>
      <c r="E349" s="322" t="s">
        <v>11</v>
      </c>
      <c r="F349" s="322">
        <v>4.6600000000000003E-2</v>
      </c>
      <c r="G349" s="36">
        <f>F349*G344</f>
        <v>6.6917600000000004</v>
      </c>
      <c r="H349" s="322"/>
      <c r="I349" s="36"/>
      <c r="J349" s="322"/>
      <c r="K349" s="37"/>
      <c r="L349" s="36"/>
      <c r="M349" s="37"/>
      <c r="N349" s="37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</row>
    <row r="350" spans="2:69" s="76" customFormat="1" ht="25.5">
      <c r="B350" s="353">
        <v>47</v>
      </c>
      <c r="C350" s="353" t="s">
        <v>92</v>
      </c>
      <c r="D350" s="66" t="s">
        <v>232</v>
      </c>
      <c r="E350" s="330" t="s">
        <v>21</v>
      </c>
      <c r="F350" s="322"/>
      <c r="G350" s="330">
        <f>G295+G299-G361</f>
        <v>1427.4</v>
      </c>
      <c r="H350" s="73"/>
      <c r="I350" s="36"/>
      <c r="J350" s="73"/>
      <c r="K350" s="37"/>
      <c r="L350" s="74"/>
      <c r="M350" s="37"/>
      <c r="N350" s="37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</row>
    <row r="351" spans="2:69" s="76" customFormat="1" ht="15.75">
      <c r="B351" s="354"/>
      <c r="C351" s="354"/>
      <c r="D351" s="38" t="s">
        <v>90</v>
      </c>
      <c r="E351" s="322" t="s">
        <v>10</v>
      </c>
      <c r="F351" s="322">
        <v>0.41</v>
      </c>
      <c r="G351" s="36">
        <f>F351*G350</f>
        <v>585.23400000000004</v>
      </c>
      <c r="H351" s="225"/>
      <c r="I351" s="36"/>
      <c r="J351" s="225"/>
      <c r="K351" s="37"/>
      <c r="L351" s="49"/>
      <c r="M351" s="37"/>
      <c r="N351" s="37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</row>
    <row r="352" spans="2:69" s="76" customFormat="1" ht="15.75">
      <c r="B352" s="354"/>
      <c r="C352" s="354"/>
      <c r="D352" s="46" t="s">
        <v>9</v>
      </c>
      <c r="E352" s="322" t="s">
        <v>11</v>
      </c>
      <c r="F352" s="322">
        <f>0.9/100</f>
        <v>9.0000000000000011E-3</v>
      </c>
      <c r="G352" s="36">
        <f>F352*G350</f>
        <v>12.846600000000002</v>
      </c>
      <c r="H352" s="322"/>
      <c r="I352" s="36"/>
      <c r="J352" s="322"/>
      <c r="K352" s="37"/>
      <c r="L352" s="36"/>
      <c r="M352" s="37"/>
      <c r="N352" s="37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</row>
    <row r="353" spans="2:69" s="76" customFormat="1" ht="15.75">
      <c r="B353" s="354"/>
      <c r="C353" s="354"/>
      <c r="D353" s="38" t="s">
        <v>91</v>
      </c>
      <c r="E353" s="322" t="s">
        <v>30</v>
      </c>
      <c r="F353" s="322">
        <v>0.63</v>
      </c>
      <c r="G353" s="36">
        <f>F353*G350</f>
        <v>899.26200000000006</v>
      </c>
      <c r="H353" s="225"/>
      <c r="I353" s="36"/>
      <c r="J353" s="225"/>
      <c r="K353" s="37"/>
      <c r="L353" s="49"/>
      <c r="M353" s="37"/>
      <c r="N353" s="37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</row>
    <row r="354" spans="2:69" s="76" customFormat="1" ht="15.75">
      <c r="B354" s="355"/>
      <c r="C354" s="355"/>
      <c r="D354" s="38" t="s">
        <v>93</v>
      </c>
      <c r="E354" s="322" t="s">
        <v>30</v>
      </c>
      <c r="F354" s="322">
        <v>0.51</v>
      </c>
      <c r="G354" s="36">
        <f>F354*G350</f>
        <v>727.97400000000005</v>
      </c>
      <c r="H354" s="225"/>
      <c r="I354" s="36"/>
      <c r="J354" s="225"/>
      <c r="K354" s="37"/>
      <c r="L354" s="49"/>
      <c r="M354" s="37"/>
      <c r="N354" s="37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</row>
    <row r="355" spans="2:69" s="76" customFormat="1" ht="38.25">
      <c r="B355" s="353">
        <v>48</v>
      </c>
      <c r="C355" s="347" t="s">
        <v>40</v>
      </c>
      <c r="D355" s="43" t="s">
        <v>185</v>
      </c>
      <c r="E355" s="332" t="s">
        <v>21</v>
      </c>
      <c r="F355" s="332"/>
      <c r="G355" s="332">
        <f>G317</f>
        <v>413.2</v>
      </c>
      <c r="H355" s="332"/>
      <c r="I355" s="36"/>
      <c r="J355" s="332"/>
      <c r="K355" s="37"/>
      <c r="L355" s="44"/>
      <c r="M355" s="37"/>
      <c r="N355" s="37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</row>
    <row r="356" spans="2:69" s="76" customFormat="1" ht="15.75">
      <c r="B356" s="354"/>
      <c r="C356" s="348"/>
      <c r="D356" s="46" t="s">
        <v>28</v>
      </c>
      <c r="E356" s="322" t="s">
        <v>10</v>
      </c>
      <c r="F356" s="322">
        <v>0.51</v>
      </c>
      <c r="G356" s="36">
        <f>F356*G355</f>
        <v>210.732</v>
      </c>
      <c r="H356" s="322"/>
      <c r="I356" s="36"/>
      <c r="J356" s="322"/>
      <c r="K356" s="37"/>
      <c r="L356" s="36"/>
      <c r="M356" s="37"/>
      <c r="N356" s="37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</row>
    <row r="357" spans="2:69" s="76" customFormat="1" ht="15.75">
      <c r="B357" s="354"/>
      <c r="C357" s="348"/>
      <c r="D357" s="46" t="s">
        <v>9</v>
      </c>
      <c r="E357" s="322" t="s">
        <v>11</v>
      </c>
      <c r="F357" s="322">
        <v>4.1000000000000003E-3</v>
      </c>
      <c r="G357" s="36">
        <f>F357*G355</f>
        <v>1.6941200000000001</v>
      </c>
      <c r="H357" s="322"/>
      <c r="I357" s="36"/>
      <c r="J357" s="322"/>
      <c r="K357" s="37"/>
      <c r="L357" s="36"/>
      <c r="M357" s="37"/>
      <c r="N357" s="37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</row>
    <row r="358" spans="2:69" s="76" customFormat="1" ht="15.75">
      <c r="B358" s="354"/>
      <c r="C358" s="348"/>
      <c r="D358" s="46" t="s">
        <v>41</v>
      </c>
      <c r="E358" s="322" t="s">
        <v>30</v>
      </c>
      <c r="F358" s="322">
        <v>0.28000000000000003</v>
      </c>
      <c r="G358" s="36">
        <f>F358*G355</f>
        <v>115.69600000000001</v>
      </c>
      <c r="H358" s="322"/>
      <c r="I358" s="36"/>
      <c r="J358" s="322"/>
      <c r="K358" s="37"/>
      <c r="L358" s="36"/>
      <c r="M358" s="37"/>
      <c r="N358" s="37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</row>
    <row r="359" spans="2:69" s="76" customFormat="1" ht="15.75">
      <c r="B359" s="354"/>
      <c r="C359" s="348"/>
      <c r="D359" s="46" t="s">
        <v>55</v>
      </c>
      <c r="E359" s="322" t="s">
        <v>30</v>
      </c>
      <c r="F359" s="322">
        <v>0.36</v>
      </c>
      <c r="G359" s="36">
        <f>F359*G355</f>
        <v>148.75199999999998</v>
      </c>
      <c r="H359" s="322"/>
      <c r="I359" s="36"/>
      <c r="J359" s="322"/>
      <c r="K359" s="37"/>
      <c r="L359" s="36"/>
      <c r="M359" s="37"/>
      <c r="N359" s="37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</row>
    <row r="360" spans="2:69" s="76" customFormat="1" ht="15.75">
      <c r="B360" s="355"/>
      <c r="C360" s="349"/>
      <c r="D360" s="46" t="s">
        <v>13</v>
      </c>
      <c r="E360" s="322" t="s">
        <v>11</v>
      </c>
      <c r="F360" s="322">
        <v>6.0000000000000001E-3</v>
      </c>
      <c r="G360" s="36">
        <f>F360*G355</f>
        <v>2.4792000000000001</v>
      </c>
      <c r="H360" s="322"/>
      <c r="I360" s="36"/>
      <c r="J360" s="322"/>
      <c r="K360" s="37"/>
      <c r="L360" s="36"/>
      <c r="M360" s="37"/>
      <c r="N360" s="37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</row>
    <row r="361" spans="2:69" s="76" customFormat="1" ht="38.25">
      <c r="B361" s="353">
        <v>49</v>
      </c>
      <c r="C361" s="347" t="s">
        <v>527</v>
      </c>
      <c r="D361" s="43" t="s">
        <v>539</v>
      </c>
      <c r="E361" s="332" t="s">
        <v>21</v>
      </c>
      <c r="F361" s="332"/>
      <c r="G361" s="332">
        <v>169.12</v>
      </c>
      <c r="H361" s="332"/>
      <c r="I361" s="36"/>
      <c r="J361" s="332"/>
      <c r="K361" s="37"/>
      <c r="L361" s="44"/>
      <c r="M361" s="37"/>
      <c r="N361" s="37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</row>
    <row r="362" spans="2:69" s="76" customFormat="1" ht="15.75">
      <c r="B362" s="354"/>
      <c r="C362" s="348"/>
      <c r="D362" s="46" t="s">
        <v>28</v>
      </c>
      <c r="E362" s="322" t="s">
        <v>10</v>
      </c>
      <c r="F362" s="322">
        <v>1.7</v>
      </c>
      <c r="G362" s="36">
        <f>F362*G361</f>
        <v>287.50400000000002</v>
      </c>
      <c r="H362" s="322"/>
      <c r="I362" s="36"/>
      <c r="J362" s="322"/>
      <c r="K362" s="37"/>
      <c r="L362" s="36"/>
      <c r="M362" s="37"/>
      <c r="N362" s="37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</row>
    <row r="363" spans="2:69" s="76" customFormat="1" ht="15.75">
      <c r="B363" s="354"/>
      <c r="C363" s="348"/>
      <c r="D363" s="46" t="s">
        <v>9</v>
      </c>
      <c r="E363" s="322" t="s">
        <v>11</v>
      </c>
      <c r="F363" s="322">
        <v>0.02</v>
      </c>
      <c r="G363" s="36">
        <f>F363*G361</f>
        <v>3.3824000000000001</v>
      </c>
      <c r="H363" s="322"/>
      <c r="I363" s="36"/>
      <c r="J363" s="322"/>
      <c r="K363" s="37"/>
      <c r="L363" s="36"/>
      <c r="M363" s="37"/>
      <c r="N363" s="37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</row>
    <row r="364" spans="2:69" s="76" customFormat="1" ht="15.75">
      <c r="B364" s="354"/>
      <c r="C364" s="348"/>
      <c r="D364" s="46" t="s">
        <v>60</v>
      </c>
      <c r="E364" s="322" t="s">
        <v>30</v>
      </c>
      <c r="F364" s="322">
        <v>7.2</v>
      </c>
      <c r="G364" s="36">
        <f>F364*G361</f>
        <v>1217.664</v>
      </c>
      <c r="H364" s="322"/>
      <c r="I364" s="36"/>
      <c r="J364" s="322"/>
      <c r="K364" s="37"/>
      <c r="L364" s="36"/>
      <c r="M364" s="37"/>
      <c r="N364" s="37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</row>
    <row r="365" spans="2:69" s="76" customFormat="1" ht="15.75">
      <c r="B365" s="354"/>
      <c r="C365" s="348"/>
      <c r="D365" s="46" t="s">
        <v>77</v>
      </c>
      <c r="E365" s="322" t="s">
        <v>21</v>
      </c>
      <c r="F365" s="322">
        <v>1.02</v>
      </c>
      <c r="G365" s="36">
        <f>F365*G361</f>
        <v>172.50239999999999</v>
      </c>
      <c r="H365" s="322"/>
      <c r="I365" s="36"/>
      <c r="J365" s="322"/>
      <c r="K365" s="37"/>
      <c r="L365" s="36"/>
      <c r="M365" s="37"/>
      <c r="N365" s="37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</row>
    <row r="366" spans="2:69" s="76" customFormat="1" ht="15.75">
      <c r="B366" s="355"/>
      <c r="C366" s="349"/>
      <c r="D366" s="46" t="s">
        <v>13</v>
      </c>
      <c r="E366" s="322" t="s">
        <v>11</v>
      </c>
      <c r="F366" s="322">
        <v>7.0000000000000001E-3</v>
      </c>
      <c r="G366" s="36">
        <f>F366*G361</f>
        <v>1.18384</v>
      </c>
      <c r="H366" s="322"/>
      <c r="I366" s="36"/>
      <c r="J366" s="322"/>
      <c r="K366" s="37"/>
      <c r="L366" s="36"/>
      <c r="M366" s="37"/>
      <c r="N366" s="37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</row>
    <row r="367" spans="2:69" s="76" customFormat="1" ht="38.25">
      <c r="B367" s="353">
        <v>50</v>
      </c>
      <c r="C367" s="347" t="s">
        <v>228</v>
      </c>
      <c r="D367" s="66" t="s">
        <v>499</v>
      </c>
      <c r="E367" s="319" t="s">
        <v>12</v>
      </c>
      <c r="F367" s="319"/>
      <c r="G367" s="330">
        <f>115*1*0.1</f>
        <v>11.5</v>
      </c>
      <c r="H367" s="68"/>
      <c r="I367" s="36"/>
      <c r="J367" s="319"/>
      <c r="K367" s="37"/>
      <c r="L367" s="69"/>
      <c r="M367" s="37"/>
      <c r="N367" s="37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</row>
    <row r="368" spans="2:69" s="76" customFormat="1" ht="25.5">
      <c r="B368" s="354"/>
      <c r="C368" s="348"/>
      <c r="D368" s="70" t="s">
        <v>8</v>
      </c>
      <c r="E368" s="322" t="s">
        <v>229</v>
      </c>
      <c r="F368" s="322">
        <v>2.9</v>
      </c>
      <c r="G368" s="322">
        <f>F368*G367</f>
        <v>33.35</v>
      </c>
      <c r="H368" s="322"/>
      <c r="I368" s="36"/>
      <c r="J368" s="322"/>
      <c r="K368" s="37"/>
      <c r="L368" s="69"/>
      <c r="M368" s="37"/>
      <c r="N368" s="37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</row>
    <row r="369" spans="2:69" s="76" customFormat="1" ht="15.75">
      <c r="B369" s="354"/>
      <c r="C369" s="348"/>
      <c r="D369" s="71" t="s">
        <v>230</v>
      </c>
      <c r="E369" s="319" t="s">
        <v>217</v>
      </c>
      <c r="F369" s="319">
        <v>1.02</v>
      </c>
      <c r="G369" s="319">
        <f>F369*G367</f>
        <v>11.73</v>
      </c>
      <c r="H369" s="68"/>
      <c r="I369" s="36"/>
      <c r="J369" s="319"/>
      <c r="K369" s="37"/>
      <c r="L369" s="69"/>
      <c r="M369" s="37"/>
      <c r="N369" s="37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</row>
    <row r="370" spans="2:69" s="76" customFormat="1" ht="15.75">
      <c r="B370" s="355"/>
      <c r="C370" s="349"/>
      <c r="D370" s="46" t="s">
        <v>13</v>
      </c>
      <c r="E370" s="319" t="s">
        <v>11</v>
      </c>
      <c r="F370" s="319">
        <v>0.88</v>
      </c>
      <c r="G370" s="319">
        <f>F370*G367</f>
        <v>10.119999999999999</v>
      </c>
      <c r="H370" s="68"/>
      <c r="I370" s="36"/>
      <c r="J370" s="319"/>
      <c r="K370" s="37"/>
      <c r="L370" s="69"/>
      <c r="M370" s="37"/>
      <c r="N370" s="37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</row>
    <row r="371" spans="2:69" s="76" customFormat="1" ht="15.75">
      <c r="B371" s="314"/>
      <c r="C371" s="318"/>
      <c r="D371" s="60" t="s">
        <v>470</v>
      </c>
      <c r="E371" s="60"/>
      <c r="F371" s="60"/>
      <c r="G371" s="60"/>
      <c r="H371" s="70"/>
      <c r="I371" s="94"/>
      <c r="J371" s="70"/>
      <c r="K371" s="94"/>
      <c r="L371" s="94"/>
      <c r="M371" s="94"/>
      <c r="N371" s="94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</row>
    <row r="372" spans="2:69" s="76" customFormat="1" ht="25.5">
      <c r="B372" s="362">
        <v>51</v>
      </c>
      <c r="C372" s="366" t="s">
        <v>62</v>
      </c>
      <c r="D372" s="34" t="s">
        <v>443</v>
      </c>
      <c r="E372" s="57" t="s">
        <v>12</v>
      </c>
      <c r="F372" s="96"/>
      <c r="G372" s="57">
        <f>223*0.2*0.45</f>
        <v>20.07</v>
      </c>
      <c r="H372" s="57"/>
      <c r="I372" s="59"/>
      <c r="J372" s="57"/>
      <c r="K372" s="59"/>
      <c r="L372" s="59"/>
      <c r="M372" s="59"/>
      <c r="N372" s="59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</row>
    <row r="373" spans="2:69" s="76" customFormat="1" ht="15.75">
      <c r="B373" s="364"/>
      <c r="C373" s="366"/>
      <c r="D373" s="35" t="s">
        <v>8</v>
      </c>
      <c r="E373" s="320" t="s">
        <v>10</v>
      </c>
      <c r="F373" s="320">
        <v>2.06</v>
      </c>
      <c r="G373" s="320">
        <f>F373*G372</f>
        <v>41.344200000000001</v>
      </c>
      <c r="H373" s="320"/>
      <c r="I373" s="56"/>
      <c r="J373" s="320"/>
      <c r="K373" s="56"/>
      <c r="L373" s="56"/>
      <c r="M373" s="56"/>
      <c r="N373" s="5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</row>
    <row r="374" spans="2:69" s="76" customFormat="1" ht="25.5">
      <c r="B374" s="362">
        <v>52</v>
      </c>
      <c r="C374" s="387" t="s">
        <v>36</v>
      </c>
      <c r="D374" s="43" t="s">
        <v>444</v>
      </c>
      <c r="E374" s="61" t="s">
        <v>12</v>
      </c>
      <c r="G374" s="63">
        <f>G383*0.15*0.2</f>
        <v>8.0466000000000015</v>
      </c>
      <c r="H374" s="61"/>
      <c r="I374" s="63"/>
      <c r="J374" s="61"/>
      <c r="K374" s="63"/>
      <c r="L374" s="63"/>
      <c r="M374" s="63"/>
      <c r="N374" s="63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</row>
    <row r="375" spans="2:69" s="76" customFormat="1" ht="15.75">
      <c r="B375" s="363"/>
      <c r="C375" s="387"/>
      <c r="D375" s="72" t="s">
        <v>28</v>
      </c>
      <c r="E375" s="323" t="s">
        <v>10</v>
      </c>
      <c r="F375" s="323">
        <v>3.16</v>
      </c>
      <c r="G375" s="65">
        <f>F375*G374</f>
        <v>25.427256000000007</v>
      </c>
      <c r="H375" s="323"/>
      <c r="I375" s="65"/>
      <c r="J375" s="323"/>
      <c r="K375" s="65"/>
      <c r="L375" s="65"/>
      <c r="M375" s="65"/>
      <c r="N375" s="65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</row>
    <row r="376" spans="2:69" s="76" customFormat="1" ht="15.75">
      <c r="B376" s="363"/>
      <c r="C376" s="387"/>
      <c r="D376" s="72" t="s">
        <v>24</v>
      </c>
      <c r="E376" s="323" t="s">
        <v>12</v>
      </c>
      <c r="F376" s="323">
        <v>1.25</v>
      </c>
      <c r="G376" s="65">
        <f>F376*G374</f>
        <v>10.058250000000001</v>
      </c>
      <c r="H376" s="323"/>
      <c r="I376" s="65"/>
      <c r="J376" s="323"/>
      <c r="K376" s="65"/>
      <c r="L376" s="65"/>
      <c r="M376" s="65"/>
      <c r="N376" s="65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</row>
    <row r="377" spans="2:69" s="76" customFormat="1" ht="15.75">
      <c r="B377" s="364"/>
      <c r="C377" s="387"/>
      <c r="D377" s="72" t="s">
        <v>13</v>
      </c>
      <c r="E377" s="323" t="s">
        <v>11</v>
      </c>
      <c r="F377" s="323">
        <v>0.01</v>
      </c>
      <c r="G377" s="65">
        <f>F377*G374</f>
        <v>8.0466000000000024E-2</v>
      </c>
      <c r="H377" s="323"/>
      <c r="I377" s="65"/>
      <c r="J377" s="323"/>
      <c r="K377" s="65"/>
      <c r="L377" s="65"/>
      <c r="M377" s="65"/>
      <c r="N377" s="65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</row>
    <row r="378" spans="2:69" s="76" customFormat="1" ht="25.5">
      <c r="B378" s="362">
        <v>53</v>
      </c>
      <c r="C378" s="365" t="s">
        <v>445</v>
      </c>
      <c r="D378" s="34" t="s">
        <v>497</v>
      </c>
      <c r="E378" s="61" t="s">
        <v>12</v>
      </c>
      <c r="F378" s="67"/>
      <c r="G378" s="63">
        <f>G383*0.2*0.6</f>
        <v>32.186399999999999</v>
      </c>
      <c r="H378" s="323"/>
      <c r="I378" s="65"/>
      <c r="J378" s="323"/>
      <c r="K378" s="65"/>
      <c r="L378" s="65"/>
      <c r="M378" s="65"/>
      <c r="N378" s="63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</row>
    <row r="379" spans="2:69" s="76" customFormat="1" ht="15.75">
      <c r="B379" s="363"/>
      <c r="C379" s="365"/>
      <c r="D379" s="38" t="s">
        <v>90</v>
      </c>
      <c r="E379" s="322" t="s">
        <v>10</v>
      </c>
      <c r="F379" s="322">
        <v>2.86</v>
      </c>
      <c r="G379" s="36">
        <f>F379*G378</f>
        <v>92.05310399999999</v>
      </c>
      <c r="H379" s="225"/>
      <c r="I379" s="49"/>
      <c r="J379" s="225"/>
      <c r="K379" s="49"/>
      <c r="L379" s="49"/>
      <c r="M379" s="49"/>
      <c r="N379" s="49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</row>
    <row r="380" spans="2:69" s="76" customFormat="1" ht="15.75">
      <c r="B380" s="363"/>
      <c r="C380" s="365"/>
      <c r="D380" s="38" t="s">
        <v>25</v>
      </c>
      <c r="E380" s="322" t="s">
        <v>12</v>
      </c>
      <c r="F380" s="322">
        <v>1.02</v>
      </c>
      <c r="G380" s="36">
        <f>F380*G378</f>
        <v>32.830128000000002</v>
      </c>
      <c r="H380" s="225"/>
      <c r="I380" s="49"/>
      <c r="J380" s="225"/>
      <c r="K380" s="49"/>
      <c r="L380" s="49"/>
      <c r="M380" s="49"/>
      <c r="N380" s="49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</row>
    <row r="381" spans="2:69" s="76" customFormat="1" ht="15.75">
      <c r="B381" s="363"/>
      <c r="C381" s="365"/>
      <c r="D381" s="38" t="s">
        <v>17</v>
      </c>
      <c r="E381" s="322" t="s">
        <v>11</v>
      </c>
      <c r="F381" s="322">
        <v>0.76</v>
      </c>
      <c r="G381" s="36">
        <f>G378*F381</f>
        <v>24.461663999999999</v>
      </c>
      <c r="H381" s="225"/>
      <c r="I381" s="49"/>
      <c r="J381" s="225"/>
      <c r="K381" s="49"/>
      <c r="L381" s="49"/>
      <c r="M381" s="49"/>
      <c r="N381" s="49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</row>
    <row r="382" spans="2:69" s="76" customFormat="1" ht="15.75">
      <c r="B382" s="364"/>
      <c r="C382" s="365"/>
      <c r="D382" s="38" t="s">
        <v>13</v>
      </c>
      <c r="E382" s="322" t="s">
        <v>11</v>
      </c>
      <c r="F382" s="322">
        <v>0.13</v>
      </c>
      <c r="G382" s="36">
        <f>G378*F382</f>
        <v>4.1842319999999997</v>
      </c>
      <c r="H382" s="225"/>
      <c r="I382" s="49"/>
      <c r="J382" s="225"/>
      <c r="K382" s="49"/>
      <c r="L382" s="49"/>
      <c r="M382" s="49"/>
      <c r="N382" s="49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</row>
    <row r="383" spans="2:69" s="76" customFormat="1" ht="15.75">
      <c r="B383" s="362">
        <v>54</v>
      </c>
      <c r="C383" s="365" t="s">
        <v>446</v>
      </c>
      <c r="D383" s="66" t="s">
        <v>447</v>
      </c>
      <c r="E383" s="332" t="s">
        <v>23</v>
      </c>
      <c r="F383" s="322"/>
      <c r="G383" s="57">
        <v>268.22000000000003</v>
      </c>
      <c r="H383" s="73"/>
      <c r="I383" s="74"/>
      <c r="J383" s="73"/>
      <c r="K383" s="74"/>
      <c r="L383" s="74"/>
      <c r="M383" s="74"/>
      <c r="N383" s="74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</row>
    <row r="384" spans="2:69" s="76" customFormat="1" ht="15.75">
      <c r="B384" s="363"/>
      <c r="C384" s="365"/>
      <c r="D384" s="38" t="s">
        <v>90</v>
      </c>
      <c r="E384" s="322" t="s">
        <v>10</v>
      </c>
      <c r="F384" s="322">
        <v>2.23</v>
      </c>
      <c r="G384" s="93">
        <f t="shared" ref="G384" si="7">F384*G383</f>
        <v>598.13060000000007</v>
      </c>
      <c r="H384" s="225"/>
      <c r="I384" s="49"/>
      <c r="J384" s="225"/>
      <c r="K384" s="49"/>
      <c r="L384" s="49"/>
      <c r="M384" s="49"/>
      <c r="N384" s="49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</row>
    <row r="385" spans="2:69" s="76" customFormat="1" ht="15.75">
      <c r="B385" s="363"/>
      <c r="C385" s="365"/>
      <c r="D385" s="38" t="s">
        <v>448</v>
      </c>
      <c r="E385" s="322" t="s">
        <v>21</v>
      </c>
      <c r="F385" s="322">
        <v>1.6</v>
      </c>
      <c r="G385" s="93">
        <f>F385*G383</f>
        <v>429.15200000000004</v>
      </c>
      <c r="H385" s="225"/>
      <c r="I385" s="49"/>
      <c r="J385" s="225"/>
      <c r="K385" s="49"/>
      <c r="L385" s="49"/>
      <c r="M385" s="49"/>
      <c r="N385" s="49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</row>
    <row r="386" spans="2:69" s="76" customFormat="1" ht="15.75">
      <c r="B386" s="363"/>
      <c r="C386" s="365"/>
      <c r="D386" s="38" t="s">
        <v>17</v>
      </c>
      <c r="E386" s="322" t="s">
        <v>11</v>
      </c>
      <c r="F386" s="322">
        <v>0.05</v>
      </c>
      <c r="G386" s="93">
        <f>F386*G383</f>
        <v>13.411000000000001</v>
      </c>
      <c r="H386" s="225"/>
      <c r="I386" s="49"/>
      <c r="J386" s="225"/>
      <c r="K386" s="49"/>
      <c r="L386" s="49"/>
      <c r="M386" s="49"/>
      <c r="N386" s="49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</row>
    <row r="387" spans="2:69" s="76" customFormat="1" ht="15.75">
      <c r="B387" s="364"/>
      <c r="C387" s="365"/>
      <c r="D387" s="38" t="s">
        <v>13</v>
      </c>
      <c r="E387" s="322" t="s">
        <v>11</v>
      </c>
      <c r="F387" s="322">
        <v>0.04</v>
      </c>
      <c r="G387" s="93">
        <f>G383*F387</f>
        <v>10.728800000000001</v>
      </c>
      <c r="H387" s="225"/>
      <c r="I387" s="49"/>
      <c r="J387" s="225"/>
      <c r="K387" s="49"/>
      <c r="L387" s="49"/>
      <c r="M387" s="49"/>
      <c r="N387" s="49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</row>
    <row r="388" spans="2:69" s="76" customFormat="1" ht="25.5">
      <c r="B388" s="362">
        <v>55</v>
      </c>
      <c r="C388" s="365" t="s">
        <v>524</v>
      </c>
      <c r="D388" s="66" t="s">
        <v>449</v>
      </c>
      <c r="E388" s="332" t="s">
        <v>21</v>
      </c>
      <c r="F388" s="322"/>
      <c r="G388" s="57">
        <f>G390</f>
        <v>6.4</v>
      </c>
      <c r="H388" s="73"/>
      <c r="I388" s="74"/>
      <c r="J388" s="73"/>
      <c r="K388" s="74"/>
      <c r="L388" s="74"/>
      <c r="M388" s="74"/>
      <c r="N388" s="74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</row>
    <row r="389" spans="2:69" s="76" customFormat="1" ht="15.75">
      <c r="B389" s="363"/>
      <c r="C389" s="365"/>
      <c r="D389" s="38" t="s">
        <v>90</v>
      </c>
      <c r="E389" s="322" t="s">
        <v>10</v>
      </c>
      <c r="F389" s="322">
        <v>1.1100000000000001</v>
      </c>
      <c r="G389" s="322">
        <f t="shared" ref="G389" si="8">F389*G388</f>
        <v>7.104000000000001</v>
      </c>
      <c r="H389" s="225"/>
      <c r="I389" s="49"/>
      <c r="J389" s="225"/>
      <c r="K389" s="49"/>
      <c r="L389" s="49"/>
      <c r="M389" s="49"/>
      <c r="N389" s="49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</row>
    <row r="390" spans="2:69" s="76" customFormat="1" ht="15.75">
      <c r="B390" s="363"/>
      <c r="C390" s="365"/>
      <c r="D390" s="38" t="s">
        <v>450</v>
      </c>
      <c r="E390" s="322" t="s">
        <v>21</v>
      </c>
      <c r="F390" s="322"/>
      <c r="G390" s="322">
        <f>4*1.6</f>
        <v>6.4</v>
      </c>
      <c r="H390" s="225"/>
      <c r="I390" s="49"/>
      <c r="J390" s="225"/>
      <c r="K390" s="49"/>
      <c r="L390" s="49"/>
      <c r="M390" s="49"/>
      <c r="N390" s="49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</row>
    <row r="391" spans="2:69" s="76" customFormat="1" ht="15.75">
      <c r="B391" s="363"/>
      <c r="C391" s="365"/>
      <c r="D391" s="38" t="s">
        <v>17</v>
      </c>
      <c r="E391" s="322" t="s">
        <v>11</v>
      </c>
      <c r="F391" s="322">
        <v>0.7</v>
      </c>
      <c r="G391" s="322">
        <f>F391*G388</f>
        <v>4.4799999999999995</v>
      </c>
      <c r="H391" s="225"/>
      <c r="I391" s="49"/>
      <c r="J391" s="225"/>
      <c r="K391" s="49"/>
      <c r="L391" s="49"/>
      <c r="M391" s="49"/>
      <c r="N391" s="49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</row>
    <row r="392" spans="2:69" s="76" customFormat="1" ht="15.75">
      <c r="B392" s="364"/>
      <c r="C392" s="365"/>
      <c r="D392" s="38" t="s">
        <v>13</v>
      </c>
      <c r="E392" s="322" t="s">
        <v>11</v>
      </c>
      <c r="F392" s="322">
        <v>0.2</v>
      </c>
      <c r="G392" s="322">
        <f>G388*F392</f>
        <v>1.2800000000000002</v>
      </c>
      <c r="H392" s="225"/>
      <c r="I392" s="49"/>
      <c r="J392" s="225"/>
      <c r="K392" s="49"/>
      <c r="L392" s="49"/>
      <c r="M392" s="49"/>
      <c r="N392" s="49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</row>
    <row r="393" spans="2:69" s="76" customFormat="1" ht="25.5">
      <c r="B393" s="362">
        <v>56</v>
      </c>
      <c r="C393" s="365" t="s">
        <v>524</v>
      </c>
      <c r="D393" s="66" t="s">
        <v>471</v>
      </c>
      <c r="E393" s="332" t="s">
        <v>21</v>
      </c>
      <c r="F393" s="322"/>
      <c r="G393" s="57">
        <f>G395</f>
        <v>1.6</v>
      </c>
      <c r="H393" s="73"/>
      <c r="I393" s="74"/>
      <c r="J393" s="73"/>
      <c r="K393" s="74"/>
      <c r="L393" s="74"/>
      <c r="M393" s="74"/>
      <c r="N393" s="74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</row>
    <row r="394" spans="2:69" s="76" customFormat="1" ht="15.75">
      <c r="B394" s="363"/>
      <c r="C394" s="365"/>
      <c r="D394" s="38" t="s">
        <v>90</v>
      </c>
      <c r="E394" s="322" t="s">
        <v>10</v>
      </c>
      <c r="F394" s="322">
        <v>1.1100000000000001</v>
      </c>
      <c r="G394" s="322">
        <f t="shared" ref="G394" si="9">F394*G393</f>
        <v>1.7760000000000002</v>
      </c>
      <c r="H394" s="225"/>
      <c r="I394" s="49"/>
      <c r="J394" s="225"/>
      <c r="K394" s="49"/>
      <c r="L394" s="49"/>
      <c r="M394" s="49"/>
      <c r="N394" s="49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</row>
    <row r="395" spans="2:69" s="76" customFormat="1" ht="15.75">
      <c r="B395" s="363"/>
      <c r="C395" s="365"/>
      <c r="D395" s="38" t="s">
        <v>472</v>
      </c>
      <c r="E395" s="322" t="s">
        <v>21</v>
      </c>
      <c r="F395" s="322"/>
      <c r="G395" s="322">
        <f>1*1.6</f>
        <v>1.6</v>
      </c>
      <c r="H395" s="225"/>
      <c r="I395" s="49"/>
      <c r="J395" s="225"/>
      <c r="K395" s="49"/>
      <c r="L395" s="49"/>
      <c r="M395" s="49"/>
      <c r="N395" s="49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</row>
    <row r="396" spans="2:69" s="76" customFormat="1" ht="15.75">
      <c r="B396" s="363"/>
      <c r="C396" s="365"/>
      <c r="D396" s="38" t="s">
        <v>17</v>
      </c>
      <c r="E396" s="322" t="s">
        <v>11</v>
      </c>
      <c r="F396" s="322">
        <v>0.7</v>
      </c>
      <c r="G396" s="322">
        <f>F396*G393</f>
        <v>1.1199999999999999</v>
      </c>
      <c r="H396" s="225"/>
      <c r="I396" s="49"/>
      <c r="J396" s="225"/>
      <c r="K396" s="49"/>
      <c r="L396" s="49"/>
      <c r="M396" s="49"/>
      <c r="N396" s="49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</row>
    <row r="397" spans="2:69" s="76" customFormat="1" ht="15.75">
      <c r="B397" s="364"/>
      <c r="C397" s="365"/>
      <c r="D397" s="38" t="s">
        <v>13</v>
      </c>
      <c r="E397" s="322" t="s">
        <v>11</v>
      </c>
      <c r="F397" s="322">
        <v>0.2</v>
      </c>
      <c r="G397" s="322">
        <f>G393*F397</f>
        <v>0.32000000000000006</v>
      </c>
      <c r="H397" s="225"/>
      <c r="I397" s="49"/>
      <c r="J397" s="225"/>
      <c r="K397" s="49"/>
      <c r="L397" s="49"/>
      <c r="M397" s="49"/>
      <c r="N397" s="49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</row>
    <row r="398" spans="2:69" s="76" customFormat="1" ht="25.5">
      <c r="B398" s="386">
        <v>57</v>
      </c>
      <c r="C398" s="347" t="s">
        <v>451</v>
      </c>
      <c r="D398" s="43" t="s">
        <v>459</v>
      </c>
      <c r="E398" s="322" t="s">
        <v>217</v>
      </c>
      <c r="F398" s="322"/>
      <c r="G398" s="332">
        <f>25.16+114</f>
        <v>139.16</v>
      </c>
      <c r="H398" s="322"/>
      <c r="I398" s="36"/>
      <c r="J398" s="322"/>
      <c r="K398" s="36"/>
      <c r="L398" s="36"/>
      <c r="M398" s="36"/>
      <c r="N398" s="3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</row>
    <row r="399" spans="2:69" s="76" customFormat="1" ht="25.5">
      <c r="B399" s="386"/>
      <c r="C399" s="348"/>
      <c r="D399" s="46" t="s">
        <v>8</v>
      </c>
      <c r="E399" s="322" t="s">
        <v>229</v>
      </c>
      <c r="F399" s="322">
        <v>3.52</v>
      </c>
      <c r="G399" s="36">
        <f>G398*F399</f>
        <v>489.84319999999997</v>
      </c>
      <c r="H399" s="322"/>
      <c r="I399" s="36"/>
      <c r="J399" s="322"/>
      <c r="K399" s="36"/>
      <c r="L399" s="36"/>
      <c r="M399" s="36"/>
      <c r="N399" s="3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</row>
    <row r="400" spans="2:69" s="76" customFormat="1" ht="15.75">
      <c r="B400" s="386"/>
      <c r="C400" s="348"/>
      <c r="D400" s="46" t="s">
        <v>9</v>
      </c>
      <c r="E400" s="322" t="s">
        <v>11</v>
      </c>
      <c r="F400" s="322">
        <v>1.06</v>
      </c>
      <c r="G400" s="36">
        <f>G398*F400</f>
        <v>147.50960000000001</v>
      </c>
      <c r="H400" s="322"/>
      <c r="I400" s="36"/>
      <c r="J400" s="322"/>
      <c r="K400" s="36"/>
      <c r="L400" s="36"/>
      <c r="M400" s="36"/>
      <c r="N400" s="3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</row>
    <row r="401" spans="2:69" s="76" customFormat="1" ht="15.75">
      <c r="B401" s="386"/>
      <c r="C401" s="348"/>
      <c r="D401" s="46" t="s">
        <v>452</v>
      </c>
      <c r="E401" s="322" t="s">
        <v>217</v>
      </c>
      <c r="F401" s="322">
        <f>0.18+0.09+0.97</f>
        <v>1.24</v>
      </c>
      <c r="G401" s="36">
        <f>G398*F401</f>
        <v>172.55840000000001</v>
      </c>
      <c r="H401" s="322"/>
      <c r="I401" s="36"/>
      <c r="J401" s="322"/>
      <c r="K401" s="36"/>
      <c r="L401" s="36"/>
      <c r="M401" s="36"/>
      <c r="N401" s="3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</row>
    <row r="402" spans="2:69" s="76" customFormat="1" ht="15.75">
      <c r="B402" s="386"/>
      <c r="C402" s="349"/>
      <c r="D402" s="46" t="s">
        <v>13</v>
      </c>
      <c r="E402" s="322" t="s">
        <v>11</v>
      </c>
      <c r="F402" s="322">
        <v>0.02</v>
      </c>
      <c r="G402" s="36">
        <f>G398*F402</f>
        <v>2.7831999999999999</v>
      </c>
      <c r="H402" s="322"/>
      <c r="I402" s="36"/>
      <c r="J402" s="322"/>
      <c r="K402" s="36"/>
      <c r="L402" s="36"/>
      <c r="M402" s="36"/>
      <c r="N402" s="3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</row>
    <row r="403" spans="2:69" s="76" customFormat="1" ht="15.75">
      <c r="B403" s="386">
        <v>61</v>
      </c>
      <c r="C403" s="359" t="s">
        <v>454</v>
      </c>
      <c r="D403" s="43" t="s">
        <v>455</v>
      </c>
      <c r="E403" s="332" t="s">
        <v>453</v>
      </c>
      <c r="F403" s="332"/>
      <c r="G403" s="332">
        <v>17.5</v>
      </c>
      <c r="H403" s="322"/>
      <c r="I403" s="36"/>
      <c r="J403" s="322"/>
      <c r="K403" s="36"/>
      <c r="L403" s="36"/>
      <c r="M403" s="36"/>
      <c r="N403" s="3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</row>
    <row r="404" spans="2:69" s="76" customFormat="1" ht="25.5">
      <c r="B404" s="386"/>
      <c r="C404" s="360"/>
      <c r="D404" s="97" t="s">
        <v>8</v>
      </c>
      <c r="E404" s="98" t="s">
        <v>229</v>
      </c>
      <c r="F404" s="98">
        <v>0.8</v>
      </c>
      <c r="G404" s="98">
        <f>G403*F404</f>
        <v>14</v>
      </c>
      <c r="H404" s="322"/>
      <c r="I404" s="36"/>
      <c r="J404" s="322"/>
      <c r="K404" s="36"/>
      <c r="L404" s="36"/>
      <c r="M404" s="36"/>
      <c r="N404" s="3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</row>
    <row r="405" spans="2:69" s="76" customFormat="1" ht="15.75">
      <c r="B405" s="386"/>
      <c r="C405" s="360"/>
      <c r="D405" s="97" t="s">
        <v>17</v>
      </c>
      <c r="E405" s="98" t="s">
        <v>11</v>
      </c>
      <c r="F405" s="98">
        <v>0.32</v>
      </c>
      <c r="G405" s="98">
        <f>G403*F405</f>
        <v>5.6000000000000005</v>
      </c>
      <c r="H405" s="322"/>
      <c r="I405" s="36"/>
      <c r="J405" s="322"/>
      <c r="K405" s="36"/>
      <c r="L405" s="36"/>
      <c r="M405" s="36"/>
      <c r="N405" s="3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</row>
    <row r="406" spans="2:69" s="76" customFormat="1" ht="15.75">
      <c r="B406" s="386"/>
      <c r="C406" s="360"/>
      <c r="D406" s="97" t="s">
        <v>456</v>
      </c>
      <c r="E406" s="98" t="s">
        <v>217</v>
      </c>
      <c r="F406" s="98">
        <v>1.1000000000000001</v>
      </c>
      <c r="G406" s="98">
        <f>G403*0.5*F406</f>
        <v>9.625</v>
      </c>
      <c r="H406" s="322"/>
      <c r="I406" s="36"/>
      <c r="J406" s="322"/>
      <c r="K406" s="36"/>
      <c r="L406" s="36"/>
      <c r="M406" s="36"/>
      <c r="N406" s="3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</row>
    <row r="407" spans="2:69" s="76" customFormat="1" ht="15.75">
      <c r="B407" s="386"/>
      <c r="C407" s="361"/>
      <c r="D407" s="97" t="s">
        <v>218</v>
      </c>
      <c r="E407" s="98" t="s">
        <v>11</v>
      </c>
      <c r="F407" s="98">
        <v>0.02</v>
      </c>
      <c r="G407" s="98">
        <f>G403*F407</f>
        <v>0.35000000000000003</v>
      </c>
      <c r="H407" s="322"/>
      <c r="I407" s="36"/>
      <c r="J407" s="322"/>
      <c r="K407" s="36"/>
      <c r="L407" s="36"/>
      <c r="M407" s="36"/>
      <c r="N407" s="3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</row>
    <row r="408" spans="2:69" s="76" customFormat="1" ht="25.5">
      <c r="B408" s="315">
        <v>62</v>
      </c>
      <c r="C408" s="322" t="s">
        <v>457</v>
      </c>
      <c r="D408" s="43" t="s">
        <v>458</v>
      </c>
      <c r="E408" s="99" t="s">
        <v>26</v>
      </c>
      <c r="F408" s="98"/>
      <c r="G408" s="332">
        <v>10</v>
      </c>
      <c r="H408" s="98"/>
      <c r="I408" s="36"/>
      <c r="J408" s="322"/>
      <c r="K408" s="36"/>
      <c r="L408" s="100"/>
      <c r="M408" s="36"/>
      <c r="N408" s="3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</row>
    <row r="409" spans="2:69" s="76" customFormat="1" ht="15.75">
      <c r="B409" s="353">
        <v>63</v>
      </c>
      <c r="C409" s="356" t="s">
        <v>460</v>
      </c>
      <c r="D409" s="34" t="s">
        <v>461</v>
      </c>
      <c r="E409" s="330" t="s">
        <v>21</v>
      </c>
      <c r="F409" s="330"/>
      <c r="G409" s="330">
        <v>350</v>
      </c>
      <c r="H409" s="330"/>
      <c r="I409" s="42"/>
      <c r="J409" s="330"/>
      <c r="K409" s="42"/>
      <c r="L409" s="42"/>
      <c r="M409" s="42"/>
      <c r="N409" s="42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</row>
    <row r="410" spans="2:69" s="76" customFormat="1" ht="25.5">
      <c r="B410" s="354"/>
      <c r="C410" s="357"/>
      <c r="D410" s="71" t="s">
        <v>234</v>
      </c>
      <c r="E410" s="319" t="s">
        <v>229</v>
      </c>
      <c r="F410" s="319">
        <v>0.73699999999999999</v>
      </c>
      <c r="G410" s="319">
        <f>G409*F410</f>
        <v>257.95</v>
      </c>
      <c r="H410" s="323"/>
      <c r="I410" s="65"/>
      <c r="J410" s="323"/>
      <c r="K410" s="65"/>
      <c r="L410" s="65"/>
      <c r="M410" s="65"/>
      <c r="N410" s="65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</row>
    <row r="411" spans="2:69" s="76" customFormat="1" ht="15.75">
      <c r="B411" s="354"/>
      <c r="C411" s="357"/>
      <c r="D411" s="71" t="s">
        <v>239</v>
      </c>
      <c r="E411" s="319" t="s">
        <v>11</v>
      </c>
      <c r="F411" s="319">
        <v>1.5299999999999999E-2</v>
      </c>
      <c r="G411" s="319">
        <f>G409*F411</f>
        <v>5.3549999999999995</v>
      </c>
      <c r="H411" s="323"/>
      <c r="I411" s="65"/>
      <c r="J411" s="323"/>
      <c r="K411" s="65"/>
      <c r="L411" s="65"/>
      <c r="M411" s="65"/>
      <c r="N411" s="65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</row>
    <row r="412" spans="2:69" s="76" customFormat="1" ht="15.75">
      <c r="B412" s="354"/>
      <c r="C412" s="357"/>
      <c r="D412" s="71" t="s">
        <v>462</v>
      </c>
      <c r="E412" s="319" t="s">
        <v>21</v>
      </c>
      <c r="F412" s="319">
        <v>1.02</v>
      </c>
      <c r="G412" s="319">
        <f>G409*F412</f>
        <v>357</v>
      </c>
      <c r="H412" s="323"/>
      <c r="I412" s="65"/>
      <c r="J412" s="323"/>
      <c r="K412" s="65"/>
      <c r="L412" s="65"/>
      <c r="M412" s="65"/>
      <c r="N412" s="65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</row>
    <row r="413" spans="2:69" s="76" customFormat="1" ht="15.75">
      <c r="B413" s="354"/>
      <c r="C413" s="357"/>
      <c r="D413" s="71" t="s">
        <v>45</v>
      </c>
      <c r="E413" s="319" t="s">
        <v>217</v>
      </c>
      <c r="F413" s="319">
        <v>0.1</v>
      </c>
      <c r="G413" s="319">
        <f>F413*G409</f>
        <v>35</v>
      </c>
      <c r="H413" s="323"/>
      <c r="I413" s="65"/>
      <c r="J413" s="323"/>
      <c r="K413" s="65"/>
      <c r="L413" s="65"/>
      <c r="M413" s="65"/>
      <c r="N413" s="65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</row>
    <row r="414" spans="2:69" s="76" customFormat="1" ht="15.75">
      <c r="B414" s="355"/>
      <c r="C414" s="358"/>
      <c r="D414" s="71" t="s">
        <v>218</v>
      </c>
      <c r="E414" s="319" t="s">
        <v>11</v>
      </c>
      <c r="F414" s="319">
        <v>3.32E-3</v>
      </c>
      <c r="G414" s="319">
        <f>G409*F414</f>
        <v>1.1619999999999999</v>
      </c>
      <c r="H414" s="323"/>
      <c r="I414" s="65"/>
      <c r="J414" s="323"/>
      <c r="K414" s="65"/>
      <c r="L414" s="65"/>
      <c r="M414" s="65"/>
      <c r="N414" s="65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</row>
    <row r="415" spans="2:69" s="76" customFormat="1" ht="25.5">
      <c r="B415" s="353">
        <v>64</v>
      </c>
      <c r="C415" s="356" t="s">
        <v>463</v>
      </c>
      <c r="D415" s="34" t="s">
        <v>466</v>
      </c>
      <c r="E415" s="330" t="s">
        <v>99</v>
      </c>
      <c r="F415" s="330"/>
      <c r="G415" s="330">
        <v>17</v>
      </c>
      <c r="H415" s="330"/>
      <c r="I415" s="42"/>
      <c r="J415" s="330"/>
      <c r="K415" s="42"/>
      <c r="L415" s="42"/>
      <c r="M415" s="42"/>
      <c r="N415" s="42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</row>
    <row r="416" spans="2:69" s="76" customFormat="1" ht="25.5">
      <c r="B416" s="354"/>
      <c r="C416" s="357"/>
      <c r="D416" s="71" t="s">
        <v>234</v>
      </c>
      <c r="E416" s="319" t="s">
        <v>229</v>
      </c>
      <c r="F416" s="319">
        <v>1.57</v>
      </c>
      <c r="G416" s="319">
        <f>G415*F416</f>
        <v>26.69</v>
      </c>
      <c r="H416" s="323"/>
      <c r="I416" s="65"/>
      <c r="J416" s="323"/>
      <c r="K416" s="65"/>
      <c r="L416" s="65"/>
      <c r="M416" s="65"/>
      <c r="N416" s="65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</row>
    <row r="417" spans="2:69" s="76" customFormat="1" ht="15.75">
      <c r="B417" s="354"/>
      <c r="C417" s="357"/>
      <c r="D417" s="38" t="s">
        <v>464</v>
      </c>
      <c r="E417" s="320" t="s">
        <v>12</v>
      </c>
      <c r="F417" s="320">
        <v>0.24199999999999999</v>
      </c>
      <c r="G417" s="320">
        <v>0.96799999999999997</v>
      </c>
      <c r="H417" s="323"/>
      <c r="I417" s="65"/>
      <c r="J417" s="323"/>
      <c r="K417" s="65"/>
      <c r="L417" s="65"/>
      <c r="M417" s="65"/>
      <c r="N417" s="65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</row>
    <row r="418" spans="2:69" s="76" customFormat="1" ht="15.75">
      <c r="B418" s="354"/>
      <c r="C418" s="357"/>
      <c r="D418" s="38" t="s">
        <v>465</v>
      </c>
      <c r="E418" s="320" t="s">
        <v>99</v>
      </c>
      <c r="F418" s="320">
        <v>1</v>
      </c>
      <c r="G418" s="320">
        <f>F418*G415</f>
        <v>17</v>
      </c>
      <c r="H418" s="323"/>
      <c r="I418" s="65"/>
      <c r="J418" s="323"/>
      <c r="K418" s="65"/>
      <c r="L418" s="65"/>
      <c r="M418" s="65"/>
      <c r="N418" s="65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</row>
    <row r="419" spans="2:69" s="76" customFormat="1" ht="15.75">
      <c r="B419" s="355"/>
      <c r="C419" s="358"/>
      <c r="D419" s="38" t="s">
        <v>120</v>
      </c>
      <c r="E419" s="320" t="s">
        <v>12</v>
      </c>
      <c r="F419" s="320">
        <v>1.03</v>
      </c>
      <c r="G419" s="320">
        <f>F419*G415</f>
        <v>17.510000000000002</v>
      </c>
      <c r="H419" s="323"/>
      <c r="I419" s="65"/>
      <c r="J419" s="323"/>
      <c r="K419" s="65"/>
      <c r="L419" s="65"/>
      <c r="M419" s="65"/>
      <c r="N419" s="65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</row>
    <row r="420" spans="2:69" s="76" customFormat="1" ht="15.75">
      <c r="B420" s="319"/>
      <c r="C420" s="352" t="s">
        <v>6</v>
      </c>
      <c r="D420" s="352"/>
      <c r="E420" s="322"/>
      <c r="F420" s="322"/>
      <c r="G420" s="322"/>
      <c r="H420" s="322"/>
      <c r="I420" s="44"/>
      <c r="J420" s="44"/>
      <c r="K420" s="44"/>
      <c r="L420" s="44"/>
      <c r="M420" s="44"/>
      <c r="N420" s="44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</row>
    <row r="421" spans="2:69">
      <c r="B421" s="319"/>
      <c r="C421" s="352" t="s">
        <v>268</v>
      </c>
      <c r="D421" s="352"/>
      <c r="E421" s="332"/>
      <c r="F421" s="322"/>
      <c r="G421" s="322"/>
      <c r="H421" s="322"/>
      <c r="I421" s="36"/>
      <c r="J421" s="36"/>
      <c r="K421" s="36"/>
      <c r="L421" s="36"/>
      <c r="M421" s="36"/>
      <c r="N421" s="36"/>
    </row>
    <row r="422" spans="2:69">
      <c r="B422" s="319"/>
      <c r="C422" s="350" t="s">
        <v>6</v>
      </c>
      <c r="D422" s="351"/>
      <c r="E422" s="332"/>
      <c r="F422" s="322"/>
      <c r="G422" s="322"/>
      <c r="H422" s="322"/>
      <c r="I422" s="36"/>
      <c r="J422" s="36"/>
      <c r="K422" s="36"/>
      <c r="L422" s="36"/>
      <c r="M422" s="36"/>
      <c r="N422" s="44"/>
    </row>
    <row r="423" spans="2:69">
      <c r="B423" s="101"/>
      <c r="C423" s="352" t="s">
        <v>128</v>
      </c>
      <c r="D423" s="352"/>
      <c r="E423" s="44"/>
      <c r="F423" s="322"/>
      <c r="G423" s="322"/>
      <c r="H423" s="322"/>
      <c r="I423" s="36"/>
      <c r="J423" s="36"/>
      <c r="K423" s="36"/>
      <c r="L423" s="36"/>
      <c r="M423" s="36"/>
      <c r="N423" s="36"/>
    </row>
    <row r="424" spans="2:69">
      <c r="B424" s="101"/>
      <c r="C424" s="352" t="s">
        <v>6</v>
      </c>
      <c r="D424" s="352"/>
      <c r="E424" s="332"/>
      <c r="F424" s="322"/>
      <c r="G424" s="322"/>
      <c r="H424" s="322"/>
      <c r="I424" s="36"/>
      <c r="J424" s="36"/>
      <c r="K424" s="36"/>
      <c r="L424" s="36"/>
      <c r="M424" s="36"/>
      <c r="N424" s="44"/>
    </row>
    <row r="425" spans="2:69">
      <c r="B425" s="101"/>
      <c r="C425" s="352" t="s">
        <v>19</v>
      </c>
      <c r="D425" s="352"/>
      <c r="E425" s="332"/>
      <c r="F425" s="322"/>
      <c r="G425" s="322"/>
      <c r="H425" s="322"/>
      <c r="I425" s="36"/>
      <c r="J425" s="36"/>
      <c r="K425" s="36"/>
      <c r="L425" s="36"/>
      <c r="M425" s="36"/>
      <c r="N425" s="36"/>
    </row>
    <row r="426" spans="2:69">
      <c r="B426" s="102"/>
      <c r="C426" s="368" t="s">
        <v>6</v>
      </c>
      <c r="D426" s="369"/>
      <c r="E426" s="332"/>
      <c r="F426" s="103"/>
      <c r="G426" s="102"/>
      <c r="H426" s="102"/>
      <c r="I426" s="36"/>
      <c r="J426" s="36"/>
      <c r="K426" s="36"/>
      <c r="L426" s="36"/>
      <c r="M426" s="36"/>
      <c r="N426" s="44"/>
    </row>
    <row r="428" spans="2:69" s="104" customFormat="1" ht="15.75">
      <c r="B428" s="105"/>
      <c r="C428" s="326"/>
      <c r="D428" s="106"/>
      <c r="E428" s="106"/>
      <c r="F428" s="326"/>
      <c r="G428" s="326"/>
      <c r="H428" s="326"/>
      <c r="I428" s="326"/>
      <c r="J428" s="381"/>
      <c r="K428" s="381"/>
      <c r="L428" s="326"/>
      <c r="M428" s="326"/>
      <c r="N428" s="326"/>
    </row>
    <row r="429" spans="2:69" s="104" customFormat="1" ht="15.75">
      <c r="B429" s="326"/>
      <c r="C429" s="382"/>
      <c r="D429" s="382"/>
      <c r="E429" s="382"/>
      <c r="F429" s="382"/>
      <c r="G429" s="326"/>
      <c r="H429" s="326"/>
      <c r="I429" s="326"/>
      <c r="J429" s="326"/>
      <c r="K429" s="326"/>
      <c r="L429" s="326"/>
      <c r="M429" s="326"/>
      <c r="N429" s="326"/>
    </row>
  </sheetData>
  <mergeCells count="165">
    <mergeCell ref="C238:C241"/>
    <mergeCell ref="B238:B241"/>
    <mergeCell ref="B98:B101"/>
    <mergeCell ref="C98:C101"/>
    <mergeCell ref="B47:B56"/>
    <mergeCell ref="B31:B33"/>
    <mergeCell ref="C109:C115"/>
    <mergeCell ref="C116:C122"/>
    <mergeCell ref="C123:C129"/>
    <mergeCell ref="B146:B151"/>
    <mergeCell ref="B152:B157"/>
    <mergeCell ref="C40:C46"/>
    <mergeCell ref="C47:C56"/>
    <mergeCell ref="C130:C134"/>
    <mergeCell ref="C180:C187"/>
    <mergeCell ref="C35:C39"/>
    <mergeCell ref="C31:C33"/>
    <mergeCell ref="C67:C75"/>
    <mergeCell ref="B212:B217"/>
    <mergeCell ref="B218:B224"/>
    <mergeCell ref="B167:B171"/>
    <mergeCell ref="B303:B309"/>
    <mergeCell ref="B17:B18"/>
    <mergeCell ref="B19:B22"/>
    <mergeCell ref="B23:B26"/>
    <mergeCell ref="B27:B30"/>
    <mergeCell ref="B35:B39"/>
    <mergeCell ref="B40:B46"/>
    <mergeCell ref="B207:B211"/>
    <mergeCell ref="B230:B237"/>
    <mergeCell ref="B284:B288"/>
    <mergeCell ref="C295:C298"/>
    <mergeCell ref="B295:B298"/>
    <mergeCell ref="C269:C274"/>
    <mergeCell ref="C247:C252"/>
    <mergeCell ref="B403:B407"/>
    <mergeCell ref="B135:B141"/>
    <mergeCell ref="B158:B161"/>
    <mergeCell ref="B162:B166"/>
    <mergeCell ref="C158:C161"/>
    <mergeCell ref="C162:C166"/>
    <mergeCell ref="C135:C141"/>
    <mergeCell ref="C303:C309"/>
    <mergeCell ref="C310:C316"/>
    <mergeCell ref="C212:C217"/>
    <mergeCell ref="C218:C224"/>
    <mergeCell ref="B242:B245"/>
    <mergeCell ref="C142:C145"/>
    <mergeCell ref="C146:C151"/>
    <mergeCell ref="C152:C157"/>
    <mergeCell ref="C242:C245"/>
    <mergeCell ref="B310:B316"/>
    <mergeCell ref="B247:B252"/>
    <mergeCell ref="C207:C211"/>
    <mergeCell ref="B253:B258"/>
    <mergeCell ref="C415:C419"/>
    <mergeCell ref="B398:B402"/>
    <mergeCell ref="B269:B274"/>
    <mergeCell ref="C275:C279"/>
    <mergeCell ref="B275:B279"/>
    <mergeCell ref="C260:C264"/>
    <mergeCell ref="B260:B264"/>
    <mergeCell ref="C253:C258"/>
    <mergeCell ref="B393:B397"/>
    <mergeCell ref="C393:C397"/>
    <mergeCell ref="C378:C382"/>
    <mergeCell ref="C280:C282"/>
    <mergeCell ref="B280:B282"/>
    <mergeCell ref="B372:B373"/>
    <mergeCell ref="B331:B336"/>
    <mergeCell ref="B344:B349"/>
    <mergeCell ref="C344:C349"/>
    <mergeCell ref="B378:B382"/>
    <mergeCell ref="C331:C336"/>
    <mergeCell ref="B361:B366"/>
    <mergeCell ref="B388:B392"/>
    <mergeCell ref="B374:B377"/>
    <mergeCell ref="C374:C377"/>
    <mergeCell ref="C388:C392"/>
    <mergeCell ref="B9:B12"/>
    <mergeCell ref="C9:C12"/>
    <mergeCell ref="C13:C16"/>
    <mergeCell ref="B13:B16"/>
    <mergeCell ref="C17:C18"/>
    <mergeCell ref="C19:C22"/>
    <mergeCell ref="C23:C26"/>
    <mergeCell ref="J428:K428"/>
    <mergeCell ref="C429:F429"/>
    <mergeCell ref="C367:C370"/>
    <mergeCell ref="B367:B370"/>
    <mergeCell ref="B299:B302"/>
    <mergeCell ref="C299:C302"/>
    <mergeCell ref="B180:B187"/>
    <mergeCell ref="B289:B294"/>
    <mergeCell ref="C289:C294"/>
    <mergeCell ref="C196:C200"/>
    <mergeCell ref="B196:B200"/>
    <mergeCell ref="C201:C206"/>
    <mergeCell ref="B201:B206"/>
    <mergeCell ref="C188:C194"/>
    <mergeCell ref="C265:C268"/>
    <mergeCell ref="B265:B268"/>
    <mergeCell ref="C284:C288"/>
    <mergeCell ref="B1:N1"/>
    <mergeCell ref="B2:N2"/>
    <mergeCell ref="B5:B6"/>
    <mergeCell ref="C5:C6"/>
    <mergeCell ref="D5:D6"/>
    <mergeCell ref="E5:E6"/>
    <mergeCell ref="F5:G5"/>
    <mergeCell ref="H4:L4"/>
    <mergeCell ref="H5:I5"/>
    <mergeCell ref="J5:K5"/>
    <mergeCell ref="L5:M5"/>
    <mergeCell ref="N5:N6"/>
    <mergeCell ref="B3:N3"/>
    <mergeCell ref="B4:F4"/>
    <mergeCell ref="C425:D425"/>
    <mergeCell ref="C426:D426"/>
    <mergeCell ref="C420:D420"/>
    <mergeCell ref="C57:C66"/>
    <mergeCell ref="C76:C84"/>
    <mergeCell ref="C86:C96"/>
    <mergeCell ref="B102:B108"/>
    <mergeCell ref="B109:B115"/>
    <mergeCell ref="B116:B122"/>
    <mergeCell ref="C424:D424"/>
    <mergeCell ref="B57:B66"/>
    <mergeCell ref="B67:B75"/>
    <mergeCell ref="B188:B194"/>
    <mergeCell ref="B76:B84"/>
    <mergeCell ref="B86:B96"/>
    <mergeCell ref="B173:B179"/>
    <mergeCell ref="B123:B129"/>
    <mergeCell ref="B130:B134"/>
    <mergeCell ref="B142:B145"/>
    <mergeCell ref="C361:C366"/>
    <mergeCell ref="C225:C229"/>
    <mergeCell ref="B225:B229"/>
    <mergeCell ref="C421:D421"/>
    <mergeCell ref="C230:C237"/>
    <mergeCell ref="C27:C30"/>
    <mergeCell ref="C422:D422"/>
    <mergeCell ref="C423:D423"/>
    <mergeCell ref="B355:B360"/>
    <mergeCell ref="C355:C360"/>
    <mergeCell ref="B317:B323"/>
    <mergeCell ref="C317:C323"/>
    <mergeCell ref="B324:B330"/>
    <mergeCell ref="C324:C330"/>
    <mergeCell ref="B337:B343"/>
    <mergeCell ref="C337:C343"/>
    <mergeCell ref="B350:B354"/>
    <mergeCell ref="C350:C354"/>
    <mergeCell ref="C409:C414"/>
    <mergeCell ref="B409:B414"/>
    <mergeCell ref="B415:B419"/>
    <mergeCell ref="C403:C407"/>
    <mergeCell ref="C398:C402"/>
    <mergeCell ref="B383:B387"/>
    <mergeCell ref="C383:C387"/>
    <mergeCell ref="C372:C373"/>
    <mergeCell ref="C173:C179"/>
    <mergeCell ref="C102:C108"/>
    <mergeCell ref="C167:C171"/>
  </mergeCells>
  <conditionalFormatting sqref="G207">
    <cfRule type="cellIs" dxfId="2" priority="8" stopIfTrue="1" operator="equal">
      <formula>8223.307275</formula>
    </cfRule>
  </conditionalFormatting>
  <conditionalFormatting sqref="G350">
    <cfRule type="cellIs" dxfId="1" priority="5" stopIfTrue="1" operator="equal">
      <formula>8223.307275</formula>
    </cfRule>
  </conditionalFormatting>
  <conditionalFormatting sqref="G289">
    <cfRule type="cellIs" dxfId="0" priority="4" stopIfTrue="1" operator="equal">
      <formula>8223.307275</formula>
    </cfRule>
  </conditionalFormatting>
  <pageMargins left="0.47" right="0.2" top="0.47244094488188981" bottom="0.31496062992125984" header="0.23622047244094491" footer="0.19685039370078741"/>
  <pageSetup orientation="landscape" horizontalDpi="4294967293" verticalDpi="300" r:id="rId1"/>
  <headerFooter>
    <oddHeader>&amp;R&amp;P--&amp;N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8"/>
  <sheetViews>
    <sheetView view="pageBreakPreview" topLeftCell="B79" zoomScale="145" zoomScaleNormal="150" zoomScaleSheetLayoutView="145" workbookViewId="0">
      <selection activeCell="G88" sqref="G88"/>
    </sheetView>
  </sheetViews>
  <sheetFormatPr defaultColWidth="8.85546875" defaultRowHeight="15"/>
  <cols>
    <col min="1" max="1" width="3.140625" style="111" hidden="1" customWidth="1"/>
    <col min="2" max="2" width="2.7109375" style="110" customWidth="1"/>
    <col min="3" max="3" width="7" style="133" customWidth="1"/>
    <col min="4" max="4" width="45.140625" style="110" customWidth="1"/>
    <col min="5" max="5" width="5.42578125" style="133" customWidth="1"/>
    <col min="6" max="6" width="5.85546875" style="133" customWidth="1"/>
    <col min="7" max="7" width="6.85546875" style="133" customWidth="1"/>
    <col min="8" max="8" width="6.28515625" style="133" customWidth="1"/>
    <col min="9" max="9" width="8.28515625" style="133" customWidth="1"/>
    <col min="10" max="10" width="6" style="133" customWidth="1"/>
    <col min="11" max="11" width="8.5703125" style="133" customWidth="1"/>
    <col min="12" max="12" width="5.42578125" style="133" customWidth="1"/>
    <col min="13" max="13" width="10.28515625" style="133" customWidth="1"/>
    <col min="14" max="14" width="11.28515625" style="133" customWidth="1"/>
    <col min="15" max="17" width="8.85546875" style="110"/>
    <col min="18" max="16384" width="8.85546875" style="111"/>
  </cols>
  <sheetData>
    <row r="1" spans="2:17">
      <c r="B1" s="370" t="s">
        <v>614</v>
      </c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</row>
    <row r="2" spans="2:17">
      <c r="B2" s="112"/>
      <c r="C2" s="113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2:17">
      <c r="B3" s="371" t="s">
        <v>297</v>
      </c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</row>
    <row r="4" spans="2:17">
      <c r="B4" s="371" t="s">
        <v>301</v>
      </c>
      <c r="C4" s="371"/>
      <c r="D4" s="371"/>
      <c r="E4" s="371"/>
      <c r="F4" s="371"/>
      <c r="G4" s="371"/>
      <c r="H4" s="371"/>
      <c r="I4" s="371"/>
      <c r="J4" s="371"/>
      <c r="K4" s="371"/>
      <c r="L4" s="371"/>
      <c r="M4" s="371"/>
      <c r="N4" s="371"/>
    </row>
    <row r="5" spans="2:17" s="10" customFormat="1" ht="15.75">
      <c r="B5" s="388"/>
      <c r="C5" s="388"/>
      <c r="D5" s="388"/>
      <c r="E5" s="388"/>
      <c r="F5" s="388"/>
      <c r="G5" s="388"/>
      <c r="H5" s="376" t="s">
        <v>122</v>
      </c>
      <c r="I5" s="376"/>
      <c r="J5" s="376"/>
      <c r="K5" s="376"/>
      <c r="L5" s="376"/>
      <c r="M5" s="33">
        <f>N94</f>
        <v>0</v>
      </c>
      <c r="N5" s="329" t="s">
        <v>22</v>
      </c>
      <c r="O5" s="110"/>
      <c r="P5" s="110"/>
      <c r="Q5" s="110"/>
    </row>
    <row r="6" spans="2:17" s="116" customFormat="1">
      <c r="B6" s="372" t="s">
        <v>0</v>
      </c>
      <c r="C6" s="372" t="s">
        <v>1</v>
      </c>
      <c r="D6" s="372" t="s">
        <v>16</v>
      </c>
      <c r="E6" s="372" t="s">
        <v>2</v>
      </c>
      <c r="F6" s="372" t="s">
        <v>125</v>
      </c>
      <c r="G6" s="372" t="s">
        <v>126</v>
      </c>
      <c r="H6" s="372" t="s">
        <v>3</v>
      </c>
      <c r="I6" s="372"/>
      <c r="J6" s="372" t="s">
        <v>7</v>
      </c>
      <c r="K6" s="372"/>
      <c r="L6" s="372" t="s">
        <v>18</v>
      </c>
      <c r="M6" s="372"/>
      <c r="N6" s="372" t="s">
        <v>6</v>
      </c>
      <c r="O6" s="115"/>
      <c r="P6" s="115"/>
      <c r="Q6" s="115"/>
    </row>
    <row r="7" spans="2:17" s="116" customFormat="1" ht="38.25">
      <c r="B7" s="373"/>
      <c r="C7" s="373"/>
      <c r="D7" s="373"/>
      <c r="E7" s="373"/>
      <c r="F7" s="372"/>
      <c r="G7" s="372"/>
      <c r="H7" s="330" t="s">
        <v>15</v>
      </c>
      <c r="I7" s="330" t="s">
        <v>6</v>
      </c>
      <c r="J7" s="330" t="s">
        <v>15</v>
      </c>
      <c r="K7" s="330" t="s">
        <v>6</v>
      </c>
      <c r="L7" s="330" t="s">
        <v>15</v>
      </c>
      <c r="M7" s="330" t="s">
        <v>6</v>
      </c>
      <c r="N7" s="373"/>
      <c r="O7" s="115"/>
      <c r="P7" s="115"/>
      <c r="Q7" s="115"/>
    </row>
    <row r="8" spans="2:17">
      <c r="B8" s="117">
        <v>1</v>
      </c>
      <c r="C8" s="117">
        <v>2</v>
      </c>
      <c r="D8" s="117">
        <v>3</v>
      </c>
      <c r="E8" s="118">
        <v>4</v>
      </c>
      <c r="F8" s="118">
        <v>5</v>
      </c>
      <c r="G8" s="118">
        <v>6</v>
      </c>
      <c r="H8" s="118">
        <v>7</v>
      </c>
      <c r="I8" s="118">
        <v>8</v>
      </c>
      <c r="J8" s="118">
        <v>9</v>
      </c>
      <c r="K8" s="118">
        <v>10</v>
      </c>
      <c r="L8" s="118">
        <v>11</v>
      </c>
      <c r="M8" s="118">
        <v>12</v>
      </c>
      <c r="N8" s="118">
        <v>13</v>
      </c>
    </row>
    <row r="9" spans="2:17" s="116" customFormat="1" ht="25.5">
      <c r="B9" s="347">
        <v>1</v>
      </c>
      <c r="C9" s="347" t="s">
        <v>248</v>
      </c>
      <c r="D9" s="119" t="s">
        <v>308</v>
      </c>
      <c r="E9" s="332" t="s">
        <v>110</v>
      </c>
      <c r="F9" s="322"/>
      <c r="G9" s="332">
        <v>5</v>
      </c>
      <c r="H9" s="322"/>
      <c r="I9" s="322"/>
      <c r="J9" s="322"/>
      <c r="K9" s="322"/>
      <c r="L9" s="322"/>
      <c r="M9" s="322"/>
      <c r="N9" s="322"/>
      <c r="O9" s="115"/>
      <c r="P9" s="115"/>
      <c r="Q9" s="115"/>
    </row>
    <row r="10" spans="2:17" s="116" customFormat="1">
      <c r="B10" s="348"/>
      <c r="C10" s="348"/>
      <c r="D10" s="38" t="s">
        <v>28</v>
      </c>
      <c r="E10" s="319" t="s">
        <v>10</v>
      </c>
      <c r="F10" s="319">
        <v>5.86</v>
      </c>
      <c r="G10" s="319">
        <v>3.17</v>
      </c>
      <c r="H10" s="319"/>
      <c r="I10" s="322"/>
      <c r="J10" s="319"/>
      <c r="K10" s="322"/>
      <c r="L10" s="319"/>
      <c r="M10" s="322"/>
      <c r="N10" s="322"/>
      <c r="O10" s="115"/>
      <c r="P10" s="115"/>
      <c r="Q10" s="115"/>
    </row>
    <row r="11" spans="2:17" s="116" customFormat="1">
      <c r="B11" s="348"/>
      <c r="C11" s="348"/>
      <c r="D11" s="79" t="s">
        <v>595</v>
      </c>
      <c r="E11" s="319" t="s">
        <v>26</v>
      </c>
      <c r="F11" s="319"/>
      <c r="G11" s="319">
        <v>1</v>
      </c>
      <c r="H11" s="319"/>
      <c r="I11" s="322"/>
      <c r="J11" s="319"/>
      <c r="K11" s="322"/>
      <c r="L11" s="319"/>
      <c r="M11" s="322"/>
      <c r="N11" s="322"/>
      <c r="O11" s="115"/>
      <c r="P11" s="115"/>
      <c r="Q11" s="115"/>
    </row>
    <row r="12" spans="2:17" s="116" customFormat="1" ht="25.5">
      <c r="B12" s="348"/>
      <c r="C12" s="348"/>
      <c r="D12" s="79" t="s">
        <v>596</v>
      </c>
      <c r="E12" s="319" t="s">
        <v>26</v>
      </c>
      <c r="F12" s="319"/>
      <c r="G12" s="319">
        <v>3</v>
      </c>
      <c r="H12" s="319"/>
      <c r="I12" s="322"/>
      <c r="J12" s="319"/>
      <c r="K12" s="322"/>
      <c r="L12" s="319"/>
      <c r="M12" s="322"/>
      <c r="N12" s="322"/>
      <c r="O12" s="115"/>
      <c r="P12" s="115"/>
      <c r="Q12" s="115"/>
    </row>
    <row r="13" spans="2:17" s="116" customFormat="1" ht="25.5">
      <c r="B13" s="348"/>
      <c r="C13" s="348"/>
      <c r="D13" s="79" t="s">
        <v>597</v>
      </c>
      <c r="E13" s="319" t="s">
        <v>26</v>
      </c>
      <c r="F13" s="319"/>
      <c r="G13" s="319">
        <v>1</v>
      </c>
      <c r="H13" s="319"/>
      <c r="I13" s="322"/>
      <c r="J13" s="319"/>
      <c r="K13" s="322"/>
      <c r="L13" s="319"/>
      <c r="M13" s="322"/>
      <c r="N13" s="322"/>
      <c r="O13" s="115"/>
      <c r="P13" s="115"/>
      <c r="Q13" s="115"/>
    </row>
    <row r="14" spans="2:17" s="116" customFormat="1" ht="25.5">
      <c r="B14" s="349"/>
      <c r="C14" s="349"/>
      <c r="D14" s="38" t="s">
        <v>13</v>
      </c>
      <c r="E14" s="322" t="s">
        <v>11</v>
      </c>
      <c r="F14" s="322">
        <v>0.32</v>
      </c>
      <c r="G14" s="322">
        <v>0.23</v>
      </c>
      <c r="H14" s="225"/>
      <c r="I14" s="322"/>
      <c r="J14" s="225"/>
      <c r="K14" s="322"/>
      <c r="L14" s="120"/>
      <c r="M14" s="322"/>
      <c r="N14" s="322"/>
      <c r="O14" s="115"/>
      <c r="P14" s="115"/>
      <c r="Q14" s="115"/>
    </row>
    <row r="15" spans="2:17" s="116" customFormat="1" ht="25.5">
      <c r="B15" s="347">
        <v>2</v>
      </c>
      <c r="C15" s="353" t="s">
        <v>113</v>
      </c>
      <c r="D15" s="121" t="s">
        <v>114</v>
      </c>
      <c r="E15" s="332" t="s">
        <v>99</v>
      </c>
      <c r="F15" s="322"/>
      <c r="G15" s="330">
        <f>G17+G18</f>
        <v>145</v>
      </c>
      <c r="H15" s="225"/>
      <c r="I15" s="322"/>
      <c r="J15" s="225"/>
      <c r="K15" s="322"/>
      <c r="L15" s="225"/>
      <c r="M15" s="322"/>
      <c r="N15" s="322"/>
      <c r="O15" s="115"/>
      <c r="P15" s="115"/>
      <c r="Q15" s="115"/>
    </row>
    <row r="16" spans="2:17" s="116" customFormat="1">
      <c r="B16" s="348"/>
      <c r="C16" s="354"/>
      <c r="D16" s="38" t="s">
        <v>90</v>
      </c>
      <c r="E16" s="322" t="s">
        <v>10</v>
      </c>
      <c r="F16" s="322">
        <v>0.42</v>
      </c>
      <c r="G16" s="322">
        <f t="shared" ref="G16" si="0">F16*G15</f>
        <v>60.9</v>
      </c>
      <c r="H16" s="225"/>
      <c r="I16" s="322"/>
      <c r="J16" s="225"/>
      <c r="K16" s="322"/>
      <c r="L16" s="225"/>
      <c r="M16" s="322"/>
      <c r="N16" s="322"/>
      <c r="O16" s="115"/>
      <c r="P16" s="115"/>
      <c r="Q16" s="115"/>
    </row>
    <row r="17" spans="2:17" s="116" customFormat="1" ht="25.5">
      <c r="B17" s="348"/>
      <c r="C17" s="354"/>
      <c r="D17" s="38" t="s">
        <v>326</v>
      </c>
      <c r="E17" s="322" t="s">
        <v>99</v>
      </c>
      <c r="F17" s="322"/>
      <c r="G17" s="322">
        <v>45</v>
      </c>
      <c r="H17" s="225"/>
      <c r="I17" s="322"/>
      <c r="J17" s="225"/>
      <c r="K17" s="322"/>
      <c r="L17" s="225"/>
      <c r="M17" s="322"/>
      <c r="N17" s="322"/>
      <c r="O17" s="115"/>
      <c r="P17" s="115"/>
      <c r="Q17" s="115"/>
    </row>
    <row r="18" spans="2:17" s="116" customFormat="1" ht="25.5">
      <c r="B18" s="349"/>
      <c r="C18" s="355"/>
      <c r="D18" s="38" t="s">
        <v>327</v>
      </c>
      <c r="E18" s="322" t="s">
        <v>99</v>
      </c>
      <c r="F18" s="322"/>
      <c r="G18" s="322">
        <v>100</v>
      </c>
      <c r="H18" s="225"/>
      <c r="I18" s="322"/>
      <c r="J18" s="225"/>
      <c r="K18" s="322"/>
      <c r="L18" s="225"/>
      <c r="M18" s="322"/>
      <c r="N18" s="322"/>
      <c r="O18" s="115"/>
      <c r="P18" s="115"/>
      <c r="Q18" s="115"/>
    </row>
    <row r="19" spans="2:17" s="116" customFormat="1" ht="25.5">
      <c r="B19" s="386">
        <v>3</v>
      </c>
      <c r="C19" s="353" t="s">
        <v>252</v>
      </c>
      <c r="D19" s="121" t="s">
        <v>117</v>
      </c>
      <c r="E19" s="332" t="s">
        <v>99</v>
      </c>
      <c r="F19" s="322"/>
      <c r="G19" s="330">
        <f>G21+G22+G23</f>
        <v>41</v>
      </c>
      <c r="H19" s="225"/>
      <c r="I19" s="322"/>
      <c r="J19" s="225"/>
      <c r="K19" s="322"/>
      <c r="L19" s="225"/>
      <c r="M19" s="322"/>
      <c r="N19" s="322"/>
      <c r="O19" s="115"/>
      <c r="P19" s="115"/>
      <c r="Q19" s="115"/>
    </row>
    <row r="20" spans="2:17" s="116" customFormat="1">
      <c r="B20" s="386"/>
      <c r="C20" s="354"/>
      <c r="D20" s="38" t="s">
        <v>90</v>
      </c>
      <c r="E20" s="322" t="s">
        <v>10</v>
      </c>
      <c r="F20" s="322">
        <v>0.37</v>
      </c>
      <c r="G20" s="322">
        <f t="shared" ref="G20" si="1">F20*G19</f>
        <v>15.17</v>
      </c>
      <c r="H20" s="225"/>
      <c r="I20" s="322"/>
      <c r="J20" s="225"/>
      <c r="K20" s="322"/>
      <c r="L20" s="225"/>
      <c r="M20" s="322"/>
      <c r="N20" s="322"/>
      <c r="O20" s="115"/>
      <c r="P20" s="115"/>
      <c r="Q20" s="115"/>
    </row>
    <row r="21" spans="2:17" s="116" customFormat="1" ht="25.5">
      <c r="B21" s="386"/>
      <c r="C21" s="354"/>
      <c r="D21" s="38" t="s">
        <v>323</v>
      </c>
      <c r="E21" s="322" t="s">
        <v>99</v>
      </c>
      <c r="F21" s="322"/>
      <c r="G21" s="322">
        <v>19</v>
      </c>
      <c r="H21" s="225"/>
      <c r="I21" s="322"/>
      <c r="J21" s="225"/>
      <c r="K21" s="322"/>
      <c r="L21" s="225"/>
      <c r="M21" s="322"/>
      <c r="N21" s="322"/>
      <c r="O21" s="115"/>
      <c r="P21" s="115"/>
      <c r="Q21" s="115"/>
    </row>
    <row r="22" spans="2:17" s="116" customFormat="1" ht="25.5">
      <c r="B22" s="386"/>
      <c r="C22" s="354"/>
      <c r="D22" s="38" t="s">
        <v>325</v>
      </c>
      <c r="E22" s="322" t="s">
        <v>99</v>
      </c>
      <c r="F22" s="322"/>
      <c r="G22" s="322">
        <v>20</v>
      </c>
      <c r="H22" s="225"/>
      <c r="I22" s="322"/>
      <c r="J22" s="225"/>
      <c r="K22" s="322"/>
      <c r="L22" s="225"/>
      <c r="M22" s="322"/>
      <c r="N22" s="322"/>
      <c r="O22" s="115"/>
      <c r="P22" s="115"/>
      <c r="Q22" s="115"/>
    </row>
    <row r="23" spans="2:17" s="116" customFormat="1" ht="25.5">
      <c r="B23" s="386"/>
      <c r="C23" s="354"/>
      <c r="D23" s="38" t="s">
        <v>324</v>
      </c>
      <c r="E23" s="322" t="s">
        <v>99</v>
      </c>
      <c r="F23" s="322"/>
      <c r="G23" s="322">
        <v>2</v>
      </c>
      <c r="H23" s="225"/>
      <c r="I23" s="322"/>
      <c r="J23" s="225"/>
      <c r="K23" s="322"/>
      <c r="L23" s="225"/>
      <c r="M23" s="322"/>
      <c r="N23" s="322"/>
      <c r="O23" s="115"/>
      <c r="P23" s="115"/>
      <c r="Q23" s="115"/>
    </row>
    <row r="24" spans="2:17" s="116" customFormat="1" ht="25.5">
      <c r="B24" s="386"/>
      <c r="C24" s="355"/>
      <c r="D24" s="38" t="s">
        <v>13</v>
      </c>
      <c r="E24" s="322" t="s">
        <v>11</v>
      </c>
      <c r="F24" s="322">
        <v>0.12</v>
      </c>
      <c r="G24" s="322">
        <f>G19*F24</f>
        <v>4.92</v>
      </c>
      <c r="H24" s="225"/>
      <c r="I24" s="322"/>
      <c r="J24" s="225"/>
      <c r="K24" s="322"/>
      <c r="L24" s="225"/>
      <c r="M24" s="322"/>
      <c r="N24" s="322"/>
      <c r="O24" s="115"/>
      <c r="P24" s="115"/>
      <c r="Q24" s="115"/>
    </row>
    <row r="25" spans="2:17" s="116" customFormat="1" ht="25.5">
      <c r="B25" s="347">
        <v>6</v>
      </c>
      <c r="C25" s="347" t="s">
        <v>248</v>
      </c>
      <c r="D25" s="119" t="s">
        <v>254</v>
      </c>
      <c r="E25" s="332" t="s">
        <v>99</v>
      </c>
      <c r="F25" s="322"/>
      <c r="G25" s="332">
        <v>1</v>
      </c>
      <c r="H25" s="322"/>
      <c r="I25" s="322"/>
      <c r="J25" s="322"/>
      <c r="K25" s="322"/>
      <c r="L25" s="322"/>
      <c r="M25" s="322"/>
      <c r="N25" s="322"/>
      <c r="O25" s="115"/>
      <c r="P25" s="115"/>
      <c r="Q25" s="115"/>
    </row>
    <row r="26" spans="2:17" s="116" customFormat="1">
      <c r="B26" s="348"/>
      <c r="C26" s="348"/>
      <c r="D26" s="38" t="s">
        <v>28</v>
      </c>
      <c r="E26" s="319" t="s">
        <v>10</v>
      </c>
      <c r="F26" s="319">
        <v>5.86</v>
      </c>
      <c r="G26" s="319">
        <v>3.17</v>
      </c>
      <c r="H26" s="319"/>
      <c r="I26" s="322"/>
      <c r="J26" s="319"/>
      <c r="K26" s="322"/>
      <c r="L26" s="319"/>
      <c r="M26" s="322"/>
      <c r="N26" s="322"/>
      <c r="O26" s="115"/>
      <c r="P26" s="115"/>
      <c r="Q26" s="115"/>
    </row>
    <row r="27" spans="2:17" s="116" customFormat="1">
      <c r="B27" s="348"/>
      <c r="C27" s="348"/>
      <c r="D27" s="79" t="s">
        <v>547</v>
      </c>
      <c r="E27" s="319" t="s">
        <v>26</v>
      </c>
      <c r="F27" s="319">
        <v>1</v>
      </c>
      <c r="G27" s="319">
        <f>F27*G25</f>
        <v>1</v>
      </c>
      <c r="H27" s="319"/>
      <c r="I27" s="322"/>
      <c r="J27" s="319"/>
      <c r="K27" s="322"/>
      <c r="L27" s="319"/>
      <c r="M27" s="322"/>
      <c r="N27" s="322"/>
      <c r="O27" s="115"/>
      <c r="P27" s="115"/>
      <c r="Q27" s="115"/>
    </row>
    <row r="28" spans="2:17" s="116" customFormat="1" ht="25.5">
      <c r="B28" s="349"/>
      <c r="C28" s="349"/>
      <c r="D28" s="38" t="s">
        <v>13</v>
      </c>
      <c r="E28" s="322" t="s">
        <v>11</v>
      </c>
      <c r="F28" s="322">
        <v>0.32</v>
      </c>
      <c r="G28" s="322">
        <v>0.23</v>
      </c>
      <c r="H28" s="225"/>
      <c r="I28" s="322"/>
      <c r="J28" s="225"/>
      <c r="K28" s="322"/>
      <c r="L28" s="120"/>
      <c r="M28" s="322"/>
      <c r="N28" s="322"/>
      <c r="O28" s="115"/>
      <c r="P28" s="115"/>
      <c r="Q28" s="115"/>
    </row>
    <row r="29" spans="2:17" s="116" customFormat="1" ht="25.5">
      <c r="B29" s="347">
        <v>7</v>
      </c>
      <c r="C29" s="353" t="s">
        <v>115</v>
      </c>
      <c r="D29" s="121" t="s">
        <v>116</v>
      </c>
      <c r="E29" s="332" t="s">
        <v>99</v>
      </c>
      <c r="F29" s="322"/>
      <c r="G29" s="330">
        <f>SUM(G31:G38)</f>
        <v>31</v>
      </c>
      <c r="H29" s="225"/>
      <c r="I29" s="322"/>
      <c r="J29" s="225"/>
      <c r="K29" s="322"/>
      <c r="L29" s="225"/>
      <c r="M29" s="322"/>
      <c r="N29" s="322"/>
      <c r="O29" s="115"/>
      <c r="P29" s="115"/>
      <c r="Q29" s="115"/>
    </row>
    <row r="30" spans="2:17" s="116" customFormat="1">
      <c r="B30" s="348"/>
      <c r="C30" s="354"/>
      <c r="D30" s="38" t="s">
        <v>90</v>
      </c>
      <c r="E30" s="322" t="s">
        <v>10</v>
      </c>
      <c r="F30" s="322">
        <v>2.71</v>
      </c>
      <c r="G30" s="322">
        <f>F30*G29</f>
        <v>84.01</v>
      </c>
      <c r="H30" s="225"/>
      <c r="I30" s="322"/>
      <c r="J30" s="225"/>
      <c r="K30" s="322"/>
      <c r="L30" s="225"/>
      <c r="M30" s="322"/>
      <c r="N30" s="322"/>
      <c r="O30" s="115"/>
      <c r="P30" s="115"/>
      <c r="Q30" s="115"/>
    </row>
    <row r="31" spans="2:17" s="116" customFormat="1" ht="25.5">
      <c r="B31" s="348"/>
      <c r="C31" s="354"/>
      <c r="D31" s="38" t="s">
        <v>588</v>
      </c>
      <c r="E31" s="322" t="s">
        <v>99</v>
      </c>
      <c r="F31" s="322"/>
      <c r="G31" s="322">
        <v>1</v>
      </c>
      <c r="H31" s="225"/>
      <c r="I31" s="322"/>
      <c r="J31" s="225"/>
      <c r="K31" s="322"/>
      <c r="L31" s="225"/>
      <c r="M31" s="322"/>
      <c r="N31" s="322"/>
      <c r="O31" s="115"/>
      <c r="P31" s="115"/>
      <c r="Q31" s="115"/>
    </row>
    <row r="32" spans="2:17" s="116" customFormat="1" ht="25.5">
      <c r="B32" s="348"/>
      <c r="C32" s="354"/>
      <c r="D32" s="38" t="s">
        <v>307</v>
      </c>
      <c r="E32" s="322" t="s">
        <v>99</v>
      </c>
      <c r="F32" s="322"/>
      <c r="G32" s="322">
        <v>1</v>
      </c>
      <c r="H32" s="225"/>
      <c r="I32" s="322"/>
      <c r="J32" s="225"/>
      <c r="K32" s="322"/>
      <c r="L32" s="225"/>
      <c r="M32" s="322"/>
      <c r="N32" s="322"/>
      <c r="O32" s="115"/>
      <c r="P32" s="115"/>
      <c r="Q32" s="115"/>
    </row>
    <row r="33" spans="2:17" s="116" customFormat="1" ht="25.5">
      <c r="B33" s="348"/>
      <c r="C33" s="354"/>
      <c r="D33" s="38" t="s">
        <v>589</v>
      </c>
      <c r="E33" s="322" t="s">
        <v>99</v>
      </c>
      <c r="F33" s="322"/>
      <c r="G33" s="322">
        <f>3+1+1+1</f>
        <v>6</v>
      </c>
      <c r="H33" s="225"/>
      <c r="I33" s="322"/>
      <c r="J33" s="225"/>
      <c r="K33" s="322"/>
      <c r="L33" s="225"/>
      <c r="M33" s="322"/>
      <c r="N33" s="322"/>
      <c r="O33" s="115"/>
      <c r="P33" s="115"/>
      <c r="Q33" s="115"/>
    </row>
    <row r="34" spans="2:17" s="116" customFormat="1" ht="25.5">
      <c r="B34" s="348"/>
      <c r="C34" s="354"/>
      <c r="D34" s="38" t="s">
        <v>590</v>
      </c>
      <c r="E34" s="322" t="s">
        <v>99</v>
      </c>
      <c r="F34" s="322"/>
      <c r="G34" s="322">
        <v>1</v>
      </c>
      <c r="H34" s="225"/>
      <c r="I34" s="322"/>
      <c r="J34" s="225"/>
      <c r="K34" s="322"/>
      <c r="L34" s="225"/>
      <c r="M34" s="322"/>
      <c r="N34" s="322"/>
      <c r="O34" s="115"/>
      <c r="P34" s="115"/>
      <c r="Q34" s="115"/>
    </row>
    <row r="35" spans="2:17" s="116" customFormat="1" ht="25.5">
      <c r="B35" s="348"/>
      <c r="C35" s="354"/>
      <c r="D35" s="38" t="s">
        <v>591</v>
      </c>
      <c r="E35" s="322" t="s">
        <v>99</v>
      </c>
      <c r="F35" s="322"/>
      <c r="G35" s="322">
        <v>6</v>
      </c>
      <c r="H35" s="225"/>
      <c r="I35" s="322"/>
      <c r="J35" s="225"/>
      <c r="K35" s="322"/>
      <c r="L35" s="225"/>
      <c r="M35" s="322"/>
      <c r="N35" s="322"/>
      <c r="O35" s="115"/>
      <c r="P35" s="115"/>
      <c r="Q35" s="115"/>
    </row>
    <row r="36" spans="2:17" s="116" customFormat="1" ht="25.5">
      <c r="B36" s="348"/>
      <c r="C36" s="354"/>
      <c r="D36" s="38" t="s">
        <v>592</v>
      </c>
      <c r="E36" s="322" t="s">
        <v>99</v>
      </c>
      <c r="F36" s="322"/>
      <c r="G36" s="322">
        <v>14</v>
      </c>
      <c r="H36" s="225"/>
      <c r="I36" s="322"/>
      <c r="J36" s="225"/>
      <c r="K36" s="322"/>
      <c r="L36" s="225"/>
      <c r="M36" s="322"/>
      <c r="N36" s="322"/>
      <c r="O36" s="115"/>
      <c r="P36" s="115"/>
      <c r="Q36" s="115"/>
    </row>
    <row r="37" spans="2:17" s="116" customFormat="1" ht="25.5">
      <c r="B37" s="348"/>
      <c r="C37" s="354"/>
      <c r="D37" s="38" t="s">
        <v>593</v>
      </c>
      <c r="E37" s="322" t="s">
        <v>99</v>
      </c>
      <c r="F37" s="322"/>
      <c r="G37" s="322">
        <v>1</v>
      </c>
      <c r="H37" s="225"/>
      <c r="I37" s="322"/>
      <c r="J37" s="225"/>
      <c r="K37" s="322"/>
      <c r="L37" s="225"/>
      <c r="M37" s="322"/>
      <c r="N37" s="322"/>
      <c r="O37" s="115"/>
      <c r="P37" s="115"/>
      <c r="Q37" s="115"/>
    </row>
    <row r="38" spans="2:17" s="116" customFormat="1" ht="25.5">
      <c r="B38" s="348"/>
      <c r="C38" s="354"/>
      <c r="D38" s="38" t="s">
        <v>594</v>
      </c>
      <c r="E38" s="322" t="s">
        <v>99</v>
      </c>
      <c r="F38" s="322"/>
      <c r="G38" s="322">
        <v>1</v>
      </c>
      <c r="H38" s="225"/>
      <c r="I38" s="322"/>
      <c r="J38" s="225"/>
      <c r="K38" s="322"/>
      <c r="L38" s="225"/>
      <c r="M38" s="322"/>
      <c r="N38" s="322"/>
      <c r="O38" s="115"/>
      <c r="P38" s="115"/>
      <c r="Q38" s="115"/>
    </row>
    <row r="39" spans="2:17" s="116" customFormat="1" ht="25.5">
      <c r="B39" s="348"/>
      <c r="C39" s="354"/>
      <c r="D39" s="38" t="s">
        <v>305</v>
      </c>
      <c r="E39" s="322" t="s">
        <v>99</v>
      </c>
      <c r="F39" s="322"/>
      <c r="G39" s="322">
        <v>1</v>
      </c>
      <c r="H39" s="225"/>
      <c r="I39" s="322"/>
      <c r="J39" s="225"/>
      <c r="K39" s="322"/>
      <c r="L39" s="225"/>
      <c r="M39" s="322"/>
      <c r="N39" s="322"/>
      <c r="O39" s="115"/>
      <c r="P39" s="115"/>
      <c r="Q39" s="115"/>
    </row>
    <row r="40" spans="2:17" s="116" customFormat="1" ht="25.5">
      <c r="B40" s="349"/>
      <c r="C40" s="355"/>
      <c r="D40" s="38" t="s">
        <v>306</v>
      </c>
      <c r="E40" s="322" t="s">
        <v>99</v>
      </c>
      <c r="F40" s="322"/>
      <c r="G40" s="322">
        <v>3</v>
      </c>
      <c r="H40" s="225"/>
      <c r="I40" s="322"/>
      <c r="J40" s="225"/>
      <c r="K40" s="322"/>
      <c r="L40" s="225"/>
      <c r="M40" s="322"/>
      <c r="N40" s="322"/>
      <c r="O40" s="115"/>
      <c r="P40" s="115"/>
      <c r="Q40" s="115"/>
    </row>
    <row r="41" spans="2:17" s="116" customFormat="1" ht="25.5">
      <c r="B41" s="386">
        <v>8</v>
      </c>
      <c r="C41" s="353" t="s">
        <v>112</v>
      </c>
      <c r="D41" s="121" t="s">
        <v>250</v>
      </c>
      <c r="E41" s="332" t="s">
        <v>23</v>
      </c>
      <c r="F41" s="322"/>
      <c r="G41" s="330">
        <f>SUM(G43:G48)</f>
        <v>1420</v>
      </c>
      <c r="H41" s="225"/>
      <c r="I41" s="322"/>
      <c r="J41" s="225"/>
      <c r="K41" s="322"/>
      <c r="L41" s="225"/>
      <c r="M41" s="322"/>
      <c r="N41" s="322"/>
      <c r="O41" s="115"/>
      <c r="P41" s="115"/>
      <c r="Q41" s="115"/>
    </row>
    <row r="42" spans="2:17" s="116" customFormat="1">
      <c r="B42" s="386"/>
      <c r="C42" s="354"/>
      <c r="D42" s="38" t="s">
        <v>90</v>
      </c>
      <c r="E42" s="322" t="s">
        <v>10</v>
      </c>
      <c r="F42" s="322">
        <v>0.13900000000000001</v>
      </c>
      <c r="G42" s="322">
        <f t="shared" ref="G42" si="2">F42*G41</f>
        <v>197.38000000000002</v>
      </c>
      <c r="H42" s="225"/>
      <c r="I42" s="322"/>
      <c r="J42" s="225"/>
      <c r="K42" s="322"/>
      <c r="L42" s="225"/>
      <c r="M42" s="322"/>
      <c r="N42" s="322"/>
      <c r="O42" s="115"/>
      <c r="P42" s="115"/>
      <c r="Q42" s="115"/>
    </row>
    <row r="43" spans="2:17" s="116" customFormat="1" ht="25.5">
      <c r="B43" s="386"/>
      <c r="C43" s="354"/>
      <c r="D43" s="38" t="s">
        <v>319</v>
      </c>
      <c r="E43" s="322" t="s">
        <v>27</v>
      </c>
      <c r="F43" s="322"/>
      <c r="G43" s="322">
        <v>100</v>
      </c>
      <c r="H43" s="225"/>
      <c r="I43" s="322"/>
      <c r="J43" s="225"/>
      <c r="K43" s="322"/>
      <c r="L43" s="225"/>
      <c r="M43" s="322"/>
      <c r="N43" s="322"/>
      <c r="O43" s="115"/>
      <c r="P43" s="115"/>
      <c r="Q43" s="115"/>
    </row>
    <row r="44" spans="2:17" s="116" customFormat="1">
      <c r="B44" s="386"/>
      <c r="C44" s="354"/>
      <c r="D44" s="38" t="s">
        <v>598</v>
      </c>
      <c r="E44" s="322" t="s">
        <v>27</v>
      </c>
      <c r="F44" s="322"/>
      <c r="G44" s="322">
        <v>95</v>
      </c>
      <c r="H44" s="225"/>
      <c r="I44" s="322"/>
      <c r="J44" s="225"/>
      <c r="K44" s="322"/>
      <c r="L44" s="225"/>
      <c r="M44" s="322"/>
      <c r="N44" s="322"/>
      <c r="O44" s="115"/>
      <c r="P44" s="115"/>
      <c r="Q44" s="115"/>
    </row>
    <row r="45" spans="2:17" s="116" customFormat="1">
      <c r="B45" s="386"/>
      <c r="C45" s="354"/>
      <c r="D45" s="38" t="s">
        <v>599</v>
      </c>
      <c r="E45" s="322" t="s">
        <v>27</v>
      </c>
      <c r="F45" s="322"/>
      <c r="G45" s="322">
        <v>45</v>
      </c>
      <c r="H45" s="225"/>
      <c r="I45" s="322"/>
      <c r="J45" s="225"/>
      <c r="K45" s="322"/>
      <c r="L45" s="225"/>
      <c r="M45" s="322"/>
      <c r="N45" s="322"/>
      <c r="O45" s="115"/>
      <c r="P45" s="115"/>
      <c r="Q45" s="115"/>
    </row>
    <row r="46" spans="2:17" s="116" customFormat="1">
      <c r="B46" s="386"/>
      <c r="C46" s="354"/>
      <c r="D46" s="38" t="s">
        <v>600</v>
      </c>
      <c r="E46" s="322" t="s">
        <v>27</v>
      </c>
      <c r="F46" s="322"/>
      <c r="G46" s="322">
        <v>80</v>
      </c>
      <c r="H46" s="225"/>
      <c r="I46" s="322"/>
      <c r="J46" s="225"/>
      <c r="K46" s="322"/>
      <c r="L46" s="225"/>
      <c r="M46" s="322"/>
      <c r="N46" s="322"/>
      <c r="O46" s="115"/>
      <c r="P46" s="115"/>
      <c r="Q46" s="115"/>
    </row>
    <row r="47" spans="2:17" s="116" customFormat="1">
      <c r="B47" s="386"/>
      <c r="C47" s="354"/>
      <c r="D47" s="38" t="s">
        <v>601</v>
      </c>
      <c r="E47" s="322" t="s">
        <v>27</v>
      </c>
      <c r="F47" s="322"/>
      <c r="G47" s="322">
        <v>420</v>
      </c>
      <c r="H47" s="225"/>
      <c r="I47" s="322"/>
      <c r="J47" s="225"/>
      <c r="K47" s="322"/>
      <c r="L47" s="225"/>
      <c r="M47" s="322"/>
      <c r="N47" s="322"/>
      <c r="O47" s="115"/>
      <c r="P47" s="115"/>
      <c r="Q47" s="115"/>
    </row>
    <row r="48" spans="2:17" s="116" customFormat="1">
      <c r="B48" s="386"/>
      <c r="C48" s="354"/>
      <c r="D48" s="38" t="s">
        <v>602</v>
      </c>
      <c r="E48" s="322" t="s">
        <v>27</v>
      </c>
      <c r="F48" s="322"/>
      <c r="G48" s="322">
        <v>680</v>
      </c>
      <c r="H48" s="225"/>
      <c r="I48" s="322"/>
      <c r="J48" s="225"/>
      <c r="K48" s="322"/>
      <c r="L48" s="225"/>
      <c r="M48" s="322"/>
      <c r="N48" s="322"/>
      <c r="O48" s="115"/>
      <c r="P48" s="115"/>
      <c r="Q48" s="115"/>
    </row>
    <row r="49" spans="2:20" s="116" customFormat="1">
      <c r="B49" s="386"/>
      <c r="C49" s="354"/>
      <c r="D49" s="38" t="s">
        <v>320</v>
      </c>
      <c r="E49" s="322" t="s">
        <v>26</v>
      </c>
      <c r="F49" s="322"/>
      <c r="G49" s="322">
        <v>1200</v>
      </c>
      <c r="H49" s="225"/>
      <c r="I49" s="322"/>
      <c r="J49" s="225"/>
      <c r="K49" s="322"/>
      <c r="L49" s="225"/>
      <c r="M49" s="322"/>
      <c r="N49" s="322"/>
      <c r="O49" s="115"/>
      <c r="P49" s="115"/>
      <c r="Q49" s="115"/>
    </row>
    <row r="50" spans="2:20" s="116" customFormat="1" ht="25.5">
      <c r="B50" s="386"/>
      <c r="C50" s="355"/>
      <c r="D50" s="38" t="s">
        <v>13</v>
      </c>
      <c r="E50" s="322" t="s">
        <v>11</v>
      </c>
      <c r="F50" s="322">
        <f>0.97/100</f>
        <v>9.7000000000000003E-3</v>
      </c>
      <c r="G50" s="322">
        <f>G41*F50</f>
        <v>13.774000000000001</v>
      </c>
      <c r="H50" s="225"/>
      <c r="I50" s="322"/>
      <c r="J50" s="225"/>
      <c r="K50" s="322"/>
      <c r="L50" s="225"/>
      <c r="M50" s="93"/>
      <c r="N50" s="322"/>
      <c r="O50" s="115"/>
      <c r="P50" s="115"/>
      <c r="Q50" s="115"/>
    </row>
    <row r="51" spans="2:20" s="116" customFormat="1" ht="25.5">
      <c r="B51" s="347">
        <v>9</v>
      </c>
      <c r="C51" s="347" t="s">
        <v>127</v>
      </c>
      <c r="D51" s="43" t="s">
        <v>350</v>
      </c>
      <c r="E51" s="332" t="s">
        <v>23</v>
      </c>
      <c r="F51" s="322"/>
      <c r="G51" s="332">
        <v>1280</v>
      </c>
      <c r="H51" s="322"/>
      <c r="I51" s="322"/>
      <c r="J51" s="322"/>
      <c r="K51" s="322"/>
      <c r="L51" s="322"/>
      <c r="M51" s="322"/>
      <c r="N51" s="322"/>
      <c r="O51" s="115"/>
      <c r="P51" s="115"/>
      <c r="Q51" s="115"/>
    </row>
    <row r="52" spans="2:20" s="116" customFormat="1">
      <c r="B52" s="348"/>
      <c r="C52" s="348"/>
      <c r="D52" s="38" t="s">
        <v>28</v>
      </c>
      <c r="E52" s="319" t="s">
        <v>10</v>
      </c>
      <c r="F52" s="319">
        <v>0.42</v>
      </c>
      <c r="G52" s="319">
        <v>252</v>
      </c>
      <c r="H52" s="319"/>
      <c r="I52" s="322"/>
      <c r="J52" s="319"/>
      <c r="K52" s="322"/>
      <c r="L52" s="319"/>
      <c r="M52" s="322"/>
      <c r="N52" s="322"/>
      <c r="O52" s="115"/>
      <c r="P52" s="115"/>
      <c r="Q52" s="115"/>
    </row>
    <row r="53" spans="2:20" s="116" customFormat="1" ht="25.5">
      <c r="B53" s="348"/>
      <c r="C53" s="348"/>
      <c r="D53" s="46" t="s">
        <v>603</v>
      </c>
      <c r="E53" s="319" t="s">
        <v>310</v>
      </c>
      <c r="F53" s="319"/>
      <c r="G53" s="319">
        <v>100</v>
      </c>
      <c r="H53" s="319"/>
      <c r="I53" s="322"/>
      <c r="J53" s="319"/>
      <c r="K53" s="322"/>
      <c r="L53" s="319"/>
      <c r="M53" s="322"/>
      <c r="N53" s="322"/>
      <c r="O53" s="115"/>
      <c r="P53" s="115"/>
      <c r="Q53" s="115"/>
    </row>
    <row r="54" spans="2:20" s="116" customFormat="1">
      <c r="B54" s="348"/>
      <c r="C54" s="348"/>
      <c r="D54" s="38" t="s">
        <v>604</v>
      </c>
      <c r="E54" s="319" t="s">
        <v>310</v>
      </c>
      <c r="F54" s="319"/>
      <c r="G54" s="319">
        <v>90</v>
      </c>
      <c r="H54" s="319"/>
      <c r="I54" s="322"/>
      <c r="J54" s="319"/>
      <c r="K54" s="322"/>
      <c r="L54" s="319"/>
      <c r="M54" s="322"/>
      <c r="N54" s="322"/>
      <c r="O54" s="115"/>
      <c r="P54" s="115"/>
      <c r="Q54" s="115"/>
    </row>
    <row r="55" spans="2:20" s="116" customFormat="1">
      <c r="B55" s="348"/>
      <c r="C55" s="348"/>
      <c r="D55" s="38" t="s">
        <v>605</v>
      </c>
      <c r="E55" s="319" t="s">
        <v>310</v>
      </c>
      <c r="F55" s="319"/>
      <c r="G55" s="319">
        <v>40</v>
      </c>
      <c r="H55" s="319"/>
      <c r="I55" s="322"/>
      <c r="J55" s="319"/>
      <c r="K55" s="322"/>
      <c r="L55" s="319"/>
      <c r="M55" s="322"/>
      <c r="N55" s="322"/>
      <c r="O55" s="115"/>
      <c r="P55" s="115"/>
      <c r="Q55" s="115"/>
    </row>
    <row r="56" spans="2:20" s="116" customFormat="1">
      <c r="B56" s="348"/>
      <c r="C56" s="348"/>
      <c r="D56" s="38" t="s">
        <v>606</v>
      </c>
      <c r="E56" s="319" t="s">
        <v>310</v>
      </c>
      <c r="F56" s="319"/>
      <c r="G56" s="319">
        <v>400</v>
      </c>
      <c r="H56" s="319"/>
      <c r="I56" s="322"/>
      <c r="J56" s="319"/>
      <c r="K56" s="322"/>
      <c r="L56" s="319"/>
      <c r="M56" s="322"/>
      <c r="N56" s="322"/>
      <c r="O56" s="115"/>
      <c r="P56" s="115"/>
      <c r="Q56" s="115"/>
    </row>
    <row r="57" spans="2:20" s="116" customFormat="1">
      <c r="B57" s="348"/>
      <c r="C57" s="348"/>
      <c r="D57" s="38" t="s">
        <v>607</v>
      </c>
      <c r="E57" s="319" t="s">
        <v>310</v>
      </c>
      <c r="F57" s="319"/>
      <c r="G57" s="319">
        <v>650</v>
      </c>
      <c r="H57" s="319"/>
      <c r="I57" s="322"/>
      <c r="J57" s="319"/>
      <c r="K57" s="322"/>
      <c r="L57" s="319"/>
      <c r="M57" s="322"/>
      <c r="N57" s="322"/>
      <c r="O57" s="115"/>
      <c r="P57" s="115"/>
      <c r="Q57" s="115"/>
    </row>
    <row r="58" spans="2:20" s="116" customFormat="1" ht="25.5">
      <c r="B58" s="386">
        <v>10</v>
      </c>
      <c r="C58" s="347" t="s">
        <v>253</v>
      </c>
      <c r="D58" s="43" t="s">
        <v>321</v>
      </c>
      <c r="E58" s="332" t="str">
        <f>E29</f>
        <v>cali</v>
      </c>
      <c r="F58" s="322"/>
      <c r="G58" s="332">
        <v>58</v>
      </c>
      <c r="H58" s="322"/>
      <c r="I58" s="322"/>
      <c r="J58" s="322"/>
      <c r="K58" s="322"/>
      <c r="L58" s="322"/>
      <c r="M58" s="322"/>
      <c r="N58" s="322"/>
      <c r="O58" s="115"/>
      <c r="P58" s="115"/>
      <c r="Q58" s="115"/>
      <c r="T58" s="122"/>
    </row>
    <row r="59" spans="2:20" s="116" customFormat="1">
      <c r="B59" s="386"/>
      <c r="C59" s="348"/>
      <c r="D59" s="46" t="s">
        <v>8</v>
      </c>
      <c r="E59" s="322" t="s">
        <v>10</v>
      </c>
      <c r="F59" s="322">
        <v>0.39200000000000002</v>
      </c>
      <c r="G59" s="322">
        <f>F59*G58</f>
        <v>22.736000000000001</v>
      </c>
      <c r="H59" s="322"/>
      <c r="I59" s="322"/>
      <c r="J59" s="322"/>
      <c r="K59" s="322"/>
      <c r="L59" s="322"/>
      <c r="M59" s="322"/>
      <c r="N59" s="322"/>
      <c r="O59" s="115"/>
      <c r="P59" s="115"/>
      <c r="Q59" s="115"/>
    </row>
    <row r="60" spans="2:20" s="116" customFormat="1">
      <c r="B60" s="386"/>
      <c r="C60" s="348"/>
      <c r="D60" s="46" t="s">
        <v>322</v>
      </c>
      <c r="E60" s="322" t="s">
        <v>26</v>
      </c>
      <c r="F60" s="322"/>
      <c r="G60" s="322">
        <f>G58</f>
        <v>58</v>
      </c>
      <c r="H60" s="322"/>
      <c r="I60" s="322"/>
      <c r="J60" s="322"/>
      <c r="K60" s="322"/>
      <c r="L60" s="322"/>
      <c r="M60" s="322"/>
      <c r="N60" s="322"/>
      <c r="O60" s="115"/>
      <c r="P60" s="115"/>
      <c r="Q60" s="115"/>
    </row>
    <row r="61" spans="2:20" s="116" customFormat="1" ht="25.5">
      <c r="B61" s="386"/>
      <c r="C61" s="349"/>
      <c r="D61" s="46" t="s">
        <v>13</v>
      </c>
      <c r="E61" s="322" t="s">
        <v>11</v>
      </c>
      <c r="F61" s="322">
        <f>9.4/100</f>
        <v>9.4E-2</v>
      </c>
      <c r="G61" s="322">
        <f>F61*G58</f>
        <v>5.452</v>
      </c>
      <c r="H61" s="322"/>
      <c r="I61" s="322"/>
      <c r="J61" s="322"/>
      <c r="K61" s="322"/>
      <c r="L61" s="322"/>
      <c r="M61" s="322"/>
      <c r="N61" s="322"/>
      <c r="O61" s="115"/>
      <c r="P61" s="115"/>
      <c r="Q61" s="115"/>
    </row>
    <row r="62" spans="2:20" s="116" customFormat="1">
      <c r="B62" s="362">
        <v>11</v>
      </c>
      <c r="C62" s="353" t="s">
        <v>529</v>
      </c>
      <c r="D62" s="66" t="s">
        <v>309</v>
      </c>
      <c r="E62" s="57" t="s">
        <v>310</v>
      </c>
      <c r="F62" s="320"/>
      <c r="G62" s="84">
        <f>G66</f>
        <v>50</v>
      </c>
      <c r="H62" s="322"/>
      <c r="I62" s="322"/>
      <c r="J62" s="322"/>
      <c r="K62" s="322"/>
      <c r="L62" s="322"/>
      <c r="M62" s="322"/>
      <c r="N62" s="322"/>
      <c r="O62" s="115"/>
      <c r="P62" s="115"/>
      <c r="Q62" s="115"/>
    </row>
    <row r="63" spans="2:20" s="116" customFormat="1">
      <c r="B63" s="363"/>
      <c r="C63" s="354"/>
      <c r="D63" s="38" t="s">
        <v>8</v>
      </c>
      <c r="E63" s="320" t="s">
        <v>229</v>
      </c>
      <c r="F63" s="333">
        <v>0.12</v>
      </c>
      <c r="G63" s="315">
        <f>F63*G62</f>
        <v>6</v>
      </c>
      <c r="H63" s="322"/>
      <c r="I63" s="322"/>
      <c r="J63" s="322"/>
      <c r="K63" s="322"/>
      <c r="L63" s="322"/>
      <c r="M63" s="322"/>
      <c r="N63" s="322"/>
      <c r="O63" s="115"/>
      <c r="P63" s="115"/>
      <c r="Q63" s="115"/>
    </row>
    <row r="64" spans="2:20" s="116" customFormat="1">
      <c r="B64" s="363"/>
      <c r="C64" s="354"/>
      <c r="D64" s="71" t="s">
        <v>17</v>
      </c>
      <c r="E64" s="320" t="s">
        <v>11</v>
      </c>
      <c r="F64" s="320">
        <v>2.1999999999999999E-2</v>
      </c>
      <c r="G64" s="320">
        <f>F64*G62</f>
        <v>1.0999999999999999</v>
      </c>
      <c r="H64" s="322"/>
      <c r="I64" s="322"/>
      <c r="J64" s="322"/>
      <c r="K64" s="322"/>
      <c r="L64" s="322"/>
      <c r="M64" s="322"/>
      <c r="N64" s="322"/>
      <c r="O64" s="115"/>
      <c r="P64" s="115"/>
      <c r="Q64" s="115"/>
    </row>
    <row r="65" spans="2:17" s="116" customFormat="1">
      <c r="B65" s="363"/>
      <c r="C65" s="354"/>
      <c r="D65" s="71" t="s">
        <v>613</v>
      </c>
      <c r="E65" s="81" t="s">
        <v>26</v>
      </c>
      <c r="F65" s="123"/>
      <c r="G65" s="315">
        <v>4</v>
      </c>
      <c r="H65" s="322"/>
      <c r="I65" s="322"/>
      <c r="J65" s="322"/>
      <c r="K65" s="322"/>
      <c r="L65" s="322"/>
      <c r="M65" s="322"/>
      <c r="N65" s="322"/>
      <c r="O65" s="115"/>
      <c r="P65" s="115"/>
      <c r="Q65" s="115"/>
    </row>
    <row r="66" spans="2:17" s="116" customFormat="1">
      <c r="B66" s="363"/>
      <c r="C66" s="354"/>
      <c r="D66" s="71" t="s">
        <v>311</v>
      </c>
      <c r="E66" s="81" t="s">
        <v>26</v>
      </c>
      <c r="F66" s="123"/>
      <c r="G66" s="315">
        <v>50</v>
      </c>
      <c r="H66" s="322"/>
      <c r="I66" s="322"/>
      <c r="J66" s="322"/>
      <c r="K66" s="322"/>
      <c r="L66" s="322"/>
      <c r="M66" s="322"/>
      <c r="N66" s="322"/>
      <c r="O66" s="115"/>
      <c r="P66" s="115"/>
      <c r="Q66" s="115"/>
    </row>
    <row r="67" spans="2:17" s="116" customFormat="1" ht="25.5">
      <c r="B67" s="347">
        <v>12</v>
      </c>
      <c r="C67" s="353" t="s">
        <v>249</v>
      </c>
      <c r="D67" s="124" t="s">
        <v>255</v>
      </c>
      <c r="E67" s="332" t="s">
        <v>99</v>
      </c>
      <c r="F67" s="322"/>
      <c r="G67" s="330">
        <f>G72+G73+G74+G75+G76+G77+G78</f>
        <v>103</v>
      </c>
      <c r="H67" s="225"/>
      <c r="I67" s="322"/>
      <c r="J67" s="225"/>
      <c r="K67" s="322"/>
      <c r="L67" s="225"/>
      <c r="M67" s="322"/>
      <c r="N67" s="322"/>
      <c r="O67" s="115"/>
      <c r="P67" s="115"/>
      <c r="Q67" s="115"/>
    </row>
    <row r="68" spans="2:17" s="116" customFormat="1">
      <c r="B68" s="348"/>
      <c r="C68" s="354"/>
      <c r="D68" s="38" t="s">
        <v>90</v>
      </c>
      <c r="E68" s="322" t="s">
        <v>10</v>
      </c>
      <c r="F68" s="322">
        <v>1.82</v>
      </c>
      <c r="G68" s="322">
        <f t="shared" ref="G68" si="3">F68*G67</f>
        <v>187.46</v>
      </c>
      <c r="H68" s="225"/>
      <c r="I68" s="322"/>
      <c r="J68" s="225"/>
      <c r="K68" s="322"/>
      <c r="L68" s="225"/>
      <c r="M68" s="322"/>
      <c r="N68" s="322"/>
      <c r="O68" s="115"/>
      <c r="P68" s="115"/>
      <c r="Q68" s="115"/>
    </row>
    <row r="69" spans="2:17" s="116" customFormat="1" ht="25.5">
      <c r="B69" s="348"/>
      <c r="C69" s="354"/>
      <c r="D69" s="125" t="s">
        <v>314</v>
      </c>
      <c r="E69" s="322" t="s">
        <v>99</v>
      </c>
      <c r="F69" s="322"/>
      <c r="G69" s="322">
        <v>168</v>
      </c>
      <c r="H69" s="225"/>
      <c r="I69" s="322"/>
      <c r="J69" s="225"/>
      <c r="K69" s="322"/>
      <c r="L69" s="225"/>
      <c r="M69" s="322"/>
      <c r="N69" s="322"/>
      <c r="O69" s="115"/>
      <c r="P69" s="115"/>
      <c r="Q69" s="115"/>
    </row>
    <row r="70" spans="2:17" s="116" customFormat="1" ht="25.5">
      <c r="B70" s="348"/>
      <c r="C70" s="354"/>
      <c r="D70" s="125" t="s">
        <v>312</v>
      </c>
      <c r="E70" s="322" t="s">
        <v>99</v>
      </c>
      <c r="F70" s="322"/>
      <c r="G70" s="322">
        <v>24</v>
      </c>
      <c r="H70" s="225"/>
      <c r="I70" s="322"/>
      <c r="J70" s="225"/>
      <c r="K70" s="322"/>
      <c r="L70" s="225"/>
      <c r="M70" s="322"/>
      <c r="N70" s="322"/>
      <c r="O70" s="115"/>
      <c r="P70" s="115"/>
      <c r="Q70" s="115"/>
    </row>
    <row r="71" spans="2:17" s="116" customFormat="1" ht="25.5">
      <c r="B71" s="348"/>
      <c r="C71" s="354"/>
      <c r="D71" s="125" t="s">
        <v>313</v>
      </c>
      <c r="E71" s="322" t="s">
        <v>99</v>
      </c>
      <c r="F71" s="322"/>
      <c r="G71" s="322">
        <v>50</v>
      </c>
      <c r="H71" s="225"/>
      <c r="I71" s="322"/>
      <c r="J71" s="225"/>
      <c r="K71" s="322"/>
      <c r="L71" s="225"/>
      <c r="M71" s="322"/>
      <c r="N71" s="322"/>
      <c r="O71" s="115"/>
      <c r="P71" s="115"/>
      <c r="Q71" s="115"/>
    </row>
    <row r="72" spans="2:17" s="116" customFormat="1" ht="25.5">
      <c r="B72" s="348"/>
      <c r="C72" s="354"/>
      <c r="D72" s="125" t="s">
        <v>608</v>
      </c>
      <c r="E72" s="322" t="s">
        <v>99</v>
      </c>
      <c r="F72" s="322"/>
      <c r="G72" s="322">
        <v>10</v>
      </c>
      <c r="H72" s="225"/>
      <c r="I72" s="322"/>
      <c r="J72" s="225"/>
      <c r="K72" s="322"/>
      <c r="L72" s="225"/>
      <c r="M72" s="322"/>
      <c r="N72" s="322"/>
      <c r="O72" s="115"/>
      <c r="P72" s="115"/>
      <c r="Q72" s="115"/>
    </row>
    <row r="73" spans="2:17" s="116" customFormat="1" ht="25.5">
      <c r="B73" s="348"/>
      <c r="C73" s="354"/>
      <c r="D73" s="125" t="s">
        <v>562</v>
      </c>
      <c r="E73" s="322" t="s">
        <v>99</v>
      </c>
      <c r="F73" s="322"/>
      <c r="G73" s="322">
        <v>24</v>
      </c>
      <c r="H73" s="225"/>
      <c r="I73" s="322"/>
      <c r="J73" s="225"/>
      <c r="K73" s="322"/>
      <c r="L73" s="225"/>
      <c r="M73" s="322"/>
      <c r="N73" s="322"/>
      <c r="O73" s="115"/>
      <c r="P73" s="115"/>
      <c r="Q73" s="115"/>
    </row>
    <row r="74" spans="2:17" s="116" customFormat="1" ht="25.5">
      <c r="B74" s="348"/>
      <c r="C74" s="354"/>
      <c r="D74" s="125" t="s">
        <v>609</v>
      </c>
      <c r="E74" s="322" t="s">
        <v>99</v>
      </c>
      <c r="F74" s="322"/>
      <c r="G74" s="322">
        <v>9</v>
      </c>
      <c r="H74" s="225"/>
      <c r="I74" s="322"/>
      <c r="J74" s="225"/>
      <c r="K74" s="322"/>
      <c r="L74" s="225"/>
      <c r="M74" s="322"/>
      <c r="N74" s="322"/>
      <c r="O74" s="115"/>
      <c r="P74" s="115"/>
      <c r="Q74" s="115"/>
    </row>
    <row r="75" spans="2:17" s="116" customFormat="1" ht="25.5">
      <c r="B75" s="348"/>
      <c r="C75" s="354"/>
      <c r="D75" s="125" t="s">
        <v>610</v>
      </c>
      <c r="E75" s="322" t="s">
        <v>99</v>
      </c>
      <c r="F75" s="322"/>
      <c r="G75" s="322">
        <v>23</v>
      </c>
      <c r="H75" s="225"/>
      <c r="I75" s="322"/>
      <c r="J75" s="225"/>
      <c r="K75" s="322"/>
      <c r="L75" s="225"/>
      <c r="M75" s="322"/>
      <c r="N75" s="322"/>
      <c r="O75" s="115"/>
      <c r="P75" s="115"/>
      <c r="Q75" s="115"/>
    </row>
    <row r="76" spans="2:17" s="116" customFormat="1" ht="25.5">
      <c r="B76" s="348"/>
      <c r="C76" s="354"/>
      <c r="D76" s="125" t="s">
        <v>611</v>
      </c>
      <c r="E76" s="322" t="s">
        <v>99</v>
      </c>
      <c r="F76" s="322"/>
      <c r="G76" s="322">
        <v>6</v>
      </c>
      <c r="H76" s="225"/>
      <c r="I76" s="322"/>
      <c r="J76" s="225"/>
      <c r="K76" s="322"/>
      <c r="L76" s="225"/>
      <c r="M76" s="322"/>
      <c r="N76" s="322"/>
      <c r="O76" s="115"/>
      <c r="P76" s="115"/>
      <c r="Q76" s="115"/>
    </row>
    <row r="77" spans="2:17" s="116" customFormat="1">
      <c r="B77" s="348"/>
      <c r="C77" s="354"/>
      <c r="D77" s="125" t="s">
        <v>612</v>
      </c>
      <c r="E77" s="322" t="s">
        <v>26</v>
      </c>
      <c r="F77" s="322"/>
      <c r="G77" s="322">
        <v>8</v>
      </c>
      <c r="H77" s="225"/>
      <c r="I77" s="322"/>
      <c r="J77" s="225"/>
      <c r="K77" s="322"/>
      <c r="L77" s="225"/>
      <c r="M77" s="322"/>
      <c r="N77" s="322"/>
      <c r="O77" s="115"/>
      <c r="P77" s="115"/>
      <c r="Q77" s="115"/>
    </row>
    <row r="78" spans="2:17" s="116" customFormat="1" ht="25.5">
      <c r="B78" s="349"/>
      <c r="C78" s="355"/>
      <c r="D78" s="125" t="s">
        <v>315</v>
      </c>
      <c r="E78" s="322" t="s">
        <v>99</v>
      </c>
      <c r="F78" s="322"/>
      <c r="G78" s="322">
        <v>23</v>
      </c>
      <c r="H78" s="225"/>
      <c r="I78" s="322"/>
      <c r="J78" s="225"/>
      <c r="K78" s="322"/>
      <c r="L78" s="225"/>
      <c r="M78" s="322"/>
      <c r="N78" s="322"/>
      <c r="O78" s="115"/>
      <c r="P78" s="115"/>
      <c r="Q78" s="115"/>
    </row>
    <row r="79" spans="2:17" s="116" customFormat="1">
      <c r="B79" s="387">
        <v>13</v>
      </c>
      <c r="C79" s="353" t="s">
        <v>316</v>
      </c>
      <c r="D79" s="66" t="s">
        <v>317</v>
      </c>
      <c r="E79" s="57" t="s">
        <v>99</v>
      </c>
      <c r="F79" s="57"/>
      <c r="G79" s="84">
        <v>2</v>
      </c>
      <c r="H79" s="126"/>
      <c r="I79" s="322"/>
      <c r="J79" s="126"/>
      <c r="K79" s="322"/>
      <c r="L79" s="127"/>
      <c r="M79" s="322"/>
      <c r="N79" s="322"/>
      <c r="O79" s="115"/>
      <c r="P79" s="115"/>
      <c r="Q79" s="115"/>
    </row>
    <row r="80" spans="2:17" s="116" customFormat="1">
      <c r="B80" s="387"/>
      <c r="C80" s="354"/>
      <c r="D80" s="38" t="s">
        <v>8</v>
      </c>
      <c r="E80" s="320" t="s">
        <v>229</v>
      </c>
      <c r="F80" s="333">
        <f>225/100</f>
        <v>2.25</v>
      </c>
      <c r="G80" s="315">
        <f>F80*G79</f>
        <v>4.5</v>
      </c>
      <c r="H80" s="126"/>
      <c r="I80" s="322"/>
      <c r="J80" s="126"/>
      <c r="K80" s="322"/>
      <c r="L80" s="127"/>
      <c r="M80" s="322"/>
      <c r="N80" s="322"/>
      <c r="O80" s="115"/>
      <c r="P80" s="115"/>
      <c r="Q80" s="115"/>
    </row>
    <row r="81" spans="2:17" s="116" customFormat="1">
      <c r="B81" s="387"/>
      <c r="C81" s="354"/>
      <c r="D81" s="38" t="s">
        <v>17</v>
      </c>
      <c r="E81" s="320" t="s">
        <v>11</v>
      </c>
      <c r="F81" s="333">
        <f>86/100</f>
        <v>0.86</v>
      </c>
      <c r="G81" s="315">
        <f>F81*G79</f>
        <v>1.72</v>
      </c>
      <c r="H81" s="126"/>
      <c r="I81" s="322"/>
      <c r="J81" s="126"/>
      <c r="K81" s="322"/>
      <c r="L81" s="127"/>
      <c r="M81" s="322"/>
      <c r="N81" s="322"/>
      <c r="O81" s="115"/>
      <c r="P81" s="115"/>
      <c r="Q81" s="115"/>
    </row>
    <row r="82" spans="2:17" s="116" customFormat="1" ht="25.5">
      <c r="B82" s="387"/>
      <c r="C82" s="354"/>
      <c r="D82" s="46" t="s">
        <v>333</v>
      </c>
      <c r="E82" s="123" t="s">
        <v>318</v>
      </c>
      <c r="F82" s="123"/>
      <c r="G82" s="229">
        <f>G79</f>
        <v>2</v>
      </c>
      <c r="H82" s="126"/>
      <c r="I82" s="322"/>
      <c r="J82" s="126"/>
      <c r="K82" s="322"/>
      <c r="L82" s="127"/>
      <c r="M82" s="322"/>
      <c r="N82" s="322"/>
      <c r="O82" s="115"/>
      <c r="P82" s="115"/>
      <c r="Q82" s="115"/>
    </row>
    <row r="83" spans="2:17" s="116" customFormat="1">
      <c r="B83" s="387"/>
      <c r="C83" s="355"/>
      <c r="D83" s="38" t="s">
        <v>13</v>
      </c>
      <c r="E83" s="320" t="s">
        <v>11</v>
      </c>
      <c r="F83" s="333">
        <f>210/100</f>
        <v>2.1</v>
      </c>
      <c r="G83" s="315">
        <f>F83*G79</f>
        <v>4.2</v>
      </c>
      <c r="H83" s="126"/>
      <c r="I83" s="322"/>
      <c r="J83" s="126"/>
      <c r="K83" s="322"/>
      <c r="L83" s="127"/>
      <c r="M83" s="322"/>
      <c r="N83" s="322"/>
      <c r="O83" s="115"/>
      <c r="P83" s="115"/>
      <c r="Q83" s="115"/>
    </row>
    <row r="84" spans="2:17" s="116" customFormat="1">
      <c r="B84" s="71"/>
      <c r="C84" s="352" t="s">
        <v>6</v>
      </c>
      <c r="D84" s="352"/>
      <c r="E84" s="322"/>
      <c r="F84" s="322"/>
      <c r="G84" s="322"/>
      <c r="H84" s="322"/>
      <c r="I84" s="44"/>
      <c r="J84" s="44"/>
      <c r="K84" s="44"/>
      <c r="L84" s="44"/>
      <c r="M84" s="44"/>
      <c r="N84" s="44"/>
      <c r="O84" s="115"/>
      <c r="P84" s="115"/>
      <c r="Q84" s="115"/>
    </row>
    <row r="85" spans="2:17" s="116" customFormat="1">
      <c r="B85" s="322"/>
      <c r="C85" s="352" t="s">
        <v>268</v>
      </c>
      <c r="D85" s="352"/>
      <c r="E85" s="332"/>
      <c r="F85" s="322"/>
      <c r="G85" s="322"/>
      <c r="H85" s="322"/>
      <c r="I85" s="214"/>
      <c r="J85" s="36"/>
      <c r="K85" s="36"/>
      <c r="L85" s="36"/>
      <c r="M85" s="36"/>
      <c r="N85" s="36"/>
      <c r="O85" s="115"/>
      <c r="P85" s="115"/>
      <c r="Q85" s="115"/>
    </row>
    <row r="86" spans="2:17" s="116" customFormat="1">
      <c r="B86" s="322"/>
      <c r="C86" s="350" t="s">
        <v>6</v>
      </c>
      <c r="D86" s="351"/>
      <c r="E86" s="332"/>
      <c r="F86" s="322"/>
      <c r="G86" s="322"/>
      <c r="H86" s="322"/>
      <c r="I86" s="36"/>
      <c r="J86" s="36"/>
      <c r="K86" s="36"/>
      <c r="L86" s="36"/>
      <c r="M86" s="36"/>
      <c r="N86" s="44"/>
      <c r="O86" s="115"/>
      <c r="P86" s="115"/>
      <c r="Q86" s="115"/>
    </row>
    <row r="87" spans="2:17" s="116" customFormat="1">
      <c r="B87" s="322"/>
      <c r="C87" s="350" t="s">
        <v>334</v>
      </c>
      <c r="D87" s="389"/>
      <c r="E87" s="213"/>
      <c r="F87" s="323"/>
      <c r="G87" s="323"/>
      <c r="H87" s="323"/>
      <c r="I87" s="215"/>
      <c r="J87" s="216"/>
      <c r="K87" s="65"/>
      <c r="L87" s="65"/>
      <c r="M87" s="65"/>
      <c r="N87" s="65"/>
      <c r="O87" s="115"/>
      <c r="P87" s="115"/>
      <c r="Q87" s="115"/>
    </row>
    <row r="88" spans="2:17" s="116" customFormat="1">
      <c r="B88" s="322"/>
      <c r="C88" s="390" t="s">
        <v>577</v>
      </c>
      <c r="D88" s="391"/>
      <c r="E88" s="61"/>
      <c r="F88" s="323"/>
      <c r="G88" s="323"/>
      <c r="H88" s="323"/>
      <c r="I88" s="63"/>
      <c r="J88" s="217"/>
      <c r="K88" s="65"/>
      <c r="L88" s="65"/>
      <c r="M88" s="65"/>
      <c r="N88" s="65"/>
      <c r="O88" s="115"/>
      <c r="P88" s="115"/>
      <c r="Q88" s="115"/>
    </row>
    <row r="89" spans="2:17" s="116" customFormat="1">
      <c r="B89" s="322"/>
      <c r="C89" s="390" t="s">
        <v>576</v>
      </c>
      <c r="D89" s="391"/>
      <c r="E89" s="61"/>
      <c r="F89" s="323"/>
      <c r="G89" s="323"/>
      <c r="H89" s="323"/>
      <c r="I89" s="63"/>
      <c r="J89" s="217"/>
      <c r="K89" s="65"/>
      <c r="L89" s="65"/>
      <c r="M89" s="65"/>
      <c r="N89" s="65"/>
      <c r="O89" s="115"/>
      <c r="P89" s="115"/>
      <c r="Q89" s="115"/>
    </row>
    <row r="90" spans="2:17" s="116" customFormat="1">
      <c r="B90" s="129"/>
      <c r="C90" s="352" t="s">
        <v>528</v>
      </c>
      <c r="D90" s="352"/>
      <c r="E90" s="332"/>
      <c r="F90" s="322"/>
      <c r="G90" s="322"/>
      <c r="H90" s="322"/>
      <c r="I90" s="36"/>
      <c r="J90" s="36"/>
      <c r="K90" s="218"/>
      <c r="L90" s="36"/>
      <c r="M90" s="36"/>
      <c r="N90" s="36"/>
      <c r="O90" s="115"/>
      <c r="P90" s="115"/>
      <c r="Q90" s="115"/>
    </row>
    <row r="91" spans="2:17" s="116" customFormat="1">
      <c r="B91" s="129"/>
      <c r="C91" s="352" t="s">
        <v>537</v>
      </c>
      <c r="D91" s="352"/>
      <c r="E91" s="332"/>
      <c r="F91" s="322"/>
      <c r="G91" s="322"/>
      <c r="H91" s="322"/>
      <c r="I91" s="36"/>
      <c r="J91" s="36"/>
      <c r="K91" s="218"/>
      <c r="L91" s="36"/>
      <c r="M91" s="36"/>
      <c r="N91" s="36"/>
      <c r="O91" s="115"/>
      <c r="P91" s="115"/>
      <c r="Q91" s="115"/>
    </row>
    <row r="92" spans="2:17" s="116" customFormat="1">
      <c r="B92" s="129"/>
      <c r="C92" s="352" t="s">
        <v>6</v>
      </c>
      <c r="D92" s="352"/>
      <c r="E92" s="332"/>
      <c r="F92" s="322"/>
      <c r="G92" s="322"/>
      <c r="H92" s="322"/>
      <c r="I92" s="36"/>
      <c r="J92" s="36"/>
      <c r="K92" s="36"/>
      <c r="L92" s="36"/>
      <c r="M92" s="36"/>
      <c r="N92" s="44"/>
      <c r="O92" s="115"/>
      <c r="P92" s="115"/>
      <c r="Q92" s="115"/>
    </row>
    <row r="93" spans="2:17" s="116" customFormat="1">
      <c r="B93" s="129"/>
      <c r="C93" s="352" t="s">
        <v>19</v>
      </c>
      <c r="D93" s="352"/>
      <c r="E93" s="332"/>
      <c r="F93" s="322"/>
      <c r="G93" s="322"/>
      <c r="H93" s="322"/>
      <c r="I93" s="36"/>
      <c r="J93" s="36"/>
      <c r="K93" s="36"/>
      <c r="L93" s="36"/>
      <c r="M93" s="36"/>
      <c r="N93" s="36"/>
      <c r="O93" s="115"/>
      <c r="P93" s="115"/>
      <c r="Q93" s="115"/>
    </row>
    <row r="94" spans="2:17" s="116" customFormat="1">
      <c r="B94" s="102"/>
      <c r="C94" s="368" t="s">
        <v>6</v>
      </c>
      <c r="D94" s="369"/>
      <c r="E94" s="332"/>
      <c r="F94" s="103"/>
      <c r="G94" s="102"/>
      <c r="H94" s="102"/>
      <c r="I94" s="36"/>
      <c r="J94" s="36"/>
      <c r="K94" s="36"/>
      <c r="L94" s="36"/>
      <c r="M94" s="36"/>
      <c r="N94" s="44"/>
      <c r="O94" s="115"/>
      <c r="P94" s="115"/>
      <c r="Q94" s="115"/>
    </row>
    <row r="95" spans="2:17" s="116" customFormat="1">
      <c r="B95" s="128"/>
      <c r="C95" s="108"/>
      <c r="D95" s="12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15"/>
      <c r="P95" s="115"/>
      <c r="Q95" s="115"/>
    </row>
    <row r="96" spans="2:17" s="130" customFormat="1" ht="15.75">
      <c r="B96" s="112"/>
      <c r="C96" s="326"/>
      <c r="D96" s="106"/>
      <c r="E96" s="106"/>
      <c r="F96" s="326"/>
      <c r="G96" s="326"/>
      <c r="H96" s="381"/>
      <c r="I96" s="381"/>
      <c r="J96" s="326"/>
      <c r="K96" s="326"/>
      <c r="L96" s="326"/>
      <c r="M96" s="326"/>
      <c r="N96" s="326"/>
      <c r="O96" s="131"/>
      <c r="P96" s="326"/>
      <c r="Q96" s="326"/>
    </row>
    <row r="97" spans="2:17" s="130" customFormat="1" ht="15.75">
      <c r="B97" s="326"/>
      <c r="C97" s="326"/>
      <c r="D97" s="132"/>
      <c r="E97" s="132"/>
      <c r="F97" s="112"/>
      <c r="G97" s="326"/>
      <c r="H97" s="326"/>
      <c r="I97" s="326"/>
      <c r="J97" s="326"/>
      <c r="K97" s="326"/>
      <c r="L97" s="326"/>
      <c r="M97" s="326"/>
      <c r="N97" s="326"/>
      <c r="O97" s="326"/>
      <c r="P97" s="326"/>
      <c r="Q97" s="326"/>
    </row>
    <row r="98" spans="2:17" s="130" customFormat="1" ht="15.75">
      <c r="B98" s="326"/>
      <c r="C98" s="382"/>
      <c r="D98" s="382"/>
      <c r="E98" s="382"/>
      <c r="F98" s="382"/>
      <c r="G98" s="326"/>
      <c r="H98" s="326"/>
      <c r="I98" s="326"/>
      <c r="J98" s="326"/>
      <c r="K98" s="326"/>
      <c r="L98" s="326"/>
      <c r="M98" s="326"/>
      <c r="N98" s="326"/>
      <c r="O98" s="326"/>
      <c r="P98" s="326"/>
      <c r="Q98" s="326"/>
    </row>
  </sheetData>
  <mergeCells count="50">
    <mergeCell ref="H96:I96"/>
    <mergeCell ref="C98:F98"/>
    <mergeCell ref="C85:D85"/>
    <mergeCell ref="C93:D93"/>
    <mergeCell ref="C92:D92"/>
    <mergeCell ref="C94:D94"/>
    <mergeCell ref="C86:D86"/>
    <mergeCell ref="C91:D91"/>
    <mergeCell ref="C90:D90"/>
    <mergeCell ref="C87:D87"/>
    <mergeCell ref="C88:D88"/>
    <mergeCell ref="C89:D89"/>
    <mergeCell ref="C9:C14"/>
    <mergeCell ref="B9:B14"/>
    <mergeCell ref="C58:C61"/>
    <mergeCell ref="C29:C40"/>
    <mergeCell ref="B29:B40"/>
    <mergeCell ref="C15:C18"/>
    <mergeCell ref="B15:B18"/>
    <mergeCell ref="B51:B57"/>
    <mergeCell ref="B41:B50"/>
    <mergeCell ref="C41:C50"/>
    <mergeCell ref="B58:B61"/>
    <mergeCell ref="C84:D84"/>
    <mergeCell ref="C19:C24"/>
    <mergeCell ref="B19:B24"/>
    <mergeCell ref="B25:B28"/>
    <mergeCell ref="B62:B66"/>
    <mergeCell ref="C62:C66"/>
    <mergeCell ref="B79:B83"/>
    <mergeCell ref="C79:C83"/>
    <mergeCell ref="C67:C78"/>
    <mergeCell ref="B67:B78"/>
    <mergeCell ref="C25:C28"/>
    <mergeCell ref="C51:C57"/>
    <mergeCell ref="B1:N1"/>
    <mergeCell ref="B3:N3"/>
    <mergeCell ref="B4:N4"/>
    <mergeCell ref="B6:B7"/>
    <mergeCell ref="C6:C7"/>
    <mergeCell ref="D6:D7"/>
    <mergeCell ref="E6:E7"/>
    <mergeCell ref="F6:F7"/>
    <mergeCell ref="G6:G7"/>
    <mergeCell ref="H6:I6"/>
    <mergeCell ref="J6:K6"/>
    <mergeCell ref="L6:M6"/>
    <mergeCell ref="N6:N7"/>
    <mergeCell ref="B5:G5"/>
    <mergeCell ref="H5:L5"/>
  </mergeCells>
  <pageMargins left="0.59055118110236227" right="0.19685039370078741" top="0.27559055118110237" bottom="0.23622047244094491" header="0.19685039370078741" footer="0.19685039370078741"/>
  <pageSetup paperSize="9" orientation="landscape" r:id="rId1"/>
  <headerFooter>
    <oddHeader>&amp;R&amp;P--&amp;N]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4"/>
  <sheetViews>
    <sheetView view="pageBreakPreview" topLeftCell="A112" zoomScale="148" zoomScaleNormal="140" zoomScaleSheetLayoutView="148" workbookViewId="0">
      <selection activeCell="F127" sqref="F127"/>
    </sheetView>
  </sheetViews>
  <sheetFormatPr defaultColWidth="8.85546875" defaultRowHeight="15"/>
  <cols>
    <col min="1" max="1" width="4.140625" style="309" customWidth="1"/>
    <col min="2" max="2" width="6.5703125" style="310" customWidth="1"/>
    <col min="3" max="3" width="50.7109375" style="309" customWidth="1"/>
    <col min="4" max="4" width="6.140625" style="311" customWidth="1"/>
    <col min="5" max="5" width="6.7109375" style="312" customWidth="1"/>
    <col min="6" max="6" width="7.7109375" style="312" customWidth="1"/>
    <col min="7" max="7" width="6.5703125" style="312" customWidth="1"/>
    <col min="8" max="8" width="8.42578125" style="312" customWidth="1"/>
    <col min="9" max="9" width="6.28515625" style="312" customWidth="1"/>
    <col min="10" max="10" width="9.140625" style="312" customWidth="1"/>
    <col min="11" max="11" width="5.5703125" style="312" customWidth="1"/>
    <col min="12" max="12" width="7.42578125" style="312" customWidth="1"/>
    <col min="13" max="13" width="9.85546875" style="312" customWidth="1"/>
    <col min="14" max="16384" width="8.85546875" style="134"/>
  </cols>
  <sheetData>
    <row r="1" spans="1:13" s="10" customFormat="1" ht="15.75">
      <c r="A1" s="345" t="s">
        <v>620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</row>
    <row r="2" spans="1:13" s="10" customFormat="1" ht="15.75">
      <c r="A2" s="428" t="s">
        <v>298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</row>
    <row r="3" spans="1:13" s="10" customFormat="1" ht="15.75">
      <c r="A3" s="428" t="s">
        <v>469</v>
      </c>
      <c r="B3" s="428"/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428"/>
    </row>
    <row r="4" spans="1:13" s="10" customFormat="1" ht="15.75">
      <c r="A4" s="432"/>
      <c r="B4" s="432"/>
      <c r="C4" s="432"/>
      <c r="D4" s="432"/>
      <c r="E4" s="432"/>
      <c r="F4" s="432"/>
      <c r="G4" s="414" t="s">
        <v>122</v>
      </c>
      <c r="H4" s="414"/>
      <c r="I4" s="414"/>
      <c r="J4" s="414"/>
      <c r="K4" s="414"/>
      <c r="L4" s="231">
        <f>M131</f>
        <v>0</v>
      </c>
      <c r="M4" s="231" t="s">
        <v>22</v>
      </c>
    </row>
    <row r="5" spans="1:13">
      <c r="A5" s="429" t="s">
        <v>0</v>
      </c>
      <c r="B5" s="429" t="s">
        <v>1</v>
      </c>
      <c r="C5" s="405" t="s">
        <v>16</v>
      </c>
      <c r="D5" s="429" t="s">
        <v>2</v>
      </c>
      <c r="E5" s="405" t="s">
        <v>125</v>
      </c>
      <c r="F5" s="405" t="s">
        <v>126</v>
      </c>
      <c r="G5" s="429" t="s">
        <v>3</v>
      </c>
      <c r="H5" s="429"/>
      <c r="I5" s="429" t="s">
        <v>7</v>
      </c>
      <c r="J5" s="429"/>
      <c r="K5" s="429" t="s">
        <v>18</v>
      </c>
      <c r="L5" s="429"/>
      <c r="M5" s="429" t="s">
        <v>6</v>
      </c>
    </row>
    <row r="6" spans="1:13" ht="25.5">
      <c r="A6" s="430"/>
      <c r="B6" s="430"/>
      <c r="C6" s="431"/>
      <c r="D6" s="430"/>
      <c r="E6" s="407"/>
      <c r="F6" s="407"/>
      <c r="G6" s="21" t="s">
        <v>15</v>
      </c>
      <c r="H6" s="21" t="s">
        <v>6</v>
      </c>
      <c r="I6" s="21" t="s">
        <v>15</v>
      </c>
      <c r="J6" s="21" t="s">
        <v>6</v>
      </c>
      <c r="K6" s="21" t="s">
        <v>15</v>
      </c>
      <c r="L6" s="21" t="s">
        <v>6</v>
      </c>
      <c r="M6" s="430"/>
    </row>
    <row r="7" spans="1:13">
      <c r="A7" s="232">
        <v>1</v>
      </c>
      <c r="B7" s="233">
        <v>2</v>
      </c>
      <c r="C7" s="233">
        <v>3</v>
      </c>
      <c r="D7" s="233">
        <v>4</v>
      </c>
      <c r="E7" s="233">
        <v>5</v>
      </c>
      <c r="F7" s="233">
        <v>6</v>
      </c>
      <c r="G7" s="233">
        <v>7</v>
      </c>
      <c r="H7" s="233">
        <v>8</v>
      </c>
      <c r="I7" s="233">
        <v>9</v>
      </c>
      <c r="J7" s="233">
        <v>10</v>
      </c>
      <c r="K7" s="233">
        <v>11</v>
      </c>
      <c r="L7" s="233">
        <v>12</v>
      </c>
      <c r="M7" s="233">
        <v>13</v>
      </c>
    </row>
    <row r="8" spans="1:13" s="230" customFormat="1" ht="51">
      <c r="A8" s="398">
        <v>1</v>
      </c>
      <c r="B8" s="405" t="s">
        <v>256</v>
      </c>
      <c r="C8" s="15" t="s">
        <v>561</v>
      </c>
      <c r="D8" s="25" t="s">
        <v>257</v>
      </c>
      <c r="E8" s="20"/>
      <c r="F8" s="21">
        <v>2</v>
      </c>
      <c r="G8" s="20"/>
      <c r="H8" s="19"/>
      <c r="I8" s="19"/>
      <c r="J8" s="19"/>
      <c r="K8" s="19"/>
      <c r="L8" s="19"/>
      <c r="M8" s="25"/>
    </row>
    <row r="9" spans="1:13">
      <c r="A9" s="399"/>
      <c r="B9" s="406"/>
      <c r="C9" s="234" t="s">
        <v>28</v>
      </c>
      <c r="D9" s="19" t="s">
        <v>208</v>
      </c>
      <c r="E9" s="19">
        <v>88.6</v>
      </c>
      <c r="F9" s="19">
        <f>E9*F8</f>
        <v>177.2</v>
      </c>
      <c r="G9" s="20"/>
      <c r="H9" s="19"/>
      <c r="I9" s="19"/>
      <c r="J9" s="19"/>
      <c r="K9" s="19"/>
      <c r="L9" s="19"/>
      <c r="M9" s="235"/>
    </row>
    <row r="10" spans="1:13">
      <c r="A10" s="399"/>
      <c r="B10" s="406"/>
      <c r="C10" s="234" t="s">
        <v>17</v>
      </c>
      <c r="D10" s="19" t="s">
        <v>210</v>
      </c>
      <c r="E10" s="19">
        <v>14.7</v>
      </c>
      <c r="F10" s="19">
        <f>E10*F8</f>
        <v>29.4</v>
      </c>
      <c r="G10" s="20"/>
      <c r="H10" s="19"/>
      <c r="I10" s="19"/>
      <c r="J10" s="19"/>
      <c r="K10" s="19"/>
      <c r="L10" s="19"/>
      <c r="M10" s="235"/>
    </row>
    <row r="11" spans="1:13" ht="38.25">
      <c r="A11" s="399"/>
      <c r="B11" s="406"/>
      <c r="C11" s="234" t="s">
        <v>560</v>
      </c>
      <c r="D11" s="19" t="s">
        <v>257</v>
      </c>
      <c r="E11" s="20">
        <v>1</v>
      </c>
      <c r="F11" s="20">
        <f>F8*E11</f>
        <v>2</v>
      </c>
      <c r="G11" s="20"/>
      <c r="H11" s="19"/>
      <c r="I11" s="19"/>
      <c r="J11" s="19"/>
      <c r="K11" s="19"/>
      <c r="L11" s="19"/>
      <c r="M11" s="235"/>
    </row>
    <row r="12" spans="1:13">
      <c r="A12" s="399"/>
      <c r="B12" s="406"/>
      <c r="C12" s="234" t="s">
        <v>391</v>
      </c>
      <c r="D12" s="19" t="s">
        <v>615</v>
      </c>
      <c r="E12" s="20">
        <v>1</v>
      </c>
      <c r="F12" s="20">
        <v>2</v>
      </c>
      <c r="G12" s="20"/>
      <c r="H12" s="19"/>
      <c r="I12" s="19"/>
      <c r="J12" s="19"/>
      <c r="K12" s="19"/>
      <c r="L12" s="19"/>
      <c r="M12" s="235"/>
    </row>
    <row r="13" spans="1:13">
      <c r="A13" s="400"/>
      <c r="B13" s="407"/>
      <c r="C13" s="234" t="s">
        <v>13</v>
      </c>
      <c r="D13" s="19" t="s">
        <v>11</v>
      </c>
      <c r="E13" s="19">
        <v>7.92</v>
      </c>
      <c r="F13" s="19">
        <f>F8*E13</f>
        <v>15.84</v>
      </c>
      <c r="G13" s="19"/>
      <c r="H13" s="19"/>
      <c r="I13" s="19"/>
      <c r="J13" s="19"/>
      <c r="K13" s="19"/>
      <c r="L13" s="19"/>
      <c r="M13" s="235"/>
    </row>
    <row r="14" spans="1:13" s="135" customFormat="1">
      <c r="A14" s="398">
        <v>2.1</v>
      </c>
      <c r="B14" s="401" t="s">
        <v>531</v>
      </c>
      <c r="C14" s="15" t="s">
        <v>385</v>
      </c>
      <c r="D14" s="25" t="s">
        <v>23</v>
      </c>
      <c r="E14" s="236"/>
      <c r="F14" s="237">
        <f>F17</f>
        <v>45</v>
      </c>
      <c r="G14" s="21"/>
      <c r="H14" s="25"/>
      <c r="I14" s="25"/>
      <c r="J14" s="25"/>
      <c r="K14" s="25"/>
      <c r="L14" s="25"/>
      <c r="M14" s="238"/>
    </row>
    <row r="15" spans="1:13">
      <c r="A15" s="399"/>
      <c r="B15" s="402"/>
      <c r="C15" s="239" t="s">
        <v>207</v>
      </c>
      <c r="D15" s="19" t="s">
        <v>208</v>
      </c>
      <c r="E15" s="240">
        <v>1.35</v>
      </c>
      <c r="F15" s="240">
        <f>F14*E15</f>
        <v>60.750000000000007</v>
      </c>
      <c r="G15" s="20"/>
      <c r="H15" s="19"/>
      <c r="I15" s="19"/>
      <c r="J15" s="19"/>
      <c r="K15" s="19"/>
      <c r="L15" s="19"/>
      <c r="M15" s="235"/>
    </row>
    <row r="16" spans="1:13">
      <c r="A16" s="399"/>
      <c r="B16" s="402"/>
      <c r="C16" s="239" t="s">
        <v>216</v>
      </c>
      <c r="D16" s="19" t="s">
        <v>210</v>
      </c>
      <c r="E16" s="240">
        <v>3.1399999999999997E-2</v>
      </c>
      <c r="F16" s="240">
        <f>F14*E16</f>
        <v>1.4129999999999998</v>
      </c>
      <c r="G16" s="20"/>
      <c r="H16" s="19"/>
      <c r="I16" s="19"/>
      <c r="J16" s="19"/>
      <c r="K16" s="19"/>
      <c r="L16" s="19"/>
      <c r="M16" s="235"/>
    </row>
    <row r="17" spans="1:13">
      <c r="A17" s="399"/>
      <c r="B17" s="402"/>
      <c r="C17" s="239" t="s">
        <v>549</v>
      </c>
      <c r="D17" s="19" t="s">
        <v>258</v>
      </c>
      <c r="E17" s="240"/>
      <c r="F17" s="240">
        <v>45</v>
      </c>
      <c r="G17" s="20"/>
      <c r="H17" s="19"/>
      <c r="I17" s="19"/>
      <c r="J17" s="19"/>
      <c r="K17" s="19"/>
      <c r="L17" s="19"/>
      <c r="M17" s="235"/>
    </row>
    <row r="18" spans="1:13">
      <c r="A18" s="400"/>
      <c r="B18" s="403"/>
      <c r="C18" s="239" t="s">
        <v>259</v>
      </c>
      <c r="D18" s="19" t="s">
        <v>210</v>
      </c>
      <c r="E18" s="240">
        <v>6.5199999999999994E-2</v>
      </c>
      <c r="F18" s="240">
        <f>F14*E18</f>
        <v>2.9339999999999997</v>
      </c>
      <c r="G18" s="20"/>
      <c r="H18" s="19"/>
      <c r="I18" s="19"/>
      <c r="J18" s="19"/>
      <c r="K18" s="19"/>
      <c r="L18" s="19"/>
      <c r="M18" s="235"/>
    </row>
    <row r="19" spans="1:13" s="135" customFormat="1">
      <c r="A19" s="398">
        <v>2.2000000000000002</v>
      </c>
      <c r="B19" s="401" t="s">
        <v>532</v>
      </c>
      <c r="C19" s="15" t="s">
        <v>385</v>
      </c>
      <c r="D19" s="25" t="s">
        <v>23</v>
      </c>
      <c r="E19" s="236"/>
      <c r="F19" s="237">
        <f>F22</f>
        <v>10</v>
      </c>
      <c r="G19" s="21"/>
      <c r="H19" s="25"/>
      <c r="I19" s="25"/>
      <c r="J19" s="25"/>
      <c r="K19" s="25"/>
      <c r="L19" s="25"/>
      <c r="M19" s="238"/>
    </row>
    <row r="20" spans="1:13">
      <c r="A20" s="399"/>
      <c r="B20" s="402"/>
      <c r="C20" s="239" t="s">
        <v>207</v>
      </c>
      <c r="D20" s="19" t="s">
        <v>208</v>
      </c>
      <c r="E20" s="240">
        <v>1.56</v>
      </c>
      <c r="F20" s="240">
        <f>F19*E20</f>
        <v>15.600000000000001</v>
      </c>
      <c r="G20" s="20"/>
      <c r="H20" s="19"/>
      <c r="I20" s="19"/>
      <c r="J20" s="19"/>
      <c r="K20" s="19"/>
      <c r="L20" s="19"/>
      <c r="M20" s="235"/>
    </row>
    <row r="21" spans="1:13">
      <c r="A21" s="399"/>
      <c r="B21" s="402"/>
      <c r="C21" s="239" t="s">
        <v>216</v>
      </c>
      <c r="D21" s="19" t="s">
        <v>210</v>
      </c>
      <c r="E21" s="240">
        <v>2.1700000000000001E-2</v>
      </c>
      <c r="F21" s="240">
        <f>F19*E21</f>
        <v>0.217</v>
      </c>
      <c r="G21" s="20"/>
      <c r="H21" s="19"/>
      <c r="I21" s="19"/>
      <c r="J21" s="19"/>
      <c r="K21" s="19"/>
      <c r="L21" s="19"/>
      <c r="M21" s="235"/>
    </row>
    <row r="22" spans="1:13">
      <c r="A22" s="399"/>
      <c r="B22" s="402"/>
      <c r="C22" s="239" t="s">
        <v>556</v>
      </c>
      <c r="D22" s="19" t="s">
        <v>258</v>
      </c>
      <c r="E22" s="240"/>
      <c r="F22" s="240">
        <v>10</v>
      </c>
      <c r="G22" s="20"/>
      <c r="H22" s="19"/>
      <c r="I22" s="19"/>
      <c r="J22" s="19"/>
      <c r="K22" s="19"/>
      <c r="L22" s="19"/>
      <c r="M22" s="235"/>
    </row>
    <row r="23" spans="1:13">
      <c r="A23" s="400"/>
      <c r="B23" s="403"/>
      <c r="C23" s="239" t="s">
        <v>259</v>
      </c>
      <c r="D23" s="19" t="s">
        <v>210</v>
      </c>
      <c r="E23" s="240">
        <v>7.0800000000000002E-2</v>
      </c>
      <c r="F23" s="240">
        <f>F19*E23</f>
        <v>0.70799999999999996</v>
      </c>
      <c r="G23" s="20"/>
      <c r="H23" s="19"/>
      <c r="I23" s="19"/>
      <c r="J23" s="19"/>
      <c r="K23" s="19"/>
      <c r="L23" s="19"/>
      <c r="M23" s="235"/>
    </row>
    <row r="24" spans="1:13" s="135" customFormat="1">
      <c r="A24" s="398">
        <v>2.2999999999999998</v>
      </c>
      <c r="B24" s="401" t="s">
        <v>533</v>
      </c>
      <c r="C24" s="15" t="s">
        <v>385</v>
      </c>
      <c r="D24" s="25" t="s">
        <v>23</v>
      </c>
      <c r="E24" s="236"/>
      <c r="F24" s="237">
        <f>F27</f>
        <v>15</v>
      </c>
      <c r="G24" s="21"/>
      <c r="H24" s="25"/>
      <c r="I24" s="25"/>
      <c r="J24" s="25"/>
      <c r="K24" s="25"/>
      <c r="L24" s="25"/>
      <c r="M24" s="238"/>
    </row>
    <row r="25" spans="1:13">
      <c r="A25" s="399"/>
      <c r="B25" s="402"/>
      <c r="C25" s="239" t="s">
        <v>207</v>
      </c>
      <c r="D25" s="19" t="s">
        <v>208</v>
      </c>
      <c r="E25" s="240">
        <v>1.17</v>
      </c>
      <c r="F25" s="240">
        <f>F24*E25</f>
        <v>17.549999999999997</v>
      </c>
      <c r="G25" s="20"/>
      <c r="H25" s="19"/>
      <c r="I25" s="19"/>
      <c r="J25" s="19"/>
      <c r="K25" s="19"/>
      <c r="L25" s="19"/>
      <c r="M25" s="235"/>
    </row>
    <row r="26" spans="1:13">
      <c r="A26" s="399"/>
      <c r="B26" s="402"/>
      <c r="C26" s="239" t="s">
        <v>216</v>
      </c>
      <c r="D26" s="19" t="s">
        <v>210</v>
      </c>
      <c r="E26" s="240">
        <v>1.72E-2</v>
      </c>
      <c r="F26" s="240">
        <f>F24*E26</f>
        <v>0.25800000000000001</v>
      </c>
      <c r="G26" s="20"/>
      <c r="H26" s="19"/>
      <c r="I26" s="19"/>
      <c r="J26" s="19"/>
      <c r="K26" s="19"/>
      <c r="L26" s="19"/>
      <c r="M26" s="235"/>
    </row>
    <row r="27" spans="1:13">
      <c r="A27" s="399"/>
      <c r="B27" s="402"/>
      <c r="C27" s="239" t="s">
        <v>557</v>
      </c>
      <c r="D27" s="19" t="s">
        <v>258</v>
      </c>
      <c r="E27" s="240"/>
      <c r="F27" s="240">
        <v>15</v>
      </c>
      <c r="G27" s="20"/>
      <c r="H27" s="19"/>
      <c r="I27" s="19"/>
      <c r="J27" s="19"/>
      <c r="K27" s="19"/>
      <c r="L27" s="19"/>
      <c r="M27" s="235"/>
    </row>
    <row r="28" spans="1:13">
      <c r="A28" s="400"/>
      <c r="B28" s="403"/>
      <c r="C28" s="239" t="s">
        <v>259</v>
      </c>
      <c r="D28" s="19" t="s">
        <v>210</v>
      </c>
      <c r="E28" s="240">
        <v>3.9300000000000002E-2</v>
      </c>
      <c r="F28" s="240">
        <f>F24*E28</f>
        <v>0.58950000000000002</v>
      </c>
      <c r="G28" s="20"/>
      <c r="H28" s="19"/>
      <c r="I28" s="19"/>
      <c r="J28" s="19"/>
      <c r="K28" s="19"/>
      <c r="L28" s="19"/>
      <c r="M28" s="235"/>
    </row>
    <row r="29" spans="1:13">
      <c r="A29" s="398">
        <v>5</v>
      </c>
      <c r="B29" s="401" t="s">
        <v>580</v>
      </c>
      <c r="C29" s="15" t="s">
        <v>383</v>
      </c>
      <c r="D29" s="25" t="s">
        <v>99</v>
      </c>
      <c r="E29" s="19"/>
      <c r="F29" s="241">
        <f>F32+F33</f>
        <v>64</v>
      </c>
      <c r="G29" s="20"/>
      <c r="H29" s="19"/>
      <c r="I29" s="19"/>
      <c r="J29" s="19"/>
      <c r="K29" s="19"/>
      <c r="L29" s="19"/>
      <c r="M29" s="238"/>
    </row>
    <row r="30" spans="1:13">
      <c r="A30" s="399"/>
      <c r="B30" s="402"/>
      <c r="C30" s="234" t="s">
        <v>207</v>
      </c>
      <c r="D30" s="19" t="s">
        <v>208</v>
      </c>
      <c r="E30" s="19">
        <v>0.31</v>
      </c>
      <c r="F30" s="19">
        <f>F29*E30</f>
        <v>19.84</v>
      </c>
      <c r="G30" s="20"/>
      <c r="H30" s="19"/>
      <c r="I30" s="19"/>
      <c r="J30" s="19"/>
      <c r="K30" s="19"/>
      <c r="L30" s="19"/>
      <c r="M30" s="235"/>
    </row>
    <row r="31" spans="1:13">
      <c r="A31" s="399"/>
      <c r="B31" s="402"/>
      <c r="C31" s="234" t="s">
        <v>216</v>
      </c>
      <c r="D31" s="19" t="s">
        <v>210</v>
      </c>
      <c r="E31" s="19">
        <v>1E-4</v>
      </c>
      <c r="F31" s="19">
        <f>F29*E31</f>
        <v>6.4000000000000003E-3</v>
      </c>
      <c r="G31" s="20"/>
      <c r="H31" s="19"/>
      <c r="I31" s="19"/>
      <c r="J31" s="19"/>
      <c r="K31" s="19"/>
      <c r="L31" s="19"/>
      <c r="M31" s="235"/>
    </row>
    <row r="32" spans="1:13">
      <c r="A32" s="399"/>
      <c r="B32" s="402"/>
      <c r="C32" s="234" t="s">
        <v>260</v>
      </c>
      <c r="D32" s="19" t="s">
        <v>99</v>
      </c>
      <c r="E32" s="19"/>
      <c r="F32" s="19">
        <v>32</v>
      </c>
      <c r="G32" s="20"/>
      <c r="H32" s="19"/>
      <c r="I32" s="19"/>
      <c r="J32" s="19"/>
      <c r="K32" s="19"/>
      <c r="L32" s="19"/>
      <c r="M32" s="235"/>
    </row>
    <row r="33" spans="1:13">
      <c r="A33" s="399"/>
      <c r="B33" s="402"/>
      <c r="C33" s="234" t="s">
        <v>384</v>
      </c>
      <c r="D33" s="19" t="str">
        <f>D32</f>
        <v>cali</v>
      </c>
      <c r="E33" s="19"/>
      <c r="F33" s="19">
        <v>32</v>
      </c>
      <c r="G33" s="20"/>
      <c r="H33" s="19"/>
      <c r="I33" s="19"/>
      <c r="J33" s="19"/>
      <c r="K33" s="19"/>
      <c r="L33" s="19"/>
      <c r="M33" s="235"/>
    </row>
    <row r="34" spans="1:13">
      <c r="A34" s="400"/>
      <c r="B34" s="403"/>
      <c r="C34" s="234" t="s">
        <v>211</v>
      </c>
      <c r="D34" s="19" t="s">
        <v>210</v>
      </c>
      <c r="E34" s="19">
        <v>4.0000000000000002E-4</v>
      </c>
      <c r="F34" s="19">
        <f>F29*E34</f>
        <v>2.5600000000000001E-2</v>
      </c>
      <c r="G34" s="20"/>
      <c r="H34" s="19"/>
      <c r="I34" s="19"/>
      <c r="J34" s="19"/>
      <c r="K34" s="19"/>
      <c r="L34" s="19"/>
      <c r="M34" s="235"/>
    </row>
    <row r="35" spans="1:13">
      <c r="A35" s="398">
        <v>6</v>
      </c>
      <c r="B35" s="408" t="s">
        <v>130</v>
      </c>
      <c r="C35" s="15" t="s">
        <v>261</v>
      </c>
      <c r="D35" s="25" t="s">
        <v>99</v>
      </c>
      <c r="E35" s="19"/>
      <c r="F35" s="25">
        <f>F37+F38+F39+F40+F41+F42+F43+F44+F45</f>
        <v>32</v>
      </c>
      <c r="G35" s="19"/>
      <c r="H35" s="19"/>
      <c r="I35" s="19"/>
      <c r="J35" s="19"/>
      <c r="K35" s="19"/>
      <c r="L35" s="19"/>
      <c r="M35" s="238"/>
    </row>
    <row r="36" spans="1:13">
      <c r="A36" s="399"/>
      <c r="B36" s="409"/>
      <c r="C36" s="242" t="s">
        <v>28</v>
      </c>
      <c r="D36" s="20" t="s">
        <v>10</v>
      </c>
      <c r="E36" s="20">
        <v>0.44</v>
      </c>
      <c r="F36" s="20">
        <f>F35*E36</f>
        <v>14.08</v>
      </c>
      <c r="G36" s="20"/>
      <c r="H36" s="19"/>
      <c r="I36" s="20"/>
      <c r="J36" s="19"/>
      <c r="K36" s="20"/>
      <c r="L36" s="19"/>
      <c r="M36" s="235"/>
    </row>
    <row r="37" spans="1:13">
      <c r="A37" s="399"/>
      <c r="B37" s="409"/>
      <c r="C37" s="243" t="s">
        <v>262</v>
      </c>
      <c r="D37" s="20" t="s">
        <v>129</v>
      </c>
      <c r="E37" s="20"/>
      <c r="F37" s="20">
        <v>8</v>
      </c>
      <c r="G37" s="20"/>
      <c r="H37" s="19"/>
      <c r="I37" s="20"/>
      <c r="J37" s="19"/>
      <c r="K37" s="20"/>
      <c r="L37" s="19"/>
      <c r="M37" s="235"/>
    </row>
    <row r="38" spans="1:13">
      <c r="A38" s="399"/>
      <c r="B38" s="409"/>
      <c r="C38" s="243" t="s">
        <v>381</v>
      </c>
      <c r="D38" s="20" t="s">
        <v>129</v>
      </c>
      <c r="E38" s="20"/>
      <c r="F38" s="20">
        <v>2</v>
      </c>
      <c r="G38" s="20"/>
      <c r="H38" s="19"/>
      <c r="I38" s="20"/>
      <c r="J38" s="19"/>
      <c r="K38" s="20"/>
      <c r="L38" s="19"/>
      <c r="M38" s="235"/>
    </row>
    <row r="39" spans="1:13">
      <c r="A39" s="399"/>
      <c r="B39" s="409"/>
      <c r="C39" s="243" t="s">
        <v>263</v>
      </c>
      <c r="D39" s="20" t="s">
        <v>129</v>
      </c>
      <c r="E39" s="20"/>
      <c r="F39" s="20">
        <v>6</v>
      </c>
      <c r="G39" s="20"/>
      <c r="H39" s="19"/>
      <c r="I39" s="20"/>
      <c r="J39" s="19"/>
      <c r="K39" s="20"/>
      <c r="L39" s="19"/>
      <c r="M39" s="235"/>
    </row>
    <row r="40" spans="1:13">
      <c r="A40" s="399"/>
      <c r="B40" s="409"/>
      <c r="C40" s="243" t="s">
        <v>264</v>
      </c>
      <c r="D40" s="20" t="s">
        <v>129</v>
      </c>
      <c r="E40" s="20"/>
      <c r="F40" s="20">
        <v>3</v>
      </c>
      <c r="G40" s="20"/>
      <c r="H40" s="19"/>
      <c r="I40" s="20"/>
      <c r="J40" s="19"/>
      <c r="K40" s="20"/>
      <c r="L40" s="19"/>
      <c r="M40" s="235"/>
    </row>
    <row r="41" spans="1:13">
      <c r="A41" s="399"/>
      <c r="B41" s="409"/>
      <c r="C41" s="243" t="s">
        <v>382</v>
      </c>
      <c r="D41" s="20" t="s">
        <v>129</v>
      </c>
      <c r="E41" s="20"/>
      <c r="F41" s="20">
        <v>2</v>
      </c>
      <c r="G41" s="20"/>
      <c r="H41" s="19"/>
      <c r="I41" s="20"/>
      <c r="J41" s="19"/>
      <c r="K41" s="20"/>
      <c r="L41" s="19"/>
      <c r="M41" s="235"/>
    </row>
    <row r="42" spans="1:13">
      <c r="A42" s="399"/>
      <c r="B42" s="409"/>
      <c r="C42" s="243" t="s">
        <v>265</v>
      </c>
      <c r="D42" s="20" t="s">
        <v>129</v>
      </c>
      <c r="E42" s="20"/>
      <c r="F42" s="20">
        <v>2</v>
      </c>
      <c r="G42" s="20"/>
      <c r="H42" s="19"/>
      <c r="I42" s="20"/>
      <c r="J42" s="19"/>
      <c r="K42" s="20"/>
      <c r="L42" s="19"/>
      <c r="M42" s="235"/>
    </row>
    <row r="43" spans="1:13">
      <c r="A43" s="399"/>
      <c r="B43" s="409"/>
      <c r="C43" s="243" t="s">
        <v>380</v>
      </c>
      <c r="D43" s="20" t="s">
        <v>129</v>
      </c>
      <c r="E43" s="20"/>
      <c r="F43" s="20">
        <v>2</v>
      </c>
      <c r="G43" s="20"/>
      <c r="H43" s="19"/>
      <c r="I43" s="20"/>
      <c r="J43" s="19"/>
      <c r="K43" s="20"/>
      <c r="L43" s="19"/>
      <c r="M43" s="235"/>
    </row>
    <row r="44" spans="1:13">
      <c r="A44" s="399"/>
      <c r="B44" s="409"/>
      <c r="C44" s="243" t="s">
        <v>378</v>
      </c>
      <c r="D44" s="20" t="s">
        <v>129</v>
      </c>
      <c r="E44" s="20"/>
      <c r="F44" s="20">
        <v>4</v>
      </c>
      <c r="G44" s="20"/>
      <c r="H44" s="19"/>
      <c r="I44" s="20"/>
      <c r="J44" s="19"/>
      <c r="K44" s="20"/>
      <c r="L44" s="19"/>
      <c r="M44" s="235"/>
    </row>
    <row r="45" spans="1:13">
      <c r="A45" s="399"/>
      <c r="B45" s="409"/>
      <c r="C45" s="243" t="s">
        <v>379</v>
      </c>
      <c r="D45" s="20" t="s">
        <v>129</v>
      </c>
      <c r="E45" s="20"/>
      <c r="F45" s="20">
        <v>3</v>
      </c>
      <c r="G45" s="20"/>
      <c r="H45" s="19"/>
      <c r="I45" s="20"/>
      <c r="J45" s="19"/>
      <c r="K45" s="20"/>
      <c r="L45" s="19"/>
      <c r="M45" s="235"/>
    </row>
    <row r="46" spans="1:13">
      <c r="A46" s="399"/>
      <c r="B46" s="409"/>
      <c r="C46" s="242" t="s">
        <v>13</v>
      </c>
      <c r="D46" s="19" t="s">
        <v>11</v>
      </c>
      <c r="E46" s="19">
        <v>0.72</v>
      </c>
      <c r="F46" s="19">
        <f>F35*E46</f>
        <v>23.04</v>
      </c>
      <c r="G46" s="240"/>
      <c r="H46" s="19"/>
      <c r="I46" s="240"/>
      <c r="J46" s="19"/>
      <c r="K46" s="244"/>
      <c r="L46" s="19"/>
      <c r="M46" s="235"/>
    </row>
    <row r="47" spans="1:13">
      <c r="A47" s="392">
        <v>7</v>
      </c>
      <c r="B47" s="423" t="s">
        <v>251</v>
      </c>
      <c r="C47" s="15" t="s">
        <v>388</v>
      </c>
      <c r="D47" s="245" t="s">
        <v>26</v>
      </c>
      <c r="E47" s="246"/>
      <c r="F47" s="247">
        <v>9</v>
      </c>
      <c r="G47" s="248"/>
      <c r="H47" s="25"/>
      <c r="I47" s="248"/>
      <c r="J47" s="25"/>
      <c r="K47" s="248"/>
      <c r="L47" s="25"/>
      <c r="M47" s="238"/>
    </row>
    <row r="48" spans="1:13">
      <c r="A48" s="393"/>
      <c r="B48" s="423"/>
      <c r="C48" s="249" t="s">
        <v>386</v>
      </c>
      <c r="D48" s="250" t="s">
        <v>229</v>
      </c>
      <c r="E48" s="251">
        <v>10.199999999999999</v>
      </c>
      <c r="F48" s="251">
        <f>F47*E48</f>
        <v>91.8</v>
      </c>
      <c r="G48" s="251"/>
      <c r="H48" s="19"/>
      <c r="I48" s="252"/>
      <c r="J48" s="19"/>
      <c r="K48" s="251"/>
      <c r="L48" s="19"/>
      <c r="M48" s="235"/>
    </row>
    <row r="49" spans="1:13">
      <c r="A49" s="393"/>
      <c r="B49" s="423"/>
      <c r="C49" s="234" t="s">
        <v>552</v>
      </c>
      <c r="D49" s="250" t="s">
        <v>26</v>
      </c>
      <c r="E49" s="251"/>
      <c r="F49" s="251">
        <v>8</v>
      </c>
      <c r="G49" s="253"/>
      <c r="H49" s="19"/>
      <c r="I49" s="251"/>
      <c r="J49" s="19"/>
      <c r="K49" s="253"/>
      <c r="L49" s="19"/>
      <c r="M49" s="235"/>
    </row>
    <row r="50" spans="1:13">
      <c r="A50" s="393"/>
      <c r="B50" s="423"/>
      <c r="C50" s="234" t="s">
        <v>538</v>
      </c>
      <c r="D50" s="250" t="s">
        <v>26</v>
      </c>
      <c r="E50" s="251"/>
      <c r="F50" s="251">
        <v>1</v>
      </c>
      <c r="G50" s="253"/>
      <c r="H50" s="19"/>
      <c r="I50" s="251"/>
      <c r="J50" s="19"/>
      <c r="K50" s="253"/>
      <c r="L50" s="19"/>
      <c r="M50" s="235"/>
    </row>
    <row r="51" spans="1:13">
      <c r="A51" s="393"/>
      <c r="B51" s="423"/>
      <c r="C51" s="234" t="s">
        <v>389</v>
      </c>
      <c r="D51" s="250" t="s">
        <v>26</v>
      </c>
      <c r="E51" s="251"/>
      <c r="F51" s="251">
        <v>1</v>
      </c>
      <c r="G51" s="253"/>
      <c r="H51" s="19"/>
      <c r="I51" s="251"/>
      <c r="J51" s="19"/>
      <c r="K51" s="253"/>
      <c r="L51" s="19"/>
      <c r="M51" s="235"/>
    </row>
    <row r="52" spans="1:13">
      <c r="A52" s="393"/>
      <c r="B52" s="423"/>
      <c r="C52" s="234" t="s">
        <v>390</v>
      </c>
      <c r="D52" s="251" t="s">
        <v>21</v>
      </c>
      <c r="E52" s="251"/>
      <c r="F52" s="251">
        <v>6.5</v>
      </c>
      <c r="G52" s="253"/>
      <c r="H52" s="19"/>
      <c r="I52" s="251"/>
      <c r="J52" s="19"/>
      <c r="K52" s="253"/>
      <c r="L52" s="19"/>
      <c r="M52" s="235"/>
    </row>
    <row r="53" spans="1:13">
      <c r="A53" s="393"/>
      <c r="B53" s="423"/>
      <c r="C53" s="234" t="s">
        <v>387</v>
      </c>
      <c r="D53" s="250" t="s">
        <v>23</v>
      </c>
      <c r="E53" s="251"/>
      <c r="F53" s="251">
        <v>6</v>
      </c>
      <c r="G53" s="253"/>
      <c r="H53" s="19"/>
      <c r="I53" s="251"/>
      <c r="J53" s="19"/>
      <c r="K53" s="253"/>
      <c r="L53" s="19"/>
      <c r="M53" s="235"/>
    </row>
    <row r="54" spans="1:13">
      <c r="A54" s="394"/>
      <c r="B54" s="423"/>
      <c r="C54" s="242" t="s">
        <v>211</v>
      </c>
      <c r="D54" s="20" t="s">
        <v>210</v>
      </c>
      <c r="E54" s="251">
        <v>1.1399999999999999</v>
      </c>
      <c r="F54" s="251">
        <f>F47*E54</f>
        <v>10.26</v>
      </c>
      <c r="G54" s="251"/>
      <c r="H54" s="19"/>
      <c r="I54" s="251"/>
      <c r="J54" s="19"/>
      <c r="K54" s="251"/>
      <c r="L54" s="19"/>
      <c r="M54" s="235"/>
    </row>
    <row r="55" spans="1:13" s="230" customFormat="1" ht="25.5">
      <c r="A55" s="392">
        <v>8</v>
      </c>
      <c r="B55" s="395" t="s">
        <v>392</v>
      </c>
      <c r="C55" s="15" t="s">
        <v>393</v>
      </c>
      <c r="D55" s="25" t="s">
        <v>257</v>
      </c>
      <c r="E55" s="254"/>
      <c r="F55" s="255">
        <v>2</v>
      </c>
      <c r="G55" s="21"/>
      <c r="H55" s="25"/>
      <c r="I55" s="25"/>
      <c r="J55" s="25"/>
      <c r="K55" s="25"/>
      <c r="L55" s="25"/>
      <c r="M55" s="238"/>
    </row>
    <row r="56" spans="1:13">
      <c r="A56" s="393"/>
      <c r="B56" s="395"/>
      <c r="C56" s="234" t="s">
        <v>207</v>
      </c>
      <c r="D56" s="19" t="s">
        <v>208</v>
      </c>
      <c r="E56" s="19">
        <v>8.6199999999999992</v>
      </c>
      <c r="F56" s="19">
        <f>E56*F55</f>
        <v>17.239999999999998</v>
      </c>
      <c r="G56" s="20"/>
      <c r="H56" s="19"/>
      <c r="I56" s="19"/>
      <c r="J56" s="19"/>
      <c r="K56" s="19"/>
      <c r="L56" s="19"/>
      <c r="M56" s="235"/>
    </row>
    <row r="57" spans="1:13">
      <c r="A57" s="393"/>
      <c r="B57" s="395"/>
      <c r="C57" s="234" t="s">
        <v>209</v>
      </c>
      <c r="D57" s="19" t="s">
        <v>210</v>
      </c>
      <c r="E57" s="19">
        <v>0.32</v>
      </c>
      <c r="F57" s="19">
        <f>E57*F55</f>
        <v>0.64</v>
      </c>
      <c r="G57" s="20"/>
      <c r="H57" s="19"/>
      <c r="I57" s="19"/>
      <c r="J57" s="19"/>
      <c r="K57" s="19"/>
      <c r="L57" s="19"/>
      <c r="M57" s="235"/>
    </row>
    <row r="58" spans="1:13" ht="25.5">
      <c r="A58" s="393"/>
      <c r="B58" s="395"/>
      <c r="C58" s="234" t="s">
        <v>394</v>
      </c>
      <c r="D58" s="19" t="s">
        <v>257</v>
      </c>
      <c r="E58" s="20">
        <v>1</v>
      </c>
      <c r="F58" s="20">
        <f>F55*E58</f>
        <v>2</v>
      </c>
      <c r="G58" s="20"/>
      <c r="H58" s="19"/>
      <c r="I58" s="19"/>
      <c r="J58" s="19"/>
      <c r="K58" s="19"/>
      <c r="L58" s="19"/>
      <c r="M58" s="235"/>
    </row>
    <row r="59" spans="1:13">
      <c r="A59" s="394"/>
      <c r="B59" s="395"/>
      <c r="C59" s="234" t="s">
        <v>13</v>
      </c>
      <c r="D59" s="19" t="s">
        <v>11</v>
      </c>
      <c r="E59" s="19">
        <v>0.28999999999999998</v>
      </c>
      <c r="F59" s="19">
        <f>F55*E59</f>
        <v>0.57999999999999996</v>
      </c>
      <c r="G59" s="19"/>
      <c r="H59" s="19"/>
      <c r="I59" s="19"/>
      <c r="J59" s="19"/>
      <c r="K59" s="19"/>
      <c r="L59" s="19"/>
      <c r="M59" s="235"/>
    </row>
    <row r="60" spans="1:13" s="230" customFormat="1" ht="25.5">
      <c r="A60" s="392">
        <v>9</v>
      </c>
      <c r="B60" s="421" t="s">
        <v>395</v>
      </c>
      <c r="C60" s="256" t="s">
        <v>616</v>
      </c>
      <c r="D60" s="257" t="s">
        <v>23</v>
      </c>
      <c r="E60" s="257"/>
      <c r="F60" s="258">
        <f>F63+F64</f>
        <v>23</v>
      </c>
      <c r="G60" s="236"/>
      <c r="H60" s="25"/>
      <c r="I60" s="25"/>
      <c r="J60" s="25"/>
      <c r="K60" s="25"/>
      <c r="L60" s="25"/>
      <c r="M60" s="238"/>
    </row>
    <row r="61" spans="1:13">
      <c r="A61" s="393"/>
      <c r="B61" s="421"/>
      <c r="C61" s="259" t="s">
        <v>386</v>
      </c>
      <c r="D61" s="260" t="s">
        <v>229</v>
      </c>
      <c r="E61" s="260">
        <v>0.31</v>
      </c>
      <c r="F61" s="260">
        <f>F60*E61</f>
        <v>7.13</v>
      </c>
      <c r="G61" s="240"/>
      <c r="H61" s="19"/>
      <c r="I61" s="19"/>
      <c r="J61" s="19"/>
      <c r="K61" s="19"/>
      <c r="L61" s="19"/>
      <c r="M61" s="235"/>
    </row>
    <row r="62" spans="1:13">
      <c r="A62" s="393"/>
      <c r="B62" s="421"/>
      <c r="C62" s="234" t="s">
        <v>17</v>
      </c>
      <c r="D62" s="19" t="s">
        <v>11</v>
      </c>
      <c r="E62" s="260">
        <f>22/1000</f>
        <v>2.1999999999999999E-2</v>
      </c>
      <c r="F62" s="260">
        <f>F60*E62</f>
        <v>0.50600000000000001</v>
      </c>
      <c r="G62" s="240"/>
      <c r="H62" s="19"/>
      <c r="I62" s="19"/>
      <c r="J62" s="19"/>
      <c r="K62" s="19"/>
      <c r="L62" s="19"/>
      <c r="M62" s="235"/>
    </row>
    <row r="63" spans="1:13" ht="25.5">
      <c r="A63" s="393"/>
      <c r="B63" s="421"/>
      <c r="C63" s="261" t="s">
        <v>617</v>
      </c>
      <c r="D63" s="262" t="s">
        <v>23</v>
      </c>
      <c r="E63" s="263"/>
      <c r="F63" s="264">
        <v>10</v>
      </c>
      <c r="G63" s="240"/>
      <c r="H63" s="19"/>
      <c r="I63" s="19"/>
      <c r="J63" s="19"/>
      <c r="K63" s="19"/>
      <c r="L63" s="19"/>
      <c r="M63" s="235"/>
    </row>
    <row r="64" spans="1:13">
      <c r="A64" s="393"/>
      <c r="B64" s="421"/>
      <c r="C64" s="261" t="s">
        <v>397</v>
      </c>
      <c r="D64" s="262" t="s">
        <v>23</v>
      </c>
      <c r="E64" s="263"/>
      <c r="F64" s="264">
        <v>13</v>
      </c>
      <c r="G64" s="240"/>
      <c r="H64" s="19"/>
      <c r="I64" s="19"/>
      <c r="J64" s="19"/>
      <c r="K64" s="19"/>
      <c r="L64" s="19"/>
      <c r="M64" s="235"/>
    </row>
    <row r="65" spans="1:13">
      <c r="A65" s="394"/>
      <c r="B65" s="421"/>
      <c r="C65" s="234" t="s">
        <v>13</v>
      </c>
      <c r="D65" s="19" t="s">
        <v>11</v>
      </c>
      <c r="E65" s="260">
        <f>54.8/1000</f>
        <v>5.4799999999999995E-2</v>
      </c>
      <c r="F65" s="260">
        <f>F60*E65</f>
        <v>1.2604</v>
      </c>
      <c r="G65" s="240"/>
      <c r="H65" s="19"/>
      <c r="I65" s="19"/>
      <c r="J65" s="19"/>
      <c r="K65" s="19"/>
      <c r="L65" s="19"/>
      <c r="M65" s="235"/>
    </row>
    <row r="66" spans="1:13" s="230" customFormat="1">
      <c r="A66" s="392">
        <v>10</v>
      </c>
      <c r="B66" s="422" t="s">
        <v>396</v>
      </c>
      <c r="C66" s="256" t="s">
        <v>430</v>
      </c>
      <c r="D66" s="21" t="s">
        <v>217</v>
      </c>
      <c r="E66" s="265"/>
      <c r="F66" s="265">
        <f>0.0025*F69</f>
        <v>3.2500000000000001E-2</v>
      </c>
      <c r="G66" s="21"/>
      <c r="H66" s="25"/>
      <c r="I66" s="25"/>
      <c r="J66" s="25"/>
      <c r="K66" s="25"/>
      <c r="L66" s="25"/>
      <c r="M66" s="238"/>
    </row>
    <row r="67" spans="1:13" ht="24">
      <c r="A67" s="393"/>
      <c r="B67" s="422"/>
      <c r="C67" s="239" t="s">
        <v>207</v>
      </c>
      <c r="D67" s="240" t="s">
        <v>208</v>
      </c>
      <c r="E67" s="240">
        <v>18.600000000000001</v>
      </c>
      <c r="F67" s="240">
        <f>E67*F66</f>
        <v>0.60450000000000004</v>
      </c>
      <c r="G67" s="20"/>
      <c r="H67" s="19"/>
      <c r="I67" s="19"/>
      <c r="J67" s="19"/>
      <c r="K67" s="19"/>
      <c r="L67" s="19"/>
      <c r="M67" s="235"/>
    </row>
    <row r="68" spans="1:13">
      <c r="A68" s="393"/>
      <c r="B68" s="422"/>
      <c r="C68" s="239" t="s">
        <v>209</v>
      </c>
      <c r="D68" s="240" t="s">
        <v>210</v>
      </c>
      <c r="E68" s="240">
        <v>0.38</v>
      </c>
      <c r="F68" s="240">
        <f>E68*F66</f>
        <v>1.235E-2</v>
      </c>
      <c r="G68" s="20"/>
      <c r="H68" s="19"/>
      <c r="I68" s="19"/>
      <c r="J68" s="19"/>
      <c r="K68" s="19"/>
      <c r="L68" s="19"/>
      <c r="M68" s="235"/>
    </row>
    <row r="69" spans="1:13">
      <c r="A69" s="393"/>
      <c r="B69" s="422"/>
      <c r="C69" s="261" t="s">
        <v>494</v>
      </c>
      <c r="D69" s="19" t="s">
        <v>21</v>
      </c>
      <c r="E69" s="20"/>
      <c r="F69" s="20">
        <v>13</v>
      </c>
      <c r="G69" s="266"/>
      <c r="H69" s="19"/>
      <c r="I69" s="19"/>
      <c r="J69" s="19"/>
      <c r="K69" s="19"/>
      <c r="L69" s="19"/>
      <c r="M69" s="235"/>
    </row>
    <row r="70" spans="1:13">
      <c r="A70" s="394"/>
      <c r="B70" s="422"/>
      <c r="C70" s="239" t="s">
        <v>211</v>
      </c>
      <c r="D70" s="240" t="s">
        <v>210</v>
      </c>
      <c r="E70" s="240">
        <v>0.1</v>
      </c>
      <c r="F70" s="240">
        <f>E70*F66</f>
        <v>3.2500000000000003E-3</v>
      </c>
      <c r="G70" s="20"/>
      <c r="H70" s="19"/>
      <c r="I70" s="19"/>
      <c r="J70" s="19"/>
      <c r="K70" s="19"/>
      <c r="L70" s="19"/>
      <c r="M70" s="235"/>
    </row>
    <row r="71" spans="1:13" s="230" customFormat="1" ht="25.5">
      <c r="A71" s="398">
        <v>11</v>
      </c>
      <c r="B71" s="401" t="s">
        <v>269</v>
      </c>
      <c r="C71" s="15" t="s">
        <v>495</v>
      </c>
      <c r="D71" s="25" t="s">
        <v>21</v>
      </c>
      <c r="E71" s="240"/>
      <c r="F71" s="240">
        <f>F74</f>
        <v>17</v>
      </c>
      <c r="G71" s="20"/>
      <c r="H71" s="19"/>
      <c r="I71" s="19"/>
      <c r="J71" s="19"/>
      <c r="K71" s="19"/>
      <c r="L71" s="19"/>
      <c r="M71" s="238"/>
    </row>
    <row r="72" spans="1:13">
      <c r="A72" s="399"/>
      <c r="B72" s="402"/>
      <c r="C72" s="239" t="s">
        <v>207</v>
      </c>
      <c r="D72" s="19" t="s">
        <v>208</v>
      </c>
      <c r="E72" s="240">
        <v>0.6</v>
      </c>
      <c r="F72" s="240">
        <f>F71*E72</f>
        <v>10.199999999999999</v>
      </c>
      <c r="G72" s="20"/>
      <c r="H72" s="19"/>
      <c r="I72" s="19"/>
      <c r="J72" s="19"/>
      <c r="K72" s="19"/>
      <c r="L72" s="19"/>
      <c r="M72" s="235"/>
    </row>
    <row r="73" spans="1:13">
      <c r="A73" s="399"/>
      <c r="B73" s="402"/>
      <c r="C73" s="239" t="s">
        <v>216</v>
      </c>
      <c r="D73" s="19" t="s">
        <v>210</v>
      </c>
      <c r="E73" s="240">
        <f>0.55/100</f>
        <v>5.5000000000000005E-3</v>
      </c>
      <c r="F73" s="240">
        <f>F71*E73</f>
        <v>9.3500000000000014E-2</v>
      </c>
      <c r="G73" s="20"/>
      <c r="H73" s="19"/>
      <c r="I73" s="19"/>
      <c r="J73" s="19"/>
      <c r="K73" s="19"/>
      <c r="L73" s="19"/>
      <c r="M73" s="235"/>
    </row>
    <row r="74" spans="1:13" ht="25.5">
      <c r="A74" s="399"/>
      <c r="B74" s="402"/>
      <c r="C74" s="234" t="s">
        <v>495</v>
      </c>
      <c r="D74" s="19" t="s">
        <v>21</v>
      </c>
      <c r="E74" s="240"/>
      <c r="F74" s="240">
        <v>17</v>
      </c>
      <c r="G74" s="20"/>
      <c r="H74" s="19"/>
      <c r="I74" s="19"/>
      <c r="J74" s="19"/>
      <c r="K74" s="19"/>
      <c r="L74" s="19"/>
      <c r="M74" s="235"/>
    </row>
    <row r="75" spans="1:13">
      <c r="A75" s="400"/>
      <c r="B75" s="403"/>
      <c r="C75" s="239" t="s">
        <v>259</v>
      </c>
      <c r="D75" s="19" t="s">
        <v>210</v>
      </c>
      <c r="E75" s="240">
        <f>8.94/100</f>
        <v>8.9399999999999993E-2</v>
      </c>
      <c r="F75" s="240">
        <f>F71*E75</f>
        <v>1.5197999999999998</v>
      </c>
      <c r="G75" s="20"/>
      <c r="H75" s="19"/>
      <c r="I75" s="19"/>
      <c r="J75" s="19"/>
      <c r="K75" s="19"/>
      <c r="L75" s="19"/>
      <c r="M75" s="235"/>
    </row>
    <row r="76" spans="1:13" s="230" customFormat="1" ht="25.5">
      <c r="A76" s="392">
        <v>12</v>
      </c>
      <c r="B76" s="395" t="s">
        <v>392</v>
      </c>
      <c r="C76" s="15" t="s">
        <v>566</v>
      </c>
      <c r="D76" s="25" t="s">
        <v>257</v>
      </c>
      <c r="E76" s="254"/>
      <c r="F76" s="21">
        <v>1</v>
      </c>
      <c r="G76" s="21"/>
      <c r="H76" s="25"/>
      <c r="I76" s="25"/>
      <c r="J76" s="25"/>
      <c r="K76" s="25"/>
      <c r="L76" s="25"/>
      <c r="M76" s="238"/>
    </row>
    <row r="77" spans="1:13">
      <c r="A77" s="393"/>
      <c r="B77" s="395"/>
      <c r="C77" s="234" t="s">
        <v>207</v>
      </c>
      <c r="D77" s="19" t="s">
        <v>208</v>
      </c>
      <c r="E77" s="19">
        <v>8.6199999999999992</v>
      </c>
      <c r="F77" s="19">
        <f>E77*F76</f>
        <v>8.6199999999999992</v>
      </c>
      <c r="G77" s="20"/>
      <c r="H77" s="19"/>
      <c r="I77" s="19"/>
      <c r="J77" s="19"/>
      <c r="K77" s="19"/>
      <c r="L77" s="19"/>
      <c r="M77" s="235"/>
    </row>
    <row r="78" spans="1:13">
      <c r="A78" s="393"/>
      <c r="B78" s="395"/>
      <c r="C78" s="234" t="s">
        <v>209</v>
      </c>
      <c r="D78" s="19" t="s">
        <v>210</v>
      </c>
      <c r="E78" s="19">
        <v>0.32</v>
      </c>
      <c r="F78" s="19">
        <f>E78*F76</f>
        <v>0.32</v>
      </c>
      <c r="G78" s="20"/>
      <c r="H78" s="19"/>
      <c r="I78" s="19"/>
      <c r="J78" s="19"/>
      <c r="K78" s="19"/>
      <c r="L78" s="19"/>
      <c r="M78" s="235"/>
    </row>
    <row r="79" spans="1:13" ht="25.5">
      <c r="A79" s="393"/>
      <c r="B79" s="395"/>
      <c r="C79" s="234" t="s">
        <v>567</v>
      </c>
      <c r="D79" s="19" t="s">
        <v>257</v>
      </c>
      <c r="E79" s="20"/>
      <c r="F79" s="20">
        <v>1</v>
      </c>
      <c r="G79" s="20"/>
      <c r="H79" s="19"/>
      <c r="I79" s="19"/>
      <c r="J79" s="19"/>
      <c r="K79" s="19"/>
      <c r="L79" s="19"/>
      <c r="M79" s="235"/>
    </row>
    <row r="80" spans="1:13" ht="25.5">
      <c r="A80" s="393"/>
      <c r="B80" s="395"/>
      <c r="C80" s="234" t="s">
        <v>398</v>
      </c>
      <c r="D80" s="19" t="s">
        <v>257</v>
      </c>
      <c r="E80" s="20"/>
      <c r="F80" s="20">
        <v>1</v>
      </c>
      <c r="G80" s="20"/>
      <c r="H80" s="19"/>
      <c r="I80" s="19"/>
      <c r="J80" s="19"/>
      <c r="K80" s="19"/>
      <c r="L80" s="19"/>
      <c r="M80" s="235"/>
    </row>
    <row r="81" spans="1:13">
      <c r="A81" s="394"/>
      <c r="B81" s="395"/>
      <c r="C81" s="234" t="s">
        <v>13</v>
      </c>
      <c r="D81" s="19" t="s">
        <v>11</v>
      </c>
      <c r="E81" s="19">
        <v>0.28999999999999998</v>
      </c>
      <c r="F81" s="19">
        <f>F76*E81</f>
        <v>0.28999999999999998</v>
      </c>
      <c r="G81" s="19"/>
      <c r="H81" s="19"/>
      <c r="I81" s="19"/>
      <c r="J81" s="19"/>
      <c r="K81" s="19"/>
      <c r="L81" s="19"/>
      <c r="M81" s="235"/>
    </row>
    <row r="82" spans="1:13">
      <c r="A82" s="392">
        <v>13</v>
      </c>
      <c r="B82" s="395" t="s">
        <v>401</v>
      </c>
      <c r="C82" s="14" t="s">
        <v>402</v>
      </c>
      <c r="D82" s="21" t="s">
        <v>99</v>
      </c>
      <c r="E82" s="267"/>
      <c r="F82" s="268">
        <v>4</v>
      </c>
      <c r="G82" s="240"/>
      <c r="H82" s="19"/>
      <c r="I82" s="19"/>
      <c r="J82" s="19"/>
      <c r="K82" s="19"/>
      <c r="L82" s="19"/>
      <c r="M82" s="238"/>
    </row>
    <row r="83" spans="1:13">
      <c r="A83" s="393"/>
      <c r="B83" s="395"/>
      <c r="C83" s="242" t="s">
        <v>8</v>
      </c>
      <c r="D83" s="24" t="s">
        <v>229</v>
      </c>
      <c r="E83" s="269">
        <v>0.22</v>
      </c>
      <c r="F83" s="269">
        <f>E83*F82</f>
        <v>0.88</v>
      </c>
      <c r="G83" s="240"/>
      <c r="H83" s="19"/>
      <c r="I83" s="19"/>
      <c r="J83" s="19"/>
      <c r="K83" s="19"/>
      <c r="L83" s="19"/>
      <c r="M83" s="235"/>
    </row>
    <row r="84" spans="1:13">
      <c r="A84" s="393"/>
      <c r="B84" s="395"/>
      <c r="C84" s="270" t="s">
        <v>403</v>
      </c>
      <c r="D84" s="20" t="s">
        <v>99</v>
      </c>
      <c r="E84" s="271">
        <v>1</v>
      </c>
      <c r="F84" s="20">
        <f>F82*E84</f>
        <v>4</v>
      </c>
      <c r="G84" s="240"/>
      <c r="H84" s="19"/>
      <c r="I84" s="19"/>
      <c r="J84" s="19"/>
      <c r="K84" s="19"/>
      <c r="L84" s="19"/>
      <c r="M84" s="235"/>
    </row>
    <row r="85" spans="1:13">
      <c r="A85" s="394"/>
      <c r="B85" s="395"/>
      <c r="C85" s="242" t="s">
        <v>13</v>
      </c>
      <c r="D85" s="24" t="s">
        <v>11</v>
      </c>
      <c r="E85" s="269">
        <v>0.02</v>
      </c>
      <c r="F85" s="269">
        <f>E85*F82</f>
        <v>0.08</v>
      </c>
      <c r="G85" s="240"/>
      <c r="H85" s="19"/>
      <c r="I85" s="19"/>
      <c r="J85" s="19"/>
      <c r="K85" s="19"/>
      <c r="L85" s="19"/>
      <c r="M85" s="235"/>
    </row>
    <row r="86" spans="1:13">
      <c r="A86" s="392">
        <v>14</v>
      </c>
      <c r="B86" s="421" t="s">
        <v>404</v>
      </c>
      <c r="C86" s="256" t="s">
        <v>407</v>
      </c>
      <c r="D86" s="257" t="s">
        <v>99</v>
      </c>
      <c r="E86" s="261"/>
      <c r="F86" s="268">
        <v>8</v>
      </c>
      <c r="G86" s="239"/>
      <c r="H86" s="234"/>
      <c r="I86" s="234"/>
      <c r="J86" s="234"/>
      <c r="K86" s="234"/>
      <c r="L86" s="234"/>
      <c r="M86" s="238"/>
    </row>
    <row r="87" spans="1:13">
      <c r="A87" s="393"/>
      <c r="B87" s="421"/>
      <c r="C87" s="259" t="s">
        <v>386</v>
      </c>
      <c r="D87" s="260" t="s">
        <v>229</v>
      </c>
      <c r="E87" s="260">
        <v>1.51</v>
      </c>
      <c r="F87" s="260">
        <f>F86*E87</f>
        <v>12.08</v>
      </c>
      <c r="G87" s="240"/>
      <c r="H87" s="19"/>
      <c r="I87" s="19"/>
      <c r="J87" s="19"/>
      <c r="K87" s="19"/>
      <c r="L87" s="19"/>
      <c r="M87" s="235"/>
    </row>
    <row r="88" spans="1:13">
      <c r="A88" s="393"/>
      <c r="B88" s="421"/>
      <c r="C88" s="234" t="s">
        <v>17</v>
      </c>
      <c r="D88" s="19" t="s">
        <v>11</v>
      </c>
      <c r="E88" s="260">
        <v>0.13</v>
      </c>
      <c r="F88" s="260">
        <f>F86*E88</f>
        <v>1.04</v>
      </c>
      <c r="G88" s="240"/>
      <c r="H88" s="19"/>
      <c r="I88" s="19"/>
      <c r="J88" s="19"/>
      <c r="K88" s="19"/>
      <c r="L88" s="19"/>
      <c r="M88" s="235"/>
    </row>
    <row r="89" spans="1:13">
      <c r="A89" s="393"/>
      <c r="B89" s="421"/>
      <c r="C89" s="272" t="s">
        <v>408</v>
      </c>
      <c r="D89" s="262" t="s">
        <v>99</v>
      </c>
      <c r="E89" s="260">
        <v>1</v>
      </c>
      <c r="F89" s="264">
        <f>F86*E89</f>
        <v>8</v>
      </c>
      <c r="G89" s="240"/>
      <c r="H89" s="19"/>
      <c r="I89" s="19"/>
      <c r="J89" s="19"/>
      <c r="K89" s="19"/>
      <c r="L89" s="19"/>
      <c r="M89" s="235"/>
    </row>
    <row r="90" spans="1:13">
      <c r="A90" s="394"/>
      <c r="B90" s="421"/>
      <c r="C90" s="234" t="s">
        <v>13</v>
      </c>
      <c r="D90" s="19" t="s">
        <v>11</v>
      </c>
      <c r="E90" s="260">
        <v>7.0000000000000007E-2</v>
      </c>
      <c r="F90" s="260">
        <f>F86*E90</f>
        <v>0.56000000000000005</v>
      </c>
      <c r="G90" s="240"/>
      <c r="H90" s="19"/>
      <c r="I90" s="19"/>
      <c r="J90" s="19"/>
      <c r="K90" s="19"/>
      <c r="L90" s="19"/>
      <c r="M90" s="235"/>
    </row>
    <row r="91" spans="1:13">
      <c r="A91" s="392">
        <v>15</v>
      </c>
      <c r="B91" s="395" t="s">
        <v>535</v>
      </c>
      <c r="C91" s="14" t="s">
        <v>405</v>
      </c>
      <c r="D91" s="21" t="s">
        <v>99</v>
      </c>
      <c r="E91" s="267"/>
      <c r="F91" s="268">
        <v>4</v>
      </c>
      <c r="G91" s="240"/>
      <c r="H91" s="19"/>
      <c r="I91" s="19"/>
      <c r="J91" s="19"/>
      <c r="K91" s="19"/>
      <c r="L91" s="19"/>
      <c r="M91" s="238"/>
    </row>
    <row r="92" spans="1:13">
      <c r="A92" s="393"/>
      <c r="B92" s="395"/>
      <c r="C92" s="242" t="s">
        <v>8</v>
      </c>
      <c r="D92" s="24" t="s">
        <v>229</v>
      </c>
      <c r="E92" s="269">
        <v>0.31</v>
      </c>
      <c r="F92" s="269">
        <f>E92*F91</f>
        <v>1.24</v>
      </c>
      <c r="G92" s="240"/>
      <c r="H92" s="19"/>
      <c r="I92" s="19"/>
      <c r="J92" s="19"/>
      <c r="K92" s="19"/>
      <c r="L92" s="19"/>
      <c r="M92" s="235"/>
    </row>
    <row r="93" spans="1:13">
      <c r="A93" s="393"/>
      <c r="B93" s="395"/>
      <c r="C93" s="270" t="s">
        <v>406</v>
      </c>
      <c r="D93" s="20" t="s">
        <v>99</v>
      </c>
      <c r="E93" s="271">
        <v>1</v>
      </c>
      <c r="F93" s="20">
        <f>F91*E93</f>
        <v>4</v>
      </c>
      <c r="G93" s="240"/>
      <c r="H93" s="19"/>
      <c r="I93" s="19"/>
      <c r="J93" s="19"/>
      <c r="K93" s="19"/>
      <c r="L93" s="19"/>
      <c r="M93" s="235"/>
    </row>
    <row r="94" spans="1:13">
      <c r="A94" s="394"/>
      <c r="B94" s="395"/>
      <c r="C94" s="242" t="s">
        <v>13</v>
      </c>
      <c r="D94" s="24" t="s">
        <v>11</v>
      </c>
      <c r="E94" s="269">
        <v>0.04</v>
      </c>
      <c r="F94" s="269">
        <f>E94*F91</f>
        <v>0.16</v>
      </c>
      <c r="G94" s="240"/>
      <c r="H94" s="19"/>
      <c r="I94" s="19"/>
      <c r="J94" s="19"/>
      <c r="K94" s="19"/>
      <c r="L94" s="19"/>
      <c r="M94" s="235"/>
    </row>
    <row r="95" spans="1:13" s="230" customFormat="1" ht="25.5">
      <c r="A95" s="415">
        <v>16</v>
      </c>
      <c r="B95" s="416" t="s">
        <v>192</v>
      </c>
      <c r="C95" s="273" t="s">
        <v>409</v>
      </c>
      <c r="D95" s="274" t="s">
        <v>23</v>
      </c>
      <c r="E95" s="275"/>
      <c r="F95" s="276">
        <v>20</v>
      </c>
      <c r="G95" s="275"/>
      <c r="H95" s="277"/>
      <c r="I95" s="275"/>
      <c r="J95" s="277"/>
      <c r="K95" s="275"/>
      <c r="L95" s="277"/>
      <c r="M95" s="276"/>
    </row>
    <row r="96" spans="1:13">
      <c r="A96" s="415"/>
      <c r="B96" s="417"/>
      <c r="C96" s="278" t="s">
        <v>28</v>
      </c>
      <c r="D96" s="279" t="s">
        <v>10</v>
      </c>
      <c r="E96" s="279">
        <v>0.57999999999999996</v>
      </c>
      <c r="F96" s="280">
        <f>E96*F95</f>
        <v>11.6</v>
      </c>
      <c r="G96" s="279"/>
      <c r="H96" s="279"/>
      <c r="I96" s="279"/>
      <c r="J96" s="280"/>
      <c r="K96" s="279"/>
      <c r="L96" s="279"/>
      <c r="M96" s="235"/>
    </row>
    <row r="97" spans="1:13">
      <c r="A97" s="415"/>
      <c r="B97" s="417"/>
      <c r="C97" s="281" t="s">
        <v>568</v>
      </c>
      <c r="D97" s="279" t="s">
        <v>23</v>
      </c>
      <c r="E97" s="282">
        <v>1</v>
      </c>
      <c r="F97" s="280">
        <f>E97*F95</f>
        <v>20</v>
      </c>
      <c r="G97" s="283"/>
      <c r="H97" s="280"/>
      <c r="I97" s="283"/>
      <c r="J97" s="280"/>
      <c r="K97" s="279"/>
      <c r="L97" s="280"/>
      <c r="M97" s="235"/>
    </row>
    <row r="98" spans="1:13">
      <c r="A98" s="415"/>
      <c r="B98" s="418"/>
      <c r="C98" s="278" t="s">
        <v>13</v>
      </c>
      <c r="D98" s="284" t="s">
        <v>11</v>
      </c>
      <c r="E98" s="284">
        <v>0.2</v>
      </c>
      <c r="F98" s="285">
        <f>E98*F95</f>
        <v>4</v>
      </c>
      <c r="G98" s="286"/>
      <c r="H98" s="286"/>
      <c r="I98" s="286"/>
      <c r="J98" s="286"/>
      <c r="K98" s="287"/>
      <c r="L98" s="287"/>
      <c r="M98" s="235"/>
    </row>
    <row r="99" spans="1:13" ht="25.5">
      <c r="A99" s="392">
        <v>17</v>
      </c>
      <c r="B99" s="411" t="s">
        <v>46</v>
      </c>
      <c r="C99" s="14" t="s">
        <v>134</v>
      </c>
      <c r="D99" s="23" t="s">
        <v>12</v>
      </c>
      <c r="E99" s="24"/>
      <c r="F99" s="23">
        <v>10</v>
      </c>
      <c r="G99" s="24"/>
      <c r="H99" s="24"/>
      <c r="I99" s="24"/>
      <c r="J99" s="24"/>
      <c r="K99" s="24"/>
      <c r="L99" s="24"/>
      <c r="M99" s="238"/>
    </row>
    <row r="100" spans="1:13">
      <c r="A100" s="393"/>
      <c r="B100" s="412"/>
      <c r="C100" s="288" t="s">
        <v>8</v>
      </c>
      <c r="D100" s="24" t="s">
        <v>10</v>
      </c>
      <c r="E100" s="24">
        <f>13.2/1000</f>
        <v>1.32E-2</v>
      </c>
      <c r="F100" s="24">
        <f>F99*E100</f>
        <v>0.13200000000000001</v>
      </c>
      <c r="G100" s="24"/>
      <c r="H100" s="24"/>
      <c r="I100" s="24"/>
      <c r="J100" s="24"/>
      <c r="K100" s="24"/>
      <c r="L100" s="24"/>
      <c r="M100" s="280"/>
    </row>
    <row r="101" spans="1:13">
      <c r="A101" s="393"/>
      <c r="B101" s="412"/>
      <c r="C101" s="289" t="s">
        <v>44</v>
      </c>
      <c r="D101" s="24" t="s">
        <v>14</v>
      </c>
      <c r="E101" s="24">
        <f>29.5/1000</f>
        <v>2.9499999999999998E-2</v>
      </c>
      <c r="F101" s="24">
        <f>E101*F99</f>
        <v>0.29499999999999998</v>
      </c>
      <c r="G101" s="24"/>
      <c r="H101" s="24"/>
      <c r="I101" s="24"/>
      <c r="J101" s="24"/>
      <c r="K101" s="24"/>
      <c r="L101" s="24"/>
      <c r="M101" s="280"/>
    </row>
    <row r="102" spans="1:13">
      <c r="A102" s="393"/>
      <c r="B102" s="413"/>
      <c r="C102" s="289" t="s">
        <v>17</v>
      </c>
      <c r="D102" s="24" t="s">
        <v>11</v>
      </c>
      <c r="E102" s="24">
        <f>2.1/1000</f>
        <v>2.1000000000000003E-3</v>
      </c>
      <c r="F102" s="24">
        <f>E102*F99</f>
        <v>2.1000000000000005E-2</v>
      </c>
      <c r="G102" s="24"/>
      <c r="H102" s="24"/>
      <c r="I102" s="24"/>
      <c r="J102" s="24"/>
      <c r="K102" s="24"/>
      <c r="L102" s="24"/>
      <c r="M102" s="280"/>
    </row>
    <row r="103" spans="1:13" ht="25.5">
      <c r="A103" s="392">
        <v>18</v>
      </c>
      <c r="B103" s="419" t="s">
        <v>62</v>
      </c>
      <c r="C103" s="290" t="s">
        <v>223</v>
      </c>
      <c r="D103" s="23" t="s">
        <v>12</v>
      </c>
      <c r="E103" s="23"/>
      <c r="F103" s="23">
        <f>F99*0.1</f>
        <v>1</v>
      </c>
      <c r="G103" s="23"/>
      <c r="H103" s="23"/>
      <c r="I103" s="23"/>
      <c r="J103" s="23"/>
      <c r="K103" s="23"/>
      <c r="L103" s="23"/>
      <c r="M103" s="238"/>
    </row>
    <row r="104" spans="1:13">
      <c r="A104" s="393"/>
      <c r="B104" s="420"/>
      <c r="C104" s="288" t="s">
        <v>8</v>
      </c>
      <c r="D104" s="24" t="s">
        <v>10</v>
      </c>
      <c r="E104" s="24">
        <v>2.06</v>
      </c>
      <c r="F104" s="24">
        <f>E104*F103</f>
        <v>2.06</v>
      </c>
      <c r="G104" s="24"/>
      <c r="H104" s="24"/>
      <c r="I104" s="24"/>
      <c r="J104" s="24"/>
      <c r="K104" s="24"/>
      <c r="L104" s="24"/>
      <c r="M104" s="280"/>
    </row>
    <row r="105" spans="1:13">
      <c r="A105" s="410">
        <v>19</v>
      </c>
      <c r="B105" s="411" t="s">
        <v>214</v>
      </c>
      <c r="C105" s="291" t="s">
        <v>548</v>
      </c>
      <c r="D105" s="25" t="s">
        <v>12</v>
      </c>
      <c r="E105" s="19"/>
      <c r="F105" s="25">
        <f>F103+F99</f>
        <v>11</v>
      </c>
      <c r="G105" s="236"/>
      <c r="H105" s="236"/>
      <c r="I105" s="240"/>
      <c r="J105" s="236"/>
      <c r="K105" s="236"/>
      <c r="L105" s="236"/>
      <c r="M105" s="238"/>
    </row>
    <row r="106" spans="1:13">
      <c r="A106" s="410"/>
      <c r="B106" s="412"/>
      <c r="C106" s="242" t="s">
        <v>28</v>
      </c>
      <c r="D106" s="19" t="s">
        <v>10</v>
      </c>
      <c r="E106" s="19">
        <v>2.14</v>
      </c>
      <c r="F106" s="19">
        <f>E106*F105</f>
        <v>23.540000000000003</v>
      </c>
      <c r="G106" s="240"/>
      <c r="H106" s="240"/>
      <c r="I106" s="240"/>
      <c r="J106" s="240"/>
      <c r="K106" s="240"/>
      <c r="L106" s="240"/>
      <c r="M106" s="292"/>
    </row>
    <row r="107" spans="1:13" s="230" customFormat="1" ht="25.5">
      <c r="A107" s="398">
        <v>20</v>
      </c>
      <c r="B107" s="405" t="s">
        <v>266</v>
      </c>
      <c r="C107" s="15" t="s">
        <v>564</v>
      </c>
      <c r="D107" s="25" t="s">
        <v>99</v>
      </c>
      <c r="E107" s="20"/>
      <c r="F107" s="293">
        <v>2</v>
      </c>
      <c r="G107" s="240"/>
      <c r="H107" s="19"/>
      <c r="I107" s="19"/>
      <c r="J107" s="19"/>
      <c r="K107" s="19"/>
      <c r="L107" s="19"/>
      <c r="M107" s="238"/>
    </row>
    <row r="108" spans="1:13" ht="25.5">
      <c r="A108" s="399"/>
      <c r="B108" s="406"/>
      <c r="C108" s="242" t="s">
        <v>8</v>
      </c>
      <c r="D108" s="20" t="s">
        <v>229</v>
      </c>
      <c r="E108" s="269">
        <v>25.9</v>
      </c>
      <c r="F108" s="269">
        <f>E108*F107</f>
        <v>51.8</v>
      </c>
      <c r="G108" s="240"/>
      <c r="H108" s="19"/>
      <c r="I108" s="19"/>
      <c r="J108" s="19"/>
      <c r="K108" s="19"/>
      <c r="L108" s="19"/>
      <c r="M108" s="235"/>
    </row>
    <row r="109" spans="1:13">
      <c r="A109" s="399"/>
      <c r="B109" s="406"/>
      <c r="C109" s="234" t="s">
        <v>17</v>
      </c>
      <c r="D109" s="19" t="s">
        <v>11</v>
      </c>
      <c r="E109" s="20">
        <v>1.66</v>
      </c>
      <c r="F109" s="240">
        <f>F107*E109</f>
        <v>3.32</v>
      </c>
      <c r="G109" s="240"/>
      <c r="H109" s="19"/>
      <c r="I109" s="19"/>
      <c r="J109" s="19"/>
      <c r="K109" s="19"/>
      <c r="L109" s="19"/>
      <c r="M109" s="235"/>
    </row>
    <row r="110" spans="1:13" ht="25.5">
      <c r="A110" s="399"/>
      <c r="B110" s="406"/>
      <c r="C110" s="234" t="s">
        <v>563</v>
      </c>
      <c r="D110" s="19" t="s">
        <v>26</v>
      </c>
      <c r="E110" s="20"/>
      <c r="F110" s="240">
        <f>F107</f>
        <v>2</v>
      </c>
      <c r="G110" s="240"/>
      <c r="H110" s="19"/>
      <c r="I110" s="19"/>
      <c r="J110" s="19"/>
      <c r="K110" s="19"/>
      <c r="L110" s="19"/>
      <c r="M110" s="235"/>
    </row>
    <row r="111" spans="1:13">
      <c r="A111" s="399"/>
      <c r="B111" s="406"/>
      <c r="C111" s="234" t="s">
        <v>267</v>
      </c>
      <c r="D111" s="19" t="s">
        <v>26</v>
      </c>
      <c r="E111" s="20"/>
      <c r="F111" s="240">
        <v>2</v>
      </c>
      <c r="G111" s="240"/>
      <c r="H111" s="19"/>
      <c r="I111" s="19"/>
      <c r="J111" s="19"/>
      <c r="K111" s="19"/>
      <c r="L111" s="19"/>
      <c r="M111" s="235"/>
    </row>
    <row r="112" spans="1:13">
      <c r="A112" s="399"/>
      <c r="B112" s="406"/>
      <c r="C112" s="234" t="s">
        <v>399</v>
      </c>
      <c r="D112" s="19" t="s">
        <v>26</v>
      </c>
      <c r="E112" s="20"/>
      <c r="F112" s="240">
        <v>10</v>
      </c>
      <c r="G112" s="240"/>
      <c r="H112" s="19"/>
      <c r="I112" s="19"/>
      <c r="J112" s="19"/>
      <c r="K112" s="19"/>
      <c r="L112" s="19"/>
      <c r="M112" s="235"/>
    </row>
    <row r="113" spans="1:16">
      <c r="A113" s="399"/>
      <c r="B113" s="406"/>
      <c r="C113" s="234" t="s">
        <v>400</v>
      </c>
      <c r="D113" s="19" t="s">
        <v>26</v>
      </c>
      <c r="E113" s="20"/>
      <c r="F113" s="240">
        <v>2</v>
      </c>
      <c r="G113" s="240"/>
      <c r="H113" s="19"/>
      <c r="I113" s="19"/>
      <c r="J113" s="19"/>
      <c r="K113" s="19"/>
      <c r="L113" s="19"/>
      <c r="M113" s="235"/>
    </row>
    <row r="114" spans="1:16">
      <c r="A114" s="400"/>
      <c r="B114" s="407"/>
      <c r="C114" s="234" t="s">
        <v>13</v>
      </c>
      <c r="D114" s="19" t="s">
        <v>11</v>
      </c>
      <c r="E114" s="20">
        <v>2.99</v>
      </c>
      <c r="F114" s="240">
        <f>F107*E114</f>
        <v>5.98</v>
      </c>
      <c r="G114" s="240"/>
      <c r="H114" s="19"/>
      <c r="I114" s="19"/>
      <c r="J114" s="19"/>
      <c r="K114" s="19"/>
      <c r="L114" s="19"/>
      <c r="M114" s="235"/>
    </row>
    <row r="115" spans="1:16">
      <c r="A115" s="404">
        <v>21</v>
      </c>
      <c r="B115" s="405" t="s">
        <v>215</v>
      </c>
      <c r="C115" s="14" t="s">
        <v>270</v>
      </c>
      <c r="D115" s="21" t="s">
        <v>23</v>
      </c>
      <c r="E115" s="20"/>
      <c r="F115" s="294">
        <f>F95+F24+F19+F14</f>
        <v>90</v>
      </c>
      <c r="G115" s="20"/>
      <c r="H115" s="19"/>
      <c r="I115" s="20"/>
      <c r="J115" s="19"/>
      <c r="K115" s="20"/>
      <c r="L115" s="19"/>
      <c r="M115" s="238"/>
    </row>
    <row r="116" spans="1:16">
      <c r="A116" s="404"/>
      <c r="B116" s="406"/>
      <c r="C116" s="242" t="s">
        <v>207</v>
      </c>
      <c r="D116" s="20" t="s">
        <v>208</v>
      </c>
      <c r="E116" s="20">
        <f>5.16/100</f>
        <v>5.16E-2</v>
      </c>
      <c r="F116" s="20">
        <f>F115*E116</f>
        <v>4.6440000000000001</v>
      </c>
      <c r="G116" s="20"/>
      <c r="H116" s="19"/>
      <c r="I116" s="20"/>
      <c r="J116" s="235"/>
      <c r="K116" s="20"/>
      <c r="L116" s="19"/>
      <c r="M116" s="235"/>
    </row>
    <row r="117" spans="1:16">
      <c r="A117" s="404"/>
      <c r="B117" s="406"/>
      <c r="C117" s="242" t="s">
        <v>120</v>
      </c>
      <c r="D117" s="20" t="s">
        <v>217</v>
      </c>
      <c r="E117" s="20">
        <f>3.8/100</f>
        <v>3.7999999999999999E-2</v>
      </c>
      <c r="F117" s="20">
        <f>F115*E117</f>
        <v>3.42</v>
      </c>
      <c r="G117" s="20"/>
      <c r="H117" s="19"/>
      <c r="I117" s="20"/>
      <c r="J117" s="19"/>
      <c r="K117" s="20"/>
      <c r="L117" s="19"/>
      <c r="M117" s="235"/>
    </row>
    <row r="118" spans="1:16">
      <c r="A118" s="404"/>
      <c r="B118" s="407"/>
      <c r="C118" s="242" t="s">
        <v>218</v>
      </c>
      <c r="D118" s="20" t="s">
        <v>11</v>
      </c>
      <c r="E118" s="20">
        <f>0.11/100</f>
        <v>1.1000000000000001E-3</v>
      </c>
      <c r="F118" s="20">
        <f>F115*E118</f>
        <v>9.9000000000000005E-2</v>
      </c>
      <c r="G118" s="20"/>
      <c r="H118" s="19"/>
      <c r="I118" s="20"/>
      <c r="J118" s="19"/>
      <c r="K118" s="20"/>
      <c r="L118" s="19"/>
      <c r="M118" s="235"/>
    </row>
    <row r="119" spans="1:16" s="149" customFormat="1">
      <c r="A119" s="295"/>
      <c r="B119" s="396" t="s">
        <v>6</v>
      </c>
      <c r="C119" s="397"/>
      <c r="D119" s="19"/>
      <c r="E119" s="19"/>
      <c r="F119" s="19"/>
      <c r="G119" s="25"/>
      <c r="H119" s="238"/>
      <c r="I119" s="238"/>
      <c r="J119" s="238"/>
      <c r="K119" s="235"/>
      <c r="L119" s="238"/>
      <c r="M119" s="238"/>
      <c r="N119" s="148"/>
    </row>
    <row r="120" spans="1:16" s="149" customFormat="1">
      <c r="A120" s="295"/>
      <c r="B120" s="424" t="s">
        <v>268</v>
      </c>
      <c r="C120" s="425"/>
      <c r="D120" s="25"/>
      <c r="E120" s="19"/>
      <c r="F120" s="19"/>
      <c r="G120" s="19"/>
      <c r="H120" s="296"/>
      <c r="I120" s="19"/>
      <c r="J120" s="19"/>
      <c r="K120" s="19"/>
      <c r="L120" s="19"/>
      <c r="M120" s="235"/>
    </row>
    <row r="121" spans="1:16" s="149" customFormat="1">
      <c r="A121" s="295"/>
      <c r="B121" s="424" t="s">
        <v>6</v>
      </c>
      <c r="C121" s="425"/>
      <c r="D121" s="25"/>
      <c r="E121" s="19"/>
      <c r="F121" s="19"/>
      <c r="G121" s="19"/>
      <c r="H121" s="19"/>
      <c r="I121" s="19"/>
      <c r="J121" s="19"/>
      <c r="K121" s="19"/>
      <c r="L121" s="19"/>
      <c r="M121" s="238"/>
    </row>
    <row r="122" spans="1:16" s="149" customFormat="1">
      <c r="A122" s="297"/>
      <c r="B122" s="396" t="s">
        <v>334</v>
      </c>
      <c r="C122" s="397"/>
      <c r="D122" s="298"/>
      <c r="E122" s="299"/>
      <c r="F122" s="299"/>
      <c r="G122" s="299"/>
      <c r="H122" s="299"/>
      <c r="I122" s="300"/>
      <c r="J122" s="299"/>
      <c r="K122" s="299"/>
      <c r="L122" s="299"/>
      <c r="M122" s="301"/>
    </row>
    <row r="123" spans="1:16" s="149" customFormat="1">
      <c r="A123" s="297"/>
      <c r="B123" s="426" t="s">
        <v>579</v>
      </c>
      <c r="C123" s="427"/>
      <c r="D123" s="302"/>
      <c r="E123" s="299"/>
      <c r="F123" s="299"/>
      <c r="G123" s="299"/>
      <c r="H123" s="299"/>
      <c r="I123" s="300"/>
      <c r="J123" s="299"/>
      <c r="K123" s="299"/>
      <c r="L123" s="299"/>
      <c r="M123" s="301"/>
    </row>
    <row r="124" spans="1:16" s="149" customFormat="1">
      <c r="A124" s="297"/>
      <c r="B124" s="426" t="s">
        <v>578</v>
      </c>
      <c r="C124" s="427"/>
      <c r="D124" s="302"/>
      <c r="E124" s="299"/>
      <c r="F124" s="299"/>
      <c r="G124" s="299"/>
      <c r="H124" s="299"/>
      <c r="I124" s="300"/>
      <c r="J124" s="299"/>
      <c r="K124" s="299"/>
      <c r="L124" s="299"/>
      <c r="M124" s="301"/>
    </row>
    <row r="125" spans="1:16" s="149" customFormat="1">
      <c r="A125" s="297"/>
      <c r="B125" s="426" t="s">
        <v>586</v>
      </c>
      <c r="C125" s="427"/>
      <c r="D125" s="302"/>
      <c r="E125" s="299"/>
      <c r="F125" s="299"/>
      <c r="G125" s="299"/>
      <c r="H125" s="299"/>
      <c r="I125" s="300"/>
      <c r="J125" s="299"/>
      <c r="K125" s="299"/>
      <c r="L125" s="299"/>
      <c r="M125" s="301"/>
    </row>
    <row r="126" spans="1:16" s="149" customFormat="1">
      <c r="A126" s="295"/>
      <c r="B126" s="424" t="s">
        <v>131</v>
      </c>
      <c r="C126" s="425"/>
      <c r="D126" s="25"/>
      <c r="E126" s="25"/>
      <c r="F126" s="19"/>
      <c r="G126" s="19"/>
      <c r="H126" s="19"/>
      <c r="I126" s="19"/>
      <c r="J126" s="236"/>
      <c r="K126" s="19"/>
      <c r="L126" s="19"/>
      <c r="M126" s="238"/>
    </row>
    <row r="127" spans="1:16" s="149" customFormat="1">
      <c r="A127" s="295"/>
      <c r="B127" s="424" t="s">
        <v>530</v>
      </c>
      <c r="C127" s="425"/>
      <c r="D127" s="25"/>
      <c r="E127" s="25"/>
      <c r="F127" s="19"/>
      <c r="G127" s="19"/>
      <c r="H127" s="19"/>
      <c r="I127" s="19"/>
      <c r="J127" s="303"/>
      <c r="K127" s="19"/>
      <c r="L127" s="19"/>
      <c r="M127" s="238"/>
      <c r="P127" s="150"/>
    </row>
    <row r="128" spans="1:16" s="149" customFormat="1">
      <c r="A128" s="295"/>
      <c r="B128" s="424" t="s">
        <v>530</v>
      </c>
      <c r="C128" s="425"/>
      <c r="D128" s="25"/>
      <c r="E128" s="25"/>
      <c r="F128" s="19"/>
      <c r="G128" s="19"/>
      <c r="H128" s="19"/>
      <c r="I128" s="19"/>
      <c r="J128" s="303"/>
      <c r="K128" s="19"/>
      <c r="L128" s="19"/>
      <c r="M128" s="238"/>
      <c r="P128" s="150"/>
    </row>
    <row r="129" spans="1:15" s="149" customFormat="1">
      <c r="A129" s="295"/>
      <c r="B129" s="396" t="s">
        <v>6</v>
      </c>
      <c r="C129" s="397"/>
      <c r="D129" s="19"/>
      <c r="E129" s="19"/>
      <c r="F129" s="19"/>
      <c r="G129" s="19"/>
      <c r="H129" s="19"/>
      <c r="I129" s="19"/>
      <c r="J129" s="19"/>
      <c r="K129" s="19"/>
      <c r="L129" s="19"/>
      <c r="M129" s="238"/>
    </row>
    <row r="130" spans="1:15" s="149" customFormat="1">
      <c r="A130" s="295"/>
      <c r="B130" s="396" t="s">
        <v>19</v>
      </c>
      <c r="C130" s="397"/>
      <c r="D130" s="25"/>
      <c r="E130" s="25"/>
      <c r="F130" s="19"/>
      <c r="G130" s="19"/>
      <c r="H130" s="19"/>
      <c r="I130" s="19"/>
      <c r="J130" s="19"/>
      <c r="K130" s="19"/>
      <c r="L130" s="19"/>
      <c r="M130" s="235"/>
    </row>
    <row r="131" spans="1:15" s="149" customFormat="1">
      <c r="A131" s="295"/>
      <c r="B131" s="396" t="s">
        <v>6</v>
      </c>
      <c r="C131" s="397"/>
      <c r="D131" s="25"/>
      <c r="E131" s="25"/>
      <c r="F131" s="19"/>
      <c r="G131" s="19"/>
      <c r="H131" s="19"/>
      <c r="I131" s="19"/>
      <c r="J131" s="19"/>
      <c r="K131" s="19"/>
      <c r="L131" s="19"/>
      <c r="M131" s="238"/>
      <c r="O131" s="151"/>
    </row>
    <row r="132" spans="1:15">
      <c r="A132" s="304"/>
      <c r="B132" s="305"/>
      <c r="C132" s="304"/>
      <c r="D132" s="306"/>
      <c r="E132" s="296"/>
      <c r="F132" s="296"/>
      <c r="G132" s="296"/>
      <c r="H132" s="296"/>
      <c r="I132" s="296"/>
      <c r="J132" s="296"/>
      <c r="K132" s="296"/>
      <c r="L132" s="296"/>
      <c r="M132" s="296"/>
    </row>
    <row r="133" spans="1:15" s="152" customFormat="1" ht="16.5">
      <c r="A133" s="304"/>
      <c r="B133" s="307"/>
      <c r="C133" s="308"/>
      <c r="D133" s="308"/>
      <c r="E133" s="307"/>
      <c r="F133" s="307"/>
      <c r="G133" s="307"/>
      <c r="H133" s="307"/>
      <c r="I133" s="433"/>
      <c r="J133" s="433"/>
      <c r="K133" s="307"/>
      <c r="L133" s="307"/>
      <c r="M133" s="307"/>
      <c r="N133" s="153"/>
    </row>
    <row r="134" spans="1:15" s="152" customFormat="1" ht="16.5">
      <c r="A134" s="307"/>
      <c r="B134" s="343"/>
      <c r="C134" s="343"/>
      <c r="D134" s="343"/>
      <c r="E134" s="343"/>
      <c r="F134" s="307"/>
      <c r="G134" s="307"/>
      <c r="H134" s="307"/>
      <c r="I134" s="307"/>
      <c r="J134" s="307"/>
      <c r="K134" s="307"/>
      <c r="L134" s="307"/>
      <c r="M134" s="307"/>
    </row>
  </sheetData>
  <mergeCells count="72">
    <mergeCell ref="I133:J133"/>
    <mergeCell ref="B134:E134"/>
    <mergeCell ref="A71:A75"/>
    <mergeCell ref="B71:B75"/>
    <mergeCell ref="A76:A81"/>
    <mergeCell ref="B76:B81"/>
    <mergeCell ref="A82:A85"/>
    <mergeCell ref="B127:C127"/>
    <mergeCell ref="B129:C129"/>
    <mergeCell ref="B119:C119"/>
    <mergeCell ref="B120:C120"/>
    <mergeCell ref="B121:C121"/>
    <mergeCell ref="B126:C126"/>
    <mergeCell ref="B122:C122"/>
    <mergeCell ref="B123:C123"/>
    <mergeCell ref="B124:C124"/>
    <mergeCell ref="B128:C128"/>
    <mergeCell ref="B125:C125"/>
    <mergeCell ref="A1:M1"/>
    <mergeCell ref="A2:M2"/>
    <mergeCell ref="A3:M3"/>
    <mergeCell ref="A5:A6"/>
    <mergeCell ref="B5:B6"/>
    <mergeCell ref="C5:C6"/>
    <mergeCell ref="D5:D6"/>
    <mergeCell ref="E5:E6"/>
    <mergeCell ref="F5:F6"/>
    <mergeCell ref="G5:H5"/>
    <mergeCell ref="I5:J5"/>
    <mergeCell ref="K5:L5"/>
    <mergeCell ref="M5:M6"/>
    <mergeCell ref="A4:F4"/>
    <mergeCell ref="G4:K4"/>
    <mergeCell ref="A95:A98"/>
    <mergeCell ref="B95:B98"/>
    <mergeCell ref="B103:B104"/>
    <mergeCell ref="B8:B13"/>
    <mergeCell ref="A8:A13"/>
    <mergeCell ref="A55:A59"/>
    <mergeCell ref="B55:B59"/>
    <mergeCell ref="A60:A65"/>
    <mergeCell ref="B60:B65"/>
    <mergeCell ref="A66:A70"/>
    <mergeCell ref="B66:B70"/>
    <mergeCell ref="B47:B54"/>
    <mergeCell ref="B82:B85"/>
    <mergeCell ref="A86:A90"/>
    <mergeCell ref="B86:B90"/>
    <mergeCell ref="A91:A94"/>
    <mergeCell ref="A107:A114"/>
    <mergeCell ref="A105:A106"/>
    <mergeCell ref="B105:B106"/>
    <mergeCell ref="A99:A102"/>
    <mergeCell ref="B99:B102"/>
    <mergeCell ref="A103:A104"/>
    <mergeCell ref="B107:B114"/>
    <mergeCell ref="A47:A54"/>
    <mergeCell ref="B91:B94"/>
    <mergeCell ref="B130:C130"/>
    <mergeCell ref="B131:C131"/>
    <mergeCell ref="A14:A18"/>
    <mergeCell ref="B14:B18"/>
    <mergeCell ref="A19:A23"/>
    <mergeCell ref="B19:B23"/>
    <mergeCell ref="A24:A28"/>
    <mergeCell ref="B24:B28"/>
    <mergeCell ref="A115:A118"/>
    <mergeCell ref="B115:B118"/>
    <mergeCell ref="B29:B34"/>
    <mergeCell ref="A29:A34"/>
    <mergeCell ref="B35:B46"/>
    <mergeCell ref="A35:A46"/>
  </mergeCells>
  <pageMargins left="0.59055118110236227" right="0.27559055118110237" top="0.66" bottom="0.42" header="0.32" footer="0.52"/>
  <pageSetup paperSize="9" orientation="landscape" r:id="rId1"/>
  <headerFooter>
    <oddHeader>&amp;R&amp;P--&amp;N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7"/>
  <sheetViews>
    <sheetView view="pageBreakPreview" topLeftCell="B226" zoomScale="140" zoomScaleNormal="80" zoomScaleSheetLayoutView="140" workbookViewId="0">
      <selection activeCell="E238" sqref="E238:E242"/>
    </sheetView>
  </sheetViews>
  <sheetFormatPr defaultColWidth="8.85546875" defaultRowHeight="15"/>
  <cols>
    <col min="1" max="1" width="3" style="154" hidden="1" customWidth="1"/>
    <col min="2" max="2" width="3.28515625" style="183" customWidth="1"/>
    <col min="3" max="3" width="6.85546875" style="184" customWidth="1"/>
    <col min="4" max="4" width="47.5703125" style="185" customWidth="1"/>
    <col min="5" max="5" width="6.28515625" style="186" customWidth="1"/>
    <col min="6" max="6" width="6.28515625" style="187" customWidth="1"/>
    <col min="7" max="7" width="8.5703125" style="186" customWidth="1"/>
    <col min="8" max="8" width="6.28515625" style="186" customWidth="1"/>
    <col min="9" max="9" width="8.28515625" style="186" customWidth="1"/>
    <col min="10" max="10" width="6" style="186" customWidth="1"/>
    <col min="11" max="11" width="7.7109375" style="186" customWidth="1"/>
    <col min="12" max="12" width="6.85546875" style="186" customWidth="1"/>
    <col min="13" max="13" width="7.28515625" style="186" customWidth="1"/>
    <col min="14" max="14" width="10.7109375" style="186" customWidth="1"/>
    <col min="15" max="16384" width="8.85546875" style="154"/>
  </cols>
  <sheetData>
    <row r="1" spans="2:14">
      <c r="B1" s="370" t="s">
        <v>620</v>
      </c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</row>
    <row r="2" spans="2:14">
      <c r="B2" s="371" t="s">
        <v>300</v>
      </c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</row>
    <row r="3" spans="2:14">
      <c r="B3" s="371" t="s">
        <v>290</v>
      </c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</row>
    <row r="4" spans="2:14">
      <c r="B4" s="377"/>
      <c r="C4" s="377"/>
      <c r="D4" s="377"/>
      <c r="E4" s="377"/>
      <c r="F4" s="377"/>
      <c r="G4" s="377"/>
      <c r="H4" s="377" t="s">
        <v>122</v>
      </c>
      <c r="I4" s="377"/>
      <c r="J4" s="377"/>
      <c r="K4" s="377"/>
      <c r="L4" s="377"/>
      <c r="M4" s="33">
        <f>N243</f>
        <v>0</v>
      </c>
      <c r="N4" s="33" t="s">
        <v>22</v>
      </c>
    </row>
    <row r="5" spans="2:14">
      <c r="B5" s="372" t="s">
        <v>0</v>
      </c>
      <c r="C5" s="372" t="s">
        <v>1</v>
      </c>
      <c r="D5" s="456" t="s">
        <v>16</v>
      </c>
      <c r="E5" s="372" t="s">
        <v>2</v>
      </c>
      <c r="F5" s="372" t="s">
        <v>125</v>
      </c>
      <c r="G5" s="372" t="s">
        <v>126</v>
      </c>
      <c r="H5" s="372" t="s">
        <v>3</v>
      </c>
      <c r="I5" s="372"/>
      <c r="J5" s="372" t="s">
        <v>7</v>
      </c>
      <c r="K5" s="372"/>
      <c r="L5" s="372" t="s">
        <v>18</v>
      </c>
      <c r="M5" s="372"/>
      <c r="N5" s="372" t="s">
        <v>6</v>
      </c>
    </row>
    <row r="6" spans="2:14" ht="25.5">
      <c r="B6" s="372"/>
      <c r="C6" s="372"/>
      <c r="D6" s="457"/>
      <c r="E6" s="372"/>
      <c r="F6" s="372"/>
      <c r="G6" s="372"/>
      <c r="H6" s="330" t="s">
        <v>15</v>
      </c>
      <c r="I6" s="330" t="s">
        <v>6</v>
      </c>
      <c r="J6" s="330" t="s">
        <v>15</v>
      </c>
      <c r="K6" s="330" t="s">
        <v>6</v>
      </c>
      <c r="L6" s="330" t="s">
        <v>15</v>
      </c>
      <c r="M6" s="330" t="s">
        <v>6</v>
      </c>
      <c r="N6" s="372"/>
    </row>
    <row r="7" spans="2:14">
      <c r="B7" s="313">
        <v>1</v>
      </c>
      <c r="C7" s="313">
        <v>2</v>
      </c>
      <c r="D7" s="156">
        <v>3</v>
      </c>
      <c r="E7" s="331">
        <v>4</v>
      </c>
      <c r="F7" s="331">
        <v>5</v>
      </c>
      <c r="G7" s="331">
        <v>6</v>
      </c>
      <c r="H7" s="331">
        <v>7</v>
      </c>
      <c r="I7" s="331">
        <v>8</v>
      </c>
      <c r="J7" s="331">
        <v>9</v>
      </c>
      <c r="K7" s="331">
        <v>10</v>
      </c>
      <c r="L7" s="331">
        <v>11</v>
      </c>
      <c r="M7" s="331">
        <v>12</v>
      </c>
      <c r="N7" s="331">
        <v>13</v>
      </c>
    </row>
    <row r="8" spans="2:14">
      <c r="B8" s="313"/>
      <c r="C8" s="313"/>
      <c r="D8" s="43" t="s">
        <v>200</v>
      </c>
      <c r="E8" s="330"/>
      <c r="F8" s="319"/>
      <c r="G8" s="319"/>
      <c r="H8" s="319"/>
      <c r="I8" s="319"/>
      <c r="J8" s="319"/>
      <c r="K8" s="319"/>
      <c r="L8" s="319"/>
      <c r="M8" s="319"/>
      <c r="N8" s="319"/>
    </row>
    <row r="9" spans="2:14" ht="25.5">
      <c r="B9" s="378">
        <v>1</v>
      </c>
      <c r="C9" s="353" t="s">
        <v>46</v>
      </c>
      <c r="D9" s="43" t="s">
        <v>134</v>
      </c>
      <c r="E9" s="57" t="s">
        <v>12</v>
      </c>
      <c r="F9" s="320"/>
      <c r="G9" s="57">
        <v>32</v>
      </c>
      <c r="H9" s="320"/>
      <c r="I9" s="320"/>
      <c r="J9" s="320"/>
      <c r="K9" s="320"/>
      <c r="L9" s="320"/>
      <c r="M9" s="320"/>
      <c r="N9" s="57"/>
    </row>
    <row r="10" spans="2:14">
      <c r="B10" s="379"/>
      <c r="C10" s="354"/>
      <c r="D10" s="72" t="s">
        <v>8</v>
      </c>
      <c r="E10" s="320" t="s">
        <v>10</v>
      </c>
      <c r="F10" s="320">
        <f>13.2/1000</f>
        <v>1.32E-2</v>
      </c>
      <c r="G10" s="320">
        <f>G9*F10</f>
        <v>0.4224</v>
      </c>
      <c r="H10" s="320"/>
      <c r="I10" s="320"/>
      <c r="J10" s="320"/>
      <c r="K10" s="320"/>
      <c r="L10" s="320"/>
      <c r="M10" s="320"/>
      <c r="N10" s="56"/>
    </row>
    <row r="11" spans="2:14">
      <c r="B11" s="379"/>
      <c r="C11" s="354"/>
      <c r="D11" s="157" t="s">
        <v>44</v>
      </c>
      <c r="E11" s="320" t="s">
        <v>14</v>
      </c>
      <c r="F11" s="320">
        <f>29.5/1000</f>
        <v>2.9499999999999998E-2</v>
      </c>
      <c r="G11" s="320">
        <f>F11*G9</f>
        <v>0.94399999999999995</v>
      </c>
      <c r="H11" s="320"/>
      <c r="I11" s="320"/>
      <c r="J11" s="320"/>
      <c r="K11" s="320"/>
      <c r="L11" s="320"/>
      <c r="M11" s="320"/>
      <c r="N11" s="56"/>
    </row>
    <row r="12" spans="2:14">
      <c r="B12" s="379"/>
      <c r="C12" s="355"/>
      <c r="D12" s="157" t="s">
        <v>17</v>
      </c>
      <c r="E12" s="320" t="s">
        <v>11</v>
      </c>
      <c r="F12" s="320">
        <f>2.1/1000</f>
        <v>2.1000000000000003E-3</v>
      </c>
      <c r="G12" s="320">
        <f>F12*G9</f>
        <v>6.720000000000001E-2</v>
      </c>
      <c r="H12" s="320"/>
      <c r="I12" s="320"/>
      <c r="J12" s="320"/>
      <c r="K12" s="320"/>
      <c r="L12" s="320"/>
      <c r="M12" s="320"/>
      <c r="N12" s="56"/>
    </row>
    <row r="13" spans="2:14" ht="25.5">
      <c r="B13" s="378">
        <v>2</v>
      </c>
      <c r="C13" s="448" t="s">
        <v>62</v>
      </c>
      <c r="D13" s="156" t="s">
        <v>223</v>
      </c>
      <c r="E13" s="57" t="s">
        <v>12</v>
      </c>
      <c r="F13" s="57"/>
      <c r="G13" s="57">
        <f>G9*0.1</f>
        <v>3.2</v>
      </c>
      <c r="H13" s="57"/>
      <c r="I13" s="57"/>
      <c r="J13" s="57"/>
      <c r="K13" s="57"/>
      <c r="L13" s="57"/>
      <c r="M13" s="57"/>
      <c r="N13" s="59"/>
    </row>
    <row r="14" spans="2:14">
      <c r="B14" s="379"/>
      <c r="C14" s="449"/>
      <c r="D14" s="72" t="s">
        <v>8</v>
      </c>
      <c r="E14" s="320" t="s">
        <v>10</v>
      </c>
      <c r="F14" s="320">
        <v>2.06</v>
      </c>
      <c r="G14" s="320">
        <f>F14*G13</f>
        <v>6.5920000000000005</v>
      </c>
      <c r="H14" s="320"/>
      <c r="I14" s="320"/>
      <c r="J14" s="320"/>
      <c r="K14" s="320"/>
      <c r="L14" s="320"/>
      <c r="M14" s="320"/>
      <c r="N14" s="56"/>
    </row>
    <row r="15" spans="2:14">
      <c r="B15" s="353">
        <v>3</v>
      </c>
      <c r="C15" s="353" t="s">
        <v>118</v>
      </c>
      <c r="D15" s="158" t="s">
        <v>354</v>
      </c>
      <c r="E15" s="332" t="s">
        <v>553</v>
      </c>
      <c r="F15" s="322"/>
      <c r="G15" s="332">
        <v>3</v>
      </c>
      <c r="H15" s="322"/>
      <c r="I15" s="319"/>
      <c r="J15" s="322"/>
      <c r="K15" s="319"/>
      <c r="L15" s="322"/>
      <c r="M15" s="319"/>
      <c r="N15" s="37"/>
    </row>
    <row r="16" spans="2:14">
      <c r="B16" s="354"/>
      <c r="C16" s="354"/>
      <c r="D16" s="46" t="s">
        <v>28</v>
      </c>
      <c r="E16" s="322" t="s">
        <v>10</v>
      </c>
      <c r="F16" s="322">
        <v>1.8</v>
      </c>
      <c r="G16" s="322">
        <f>F16*G15</f>
        <v>5.4</v>
      </c>
      <c r="H16" s="322"/>
      <c r="I16" s="319"/>
      <c r="J16" s="322"/>
      <c r="K16" s="319"/>
      <c r="L16" s="322"/>
      <c r="M16" s="319"/>
      <c r="N16" s="37"/>
    </row>
    <row r="17" spans="2:14">
      <c r="B17" s="355"/>
      <c r="C17" s="355"/>
      <c r="D17" s="46" t="s">
        <v>45</v>
      </c>
      <c r="E17" s="322" t="s">
        <v>12</v>
      </c>
      <c r="F17" s="322">
        <v>1.1000000000000001</v>
      </c>
      <c r="G17" s="322">
        <f>F17*G15</f>
        <v>3.3000000000000003</v>
      </c>
      <c r="H17" s="322"/>
      <c r="I17" s="319"/>
      <c r="J17" s="322"/>
      <c r="K17" s="319"/>
      <c r="L17" s="322"/>
      <c r="M17" s="319"/>
      <c r="N17" s="37"/>
    </row>
    <row r="18" spans="2:14">
      <c r="B18" s="441">
        <v>4</v>
      </c>
      <c r="C18" s="451" t="s">
        <v>618</v>
      </c>
      <c r="D18" s="158" t="s">
        <v>353</v>
      </c>
      <c r="E18" s="332" t="s">
        <v>12</v>
      </c>
      <c r="F18" s="322"/>
      <c r="G18" s="332">
        <v>3.6</v>
      </c>
      <c r="H18" s="73"/>
      <c r="I18" s="73"/>
      <c r="J18" s="225"/>
      <c r="K18" s="73"/>
      <c r="L18" s="73"/>
      <c r="M18" s="73"/>
      <c r="N18" s="74"/>
    </row>
    <row r="19" spans="2:14">
      <c r="B19" s="441"/>
      <c r="C19" s="452"/>
      <c r="D19" s="46" t="s">
        <v>28</v>
      </c>
      <c r="E19" s="322" t="s">
        <v>10</v>
      </c>
      <c r="F19" s="30">
        <v>1.21</v>
      </c>
      <c r="G19" s="322">
        <f>F19*G18</f>
        <v>4.3559999999999999</v>
      </c>
      <c r="H19" s="225"/>
      <c r="I19" s="225"/>
      <c r="J19" s="225"/>
      <c r="K19" s="225"/>
      <c r="L19" s="225"/>
      <c r="M19" s="225"/>
      <c r="N19" s="147"/>
    </row>
    <row r="20" spans="2:14">
      <c r="B20" s="441"/>
      <c r="C20" s="452"/>
      <c r="D20" s="46" t="s">
        <v>24</v>
      </c>
      <c r="E20" s="322" t="s">
        <v>12</v>
      </c>
      <c r="F20" s="322">
        <v>1</v>
      </c>
      <c r="G20" s="322">
        <f>G18</f>
        <v>3.6</v>
      </c>
      <c r="H20" s="225"/>
      <c r="I20" s="225"/>
      <c r="J20" s="225"/>
      <c r="K20" s="225"/>
      <c r="L20" s="225"/>
      <c r="M20" s="225"/>
      <c r="N20" s="147"/>
    </row>
    <row r="21" spans="2:14" ht="25.5">
      <c r="B21" s="347">
        <v>5</v>
      </c>
      <c r="C21" s="347" t="s">
        <v>132</v>
      </c>
      <c r="D21" s="43" t="s">
        <v>188</v>
      </c>
      <c r="E21" s="332" t="s">
        <v>23</v>
      </c>
      <c r="F21" s="322"/>
      <c r="G21" s="332">
        <v>51</v>
      </c>
      <c r="H21" s="322"/>
      <c r="I21" s="319"/>
      <c r="J21" s="322"/>
      <c r="K21" s="319"/>
      <c r="L21" s="322"/>
      <c r="M21" s="319"/>
      <c r="N21" s="37"/>
    </row>
    <row r="22" spans="2:14">
      <c r="B22" s="348"/>
      <c r="C22" s="348"/>
      <c r="D22" s="46" t="s">
        <v>28</v>
      </c>
      <c r="E22" s="319" t="s">
        <v>10</v>
      </c>
      <c r="F22" s="319">
        <v>0.6</v>
      </c>
      <c r="G22" s="319">
        <v>7.8</v>
      </c>
      <c r="H22" s="319"/>
      <c r="I22" s="319"/>
      <c r="J22" s="319"/>
      <c r="K22" s="319"/>
      <c r="L22" s="319"/>
      <c r="M22" s="319"/>
      <c r="N22" s="37"/>
    </row>
    <row r="23" spans="2:14">
      <c r="B23" s="348"/>
      <c r="C23" s="348"/>
      <c r="D23" s="46" t="s">
        <v>352</v>
      </c>
      <c r="E23" s="319" t="s">
        <v>23</v>
      </c>
      <c r="F23" s="319">
        <v>1</v>
      </c>
      <c r="G23" s="319">
        <f>F23*G21</f>
        <v>51</v>
      </c>
      <c r="H23" s="319"/>
      <c r="I23" s="319"/>
      <c r="J23" s="319"/>
      <c r="K23" s="319"/>
      <c r="L23" s="319"/>
      <c r="M23" s="319"/>
      <c r="N23" s="37"/>
    </row>
    <row r="24" spans="2:14">
      <c r="B24" s="349"/>
      <c r="C24" s="349"/>
      <c r="D24" s="46" t="s">
        <v>13</v>
      </c>
      <c r="E24" s="322" t="s">
        <v>11</v>
      </c>
      <c r="F24" s="322">
        <v>0.15</v>
      </c>
      <c r="G24" s="322">
        <v>1.95</v>
      </c>
      <c r="H24" s="322"/>
      <c r="I24" s="319"/>
      <c r="J24" s="322"/>
      <c r="K24" s="319"/>
      <c r="L24" s="159"/>
      <c r="M24" s="319"/>
      <c r="N24" s="37"/>
    </row>
    <row r="25" spans="2:14" ht="25.5">
      <c r="B25" s="386">
        <v>6</v>
      </c>
      <c r="C25" s="347" t="s">
        <v>192</v>
      </c>
      <c r="D25" s="43" t="s">
        <v>191</v>
      </c>
      <c r="E25" s="332" t="s">
        <v>23</v>
      </c>
      <c r="F25" s="322"/>
      <c r="G25" s="332">
        <f>10+32</f>
        <v>42</v>
      </c>
      <c r="H25" s="322"/>
      <c r="I25" s="319"/>
      <c r="J25" s="322"/>
      <c r="K25" s="319"/>
      <c r="L25" s="322"/>
      <c r="M25" s="319"/>
      <c r="N25" s="37"/>
    </row>
    <row r="26" spans="2:14">
      <c r="B26" s="386"/>
      <c r="C26" s="348"/>
      <c r="D26" s="46" t="s">
        <v>28</v>
      </c>
      <c r="E26" s="319" t="s">
        <v>10</v>
      </c>
      <c r="F26" s="319">
        <v>0.57999999999999996</v>
      </c>
      <c r="G26" s="319">
        <v>15.18</v>
      </c>
      <c r="H26" s="319"/>
      <c r="I26" s="319"/>
      <c r="J26" s="319"/>
      <c r="K26" s="319"/>
      <c r="L26" s="319"/>
      <c r="M26" s="319"/>
      <c r="N26" s="37"/>
    </row>
    <row r="27" spans="2:14">
      <c r="B27" s="386"/>
      <c r="C27" s="348"/>
      <c r="D27" s="46" t="s">
        <v>351</v>
      </c>
      <c r="E27" s="319" t="s">
        <v>23</v>
      </c>
      <c r="F27" s="319">
        <v>1</v>
      </c>
      <c r="G27" s="319">
        <f>F27*G25</f>
        <v>42</v>
      </c>
      <c r="H27" s="319"/>
      <c r="I27" s="319"/>
      <c r="J27" s="319"/>
      <c r="K27" s="319"/>
      <c r="L27" s="319"/>
      <c r="M27" s="319"/>
      <c r="N27" s="37"/>
    </row>
    <row r="28" spans="2:14">
      <c r="B28" s="386"/>
      <c r="C28" s="349"/>
      <c r="D28" s="46" t="s">
        <v>13</v>
      </c>
      <c r="E28" s="322" t="s">
        <v>11</v>
      </c>
      <c r="F28" s="322">
        <v>0.2</v>
      </c>
      <c r="G28" s="322">
        <v>3.7949999999999999</v>
      </c>
      <c r="H28" s="322"/>
      <c r="I28" s="319"/>
      <c r="J28" s="322"/>
      <c r="K28" s="319"/>
      <c r="L28" s="159"/>
      <c r="M28" s="319"/>
      <c r="N28" s="37"/>
    </row>
    <row r="29" spans="2:14" ht="25.5">
      <c r="B29" s="386">
        <v>6</v>
      </c>
      <c r="C29" s="347" t="s">
        <v>192</v>
      </c>
      <c r="D29" s="43" t="s">
        <v>473</v>
      </c>
      <c r="E29" s="332" t="s">
        <v>23</v>
      </c>
      <c r="F29" s="322"/>
      <c r="G29" s="332">
        <v>8</v>
      </c>
      <c r="H29" s="322"/>
      <c r="I29" s="319"/>
      <c r="J29" s="322"/>
      <c r="K29" s="319"/>
      <c r="L29" s="322"/>
      <c r="M29" s="319"/>
      <c r="N29" s="37"/>
    </row>
    <row r="30" spans="2:14">
      <c r="B30" s="386"/>
      <c r="C30" s="348"/>
      <c r="D30" s="46" t="s">
        <v>28</v>
      </c>
      <c r="E30" s="319" t="s">
        <v>10</v>
      </c>
      <c r="F30" s="319">
        <v>0.57999999999999996</v>
      </c>
      <c r="G30" s="319">
        <v>15.18</v>
      </c>
      <c r="H30" s="319"/>
      <c r="I30" s="319"/>
      <c r="J30" s="319"/>
      <c r="K30" s="319"/>
      <c r="L30" s="319"/>
      <c r="M30" s="319"/>
      <c r="N30" s="37"/>
    </row>
    <row r="31" spans="2:14">
      <c r="B31" s="386"/>
      <c r="C31" s="348"/>
      <c r="D31" s="46" t="s">
        <v>474</v>
      </c>
      <c r="E31" s="319" t="s">
        <v>23</v>
      </c>
      <c r="F31" s="319">
        <v>1</v>
      </c>
      <c r="G31" s="319">
        <f>F31*G29</f>
        <v>8</v>
      </c>
      <c r="H31" s="319"/>
      <c r="I31" s="319"/>
      <c r="J31" s="319"/>
      <c r="K31" s="319"/>
      <c r="L31" s="319"/>
      <c r="M31" s="319"/>
      <c r="N31" s="37"/>
    </row>
    <row r="32" spans="2:14">
      <c r="B32" s="386"/>
      <c r="C32" s="349"/>
      <c r="D32" s="46" t="s">
        <v>13</v>
      </c>
      <c r="E32" s="322" t="s">
        <v>11</v>
      </c>
      <c r="F32" s="322">
        <v>0.2</v>
      </c>
      <c r="G32" s="322">
        <v>3.7949999999999999</v>
      </c>
      <c r="H32" s="322"/>
      <c r="I32" s="319"/>
      <c r="J32" s="322"/>
      <c r="K32" s="319"/>
      <c r="L32" s="159"/>
      <c r="M32" s="319"/>
      <c r="N32" s="37"/>
    </row>
    <row r="33" spans="2:14">
      <c r="B33" s="347">
        <v>7</v>
      </c>
      <c r="C33" s="347" t="s">
        <v>585</v>
      </c>
      <c r="D33" s="43" t="s">
        <v>119</v>
      </c>
      <c r="E33" s="332" t="s">
        <v>26</v>
      </c>
      <c r="F33" s="322"/>
      <c r="G33" s="332">
        <f>SUM(G36:G44)</f>
        <v>64</v>
      </c>
      <c r="H33" s="322"/>
      <c r="I33" s="319"/>
      <c r="J33" s="322"/>
      <c r="K33" s="319"/>
      <c r="L33" s="322"/>
      <c r="M33" s="319"/>
      <c r="N33" s="37"/>
    </row>
    <row r="34" spans="2:14">
      <c r="B34" s="348"/>
      <c r="C34" s="348"/>
      <c r="D34" s="46" t="s">
        <v>8</v>
      </c>
      <c r="E34" s="322" t="s">
        <v>10</v>
      </c>
      <c r="F34" s="319">
        <v>0.38900000000000001</v>
      </c>
      <c r="G34" s="322">
        <f>F34*G33</f>
        <v>24.896000000000001</v>
      </c>
      <c r="H34" s="322"/>
      <c r="I34" s="319"/>
      <c r="J34" s="322"/>
      <c r="K34" s="319"/>
      <c r="L34" s="322"/>
      <c r="M34" s="319"/>
      <c r="N34" s="37"/>
    </row>
    <row r="35" spans="2:14">
      <c r="B35" s="348"/>
      <c r="C35" s="348"/>
      <c r="D35" s="46" t="s">
        <v>9</v>
      </c>
      <c r="E35" s="322" t="s">
        <v>11</v>
      </c>
      <c r="F35" s="319">
        <v>0.151</v>
      </c>
      <c r="G35" s="322">
        <f>F35*G33</f>
        <v>9.6639999999999997</v>
      </c>
      <c r="H35" s="322"/>
      <c r="I35" s="319"/>
      <c r="J35" s="322"/>
      <c r="K35" s="319"/>
      <c r="L35" s="322"/>
      <c r="M35" s="319"/>
      <c r="N35" s="37"/>
    </row>
    <row r="36" spans="2:14">
      <c r="B36" s="348"/>
      <c r="C36" s="348"/>
      <c r="D36" s="46" t="s">
        <v>193</v>
      </c>
      <c r="E36" s="322" t="s">
        <v>26</v>
      </c>
      <c r="F36" s="322"/>
      <c r="G36" s="322">
        <v>6</v>
      </c>
      <c r="H36" s="322"/>
      <c r="I36" s="319"/>
      <c r="J36" s="322"/>
      <c r="K36" s="319"/>
      <c r="L36" s="322"/>
      <c r="M36" s="319"/>
      <c r="N36" s="37"/>
    </row>
    <row r="37" spans="2:14">
      <c r="B37" s="348"/>
      <c r="C37" s="348"/>
      <c r="D37" s="46" t="s">
        <v>189</v>
      </c>
      <c r="E37" s="322" t="s">
        <v>26</v>
      </c>
      <c r="F37" s="322"/>
      <c r="G37" s="322">
        <v>8</v>
      </c>
      <c r="H37" s="322"/>
      <c r="I37" s="319"/>
      <c r="J37" s="322"/>
      <c r="K37" s="319"/>
      <c r="L37" s="322"/>
      <c r="M37" s="319"/>
      <c r="N37" s="37"/>
    </row>
    <row r="38" spans="2:14">
      <c r="B38" s="348"/>
      <c r="C38" s="348"/>
      <c r="D38" s="46" t="s">
        <v>194</v>
      </c>
      <c r="E38" s="322" t="s">
        <v>26</v>
      </c>
      <c r="F38" s="322"/>
      <c r="G38" s="322">
        <v>10</v>
      </c>
      <c r="H38" s="322"/>
      <c r="I38" s="319"/>
      <c r="J38" s="322"/>
      <c r="K38" s="319"/>
      <c r="L38" s="322"/>
      <c r="M38" s="319"/>
      <c r="N38" s="37"/>
    </row>
    <row r="39" spans="2:14">
      <c r="B39" s="348"/>
      <c r="C39" s="348"/>
      <c r="D39" s="46" t="s">
        <v>190</v>
      </c>
      <c r="E39" s="322" t="s">
        <v>26</v>
      </c>
      <c r="F39" s="322"/>
      <c r="G39" s="322">
        <v>21</v>
      </c>
      <c r="H39" s="322"/>
      <c r="I39" s="319"/>
      <c r="J39" s="322"/>
      <c r="K39" s="319"/>
      <c r="L39" s="322"/>
      <c r="M39" s="319"/>
      <c r="N39" s="37"/>
    </row>
    <row r="40" spans="2:14">
      <c r="B40" s="348"/>
      <c r="C40" s="348"/>
      <c r="D40" s="46" t="s">
        <v>195</v>
      </c>
      <c r="E40" s="322" t="s">
        <v>26</v>
      </c>
      <c r="F40" s="322"/>
      <c r="G40" s="322">
        <v>5</v>
      </c>
      <c r="H40" s="322"/>
      <c r="I40" s="319"/>
      <c r="J40" s="322"/>
      <c r="K40" s="319"/>
      <c r="L40" s="322"/>
      <c r="M40" s="319"/>
      <c r="N40" s="37"/>
    </row>
    <row r="41" spans="2:14">
      <c r="B41" s="348"/>
      <c r="C41" s="348"/>
      <c r="D41" s="46" t="s">
        <v>196</v>
      </c>
      <c r="E41" s="322" t="s">
        <v>26</v>
      </c>
      <c r="F41" s="322"/>
      <c r="G41" s="322">
        <v>8</v>
      </c>
      <c r="H41" s="322"/>
      <c r="I41" s="319"/>
      <c r="J41" s="322"/>
      <c r="K41" s="319"/>
      <c r="L41" s="322"/>
      <c r="M41" s="319"/>
      <c r="N41" s="37"/>
    </row>
    <row r="42" spans="2:14">
      <c r="B42" s="348"/>
      <c r="C42" s="348"/>
      <c r="D42" s="46" t="s">
        <v>361</v>
      </c>
      <c r="E42" s="322" t="s">
        <v>26</v>
      </c>
      <c r="F42" s="322"/>
      <c r="G42" s="322">
        <v>3</v>
      </c>
      <c r="H42" s="322"/>
      <c r="I42" s="319"/>
      <c r="J42" s="322"/>
      <c r="K42" s="319"/>
      <c r="L42" s="322"/>
      <c r="M42" s="319"/>
      <c r="N42" s="37"/>
    </row>
    <row r="43" spans="2:14">
      <c r="B43" s="348"/>
      <c r="C43" s="348"/>
      <c r="D43" s="46" t="s">
        <v>362</v>
      </c>
      <c r="E43" s="322" t="s">
        <v>26</v>
      </c>
      <c r="F43" s="322"/>
      <c r="G43" s="322">
        <v>2</v>
      </c>
      <c r="H43" s="322"/>
      <c r="I43" s="319"/>
      <c r="J43" s="322"/>
      <c r="K43" s="319"/>
      <c r="L43" s="322"/>
      <c r="M43" s="319"/>
      <c r="N43" s="37"/>
    </row>
    <row r="44" spans="2:14">
      <c r="B44" s="348"/>
      <c r="C44" s="348"/>
      <c r="D44" s="46" t="s">
        <v>197</v>
      </c>
      <c r="E44" s="322" t="s">
        <v>26</v>
      </c>
      <c r="F44" s="322"/>
      <c r="G44" s="322">
        <v>1</v>
      </c>
      <c r="H44" s="322"/>
      <c r="I44" s="319"/>
      <c r="J44" s="322"/>
      <c r="K44" s="319"/>
      <c r="L44" s="322"/>
      <c r="M44" s="319"/>
      <c r="N44" s="37"/>
    </row>
    <row r="45" spans="2:14">
      <c r="B45" s="349"/>
      <c r="C45" s="349"/>
      <c r="D45" s="46" t="s">
        <v>13</v>
      </c>
      <c r="E45" s="322" t="s">
        <v>11</v>
      </c>
      <c r="F45" s="322">
        <v>0.24</v>
      </c>
      <c r="G45" s="322">
        <f>F45*G33</f>
        <v>15.36</v>
      </c>
      <c r="H45" s="322"/>
      <c r="I45" s="319"/>
      <c r="J45" s="322"/>
      <c r="K45" s="319"/>
      <c r="L45" s="322"/>
      <c r="M45" s="319"/>
      <c r="N45" s="37"/>
    </row>
    <row r="46" spans="2:14">
      <c r="B46" s="386">
        <v>8</v>
      </c>
      <c r="C46" s="347" t="s">
        <v>86</v>
      </c>
      <c r="D46" s="43" t="s">
        <v>87</v>
      </c>
      <c r="E46" s="332" t="s">
        <v>26</v>
      </c>
      <c r="F46" s="322"/>
      <c r="G46" s="332">
        <v>4</v>
      </c>
      <c r="H46" s="322"/>
      <c r="I46" s="319"/>
      <c r="J46" s="322"/>
      <c r="K46" s="319"/>
      <c r="L46" s="322"/>
      <c r="M46" s="319"/>
      <c r="N46" s="37"/>
    </row>
    <row r="47" spans="2:14">
      <c r="B47" s="386"/>
      <c r="C47" s="348"/>
      <c r="D47" s="46" t="s">
        <v>28</v>
      </c>
      <c r="E47" s="322" t="s">
        <v>10</v>
      </c>
      <c r="F47" s="322">
        <v>0.46</v>
      </c>
      <c r="G47" s="322">
        <f>F47*G46</f>
        <v>1.84</v>
      </c>
      <c r="H47" s="322"/>
      <c r="I47" s="319"/>
      <c r="J47" s="322"/>
      <c r="K47" s="319"/>
      <c r="L47" s="322"/>
      <c r="M47" s="319"/>
      <c r="N47" s="37"/>
    </row>
    <row r="48" spans="2:14">
      <c r="B48" s="386"/>
      <c r="C48" s="348"/>
      <c r="D48" s="46" t="s">
        <v>9</v>
      </c>
      <c r="E48" s="322" t="s">
        <v>11</v>
      </c>
      <c r="F48" s="322">
        <v>0.02</v>
      </c>
      <c r="G48" s="322">
        <f>F48*G46</f>
        <v>0.08</v>
      </c>
      <c r="H48" s="322"/>
      <c r="I48" s="319"/>
      <c r="J48" s="322"/>
      <c r="K48" s="319"/>
      <c r="L48" s="322"/>
      <c r="M48" s="319"/>
      <c r="N48" s="37"/>
    </row>
    <row r="49" spans="2:14">
      <c r="B49" s="386"/>
      <c r="C49" s="348"/>
      <c r="D49" s="46" t="s">
        <v>88</v>
      </c>
      <c r="E49" s="322" t="s">
        <v>26</v>
      </c>
      <c r="F49" s="322">
        <v>1</v>
      </c>
      <c r="G49" s="322">
        <f>F49*G46</f>
        <v>4</v>
      </c>
      <c r="H49" s="322"/>
      <c r="I49" s="319"/>
      <c r="J49" s="322"/>
      <c r="K49" s="319"/>
      <c r="L49" s="322"/>
      <c r="M49" s="319"/>
      <c r="N49" s="37"/>
    </row>
    <row r="50" spans="2:14">
      <c r="B50" s="386"/>
      <c r="C50" s="349"/>
      <c r="D50" s="46" t="s">
        <v>13</v>
      </c>
      <c r="E50" s="322" t="s">
        <v>11</v>
      </c>
      <c r="F50" s="322">
        <v>0.11</v>
      </c>
      <c r="G50" s="322">
        <f>F50*G46</f>
        <v>0.44</v>
      </c>
      <c r="H50" s="322"/>
      <c r="I50" s="319"/>
      <c r="J50" s="322"/>
      <c r="K50" s="319"/>
      <c r="L50" s="322"/>
      <c r="M50" s="319"/>
      <c r="N50" s="37"/>
    </row>
    <row r="51" spans="2:14">
      <c r="B51" s="318"/>
      <c r="C51" s="315"/>
      <c r="D51" s="46" t="s">
        <v>28</v>
      </c>
      <c r="E51" s="322" t="s">
        <v>10</v>
      </c>
      <c r="F51" s="322">
        <v>2.14</v>
      </c>
      <c r="G51" s="322">
        <f>F51*G46</f>
        <v>8.56</v>
      </c>
      <c r="H51" s="322"/>
      <c r="I51" s="319"/>
      <c r="J51" s="322"/>
      <c r="K51" s="319"/>
      <c r="L51" s="322"/>
      <c r="M51" s="319"/>
      <c r="N51" s="37"/>
    </row>
    <row r="52" spans="2:14">
      <c r="B52" s="386">
        <v>9</v>
      </c>
      <c r="C52" s="347" t="s">
        <v>199</v>
      </c>
      <c r="D52" s="43" t="s">
        <v>82</v>
      </c>
      <c r="E52" s="332" t="s">
        <v>43</v>
      </c>
      <c r="F52" s="322"/>
      <c r="G52" s="332">
        <v>22</v>
      </c>
      <c r="H52" s="322"/>
      <c r="I52" s="319"/>
      <c r="J52" s="322"/>
      <c r="K52" s="319"/>
      <c r="L52" s="322"/>
      <c r="M52" s="319"/>
      <c r="N52" s="37"/>
    </row>
    <row r="53" spans="2:14">
      <c r="B53" s="386"/>
      <c r="C53" s="348"/>
      <c r="D53" s="46" t="s">
        <v>28</v>
      </c>
      <c r="E53" s="322" t="s">
        <v>10</v>
      </c>
      <c r="F53" s="322">
        <v>2.19</v>
      </c>
      <c r="G53" s="322">
        <f>F53*G52</f>
        <v>48.18</v>
      </c>
      <c r="H53" s="322"/>
      <c r="I53" s="319"/>
      <c r="J53" s="322"/>
      <c r="K53" s="319"/>
      <c r="L53" s="322"/>
      <c r="M53" s="319"/>
      <c r="N53" s="37"/>
    </row>
    <row r="54" spans="2:14">
      <c r="B54" s="386"/>
      <c r="C54" s="348"/>
      <c r="D54" s="46" t="s">
        <v>9</v>
      </c>
      <c r="E54" s="322" t="s">
        <v>11</v>
      </c>
      <c r="F54" s="322">
        <v>7.0000000000000007E-2</v>
      </c>
      <c r="G54" s="322">
        <f>F54*G52</f>
        <v>1.54</v>
      </c>
      <c r="H54" s="322"/>
      <c r="I54" s="319"/>
      <c r="J54" s="322"/>
      <c r="K54" s="319"/>
      <c r="L54" s="322"/>
      <c r="M54" s="319"/>
      <c r="N54" s="37"/>
    </row>
    <row r="55" spans="2:14">
      <c r="B55" s="386"/>
      <c r="C55" s="348"/>
      <c r="D55" s="46" t="s">
        <v>83</v>
      </c>
      <c r="E55" s="322" t="s">
        <v>43</v>
      </c>
      <c r="F55" s="322">
        <v>1</v>
      </c>
      <c r="G55" s="322">
        <f>F55*G52</f>
        <v>22</v>
      </c>
      <c r="H55" s="322"/>
      <c r="I55" s="319"/>
      <c r="J55" s="322"/>
      <c r="K55" s="319"/>
      <c r="L55" s="322"/>
      <c r="M55" s="319"/>
      <c r="N55" s="37"/>
    </row>
    <row r="56" spans="2:14">
      <c r="B56" s="386"/>
      <c r="C56" s="349"/>
      <c r="D56" s="46" t="s">
        <v>13</v>
      </c>
      <c r="E56" s="322" t="s">
        <v>11</v>
      </c>
      <c r="F56" s="322">
        <v>0.37</v>
      </c>
      <c r="G56" s="322">
        <f>F56*G52</f>
        <v>8.14</v>
      </c>
      <c r="H56" s="322"/>
      <c r="I56" s="319"/>
      <c r="J56" s="322"/>
      <c r="K56" s="319"/>
      <c r="L56" s="322"/>
      <c r="M56" s="319"/>
      <c r="N56" s="37"/>
    </row>
    <row r="57" spans="2:14">
      <c r="B57" s="386">
        <v>10</v>
      </c>
      <c r="C57" s="347" t="s">
        <v>84</v>
      </c>
      <c r="D57" s="43" t="s">
        <v>198</v>
      </c>
      <c r="E57" s="332" t="s">
        <v>43</v>
      </c>
      <c r="F57" s="322"/>
      <c r="G57" s="332">
        <v>8</v>
      </c>
      <c r="H57" s="322"/>
      <c r="I57" s="319"/>
      <c r="J57" s="322"/>
      <c r="K57" s="319"/>
      <c r="L57" s="322"/>
      <c r="M57" s="319"/>
      <c r="N57" s="37"/>
    </row>
    <row r="58" spans="2:14">
      <c r="B58" s="386"/>
      <c r="C58" s="348"/>
      <c r="D58" s="46" t="s">
        <v>28</v>
      </c>
      <c r="E58" s="322" t="s">
        <v>10</v>
      </c>
      <c r="F58" s="322">
        <v>3.02</v>
      </c>
      <c r="G58" s="322">
        <f>F58*G57</f>
        <v>24.16</v>
      </c>
      <c r="H58" s="322"/>
      <c r="I58" s="319"/>
      <c r="J58" s="322"/>
      <c r="K58" s="319"/>
      <c r="L58" s="322"/>
      <c r="M58" s="319"/>
      <c r="N58" s="37"/>
    </row>
    <row r="59" spans="2:14">
      <c r="B59" s="386"/>
      <c r="C59" s="348"/>
      <c r="D59" s="46" t="s">
        <v>9</v>
      </c>
      <c r="E59" s="322" t="s">
        <v>11</v>
      </c>
      <c r="F59" s="322">
        <v>0.14000000000000001</v>
      </c>
      <c r="G59" s="322">
        <f>F59*G57</f>
        <v>1.1200000000000001</v>
      </c>
      <c r="H59" s="322"/>
      <c r="I59" s="319"/>
      <c r="J59" s="322"/>
      <c r="K59" s="319"/>
      <c r="L59" s="322"/>
      <c r="M59" s="319"/>
      <c r="N59" s="37"/>
    </row>
    <row r="60" spans="2:14">
      <c r="B60" s="386"/>
      <c r="C60" s="348"/>
      <c r="D60" s="46" t="s">
        <v>85</v>
      </c>
      <c r="E60" s="322" t="s">
        <v>43</v>
      </c>
      <c r="F60" s="322">
        <v>1</v>
      </c>
      <c r="G60" s="322">
        <f>F60*G57</f>
        <v>8</v>
      </c>
      <c r="H60" s="322"/>
      <c r="I60" s="319"/>
      <c r="J60" s="322"/>
      <c r="K60" s="319"/>
      <c r="L60" s="322"/>
      <c r="M60" s="319"/>
      <c r="N60" s="37"/>
    </row>
    <row r="61" spans="2:14">
      <c r="B61" s="386"/>
      <c r="C61" s="349"/>
      <c r="D61" s="46" t="s">
        <v>13</v>
      </c>
      <c r="E61" s="322" t="s">
        <v>11</v>
      </c>
      <c r="F61" s="322">
        <v>1.32</v>
      </c>
      <c r="G61" s="322">
        <f>F61*G57</f>
        <v>10.56</v>
      </c>
      <c r="H61" s="322"/>
      <c r="I61" s="319"/>
      <c r="J61" s="322"/>
      <c r="K61" s="319"/>
      <c r="L61" s="322"/>
      <c r="M61" s="319"/>
      <c r="N61" s="37"/>
    </row>
    <row r="62" spans="2:14" ht="25.5">
      <c r="B62" s="441">
        <v>11</v>
      </c>
      <c r="C62" s="353" t="s">
        <v>363</v>
      </c>
      <c r="D62" s="160" t="s">
        <v>370</v>
      </c>
      <c r="E62" s="332" t="s">
        <v>110</v>
      </c>
      <c r="F62" s="322"/>
      <c r="G62" s="57">
        <v>2</v>
      </c>
      <c r="H62" s="73"/>
      <c r="I62" s="73"/>
      <c r="J62" s="73"/>
      <c r="K62" s="73"/>
      <c r="L62" s="73"/>
      <c r="M62" s="73"/>
      <c r="N62" s="74"/>
    </row>
    <row r="63" spans="2:14">
      <c r="B63" s="441"/>
      <c r="C63" s="354"/>
      <c r="D63" s="46" t="s">
        <v>90</v>
      </c>
      <c r="E63" s="322" t="s">
        <v>10</v>
      </c>
      <c r="F63" s="322">
        <v>1.6</v>
      </c>
      <c r="G63" s="322">
        <f t="shared" ref="G63" si="0">F63*G62</f>
        <v>3.2</v>
      </c>
      <c r="H63" s="225"/>
      <c r="I63" s="225"/>
      <c r="J63" s="225"/>
      <c r="K63" s="225"/>
      <c r="L63" s="225"/>
      <c r="M63" s="225"/>
      <c r="N63" s="49"/>
    </row>
    <row r="64" spans="2:14" ht="25.5">
      <c r="B64" s="441"/>
      <c r="C64" s="354"/>
      <c r="D64" s="46" t="s">
        <v>364</v>
      </c>
      <c r="E64" s="322" t="s">
        <v>110</v>
      </c>
      <c r="F64" s="322">
        <v>1</v>
      </c>
      <c r="G64" s="322">
        <v>2</v>
      </c>
      <c r="H64" s="225"/>
      <c r="I64" s="225"/>
      <c r="J64" s="225"/>
      <c r="K64" s="225"/>
      <c r="L64" s="225"/>
      <c r="M64" s="225"/>
      <c r="N64" s="49"/>
    </row>
    <row r="65" spans="2:14">
      <c r="B65" s="441"/>
      <c r="C65" s="355"/>
      <c r="D65" s="46" t="s">
        <v>13</v>
      </c>
      <c r="E65" s="322" t="s">
        <v>11</v>
      </c>
      <c r="F65" s="322">
        <v>0.4</v>
      </c>
      <c r="G65" s="322">
        <f>G62*F65</f>
        <v>0.8</v>
      </c>
      <c r="H65" s="225"/>
      <c r="I65" s="225"/>
      <c r="J65" s="225"/>
      <c r="K65" s="225"/>
      <c r="L65" s="225"/>
      <c r="M65" s="225"/>
      <c r="N65" s="49"/>
    </row>
    <row r="66" spans="2:14" ht="25.5">
      <c r="B66" s="362">
        <v>12</v>
      </c>
      <c r="C66" s="445" t="s">
        <v>355</v>
      </c>
      <c r="D66" s="51" t="s">
        <v>475</v>
      </c>
      <c r="E66" s="52" t="s">
        <v>12</v>
      </c>
      <c r="F66" s="321"/>
      <c r="G66" s="52">
        <v>2.2799999999999998</v>
      </c>
      <c r="H66" s="321"/>
      <c r="I66" s="322"/>
      <c r="J66" s="321"/>
      <c r="K66" s="322"/>
      <c r="L66" s="321"/>
      <c r="M66" s="322"/>
      <c r="N66" s="36"/>
    </row>
    <row r="67" spans="2:14">
      <c r="B67" s="363"/>
      <c r="C67" s="446"/>
      <c r="D67" s="54" t="s">
        <v>28</v>
      </c>
      <c r="E67" s="321" t="s">
        <v>10</v>
      </c>
      <c r="F67" s="321">
        <v>1.87</v>
      </c>
      <c r="G67" s="321">
        <f>F67*G66</f>
        <v>4.2636000000000003</v>
      </c>
      <c r="H67" s="321"/>
      <c r="I67" s="322"/>
      <c r="J67" s="321"/>
      <c r="K67" s="322"/>
      <c r="L67" s="321"/>
      <c r="M67" s="322"/>
      <c r="N67" s="36"/>
    </row>
    <row r="68" spans="2:14">
      <c r="B68" s="363"/>
      <c r="C68" s="446"/>
      <c r="D68" s="38" t="s">
        <v>17</v>
      </c>
      <c r="E68" s="321" t="s">
        <v>11</v>
      </c>
      <c r="F68" s="321">
        <v>0.77</v>
      </c>
      <c r="G68" s="321">
        <f>F68*G66</f>
        <v>1.7555999999999998</v>
      </c>
      <c r="H68" s="321"/>
      <c r="I68" s="322"/>
      <c r="J68" s="321"/>
      <c r="K68" s="322"/>
      <c r="L68" s="321"/>
      <c r="M68" s="322"/>
      <c r="N68" s="36"/>
    </row>
    <row r="69" spans="2:14">
      <c r="B69" s="363"/>
      <c r="C69" s="446"/>
      <c r="D69" s="54" t="s">
        <v>356</v>
      </c>
      <c r="E69" s="321" t="s">
        <v>545</v>
      </c>
      <c r="F69" s="321">
        <f>101.5*0.01</f>
        <v>1.0150000000000001</v>
      </c>
      <c r="G69" s="321">
        <f>F69*G66</f>
        <v>2.3142</v>
      </c>
      <c r="H69" s="321"/>
      <c r="I69" s="322"/>
      <c r="J69" s="321"/>
      <c r="K69" s="322"/>
      <c r="L69" s="321"/>
      <c r="M69" s="322"/>
      <c r="N69" s="36"/>
    </row>
    <row r="70" spans="2:14">
      <c r="B70" s="363"/>
      <c r="C70" s="446"/>
      <c r="D70" s="54" t="s">
        <v>13</v>
      </c>
      <c r="E70" s="335" t="s">
        <v>11</v>
      </c>
      <c r="F70" s="320">
        <v>7.0000000000000001E-3</v>
      </c>
      <c r="G70" s="335">
        <f>F70*G66</f>
        <v>1.5959999999999998E-2</v>
      </c>
      <c r="H70" s="335"/>
      <c r="I70" s="322"/>
      <c r="J70" s="335"/>
      <c r="K70" s="322"/>
      <c r="L70" s="335"/>
      <c r="M70" s="322"/>
      <c r="N70" s="36"/>
    </row>
    <row r="71" spans="2:14">
      <c r="B71" s="364"/>
      <c r="C71" s="447"/>
      <c r="D71" s="35" t="s">
        <v>357</v>
      </c>
      <c r="E71" s="320" t="s">
        <v>20</v>
      </c>
      <c r="F71" s="320"/>
      <c r="G71" s="320">
        <f>19*2/1000</f>
        <v>3.7999999999999999E-2</v>
      </c>
      <c r="H71" s="320"/>
      <c r="I71" s="320"/>
      <c r="J71" s="320"/>
      <c r="K71" s="320"/>
      <c r="L71" s="320"/>
      <c r="M71" s="320"/>
      <c r="N71" s="56"/>
    </row>
    <row r="72" spans="2:14">
      <c r="B72" s="362">
        <v>13</v>
      </c>
      <c r="C72" s="445" t="s">
        <v>358</v>
      </c>
      <c r="D72" s="51" t="s">
        <v>442</v>
      </c>
      <c r="E72" s="52" t="s">
        <v>12</v>
      </c>
      <c r="F72" s="321"/>
      <c r="G72" s="52">
        <v>9</v>
      </c>
      <c r="H72" s="321"/>
      <c r="I72" s="322"/>
      <c r="J72" s="321"/>
      <c r="K72" s="322"/>
      <c r="L72" s="321"/>
      <c r="M72" s="322"/>
      <c r="N72" s="36"/>
    </row>
    <row r="73" spans="2:14">
      <c r="B73" s="363"/>
      <c r="C73" s="446"/>
      <c r="D73" s="54" t="s">
        <v>28</v>
      </c>
      <c r="E73" s="321" t="s">
        <v>10</v>
      </c>
      <c r="F73" s="321">
        <v>9.9</v>
      </c>
      <c r="G73" s="321">
        <f>F73*G72</f>
        <v>89.100000000000009</v>
      </c>
      <c r="H73" s="321"/>
      <c r="I73" s="322"/>
      <c r="J73" s="321"/>
      <c r="K73" s="322"/>
      <c r="L73" s="321"/>
      <c r="M73" s="322"/>
      <c r="N73" s="36"/>
    </row>
    <row r="74" spans="2:14">
      <c r="B74" s="363"/>
      <c r="C74" s="446"/>
      <c r="D74" s="38" t="s">
        <v>17</v>
      </c>
      <c r="E74" s="321" t="s">
        <v>11</v>
      </c>
      <c r="F74" s="321">
        <v>1.35</v>
      </c>
      <c r="G74" s="321">
        <f>F74*G72</f>
        <v>12.15</v>
      </c>
      <c r="H74" s="321"/>
      <c r="I74" s="322"/>
      <c r="J74" s="321"/>
      <c r="K74" s="322"/>
      <c r="L74" s="321"/>
      <c r="M74" s="322"/>
      <c r="N74" s="36"/>
    </row>
    <row r="75" spans="2:14">
      <c r="B75" s="363"/>
      <c r="C75" s="446"/>
      <c r="D75" s="54" t="s">
        <v>356</v>
      </c>
      <c r="E75" s="321" t="s">
        <v>545</v>
      </c>
      <c r="F75" s="321">
        <f>101.5*0.01</f>
        <v>1.0150000000000001</v>
      </c>
      <c r="G75" s="321">
        <f>F75*G72</f>
        <v>9.1350000000000016</v>
      </c>
      <c r="H75" s="321"/>
      <c r="I75" s="322"/>
      <c r="J75" s="321"/>
      <c r="K75" s="322"/>
      <c r="L75" s="321"/>
      <c r="M75" s="322"/>
      <c r="N75" s="36"/>
    </row>
    <row r="76" spans="2:14">
      <c r="B76" s="363"/>
      <c r="C76" s="446"/>
      <c r="D76" s="54" t="s">
        <v>13</v>
      </c>
      <c r="E76" s="335" t="s">
        <v>11</v>
      </c>
      <c r="F76" s="335">
        <v>0.56000000000000005</v>
      </c>
      <c r="G76" s="335">
        <f>F76*G72</f>
        <v>5.0400000000000009</v>
      </c>
      <c r="H76" s="335"/>
      <c r="I76" s="322"/>
      <c r="J76" s="335"/>
      <c r="K76" s="322"/>
      <c r="L76" s="335"/>
      <c r="M76" s="322"/>
      <c r="N76" s="36"/>
    </row>
    <row r="77" spans="2:14">
      <c r="B77" s="364"/>
      <c r="C77" s="447"/>
      <c r="D77" s="35" t="s">
        <v>357</v>
      </c>
      <c r="E77" s="320" t="s">
        <v>20</v>
      </c>
      <c r="F77" s="320"/>
      <c r="G77" s="320">
        <f>0.085*2</f>
        <v>0.17</v>
      </c>
      <c r="H77" s="320"/>
      <c r="I77" s="320"/>
      <c r="J77" s="320"/>
      <c r="K77" s="320"/>
      <c r="L77" s="320"/>
      <c r="M77" s="320"/>
      <c r="N77" s="56"/>
    </row>
    <row r="78" spans="2:14" ht="25.5">
      <c r="B78" s="362">
        <v>14</v>
      </c>
      <c r="C78" s="448" t="s">
        <v>53</v>
      </c>
      <c r="D78" s="51" t="s">
        <v>441</v>
      </c>
      <c r="E78" s="57" t="s">
        <v>12</v>
      </c>
      <c r="F78" s="57"/>
      <c r="G78" s="57">
        <v>2.19</v>
      </c>
      <c r="H78" s="320"/>
      <c r="I78" s="320"/>
      <c r="J78" s="320"/>
      <c r="K78" s="320"/>
      <c r="L78" s="161"/>
      <c r="M78" s="320"/>
      <c r="N78" s="59"/>
    </row>
    <row r="79" spans="2:14">
      <c r="B79" s="363"/>
      <c r="C79" s="455"/>
      <c r="D79" s="35" t="s">
        <v>8</v>
      </c>
      <c r="E79" s="320" t="s">
        <v>10</v>
      </c>
      <c r="F79" s="320">
        <v>8.4</v>
      </c>
      <c r="G79" s="320">
        <f>F79*G78</f>
        <v>18.396000000000001</v>
      </c>
      <c r="H79" s="320"/>
      <c r="I79" s="320"/>
      <c r="J79" s="320"/>
      <c r="K79" s="320"/>
      <c r="L79" s="320"/>
      <c r="M79" s="320"/>
      <c r="N79" s="56"/>
    </row>
    <row r="80" spans="2:14">
      <c r="B80" s="363"/>
      <c r="C80" s="455"/>
      <c r="D80" s="35" t="s">
        <v>48</v>
      </c>
      <c r="E80" s="320" t="s">
        <v>11</v>
      </c>
      <c r="F80" s="320">
        <v>0.81</v>
      </c>
      <c r="G80" s="320">
        <f>F80*G78</f>
        <v>1.7739</v>
      </c>
      <c r="H80" s="320"/>
      <c r="I80" s="320"/>
      <c r="J80" s="320"/>
      <c r="K80" s="320"/>
      <c r="L80" s="320"/>
      <c r="M80" s="320"/>
      <c r="N80" s="56"/>
    </row>
    <row r="81" spans="2:14">
      <c r="B81" s="363"/>
      <c r="C81" s="455"/>
      <c r="D81" s="35" t="s">
        <v>359</v>
      </c>
      <c r="E81" s="320" t="s">
        <v>12</v>
      </c>
      <c r="F81" s="320">
        <v>1.0149999999999999</v>
      </c>
      <c r="G81" s="320">
        <f>F81*G78</f>
        <v>2.2228499999999998</v>
      </c>
      <c r="H81" s="320"/>
      <c r="I81" s="320"/>
      <c r="J81" s="320"/>
      <c r="K81" s="320"/>
      <c r="L81" s="320"/>
      <c r="M81" s="320"/>
      <c r="N81" s="56"/>
    </row>
    <row r="82" spans="2:14">
      <c r="B82" s="363"/>
      <c r="C82" s="455"/>
      <c r="D82" s="35" t="s">
        <v>357</v>
      </c>
      <c r="E82" s="320" t="s">
        <v>20</v>
      </c>
      <c r="F82" s="320"/>
      <c r="G82" s="320">
        <f>0.039*2</f>
        <v>7.8E-2</v>
      </c>
      <c r="H82" s="320"/>
      <c r="I82" s="320"/>
      <c r="J82" s="320"/>
      <c r="K82" s="320"/>
      <c r="L82" s="320"/>
      <c r="M82" s="320"/>
      <c r="N82" s="56"/>
    </row>
    <row r="83" spans="2:14">
      <c r="B83" s="363"/>
      <c r="C83" s="455"/>
      <c r="D83" s="35" t="s">
        <v>360</v>
      </c>
      <c r="E83" s="320" t="s">
        <v>20</v>
      </c>
      <c r="F83" s="320"/>
      <c r="G83" s="320">
        <f>0.004*2</f>
        <v>8.0000000000000002E-3</v>
      </c>
      <c r="H83" s="320"/>
      <c r="I83" s="320"/>
      <c r="J83" s="320"/>
      <c r="K83" s="320"/>
      <c r="L83" s="320"/>
      <c r="M83" s="320"/>
      <c r="N83" s="56"/>
    </row>
    <row r="84" spans="2:14">
      <c r="B84" s="363"/>
      <c r="C84" s="455"/>
      <c r="D84" s="35" t="s">
        <v>476</v>
      </c>
      <c r="E84" s="320" t="s">
        <v>99</v>
      </c>
      <c r="F84" s="320"/>
      <c r="G84" s="320">
        <v>2</v>
      </c>
      <c r="H84" s="320"/>
      <c r="I84" s="320"/>
      <c r="J84" s="320"/>
      <c r="K84" s="320"/>
      <c r="L84" s="320"/>
      <c r="M84" s="320"/>
      <c r="N84" s="56"/>
    </row>
    <row r="85" spans="2:14">
      <c r="B85" s="363"/>
      <c r="C85" s="455"/>
      <c r="D85" s="35" t="s">
        <v>477</v>
      </c>
      <c r="E85" s="320" t="s">
        <v>99</v>
      </c>
      <c r="F85" s="320"/>
      <c r="G85" s="320">
        <v>2</v>
      </c>
      <c r="H85" s="320"/>
      <c r="I85" s="320"/>
      <c r="J85" s="320"/>
      <c r="K85" s="320"/>
      <c r="L85" s="320"/>
      <c r="M85" s="320"/>
      <c r="N85" s="56"/>
    </row>
    <row r="86" spans="2:14">
      <c r="B86" s="364"/>
      <c r="C86" s="449"/>
      <c r="D86" s="35" t="s">
        <v>13</v>
      </c>
      <c r="E86" s="320" t="s">
        <v>11</v>
      </c>
      <c r="F86" s="320">
        <v>0.39</v>
      </c>
      <c r="G86" s="320">
        <f>F86*G78</f>
        <v>0.85409999999999997</v>
      </c>
      <c r="H86" s="320"/>
      <c r="I86" s="320"/>
      <c r="J86" s="320"/>
      <c r="K86" s="320"/>
      <c r="L86" s="320"/>
      <c r="M86" s="320"/>
      <c r="N86" s="56"/>
    </row>
    <row r="87" spans="2:14" ht="25.5">
      <c r="B87" s="378">
        <v>18</v>
      </c>
      <c r="C87" s="453" t="s">
        <v>376</v>
      </c>
      <c r="D87" s="162" t="s">
        <v>575</v>
      </c>
      <c r="E87" s="330" t="s">
        <v>23</v>
      </c>
      <c r="F87" s="146"/>
      <c r="G87" s="163">
        <v>6</v>
      </c>
      <c r="H87" s="319"/>
      <c r="I87" s="322"/>
      <c r="J87" s="322"/>
      <c r="K87" s="322"/>
      <c r="L87" s="322"/>
      <c r="M87" s="322"/>
      <c r="N87" s="36"/>
    </row>
    <row r="88" spans="2:14" ht="24">
      <c r="B88" s="379"/>
      <c r="C88" s="453"/>
      <c r="D88" s="136" t="s">
        <v>207</v>
      </c>
      <c r="E88" s="225" t="s">
        <v>208</v>
      </c>
      <c r="F88" s="225">
        <v>0.35</v>
      </c>
      <c r="G88" s="225">
        <f>F88*G87</f>
        <v>2.0999999999999996</v>
      </c>
      <c r="H88" s="319"/>
      <c r="I88" s="322"/>
      <c r="J88" s="322"/>
      <c r="K88" s="322"/>
      <c r="L88" s="322"/>
      <c r="M88" s="322"/>
      <c r="N88" s="36"/>
    </row>
    <row r="89" spans="2:14">
      <c r="B89" s="379"/>
      <c r="C89" s="453"/>
      <c r="D89" s="136" t="s">
        <v>209</v>
      </c>
      <c r="E89" s="225" t="s">
        <v>210</v>
      </c>
      <c r="F89" s="225">
        <f>35/1000</f>
        <v>3.5000000000000003E-2</v>
      </c>
      <c r="G89" s="225">
        <f>F89*G87</f>
        <v>0.21000000000000002</v>
      </c>
      <c r="H89" s="319"/>
      <c r="I89" s="322"/>
      <c r="J89" s="322"/>
      <c r="K89" s="322"/>
      <c r="L89" s="322"/>
      <c r="M89" s="322"/>
      <c r="N89" s="36"/>
    </row>
    <row r="90" spans="2:14">
      <c r="B90" s="379"/>
      <c r="C90" s="453"/>
      <c r="D90" s="164" t="s">
        <v>570</v>
      </c>
      <c r="E90" s="322" t="s">
        <v>238</v>
      </c>
      <c r="F90" s="319"/>
      <c r="G90" s="319">
        <f>G87</f>
        <v>6</v>
      </c>
      <c r="H90" s="165"/>
      <c r="I90" s="322"/>
      <c r="J90" s="322"/>
      <c r="K90" s="322"/>
      <c r="L90" s="322"/>
      <c r="M90" s="322"/>
      <c r="N90" s="36"/>
    </row>
    <row r="91" spans="2:14">
      <c r="B91" s="379"/>
      <c r="C91" s="453"/>
      <c r="D91" s="164" t="s">
        <v>573</v>
      </c>
      <c r="E91" s="322" t="s">
        <v>26</v>
      </c>
      <c r="F91" s="319"/>
      <c r="G91" s="319">
        <v>2</v>
      </c>
      <c r="H91" s="334"/>
      <c r="I91" s="322"/>
      <c r="J91" s="322"/>
      <c r="K91" s="322"/>
      <c r="L91" s="322"/>
      <c r="M91" s="322"/>
      <c r="N91" s="36"/>
    </row>
    <row r="92" spans="2:14">
      <c r="B92" s="379"/>
      <c r="C92" s="453"/>
      <c r="D92" s="164" t="s">
        <v>478</v>
      </c>
      <c r="E92" s="322" t="s">
        <v>23</v>
      </c>
      <c r="F92" s="319"/>
      <c r="G92" s="319">
        <v>3</v>
      </c>
      <c r="H92" s="334"/>
      <c r="I92" s="322"/>
      <c r="J92" s="322"/>
      <c r="K92" s="322"/>
      <c r="L92" s="322"/>
      <c r="M92" s="322"/>
      <c r="N92" s="36"/>
    </row>
    <row r="93" spans="2:14">
      <c r="B93" s="380"/>
      <c r="C93" s="453"/>
      <c r="D93" s="136" t="s">
        <v>211</v>
      </c>
      <c r="E93" s="225" t="s">
        <v>210</v>
      </c>
      <c r="F93" s="225">
        <f>59/1000</f>
        <v>5.8999999999999997E-2</v>
      </c>
      <c r="G93" s="225">
        <f>F93*G87</f>
        <v>0.35399999999999998</v>
      </c>
      <c r="H93" s="319"/>
      <c r="I93" s="322"/>
      <c r="J93" s="322"/>
      <c r="K93" s="322"/>
      <c r="L93" s="322"/>
      <c r="M93" s="322"/>
      <c r="N93" s="36"/>
    </row>
    <row r="94" spans="2:14">
      <c r="B94" s="325"/>
      <c r="C94" s="440" t="s">
        <v>574</v>
      </c>
      <c r="D94" s="137" t="s">
        <v>571</v>
      </c>
      <c r="E94" s="138" t="s">
        <v>23</v>
      </c>
      <c r="F94" s="138"/>
      <c r="G94" s="139">
        <v>4.2</v>
      </c>
      <c r="H94" s="73"/>
      <c r="I94" s="332"/>
      <c r="J94" s="332"/>
      <c r="K94" s="332"/>
      <c r="L94" s="332"/>
      <c r="M94" s="332"/>
      <c r="N94" s="44"/>
    </row>
    <row r="95" spans="2:14">
      <c r="B95" s="325"/>
      <c r="C95" s="440"/>
      <c r="D95" s="140" t="s">
        <v>386</v>
      </c>
      <c r="E95" s="141" t="s">
        <v>229</v>
      </c>
      <c r="F95" s="141">
        <v>0.42</v>
      </c>
      <c r="G95" s="141">
        <f>G94*F95</f>
        <v>1.764</v>
      </c>
      <c r="H95" s="225"/>
      <c r="I95" s="322"/>
      <c r="J95" s="322"/>
      <c r="K95" s="322"/>
      <c r="L95" s="322"/>
      <c r="M95" s="322"/>
      <c r="N95" s="36"/>
    </row>
    <row r="96" spans="2:14">
      <c r="B96" s="325"/>
      <c r="C96" s="440"/>
      <c r="D96" s="46" t="s">
        <v>17</v>
      </c>
      <c r="E96" s="322" t="s">
        <v>11</v>
      </c>
      <c r="F96" s="141">
        <v>0.21</v>
      </c>
      <c r="G96" s="141">
        <f>G94*F96</f>
        <v>0.88200000000000001</v>
      </c>
      <c r="H96" s="225"/>
      <c r="I96" s="322"/>
      <c r="J96" s="322"/>
      <c r="K96" s="322"/>
      <c r="L96" s="322"/>
      <c r="M96" s="322"/>
      <c r="N96" s="36"/>
    </row>
    <row r="97" spans="2:14">
      <c r="B97" s="325"/>
      <c r="C97" s="440"/>
      <c r="D97" s="142" t="s">
        <v>572</v>
      </c>
      <c r="E97" s="143" t="s">
        <v>23</v>
      </c>
      <c r="F97" s="144"/>
      <c r="G97" s="145">
        <f>G94</f>
        <v>4.2</v>
      </c>
      <c r="H97" s="225"/>
      <c r="I97" s="322"/>
      <c r="J97" s="322"/>
      <c r="K97" s="322"/>
      <c r="L97" s="322"/>
      <c r="M97" s="322"/>
      <c r="N97" s="36"/>
    </row>
    <row r="98" spans="2:14">
      <c r="B98" s="325"/>
      <c r="C98" s="440"/>
      <c r="D98" s="46" t="s">
        <v>13</v>
      </c>
      <c r="E98" s="322" t="s">
        <v>11</v>
      </c>
      <c r="F98" s="141">
        <v>0.1</v>
      </c>
      <c r="G98" s="141">
        <f>G94*F98</f>
        <v>0.42000000000000004</v>
      </c>
      <c r="H98" s="225"/>
      <c r="I98" s="322"/>
      <c r="J98" s="322"/>
      <c r="K98" s="322"/>
      <c r="L98" s="322"/>
      <c r="M98" s="322"/>
      <c r="N98" s="36"/>
    </row>
    <row r="99" spans="2:14" ht="51">
      <c r="B99" s="362">
        <v>15</v>
      </c>
      <c r="C99" s="445" t="s">
        <v>365</v>
      </c>
      <c r="D99" s="166" t="s">
        <v>368</v>
      </c>
      <c r="E99" s="52" t="s">
        <v>543</v>
      </c>
      <c r="F99" s="52"/>
      <c r="G99" s="167">
        <v>44.8</v>
      </c>
      <c r="H99" s="330"/>
      <c r="I99" s="322"/>
      <c r="J99" s="330"/>
      <c r="K99" s="322"/>
      <c r="L99" s="330"/>
      <c r="M99" s="322"/>
      <c r="N99" s="36"/>
    </row>
    <row r="100" spans="2:14">
      <c r="B100" s="363"/>
      <c r="C100" s="446"/>
      <c r="D100" s="46" t="s">
        <v>28</v>
      </c>
      <c r="E100" s="319" t="s">
        <v>10</v>
      </c>
      <c r="F100" s="319">
        <v>0.33600000000000002</v>
      </c>
      <c r="G100" s="319">
        <f>G99*F100</f>
        <v>15.0528</v>
      </c>
      <c r="H100" s="319"/>
      <c r="I100" s="322"/>
      <c r="J100" s="319"/>
      <c r="K100" s="36"/>
      <c r="L100" s="319"/>
      <c r="M100" s="322"/>
      <c r="N100" s="36"/>
    </row>
    <row r="101" spans="2:14">
      <c r="B101" s="363"/>
      <c r="C101" s="446"/>
      <c r="D101" s="46" t="s">
        <v>17</v>
      </c>
      <c r="E101" s="39" t="s">
        <v>11</v>
      </c>
      <c r="F101" s="319">
        <v>1.4999999999999999E-2</v>
      </c>
      <c r="G101" s="319">
        <f>G99*F101</f>
        <v>0.67199999999999993</v>
      </c>
      <c r="H101" s="319"/>
      <c r="I101" s="322"/>
      <c r="J101" s="319"/>
      <c r="K101" s="322"/>
      <c r="L101" s="319"/>
      <c r="M101" s="322"/>
      <c r="N101" s="36"/>
    </row>
    <row r="102" spans="2:14">
      <c r="B102" s="363"/>
      <c r="C102" s="446"/>
      <c r="D102" s="46" t="s">
        <v>366</v>
      </c>
      <c r="E102" s="319" t="s">
        <v>367</v>
      </c>
      <c r="F102" s="319">
        <v>2.4</v>
      </c>
      <c r="G102" s="319">
        <f>G99*F102</f>
        <v>107.52</v>
      </c>
      <c r="H102" s="319"/>
      <c r="I102" s="322"/>
      <c r="J102" s="319"/>
      <c r="K102" s="322"/>
      <c r="L102" s="319"/>
      <c r="M102" s="322"/>
      <c r="N102" s="36"/>
    </row>
    <row r="103" spans="2:14">
      <c r="B103" s="364"/>
      <c r="C103" s="447"/>
      <c r="D103" s="46" t="s">
        <v>13</v>
      </c>
      <c r="E103" s="168" t="s">
        <v>11</v>
      </c>
      <c r="F103" s="319">
        <v>2.2800000000000001E-2</v>
      </c>
      <c r="G103" s="319">
        <f>F103*G99</f>
        <v>1.0214399999999999</v>
      </c>
      <c r="H103" s="319"/>
      <c r="I103" s="93"/>
      <c r="J103" s="319"/>
      <c r="K103" s="322"/>
      <c r="L103" s="319"/>
      <c r="M103" s="322"/>
      <c r="N103" s="36"/>
    </row>
    <row r="104" spans="2:14">
      <c r="B104" s="316"/>
      <c r="C104" s="317"/>
      <c r="D104" s="43" t="s">
        <v>369</v>
      </c>
      <c r="E104" s="322"/>
      <c r="F104" s="322"/>
      <c r="G104" s="322"/>
      <c r="H104" s="322"/>
      <c r="I104" s="319"/>
      <c r="J104" s="322"/>
      <c r="K104" s="319"/>
      <c r="L104" s="322"/>
      <c r="M104" s="319"/>
      <c r="N104" s="37"/>
    </row>
    <row r="105" spans="2:14" s="135" customFormat="1" ht="25.5">
      <c r="B105" s="434">
        <v>16.100000000000001</v>
      </c>
      <c r="C105" s="437" t="s">
        <v>531</v>
      </c>
      <c r="D105" s="121" t="s">
        <v>371</v>
      </c>
      <c r="E105" s="332" t="s">
        <v>23</v>
      </c>
      <c r="F105" s="73"/>
      <c r="G105" s="73">
        <f>G108</f>
        <v>26</v>
      </c>
      <c r="H105" s="330"/>
      <c r="I105" s="57"/>
      <c r="J105" s="322"/>
      <c r="K105" s="57"/>
      <c r="L105" s="322"/>
      <c r="M105" s="57"/>
      <c r="N105" s="37"/>
    </row>
    <row r="106" spans="2:14" s="134" customFormat="1">
      <c r="B106" s="435"/>
      <c r="C106" s="438"/>
      <c r="D106" s="136" t="s">
        <v>207</v>
      </c>
      <c r="E106" s="322" t="s">
        <v>208</v>
      </c>
      <c r="F106" s="225">
        <v>1.35</v>
      </c>
      <c r="G106" s="225">
        <f>G105*F106</f>
        <v>35.1</v>
      </c>
      <c r="H106" s="319"/>
      <c r="I106" s="322"/>
      <c r="J106" s="322"/>
      <c r="K106" s="322"/>
      <c r="L106" s="322"/>
      <c r="M106" s="322"/>
      <c r="N106" s="37"/>
    </row>
    <row r="107" spans="2:14" s="134" customFormat="1">
      <c r="B107" s="435"/>
      <c r="C107" s="438"/>
      <c r="D107" s="136" t="s">
        <v>216</v>
      </c>
      <c r="E107" s="322" t="s">
        <v>210</v>
      </c>
      <c r="F107" s="225">
        <v>3.1399999999999997E-2</v>
      </c>
      <c r="G107" s="225">
        <f>G105*F107</f>
        <v>0.8163999999999999</v>
      </c>
      <c r="H107" s="319"/>
      <c r="I107" s="322"/>
      <c r="J107" s="322"/>
      <c r="K107" s="322"/>
      <c r="L107" s="322"/>
      <c r="M107" s="322"/>
      <c r="N107" s="37"/>
    </row>
    <row r="108" spans="2:14" s="134" customFormat="1" ht="25.5">
      <c r="B108" s="435"/>
      <c r="C108" s="438"/>
      <c r="D108" s="38" t="s">
        <v>372</v>
      </c>
      <c r="E108" s="322" t="s">
        <v>258</v>
      </c>
      <c r="F108" s="225"/>
      <c r="G108" s="322">
        <f>14+12</f>
        <v>26</v>
      </c>
      <c r="H108" s="319"/>
      <c r="I108" s="322"/>
      <c r="J108" s="322"/>
      <c r="K108" s="322"/>
      <c r="L108" s="322"/>
      <c r="M108" s="322"/>
      <c r="N108" s="37"/>
    </row>
    <row r="109" spans="2:14" s="134" customFormat="1">
      <c r="B109" s="436"/>
      <c r="C109" s="439"/>
      <c r="D109" s="136" t="s">
        <v>259</v>
      </c>
      <c r="E109" s="322" t="s">
        <v>210</v>
      </c>
      <c r="F109" s="225">
        <v>6.5199999999999994E-2</v>
      </c>
      <c r="G109" s="225">
        <f>G105*F109</f>
        <v>1.6951999999999998</v>
      </c>
      <c r="H109" s="319"/>
      <c r="I109" s="322"/>
      <c r="J109" s="322"/>
      <c r="K109" s="322"/>
      <c r="L109" s="322"/>
      <c r="M109" s="322"/>
      <c r="N109" s="37"/>
    </row>
    <row r="110" spans="2:14" s="135" customFormat="1" ht="25.5">
      <c r="B110" s="434">
        <v>16.2</v>
      </c>
      <c r="C110" s="437" t="s">
        <v>532</v>
      </c>
      <c r="D110" s="121" t="s">
        <v>371</v>
      </c>
      <c r="E110" s="332" t="s">
        <v>23</v>
      </c>
      <c r="F110" s="73"/>
      <c r="G110" s="73">
        <f>G113</f>
        <v>40</v>
      </c>
      <c r="H110" s="330"/>
      <c r="I110" s="57"/>
      <c r="J110" s="322"/>
      <c r="K110" s="57"/>
      <c r="L110" s="322"/>
      <c r="M110" s="57"/>
      <c r="N110" s="37"/>
    </row>
    <row r="111" spans="2:14" s="134" customFormat="1">
      <c r="B111" s="435"/>
      <c r="C111" s="438"/>
      <c r="D111" s="136" t="s">
        <v>207</v>
      </c>
      <c r="E111" s="322" t="s">
        <v>208</v>
      </c>
      <c r="F111" s="225">
        <v>1.56</v>
      </c>
      <c r="G111" s="225">
        <f>G110*F111</f>
        <v>62.400000000000006</v>
      </c>
      <c r="H111" s="319"/>
      <c r="I111" s="322"/>
      <c r="J111" s="322"/>
      <c r="K111" s="322"/>
      <c r="L111" s="322"/>
      <c r="M111" s="322"/>
      <c r="N111" s="37"/>
    </row>
    <row r="112" spans="2:14" s="134" customFormat="1">
      <c r="B112" s="435"/>
      <c r="C112" s="438"/>
      <c r="D112" s="136" t="s">
        <v>216</v>
      </c>
      <c r="E112" s="322" t="s">
        <v>210</v>
      </c>
      <c r="F112" s="225">
        <v>2.1700000000000001E-2</v>
      </c>
      <c r="G112" s="225">
        <f>G110*F112</f>
        <v>0.86799999999999999</v>
      </c>
      <c r="H112" s="319"/>
      <c r="I112" s="322"/>
      <c r="J112" s="322"/>
      <c r="K112" s="322"/>
      <c r="L112" s="322"/>
      <c r="M112" s="322"/>
      <c r="N112" s="37"/>
    </row>
    <row r="113" spans="2:14" s="134" customFormat="1" ht="25.5">
      <c r="B113" s="435"/>
      <c r="C113" s="438"/>
      <c r="D113" s="38" t="s">
        <v>373</v>
      </c>
      <c r="E113" s="322" t="s">
        <v>23</v>
      </c>
      <c r="F113" s="322">
        <v>1</v>
      </c>
      <c r="G113" s="322">
        <f>14+26</f>
        <v>40</v>
      </c>
      <c r="H113" s="319"/>
      <c r="I113" s="322"/>
      <c r="J113" s="322"/>
      <c r="K113" s="322"/>
      <c r="L113" s="322"/>
      <c r="M113" s="322"/>
      <c r="N113" s="37"/>
    </row>
    <row r="114" spans="2:14" s="134" customFormat="1">
      <c r="B114" s="436"/>
      <c r="C114" s="439"/>
      <c r="D114" s="136" t="s">
        <v>259</v>
      </c>
      <c r="E114" s="322" t="s">
        <v>210</v>
      </c>
      <c r="F114" s="225">
        <v>7.0800000000000002E-2</v>
      </c>
      <c r="G114" s="225">
        <f>G110*F114</f>
        <v>2.8319999999999999</v>
      </c>
      <c r="H114" s="319"/>
      <c r="I114" s="322"/>
      <c r="J114" s="322"/>
      <c r="K114" s="322"/>
      <c r="L114" s="322"/>
      <c r="M114" s="322"/>
      <c r="N114" s="37"/>
    </row>
    <row r="115" spans="2:14" s="135" customFormat="1" ht="25.5">
      <c r="B115" s="434">
        <v>16.3</v>
      </c>
      <c r="C115" s="437" t="s">
        <v>533</v>
      </c>
      <c r="D115" s="121" t="s">
        <v>371</v>
      </c>
      <c r="E115" s="332" t="s">
        <v>23</v>
      </c>
      <c r="F115" s="73"/>
      <c r="G115" s="73">
        <f>G118</f>
        <v>24</v>
      </c>
      <c r="H115" s="330"/>
      <c r="I115" s="57"/>
      <c r="J115" s="322"/>
      <c r="K115" s="57"/>
      <c r="L115" s="322"/>
      <c r="M115" s="57"/>
      <c r="N115" s="37"/>
    </row>
    <row r="116" spans="2:14" s="134" customFormat="1">
      <c r="B116" s="435"/>
      <c r="C116" s="438"/>
      <c r="D116" s="136" t="s">
        <v>207</v>
      </c>
      <c r="E116" s="322" t="s">
        <v>208</v>
      </c>
      <c r="F116" s="225">
        <v>1.17</v>
      </c>
      <c r="G116" s="225">
        <f>G115*F116</f>
        <v>28.08</v>
      </c>
      <c r="H116" s="319"/>
      <c r="I116" s="322"/>
      <c r="J116" s="322"/>
      <c r="K116" s="322"/>
      <c r="L116" s="322"/>
      <c r="M116" s="322"/>
      <c r="N116" s="37"/>
    </row>
    <row r="117" spans="2:14" s="134" customFormat="1">
      <c r="B117" s="435"/>
      <c r="C117" s="438"/>
      <c r="D117" s="136" t="s">
        <v>216</v>
      </c>
      <c r="E117" s="322" t="s">
        <v>210</v>
      </c>
      <c r="F117" s="225">
        <v>1.72E-2</v>
      </c>
      <c r="G117" s="225">
        <f>G115*F117</f>
        <v>0.4128</v>
      </c>
      <c r="H117" s="319"/>
      <c r="I117" s="322"/>
      <c r="J117" s="322"/>
      <c r="K117" s="322"/>
      <c r="L117" s="322"/>
      <c r="M117" s="322"/>
      <c r="N117" s="37"/>
    </row>
    <row r="118" spans="2:14" s="134" customFormat="1" ht="25.5">
      <c r="B118" s="435"/>
      <c r="C118" s="438"/>
      <c r="D118" s="38" t="s">
        <v>374</v>
      </c>
      <c r="E118" s="322" t="s">
        <v>23</v>
      </c>
      <c r="F118" s="322">
        <v>1</v>
      </c>
      <c r="G118" s="322">
        <v>24</v>
      </c>
      <c r="H118" s="319"/>
      <c r="I118" s="322"/>
      <c r="J118" s="322"/>
      <c r="K118" s="322"/>
      <c r="L118" s="322"/>
      <c r="M118" s="322"/>
      <c r="N118" s="37"/>
    </row>
    <row r="119" spans="2:14" s="134" customFormat="1">
      <c r="B119" s="436"/>
      <c r="C119" s="439"/>
      <c r="D119" s="136" t="s">
        <v>259</v>
      </c>
      <c r="E119" s="322" t="s">
        <v>210</v>
      </c>
      <c r="F119" s="225">
        <v>3.9300000000000002E-2</v>
      </c>
      <c r="G119" s="225">
        <f>G115*F119</f>
        <v>0.94320000000000004</v>
      </c>
      <c r="H119" s="319"/>
      <c r="I119" s="322"/>
      <c r="J119" s="322"/>
      <c r="K119" s="322"/>
      <c r="L119" s="322"/>
      <c r="M119" s="322"/>
      <c r="N119" s="37"/>
    </row>
    <row r="120" spans="2:14" ht="25.5">
      <c r="B120" s="378">
        <v>18</v>
      </c>
      <c r="C120" s="453" t="s">
        <v>376</v>
      </c>
      <c r="D120" s="162" t="s">
        <v>377</v>
      </c>
      <c r="E120" s="330" t="s">
        <v>23</v>
      </c>
      <c r="F120" s="146"/>
      <c r="G120" s="146">
        <f>G123</f>
        <v>14</v>
      </c>
      <c r="H120" s="319"/>
      <c r="I120" s="322"/>
      <c r="J120" s="322"/>
      <c r="K120" s="322"/>
      <c r="L120" s="322"/>
      <c r="M120" s="322"/>
      <c r="N120" s="36"/>
    </row>
    <row r="121" spans="2:14" ht="24">
      <c r="B121" s="379"/>
      <c r="C121" s="453"/>
      <c r="D121" s="136" t="s">
        <v>207</v>
      </c>
      <c r="E121" s="225" t="s">
        <v>208</v>
      </c>
      <c r="F121" s="225">
        <v>0.35</v>
      </c>
      <c r="G121" s="225">
        <f>F121*G120</f>
        <v>4.8999999999999995</v>
      </c>
      <c r="H121" s="319"/>
      <c r="I121" s="322"/>
      <c r="J121" s="322"/>
      <c r="K121" s="322"/>
      <c r="L121" s="322"/>
      <c r="M121" s="322"/>
      <c r="N121" s="36"/>
    </row>
    <row r="122" spans="2:14">
      <c r="B122" s="379"/>
      <c r="C122" s="453"/>
      <c r="D122" s="136" t="s">
        <v>209</v>
      </c>
      <c r="E122" s="225" t="s">
        <v>210</v>
      </c>
      <c r="F122" s="225">
        <f>35/1000</f>
        <v>3.5000000000000003E-2</v>
      </c>
      <c r="G122" s="225">
        <f>F122*G120</f>
        <v>0.49000000000000005</v>
      </c>
      <c r="H122" s="319"/>
      <c r="I122" s="322"/>
      <c r="J122" s="322"/>
      <c r="K122" s="322"/>
      <c r="L122" s="322"/>
      <c r="M122" s="322"/>
      <c r="N122" s="36"/>
    </row>
    <row r="123" spans="2:14">
      <c r="B123" s="379"/>
      <c r="C123" s="453"/>
      <c r="D123" s="164" t="s">
        <v>582</v>
      </c>
      <c r="E123" s="322" t="s">
        <v>238</v>
      </c>
      <c r="F123" s="319"/>
      <c r="G123" s="319">
        <v>14</v>
      </c>
      <c r="H123" s="169"/>
      <c r="I123" s="322"/>
      <c r="J123" s="322"/>
      <c r="K123" s="322"/>
      <c r="L123" s="322"/>
      <c r="M123" s="322"/>
      <c r="N123" s="36"/>
    </row>
    <row r="124" spans="2:14">
      <c r="B124" s="380"/>
      <c r="C124" s="453"/>
      <c r="D124" s="136" t="s">
        <v>211</v>
      </c>
      <c r="E124" s="225" t="s">
        <v>210</v>
      </c>
      <c r="F124" s="225">
        <f>59/1000</f>
        <v>5.8999999999999997E-2</v>
      </c>
      <c r="G124" s="225">
        <f>F124*G120</f>
        <v>0.82599999999999996</v>
      </c>
      <c r="H124" s="319"/>
      <c r="I124" s="322"/>
      <c r="J124" s="322"/>
      <c r="K124" s="322"/>
      <c r="L124" s="322"/>
      <c r="M124" s="322"/>
      <c r="N124" s="36"/>
    </row>
    <row r="125" spans="2:14" ht="25.5">
      <c r="B125" s="324"/>
      <c r="C125" s="323"/>
      <c r="D125" s="162" t="s">
        <v>581</v>
      </c>
      <c r="E125" s="61"/>
      <c r="F125" s="61"/>
      <c r="G125" s="61"/>
      <c r="H125" s="170"/>
      <c r="I125" s="61"/>
      <c r="J125" s="61"/>
      <c r="K125" s="61"/>
      <c r="L125" s="61"/>
      <c r="M125" s="61"/>
      <c r="N125" s="63"/>
    </row>
    <row r="126" spans="2:14">
      <c r="B126" s="325"/>
      <c r="C126" s="323"/>
      <c r="D126" s="72" t="s">
        <v>413</v>
      </c>
      <c r="E126" s="323" t="s">
        <v>26</v>
      </c>
      <c r="F126" s="323"/>
      <c r="G126" s="323">
        <v>1</v>
      </c>
      <c r="H126" s="323"/>
      <c r="I126" s="323"/>
      <c r="J126" s="323"/>
      <c r="K126" s="323"/>
      <c r="L126" s="323"/>
      <c r="M126" s="323"/>
      <c r="N126" s="65"/>
    </row>
    <row r="127" spans="2:14">
      <c r="B127" s="325"/>
      <c r="C127" s="323"/>
      <c r="D127" s="72" t="s">
        <v>415</v>
      </c>
      <c r="E127" s="323" t="s">
        <v>26</v>
      </c>
      <c r="F127" s="323"/>
      <c r="G127" s="323">
        <v>1</v>
      </c>
      <c r="H127" s="323"/>
      <c r="I127" s="323"/>
      <c r="J127" s="323"/>
      <c r="K127" s="323"/>
      <c r="L127" s="323"/>
      <c r="M127" s="323"/>
      <c r="N127" s="65"/>
    </row>
    <row r="128" spans="2:14">
      <c r="B128" s="325"/>
      <c r="C128" s="323"/>
      <c r="D128" s="72" t="s">
        <v>414</v>
      </c>
      <c r="E128" s="323" t="s">
        <v>26</v>
      </c>
      <c r="F128" s="323"/>
      <c r="G128" s="323">
        <v>2</v>
      </c>
      <c r="H128" s="323"/>
      <c r="I128" s="323"/>
      <c r="J128" s="323"/>
      <c r="K128" s="323"/>
      <c r="L128" s="323"/>
      <c r="M128" s="323"/>
      <c r="N128" s="65"/>
    </row>
    <row r="129" spans="2:14">
      <c r="B129" s="325"/>
      <c r="C129" s="323"/>
      <c r="D129" s="72" t="s">
        <v>416</v>
      </c>
      <c r="E129" s="323" t="s">
        <v>26</v>
      </c>
      <c r="F129" s="323"/>
      <c r="G129" s="323">
        <v>6</v>
      </c>
      <c r="H129" s="323"/>
      <c r="I129" s="323"/>
      <c r="J129" s="323"/>
      <c r="K129" s="323"/>
      <c r="L129" s="323"/>
      <c r="M129" s="323"/>
      <c r="N129" s="65"/>
    </row>
    <row r="130" spans="2:14">
      <c r="B130" s="325"/>
      <c r="C130" s="323"/>
      <c r="D130" s="72" t="s">
        <v>417</v>
      </c>
      <c r="E130" s="323" t="s">
        <v>26</v>
      </c>
      <c r="F130" s="323"/>
      <c r="G130" s="323">
        <v>1</v>
      </c>
      <c r="H130" s="323"/>
      <c r="I130" s="323"/>
      <c r="J130" s="323"/>
      <c r="K130" s="323"/>
      <c r="L130" s="323"/>
      <c r="M130" s="323"/>
      <c r="N130" s="65"/>
    </row>
    <row r="131" spans="2:14">
      <c r="B131" s="325"/>
      <c r="C131" s="323"/>
      <c r="D131" s="72" t="s">
        <v>410</v>
      </c>
      <c r="E131" s="323" t="s">
        <v>26</v>
      </c>
      <c r="F131" s="323"/>
      <c r="G131" s="323">
        <v>2</v>
      </c>
      <c r="H131" s="323"/>
      <c r="I131" s="323"/>
      <c r="J131" s="323"/>
      <c r="K131" s="323"/>
      <c r="L131" s="323"/>
      <c r="M131" s="323"/>
      <c r="N131" s="65"/>
    </row>
    <row r="132" spans="2:14">
      <c r="B132" s="325"/>
      <c r="C132" s="323"/>
      <c r="D132" s="72" t="s">
        <v>418</v>
      </c>
      <c r="E132" s="323" t="s">
        <v>26</v>
      </c>
      <c r="F132" s="323"/>
      <c r="G132" s="323">
        <v>3</v>
      </c>
      <c r="H132" s="323"/>
      <c r="I132" s="323"/>
      <c r="J132" s="323"/>
      <c r="K132" s="323"/>
      <c r="L132" s="323"/>
      <c r="M132" s="323"/>
      <c r="N132" s="65"/>
    </row>
    <row r="133" spans="2:14">
      <c r="B133" s="325"/>
      <c r="C133" s="323"/>
      <c r="D133" s="72" t="s">
        <v>419</v>
      </c>
      <c r="E133" s="323" t="s">
        <v>26</v>
      </c>
      <c r="F133" s="323"/>
      <c r="G133" s="323">
        <v>35</v>
      </c>
      <c r="H133" s="323"/>
      <c r="I133" s="323"/>
      <c r="J133" s="323"/>
      <c r="K133" s="323"/>
      <c r="L133" s="323"/>
      <c r="M133" s="323"/>
      <c r="N133" s="65"/>
    </row>
    <row r="134" spans="2:14">
      <c r="B134" s="325"/>
      <c r="C134" s="323"/>
      <c r="D134" s="72" t="s">
        <v>411</v>
      </c>
      <c r="E134" s="323" t="s">
        <v>26</v>
      </c>
      <c r="F134" s="323"/>
      <c r="G134" s="323">
        <v>5</v>
      </c>
      <c r="H134" s="323"/>
      <c r="I134" s="323"/>
      <c r="J134" s="323"/>
      <c r="K134" s="323"/>
      <c r="L134" s="323"/>
      <c r="M134" s="323"/>
      <c r="N134" s="65"/>
    </row>
    <row r="135" spans="2:14">
      <c r="B135" s="325"/>
      <c r="C135" s="323"/>
      <c r="D135" s="72" t="s">
        <v>420</v>
      </c>
      <c r="E135" s="323" t="s">
        <v>26</v>
      </c>
      <c r="F135" s="323"/>
      <c r="G135" s="323">
        <v>3</v>
      </c>
      <c r="H135" s="323"/>
      <c r="I135" s="323"/>
      <c r="J135" s="323"/>
      <c r="K135" s="323"/>
      <c r="L135" s="323"/>
      <c r="M135" s="323"/>
      <c r="N135" s="65"/>
    </row>
    <row r="136" spans="2:14">
      <c r="B136" s="325"/>
      <c r="C136" s="323"/>
      <c r="D136" s="72" t="s">
        <v>421</v>
      </c>
      <c r="E136" s="323" t="s">
        <v>26</v>
      </c>
      <c r="F136" s="323"/>
      <c r="G136" s="323">
        <v>14</v>
      </c>
      <c r="H136" s="323"/>
      <c r="I136" s="323"/>
      <c r="J136" s="323"/>
      <c r="K136" s="323"/>
      <c r="L136" s="323"/>
      <c r="M136" s="323"/>
      <c r="N136" s="65"/>
    </row>
    <row r="137" spans="2:14">
      <c r="B137" s="325"/>
      <c r="C137" s="323"/>
      <c r="D137" s="72" t="s">
        <v>427</v>
      </c>
      <c r="E137" s="323" t="s">
        <v>26</v>
      </c>
      <c r="F137" s="323"/>
      <c r="G137" s="323">
        <v>40</v>
      </c>
      <c r="H137" s="323"/>
      <c r="I137" s="323"/>
      <c r="J137" s="323"/>
      <c r="K137" s="323"/>
      <c r="L137" s="323"/>
      <c r="M137" s="323"/>
      <c r="N137" s="65"/>
    </row>
    <row r="138" spans="2:14">
      <c r="B138" s="325"/>
      <c r="C138" s="323"/>
      <c r="D138" s="72" t="s">
        <v>429</v>
      </c>
      <c r="E138" s="323" t="s">
        <v>26</v>
      </c>
      <c r="F138" s="323"/>
      <c r="G138" s="323">
        <v>62</v>
      </c>
      <c r="H138" s="323"/>
      <c r="I138" s="323"/>
      <c r="J138" s="323"/>
      <c r="K138" s="323"/>
      <c r="L138" s="323"/>
      <c r="M138" s="323"/>
      <c r="N138" s="65"/>
    </row>
    <row r="139" spans="2:14">
      <c r="B139" s="325"/>
      <c r="C139" s="323"/>
      <c r="D139" s="72" t="s">
        <v>412</v>
      </c>
      <c r="E139" s="323" t="s">
        <v>26</v>
      </c>
      <c r="F139" s="323"/>
      <c r="G139" s="323">
        <v>58</v>
      </c>
      <c r="H139" s="323"/>
      <c r="I139" s="323"/>
      <c r="J139" s="323"/>
      <c r="K139" s="323"/>
      <c r="L139" s="323"/>
      <c r="M139" s="323"/>
      <c r="N139" s="65"/>
    </row>
    <row r="140" spans="2:14">
      <c r="B140" s="324"/>
      <c r="C140" s="219"/>
      <c r="D140" s="164" t="s">
        <v>375</v>
      </c>
      <c r="E140" s="322" t="s">
        <v>238</v>
      </c>
      <c r="F140" s="319"/>
      <c r="G140" s="319">
        <v>90</v>
      </c>
      <c r="H140" s="169"/>
      <c r="I140" s="322"/>
      <c r="J140" s="322"/>
      <c r="K140" s="322"/>
      <c r="L140" s="322"/>
      <c r="M140" s="322"/>
      <c r="N140" s="36"/>
    </row>
    <row r="141" spans="2:14">
      <c r="B141" s="220"/>
      <c r="C141" s="129"/>
      <c r="D141" s="142" t="s">
        <v>583</v>
      </c>
      <c r="E141" s="322" t="s">
        <v>23</v>
      </c>
      <c r="F141" s="319"/>
      <c r="G141" s="319">
        <v>62</v>
      </c>
      <c r="H141" s="169"/>
      <c r="I141" s="322"/>
      <c r="J141" s="322"/>
      <c r="K141" s="322"/>
      <c r="L141" s="322"/>
      <c r="M141" s="322"/>
      <c r="N141" s="36"/>
    </row>
    <row r="142" spans="2:14">
      <c r="B142" s="378">
        <v>20</v>
      </c>
      <c r="C142" s="454" t="s">
        <v>422</v>
      </c>
      <c r="D142" s="171" t="s">
        <v>423</v>
      </c>
      <c r="E142" s="172" t="s">
        <v>99</v>
      </c>
      <c r="F142" s="172"/>
      <c r="G142" s="172">
        <v>2</v>
      </c>
      <c r="H142" s="173"/>
      <c r="I142" s="322"/>
      <c r="J142" s="173"/>
      <c r="K142" s="322"/>
      <c r="L142" s="173"/>
      <c r="M142" s="322"/>
      <c r="N142" s="36"/>
    </row>
    <row r="143" spans="2:14" ht="25.5">
      <c r="B143" s="379"/>
      <c r="C143" s="454"/>
      <c r="D143" s="38" t="s">
        <v>8</v>
      </c>
      <c r="E143" s="319" t="s">
        <v>229</v>
      </c>
      <c r="F143" s="319">
        <v>0.82</v>
      </c>
      <c r="G143" s="319">
        <f>G142*F143</f>
        <v>1.64</v>
      </c>
      <c r="H143" s="174"/>
      <c r="I143" s="322"/>
      <c r="J143" s="174"/>
      <c r="K143" s="322"/>
      <c r="L143" s="174"/>
      <c r="M143" s="322"/>
      <c r="N143" s="36"/>
    </row>
    <row r="144" spans="2:14">
      <c r="B144" s="379"/>
      <c r="C144" s="454"/>
      <c r="D144" s="38" t="s">
        <v>235</v>
      </c>
      <c r="E144" s="319" t="s">
        <v>424</v>
      </c>
      <c r="F144" s="319">
        <v>0.01</v>
      </c>
      <c r="G144" s="319">
        <f>G142*F144</f>
        <v>0.02</v>
      </c>
      <c r="H144" s="174"/>
      <c r="I144" s="322"/>
      <c r="J144" s="174"/>
      <c r="K144" s="322"/>
      <c r="L144" s="174"/>
      <c r="M144" s="322"/>
      <c r="N144" s="36"/>
    </row>
    <row r="145" spans="2:14">
      <c r="B145" s="379"/>
      <c r="C145" s="454"/>
      <c r="D145" s="38" t="s">
        <v>425</v>
      </c>
      <c r="E145" s="319" t="s">
        <v>426</v>
      </c>
      <c r="F145" s="319">
        <v>1</v>
      </c>
      <c r="G145" s="319">
        <f>G142</f>
        <v>2</v>
      </c>
      <c r="H145" s="174"/>
      <c r="I145" s="322"/>
      <c r="J145" s="174"/>
      <c r="K145" s="322"/>
      <c r="L145" s="174"/>
      <c r="M145" s="322"/>
      <c r="N145" s="36"/>
    </row>
    <row r="146" spans="2:14">
      <c r="B146" s="379"/>
      <c r="C146" s="454"/>
      <c r="D146" s="38" t="s">
        <v>428</v>
      </c>
      <c r="E146" s="319" t="s">
        <v>26</v>
      </c>
      <c r="F146" s="319">
        <v>1</v>
      </c>
      <c r="G146" s="319">
        <v>2</v>
      </c>
      <c r="H146" s="174"/>
      <c r="I146" s="322"/>
      <c r="J146" s="174"/>
      <c r="K146" s="322"/>
      <c r="L146" s="174"/>
      <c r="M146" s="322"/>
      <c r="N146" s="36"/>
    </row>
    <row r="147" spans="2:14">
      <c r="B147" s="380"/>
      <c r="C147" s="454"/>
      <c r="D147" s="38" t="s">
        <v>218</v>
      </c>
      <c r="E147" s="319" t="s">
        <v>424</v>
      </c>
      <c r="F147" s="319">
        <v>7.0000000000000007E-2</v>
      </c>
      <c r="G147" s="319">
        <f>G142*F147</f>
        <v>0.14000000000000001</v>
      </c>
      <c r="H147" s="174"/>
      <c r="I147" s="322"/>
      <c r="J147" s="174"/>
      <c r="K147" s="322"/>
      <c r="L147" s="174"/>
      <c r="M147" s="322"/>
      <c r="N147" s="36"/>
    </row>
    <row r="148" spans="2:14">
      <c r="B148" s="317"/>
      <c r="C148" s="317"/>
      <c r="D148" s="43" t="s">
        <v>201</v>
      </c>
      <c r="E148" s="322"/>
      <c r="F148" s="322"/>
      <c r="G148" s="322"/>
      <c r="H148" s="322"/>
      <c r="I148" s="319"/>
      <c r="J148" s="322"/>
      <c r="K148" s="319"/>
      <c r="L148" s="322"/>
      <c r="M148" s="319"/>
      <c r="N148" s="37"/>
    </row>
    <row r="149" spans="2:14" s="135" customFormat="1">
      <c r="B149" s="434">
        <v>22.1</v>
      </c>
      <c r="C149" s="437" t="s">
        <v>534</v>
      </c>
      <c r="D149" s="158" t="s">
        <v>303</v>
      </c>
      <c r="E149" s="332" t="s">
        <v>23</v>
      </c>
      <c r="F149" s="73"/>
      <c r="G149" s="73">
        <f>G152</f>
        <v>11</v>
      </c>
      <c r="H149" s="330"/>
      <c r="I149" s="57"/>
      <c r="J149" s="322"/>
      <c r="K149" s="57"/>
      <c r="L149" s="322"/>
      <c r="M149" s="57"/>
      <c r="N149" s="37"/>
    </row>
    <row r="150" spans="2:14" s="134" customFormat="1">
      <c r="B150" s="435"/>
      <c r="C150" s="438"/>
      <c r="D150" s="136" t="s">
        <v>207</v>
      </c>
      <c r="E150" s="322" t="s">
        <v>208</v>
      </c>
      <c r="F150" s="225">
        <v>1.43</v>
      </c>
      <c r="G150" s="225">
        <f>G149*F150</f>
        <v>15.729999999999999</v>
      </c>
      <c r="H150" s="319"/>
      <c r="I150" s="322"/>
      <c r="J150" s="322"/>
      <c r="K150" s="322"/>
      <c r="L150" s="322"/>
      <c r="M150" s="322"/>
      <c r="N150" s="37"/>
    </row>
    <row r="151" spans="2:14" s="134" customFormat="1">
      <c r="B151" s="435"/>
      <c r="C151" s="438"/>
      <c r="D151" s="136" t="s">
        <v>216</v>
      </c>
      <c r="E151" s="322" t="s">
        <v>210</v>
      </c>
      <c r="F151" s="225">
        <v>3.9699999999999999E-2</v>
      </c>
      <c r="G151" s="225">
        <f>G149*F151</f>
        <v>0.43669999999999998</v>
      </c>
      <c r="H151" s="319"/>
      <c r="I151" s="322"/>
      <c r="J151" s="322"/>
      <c r="K151" s="322"/>
      <c r="L151" s="322"/>
      <c r="M151" s="322"/>
      <c r="N151" s="37"/>
    </row>
    <row r="152" spans="2:14" s="134" customFormat="1" ht="25.5">
      <c r="B152" s="435"/>
      <c r="C152" s="438"/>
      <c r="D152" s="46" t="s">
        <v>202</v>
      </c>
      <c r="E152" s="322" t="s">
        <v>23</v>
      </c>
      <c r="F152" s="322"/>
      <c r="G152" s="322">
        <v>11</v>
      </c>
      <c r="H152" s="322"/>
      <c r="I152" s="322"/>
      <c r="J152" s="322"/>
      <c r="K152" s="322"/>
      <c r="L152" s="322"/>
      <c r="M152" s="322"/>
      <c r="N152" s="37"/>
    </row>
    <row r="153" spans="2:14" s="134" customFormat="1">
      <c r="B153" s="436"/>
      <c r="C153" s="439"/>
      <c r="D153" s="136" t="s">
        <v>259</v>
      </c>
      <c r="E153" s="322" t="s">
        <v>210</v>
      </c>
      <c r="F153" s="225">
        <v>6.0199999999999997E-2</v>
      </c>
      <c r="G153" s="225">
        <f>G149*F153</f>
        <v>0.66220000000000001</v>
      </c>
      <c r="H153" s="319"/>
      <c r="I153" s="322"/>
      <c r="J153" s="322"/>
      <c r="K153" s="322"/>
      <c r="L153" s="322"/>
      <c r="M153" s="322"/>
      <c r="N153" s="37"/>
    </row>
    <row r="154" spans="2:14" s="135" customFormat="1">
      <c r="B154" s="434">
        <v>22.2</v>
      </c>
      <c r="C154" s="437" t="s">
        <v>533</v>
      </c>
      <c r="D154" s="158" t="s">
        <v>303</v>
      </c>
      <c r="E154" s="332" t="s">
        <v>23</v>
      </c>
      <c r="F154" s="73"/>
      <c r="G154" s="73">
        <f>G157</f>
        <v>21</v>
      </c>
      <c r="H154" s="330"/>
      <c r="I154" s="57"/>
      <c r="J154" s="322"/>
      <c r="K154" s="57"/>
      <c r="L154" s="322"/>
      <c r="M154" s="57"/>
      <c r="N154" s="37"/>
    </row>
    <row r="155" spans="2:14" s="134" customFormat="1">
      <c r="B155" s="435"/>
      <c r="C155" s="438"/>
      <c r="D155" s="136" t="s">
        <v>207</v>
      </c>
      <c r="E155" s="322" t="s">
        <v>208</v>
      </c>
      <c r="F155" s="225">
        <v>1.17</v>
      </c>
      <c r="G155" s="225">
        <f>G154*F155</f>
        <v>24.57</v>
      </c>
      <c r="H155" s="319"/>
      <c r="I155" s="322"/>
      <c r="J155" s="322"/>
      <c r="K155" s="322"/>
      <c r="L155" s="322"/>
      <c r="M155" s="322"/>
      <c r="N155" s="37"/>
    </row>
    <row r="156" spans="2:14" s="134" customFormat="1">
      <c r="B156" s="435"/>
      <c r="C156" s="438"/>
      <c r="D156" s="136" t="s">
        <v>216</v>
      </c>
      <c r="E156" s="322" t="s">
        <v>210</v>
      </c>
      <c r="F156" s="225">
        <v>1.72E-2</v>
      </c>
      <c r="G156" s="225">
        <f>G154*F156</f>
        <v>0.36120000000000002</v>
      </c>
      <c r="H156" s="319"/>
      <c r="I156" s="322"/>
      <c r="J156" s="322"/>
      <c r="K156" s="322"/>
      <c r="L156" s="322"/>
      <c r="M156" s="322"/>
      <c r="N156" s="37"/>
    </row>
    <row r="157" spans="2:14" s="134" customFormat="1" ht="25.5">
      <c r="B157" s="435"/>
      <c r="C157" s="438"/>
      <c r="D157" s="46" t="s">
        <v>203</v>
      </c>
      <c r="E157" s="322" t="s">
        <v>23</v>
      </c>
      <c r="F157" s="322"/>
      <c r="G157" s="322">
        <v>21</v>
      </c>
      <c r="H157" s="322"/>
      <c r="I157" s="322"/>
      <c r="J157" s="322"/>
      <c r="K157" s="322"/>
      <c r="L157" s="322"/>
      <c r="M157" s="322"/>
      <c r="N157" s="37"/>
    </row>
    <row r="158" spans="2:14" s="134" customFormat="1">
      <c r="B158" s="436"/>
      <c r="C158" s="439"/>
      <c r="D158" s="136" t="s">
        <v>259</v>
      </c>
      <c r="E158" s="322" t="s">
        <v>210</v>
      </c>
      <c r="F158" s="225">
        <v>3.9300000000000002E-2</v>
      </c>
      <c r="G158" s="225">
        <f>G154*F158</f>
        <v>0.82530000000000003</v>
      </c>
      <c r="H158" s="319"/>
      <c r="I158" s="322"/>
      <c r="J158" s="322"/>
      <c r="K158" s="322"/>
      <c r="L158" s="322"/>
      <c r="M158" s="322"/>
      <c r="N158" s="37"/>
    </row>
    <row r="159" spans="2:14" s="135" customFormat="1">
      <c r="B159" s="434">
        <v>22.3</v>
      </c>
      <c r="C159" s="437" t="s">
        <v>532</v>
      </c>
      <c r="D159" s="158" t="s">
        <v>303</v>
      </c>
      <c r="E159" s="332" t="s">
        <v>23</v>
      </c>
      <c r="F159" s="73"/>
      <c r="G159" s="73">
        <f>G162</f>
        <v>13</v>
      </c>
      <c r="H159" s="330"/>
      <c r="I159" s="57"/>
      <c r="J159" s="322"/>
      <c r="K159" s="57"/>
      <c r="L159" s="322"/>
      <c r="M159" s="57"/>
      <c r="N159" s="37"/>
    </row>
    <row r="160" spans="2:14" s="134" customFormat="1">
      <c r="B160" s="435"/>
      <c r="C160" s="438"/>
      <c r="D160" s="136" t="s">
        <v>207</v>
      </c>
      <c r="E160" s="322" t="s">
        <v>208</v>
      </c>
      <c r="F160" s="225">
        <v>1.56</v>
      </c>
      <c r="G160" s="225">
        <f>G159*F160</f>
        <v>20.28</v>
      </c>
      <c r="H160" s="319"/>
      <c r="I160" s="322"/>
      <c r="J160" s="322"/>
      <c r="K160" s="322"/>
      <c r="L160" s="322"/>
      <c r="M160" s="322"/>
      <c r="N160" s="37"/>
    </row>
    <row r="161" spans="2:15" s="134" customFormat="1">
      <c r="B161" s="435"/>
      <c r="C161" s="438"/>
      <c r="D161" s="136" t="s">
        <v>216</v>
      </c>
      <c r="E161" s="322" t="s">
        <v>210</v>
      </c>
      <c r="F161" s="225">
        <v>2.1700000000000001E-2</v>
      </c>
      <c r="G161" s="225">
        <f>G159*F161</f>
        <v>0.28210000000000002</v>
      </c>
      <c r="H161" s="319"/>
      <c r="I161" s="322"/>
      <c r="J161" s="322"/>
      <c r="K161" s="322"/>
      <c r="L161" s="322"/>
      <c r="M161" s="322"/>
      <c r="N161" s="37"/>
    </row>
    <row r="162" spans="2:15" s="134" customFormat="1" ht="25.5">
      <c r="B162" s="435"/>
      <c r="C162" s="438"/>
      <c r="D162" s="46" t="s">
        <v>204</v>
      </c>
      <c r="E162" s="322" t="s">
        <v>23</v>
      </c>
      <c r="F162" s="322"/>
      <c r="G162" s="322">
        <v>13</v>
      </c>
      <c r="H162" s="322"/>
      <c r="I162" s="322"/>
      <c r="J162" s="322"/>
      <c r="K162" s="322"/>
      <c r="L162" s="322"/>
      <c r="M162" s="322"/>
      <c r="N162" s="37"/>
    </row>
    <row r="163" spans="2:15" s="134" customFormat="1">
      <c r="B163" s="436"/>
      <c r="C163" s="439"/>
      <c r="D163" s="136" t="s">
        <v>259</v>
      </c>
      <c r="E163" s="322" t="s">
        <v>210</v>
      </c>
      <c r="F163" s="225">
        <v>7.0800000000000002E-2</v>
      </c>
      <c r="G163" s="225">
        <f>G159*F163</f>
        <v>0.9204</v>
      </c>
      <c r="H163" s="319"/>
      <c r="I163" s="322"/>
      <c r="J163" s="322"/>
      <c r="K163" s="322"/>
      <c r="L163" s="322"/>
      <c r="M163" s="322"/>
      <c r="N163" s="37"/>
    </row>
    <row r="164" spans="2:15" s="135" customFormat="1">
      <c r="B164" s="434">
        <v>22.4</v>
      </c>
      <c r="C164" s="437" t="s">
        <v>531</v>
      </c>
      <c r="D164" s="158" t="s">
        <v>303</v>
      </c>
      <c r="E164" s="332" t="s">
        <v>23</v>
      </c>
      <c r="F164" s="73"/>
      <c r="G164" s="73">
        <f>G167</f>
        <v>47</v>
      </c>
      <c r="H164" s="330"/>
      <c r="I164" s="57"/>
      <c r="J164" s="322"/>
      <c r="K164" s="57"/>
      <c r="L164" s="322"/>
      <c r="M164" s="57"/>
      <c r="N164" s="37"/>
    </row>
    <row r="165" spans="2:15" s="134" customFormat="1">
      <c r="B165" s="435"/>
      <c r="C165" s="438"/>
      <c r="D165" s="136" t="s">
        <v>207</v>
      </c>
      <c r="E165" s="322" t="s">
        <v>208</v>
      </c>
      <c r="F165" s="225">
        <v>1.35</v>
      </c>
      <c r="G165" s="225">
        <f>G164*F165</f>
        <v>63.45</v>
      </c>
      <c r="H165" s="319"/>
      <c r="I165" s="322"/>
      <c r="J165" s="322"/>
      <c r="K165" s="322"/>
      <c r="L165" s="322"/>
      <c r="M165" s="322"/>
      <c r="N165" s="37"/>
    </row>
    <row r="166" spans="2:15" s="134" customFormat="1">
      <c r="B166" s="435"/>
      <c r="C166" s="438"/>
      <c r="D166" s="136" t="s">
        <v>216</v>
      </c>
      <c r="E166" s="322" t="s">
        <v>210</v>
      </c>
      <c r="F166" s="225">
        <v>3.1399999999999997E-2</v>
      </c>
      <c r="G166" s="225">
        <f>G164*F166</f>
        <v>1.4757999999999998</v>
      </c>
      <c r="H166" s="319"/>
      <c r="I166" s="322"/>
      <c r="J166" s="322"/>
      <c r="K166" s="322"/>
      <c r="L166" s="322"/>
      <c r="M166" s="322"/>
      <c r="N166" s="37"/>
    </row>
    <row r="167" spans="2:15" s="134" customFormat="1" ht="25.5">
      <c r="B167" s="435"/>
      <c r="C167" s="438"/>
      <c r="D167" s="46" t="s">
        <v>205</v>
      </c>
      <c r="E167" s="322" t="s">
        <v>23</v>
      </c>
      <c r="F167" s="322"/>
      <c r="G167" s="322">
        <f>35+12</f>
        <v>47</v>
      </c>
      <c r="H167" s="322"/>
      <c r="I167" s="322"/>
      <c r="J167" s="322"/>
      <c r="K167" s="322"/>
      <c r="L167" s="322"/>
      <c r="M167" s="322"/>
      <c r="N167" s="37"/>
    </row>
    <row r="168" spans="2:15" s="134" customFormat="1">
      <c r="B168" s="436"/>
      <c r="C168" s="439"/>
      <c r="D168" s="136" t="s">
        <v>259</v>
      </c>
      <c r="E168" s="322" t="s">
        <v>210</v>
      </c>
      <c r="F168" s="225">
        <v>6.5199999999999994E-2</v>
      </c>
      <c r="G168" s="225">
        <f>G164*F168</f>
        <v>3.0643999999999996</v>
      </c>
      <c r="H168" s="319"/>
      <c r="I168" s="322"/>
      <c r="J168" s="322"/>
      <c r="K168" s="322"/>
      <c r="L168" s="322"/>
      <c r="M168" s="322"/>
      <c r="N168" s="37"/>
    </row>
    <row r="169" spans="2:15" ht="25.5">
      <c r="B169" s="347"/>
      <c r="C169" s="347"/>
      <c r="D169" s="43" t="s">
        <v>431</v>
      </c>
      <c r="E169" s="332"/>
      <c r="F169" s="322"/>
      <c r="G169" s="332"/>
      <c r="H169" s="322"/>
      <c r="I169" s="319"/>
      <c r="J169" s="322"/>
      <c r="K169" s="319"/>
      <c r="L169" s="322"/>
      <c r="M169" s="319"/>
      <c r="N169" s="37"/>
      <c r="O169" s="175"/>
    </row>
    <row r="170" spans="2:15">
      <c r="B170" s="348"/>
      <c r="C170" s="348"/>
      <c r="D170" s="46" t="s">
        <v>432</v>
      </c>
      <c r="E170" s="322" t="s">
        <v>99</v>
      </c>
      <c r="F170" s="225"/>
      <c r="G170" s="225">
        <v>12</v>
      </c>
      <c r="H170" s="319"/>
      <c r="I170" s="322"/>
      <c r="J170" s="322"/>
      <c r="K170" s="322"/>
      <c r="L170" s="322"/>
      <c r="M170" s="322"/>
      <c r="N170" s="36"/>
    </row>
    <row r="171" spans="2:15">
      <c r="B171" s="348"/>
      <c r="C171" s="348"/>
      <c r="D171" s="72" t="s">
        <v>412</v>
      </c>
      <c r="E171" s="323" t="s">
        <v>26</v>
      </c>
      <c r="F171" s="323"/>
      <c r="G171" s="323">
        <v>58</v>
      </c>
      <c r="H171" s="323"/>
      <c r="I171" s="323"/>
      <c r="J171" s="323"/>
      <c r="K171" s="323"/>
      <c r="L171" s="323"/>
      <c r="M171" s="323"/>
      <c r="N171" s="65"/>
    </row>
    <row r="172" spans="2:15">
      <c r="B172" s="348"/>
      <c r="C172" s="348"/>
      <c r="D172" s="164" t="s">
        <v>434</v>
      </c>
      <c r="E172" s="323" t="s">
        <v>26</v>
      </c>
      <c r="F172" s="323"/>
      <c r="G172" s="323">
        <v>2</v>
      </c>
      <c r="H172" s="323"/>
      <c r="I172" s="323"/>
      <c r="J172" s="323"/>
      <c r="K172" s="323"/>
      <c r="L172" s="323"/>
      <c r="M172" s="323"/>
      <c r="N172" s="65"/>
    </row>
    <row r="173" spans="2:15" ht="25.5">
      <c r="B173" s="347">
        <v>24</v>
      </c>
      <c r="C173" s="347" t="s">
        <v>206</v>
      </c>
      <c r="D173" s="43" t="s">
        <v>433</v>
      </c>
      <c r="E173" s="332" t="s">
        <v>81</v>
      </c>
      <c r="F173" s="322"/>
      <c r="G173" s="332">
        <v>1</v>
      </c>
      <c r="H173" s="322"/>
      <c r="I173" s="319"/>
      <c r="J173" s="322"/>
      <c r="K173" s="319"/>
      <c r="L173" s="322"/>
      <c r="M173" s="319"/>
      <c r="N173" s="37"/>
    </row>
    <row r="174" spans="2:15">
      <c r="B174" s="348"/>
      <c r="C174" s="348"/>
      <c r="D174" s="46" t="s">
        <v>8</v>
      </c>
      <c r="E174" s="322" t="s">
        <v>10</v>
      </c>
      <c r="F174" s="322">
        <v>1.24</v>
      </c>
      <c r="G174" s="322">
        <f>F174*G173</f>
        <v>1.24</v>
      </c>
      <c r="H174" s="322"/>
      <c r="I174" s="319"/>
      <c r="J174" s="322"/>
      <c r="K174" s="319"/>
      <c r="L174" s="322"/>
      <c r="M174" s="319"/>
      <c r="N174" s="37"/>
    </row>
    <row r="175" spans="2:15">
      <c r="B175" s="348"/>
      <c r="C175" s="348"/>
      <c r="D175" s="46" t="s">
        <v>9</v>
      </c>
      <c r="E175" s="322" t="s">
        <v>11</v>
      </c>
      <c r="F175" s="322">
        <v>0.26</v>
      </c>
      <c r="G175" s="322">
        <f>F175*G173</f>
        <v>0.26</v>
      </c>
      <c r="H175" s="322"/>
      <c r="I175" s="319"/>
      <c r="J175" s="322"/>
      <c r="K175" s="319"/>
      <c r="L175" s="322"/>
      <c r="M175" s="319"/>
      <c r="N175" s="37"/>
    </row>
    <row r="176" spans="2:15">
      <c r="B176" s="348"/>
      <c r="C176" s="348"/>
      <c r="D176" s="46" t="s">
        <v>496</v>
      </c>
      <c r="E176" s="322" t="s">
        <v>99</v>
      </c>
      <c r="F176" s="322"/>
      <c r="G176" s="322">
        <v>1</v>
      </c>
      <c r="H176" s="322"/>
      <c r="I176" s="319"/>
      <c r="J176" s="322"/>
      <c r="K176" s="319"/>
      <c r="L176" s="322"/>
      <c r="M176" s="319"/>
      <c r="N176" s="37"/>
    </row>
    <row r="177" spans="2:14">
      <c r="B177" s="349"/>
      <c r="C177" s="349"/>
      <c r="D177" s="46" t="s">
        <v>13</v>
      </c>
      <c r="E177" s="322" t="s">
        <v>11</v>
      </c>
      <c r="F177" s="322">
        <v>0.14000000000000001</v>
      </c>
      <c r="G177" s="322">
        <f>F177*G173</f>
        <v>0.14000000000000001</v>
      </c>
      <c r="H177" s="322"/>
      <c r="I177" s="319"/>
      <c r="J177" s="322"/>
      <c r="K177" s="319"/>
      <c r="L177" s="322"/>
      <c r="M177" s="319"/>
      <c r="N177" s="37"/>
    </row>
    <row r="178" spans="2:14">
      <c r="B178" s="386">
        <v>25</v>
      </c>
      <c r="C178" s="347" t="s">
        <v>79</v>
      </c>
      <c r="D178" s="43" t="s">
        <v>80</v>
      </c>
      <c r="E178" s="332" t="s">
        <v>26</v>
      </c>
      <c r="F178" s="322"/>
      <c r="G178" s="332">
        <v>1</v>
      </c>
      <c r="H178" s="322"/>
      <c r="I178" s="319"/>
      <c r="J178" s="322"/>
      <c r="K178" s="319"/>
      <c r="L178" s="322"/>
      <c r="M178" s="319"/>
      <c r="N178" s="37"/>
    </row>
    <row r="179" spans="2:14">
      <c r="B179" s="386"/>
      <c r="C179" s="348"/>
      <c r="D179" s="46" t="s">
        <v>8</v>
      </c>
      <c r="E179" s="322" t="s">
        <v>10</v>
      </c>
      <c r="F179" s="322">
        <v>1.78</v>
      </c>
      <c r="G179" s="322">
        <f>F179*G178</f>
        <v>1.78</v>
      </c>
      <c r="H179" s="322"/>
      <c r="I179" s="319"/>
      <c r="J179" s="322"/>
      <c r="K179" s="319"/>
      <c r="L179" s="322"/>
      <c r="M179" s="319"/>
      <c r="N179" s="37"/>
    </row>
    <row r="180" spans="2:14">
      <c r="B180" s="386"/>
      <c r="C180" s="348"/>
      <c r="D180" s="46" t="s">
        <v>9</v>
      </c>
      <c r="E180" s="322" t="s">
        <v>11</v>
      </c>
      <c r="F180" s="322">
        <v>0.12</v>
      </c>
      <c r="G180" s="322">
        <f>F180*G178</f>
        <v>0.12</v>
      </c>
      <c r="H180" s="322"/>
      <c r="I180" s="319"/>
      <c r="J180" s="322"/>
      <c r="K180" s="319"/>
      <c r="L180" s="322"/>
      <c r="M180" s="319"/>
      <c r="N180" s="37"/>
    </row>
    <row r="181" spans="2:14">
      <c r="B181" s="386"/>
      <c r="C181" s="348"/>
      <c r="D181" s="46" t="s">
        <v>435</v>
      </c>
      <c r="E181" s="322" t="s">
        <v>26</v>
      </c>
      <c r="F181" s="322">
        <v>1</v>
      </c>
      <c r="G181" s="322">
        <f>F181*G178</f>
        <v>1</v>
      </c>
      <c r="H181" s="322"/>
      <c r="I181" s="319"/>
      <c r="J181" s="322"/>
      <c r="K181" s="319"/>
      <c r="L181" s="322"/>
      <c r="M181" s="319"/>
      <c r="N181" s="37"/>
    </row>
    <row r="182" spans="2:14">
      <c r="B182" s="386"/>
      <c r="C182" s="349"/>
      <c r="D182" s="46" t="s">
        <v>13</v>
      </c>
      <c r="E182" s="322" t="s">
        <v>11</v>
      </c>
      <c r="F182" s="322">
        <v>1.1299999999999999</v>
      </c>
      <c r="G182" s="322">
        <f>F182*G178</f>
        <v>1.1299999999999999</v>
      </c>
      <c r="H182" s="322"/>
      <c r="I182" s="319"/>
      <c r="J182" s="322"/>
      <c r="K182" s="319"/>
      <c r="L182" s="322"/>
      <c r="M182" s="319"/>
      <c r="N182" s="37"/>
    </row>
    <row r="183" spans="2:14">
      <c r="B183" s="347">
        <v>26</v>
      </c>
      <c r="C183" s="353" t="s">
        <v>584</v>
      </c>
      <c r="D183" s="43" t="s">
        <v>212</v>
      </c>
      <c r="E183" s="330" t="s">
        <v>129</v>
      </c>
      <c r="F183" s="319"/>
      <c r="G183" s="330">
        <v>3</v>
      </c>
      <c r="H183" s="319"/>
      <c r="I183" s="319"/>
      <c r="J183" s="319"/>
      <c r="K183" s="319"/>
      <c r="L183" s="319"/>
      <c r="M183" s="319"/>
      <c r="N183" s="37"/>
    </row>
    <row r="184" spans="2:14">
      <c r="B184" s="348"/>
      <c r="C184" s="354"/>
      <c r="D184" s="46" t="s">
        <v>207</v>
      </c>
      <c r="E184" s="319" t="s">
        <v>208</v>
      </c>
      <c r="F184" s="322">
        <v>0.31</v>
      </c>
      <c r="G184" s="319">
        <f>G183*F184</f>
        <v>0.92999999999999994</v>
      </c>
      <c r="H184" s="319"/>
      <c r="I184" s="319"/>
      <c r="J184" s="319"/>
      <c r="K184" s="319"/>
      <c r="L184" s="319"/>
      <c r="M184" s="319"/>
      <c r="N184" s="37"/>
    </row>
    <row r="185" spans="2:14">
      <c r="B185" s="348"/>
      <c r="C185" s="354"/>
      <c r="D185" s="46" t="s">
        <v>209</v>
      </c>
      <c r="E185" s="319" t="s">
        <v>210</v>
      </c>
      <c r="F185" s="322">
        <v>1E-4</v>
      </c>
      <c r="G185" s="319">
        <f>G183*F185</f>
        <v>3.0000000000000003E-4</v>
      </c>
      <c r="H185" s="319"/>
      <c r="I185" s="319"/>
      <c r="J185" s="319"/>
      <c r="K185" s="319"/>
      <c r="L185" s="319"/>
      <c r="M185" s="221"/>
      <c r="N185" s="221"/>
    </row>
    <row r="186" spans="2:14">
      <c r="B186" s="348"/>
      <c r="C186" s="354"/>
      <c r="D186" s="46" t="s">
        <v>213</v>
      </c>
      <c r="E186" s="319" t="s">
        <v>129</v>
      </c>
      <c r="F186" s="319"/>
      <c r="G186" s="319">
        <v>3</v>
      </c>
      <c r="H186" s="319"/>
      <c r="I186" s="319"/>
      <c r="J186" s="319"/>
      <c r="K186" s="319"/>
      <c r="L186" s="319"/>
      <c r="M186" s="319"/>
      <c r="N186" s="37"/>
    </row>
    <row r="187" spans="2:14">
      <c r="B187" s="348"/>
      <c r="C187" s="355"/>
      <c r="D187" s="46" t="s">
        <v>211</v>
      </c>
      <c r="E187" s="319" t="s">
        <v>210</v>
      </c>
      <c r="F187" s="322">
        <v>4.0000000000000002E-4</v>
      </c>
      <c r="G187" s="319">
        <f>G183*F187</f>
        <v>1.2000000000000001E-3</v>
      </c>
      <c r="H187" s="319"/>
      <c r="I187" s="319"/>
      <c r="J187" s="319"/>
      <c r="K187" s="319"/>
      <c r="L187" s="319"/>
      <c r="M187" s="319"/>
      <c r="N187" s="222"/>
    </row>
    <row r="188" spans="2:14" ht="25.5">
      <c r="B188" s="378">
        <v>29</v>
      </c>
      <c r="C188" s="353" t="s">
        <v>46</v>
      </c>
      <c r="D188" s="43" t="s">
        <v>134</v>
      </c>
      <c r="E188" s="57" t="s">
        <v>12</v>
      </c>
      <c r="F188" s="320"/>
      <c r="G188" s="57">
        <v>23.1</v>
      </c>
      <c r="H188" s="320"/>
      <c r="I188" s="320"/>
      <c r="J188" s="320"/>
      <c r="K188" s="320"/>
      <c r="L188" s="320"/>
      <c r="M188" s="320"/>
      <c r="N188" s="59"/>
    </row>
    <row r="189" spans="2:14">
      <c r="B189" s="379"/>
      <c r="C189" s="354"/>
      <c r="D189" s="72" t="s">
        <v>8</v>
      </c>
      <c r="E189" s="320" t="s">
        <v>10</v>
      </c>
      <c r="F189" s="320">
        <f>13.2/1000</f>
        <v>1.32E-2</v>
      </c>
      <c r="G189" s="320">
        <f>G188*F189</f>
        <v>0.30492000000000002</v>
      </c>
      <c r="H189" s="320"/>
      <c r="I189" s="320"/>
      <c r="J189" s="320"/>
      <c r="K189" s="320"/>
      <c r="L189" s="320"/>
      <c r="M189" s="320"/>
      <c r="N189" s="56"/>
    </row>
    <row r="190" spans="2:14">
      <c r="B190" s="379"/>
      <c r="C190" s="354"/>
      <c r="D190" s="157" t="s">
        <v>44</v>
      </c>
      <c r="E190" s="320" t="s">
        <v>14</v>
      </c>
      <c r="F190" s="320">
        <f>29.5/1000</f>
        <v>2.9499999999999998E-2</v>
      </c>
      <c r="G190" s="320">
        <f>F190*G188</f>
        <v>0.68145</v>
      </c>
      <c r="H190" s="320"/>
      <c r="I190" s="320"/>
      <c r="J190" s="320"/>
      <c r="K190" s="320"/>
      <c r="L190" s="320"/>
      <c r="M190" s="320"/>
      <c r="N190" s="56"/>
    </row>
    <row r="191" spans="2:14">
      <c r="B191" s="379"/>
      <c r="C191" s="355"/>
      <c r="D191" s="157" t="s">
        <v>17</v>
      </c>
      <c r="E191" s="320" t="s">
        <v>11</v>
      </c>
      <c r="F191" s="320">
        <f>2.1/1000</f>
        <v>2.1000000000000003E-3</v>
      </c>
      <c r="G191" s="320">
        <f>F191*G188</f>
        <v>4.8510000000000011E-2</v>
      </c>
      <c r="H191" s="320"/>
      <c r="I191" s="320"/>
      <c r="J191" s="320"/>
      <c r="K191" s="320"/>
      <c r="L191" s="320"/>
      <c r="M191" s="320"/>
      <c r="N191" s="56"/>
    </row>
    <row r="192" spans="2:14">
      <c r="B192" s="378">
        <v>30</v>
      </c>
      <c r="C192" s="448" t="s">
        <v>62</v>
      </c>
      <c r="D192" s="156" t="s">
        <v>63</v>
      </c>
      <c r="E192" s="57" t="s">
        <v>12</v>
      </c>
      <c r="F192" s="57"/>
      <c r="G192" s="57">
        <f>G188*0.1</f>
        <v>2.31</v>
      </c>
      <c r="H192" s="57"/>
      <c r="I192" s="57"/>
      <c r="J192" s="57"/>
      <c r="K192" s="57"/>
      <c r="L192" s="57"/>
      <c r="M192" s="57"/>
      <c r="N192" s="59"/>
    </row>
    <row r="193" spans="2:14">
      <c r="B193" s="379"/>
      <c r="C193" s="449"/>
      <c r="D193" s="72" t="s">
        <v>8</v>
      </c>
      <c r="E193" s="320" t="s">
        <v>10</v>
      </c>
      <c r="F193" s="320">
        <v>2.06</v>
      </c>
      <c r="G193" s="320">
        <f>F193*G192</f>
        <v>4.7586000000000004</v>
      </c>
      <c r="H193" s="320"/>
      <c r="I193" s="320"/>
      <c r="J193" s="320"/>
      <c r="K193" s="320"/>
      <c r="L193" s="320"/>
      <c r="M193" s="320"/>
      <c r="N193" s="56"/>
    </row>
    <row r="194" spans="2:14">
      <c r="B194" s="353">
        <v>31</v>
      </c>
      <c r="C194" s="353" t="s">
        <v>118</v>
      </c>
      <c r="D194" s="158" t="s">
        <v>354</v>
      </c>
      <c r="E194" s="332" t="s">
        <v>553</v>
      </c>
      <c r="F194" s="322"/>
      <c r="G194" s="332">
        <v>10.5</v>
      </c>
      <c r="H194" s="322"/>
      <c r="I194" s="319"/>
      <c r="J194" s="322"/>
      <c r="K194" s="319"/>
      <c r="L194" s="322"/>
      <c r="M194" s="319"/>
      <c r="N194" s="37"/>
    </row>
    <row r="195" spans="2:14">
      <c r="B195" s="354"/>
      <c r="C195" s="354"/>
      <c r="D195" s="46" t="s">
        <v>28</v>
      </c>
      <c r="E195" s="322" t="s">
        <v>10</v>
      </c>
      <c r="F195" s="322">
        <v>1.8</v>
      </c>
      <c r="G195" s="322">
        <f>F195*G194</f>
        <v>18.900000000000002</v>
      </c>
      <c r="H195" s="322"/>
      <c r="I195" s="319"/>
      <c r="J195" s="322"/>
      <c r="K195" s="319"/>
      <c r="L195" s="322"/>
      <c r="M195" s="319"/>
      <c r="N195" s="37"/>
    </row>
    <row r="196" spans="2:14">
      <c r="B196" s="355"/>
      <c r="C196" s="355"/>
      <c r="D196" s="46" t="s">
        <v>45</v>
      </c>
      <c r="E196" s="322" t="s">
        <v>12</v>
      </c>
      <c r="F196" s="322">
        <v>1.1000000000000001</v>
      </c>
      <c r="G196" s="322">
        <f>F196*G194</f>
        <v>11.55</v>
      </c>
      <c r="H196" s="322"/>
      <c r="I196" s="319"/>
      <c r="J196" s="322"/>
      <c r="K196" s="319"/>
      <c r="L196" s="322"/>
      <c r="M196" s="319"/>
      <c r="N196" s="37"/>
    </row>
    <row r="197" spans="2:14">
      <c r="B197" s="441">
        <v>32</v>
      </c>
      <c r="C197" s="451" t="s">
        <v>618</v>
      </c>
      <c r="D197" s="158" t="s">
        <v>353</v>
      </c>
      <c r="E197" s="332" t="s">
        <v>12</v>
      </c>
      <c r="F197" s="322"/>
      <c r="G197" s="332">
        <v>12.6</v>
      </c>
      <c r="H197" s="73"/>
      <c r="I197" s="73"/>
      <c r="J197" s="225"/>
      <c r="K197" s="73"/>
      <c r="L197" s="73"/>
      <c r="M197" s="73"/>
      <c r="N197" s="74"/>
    </row>
    <row r="198" spans="2:14">
      <c r="B198" s="441"/>
      <c r="C198" s="452"/>
      <c r="D198" s="46" t="s">
        <v>28</v>
      </c>
      <c r="E198" s="322" t="s">
        <v>10</v>
      </c>
      <c r="F198" s="30">
        <v>1.21</v>
      </c>
      <c r="G198" s="322">
        <f>F198*G197</f>
        <v>15.245999999999999</v>
      </c>
      <c r="H198" s="225"/>
      <c r="I198" s="225"/>
      <c r="J198" s="225"/>
      <c r="K198" s="225"/>
      <c r="L198" s="225"/>
      <c r="M198" s="225"/>
      <c r="N198" s="147"/>
    </row>
    <row r="199" spans="2:14">
      <c r="B199" s="441"/>
      <c r="C199" s="452"/>
      <c r="D199" s="46" t="s">
        <v>24</v>
      </c>
      <c r="E199" s="322" t="s">
        <v>12</v>
      </c>
      <c r="F199" s="322">
        <v>1</v>
      </c>
      <c r="G199" s="322">
        <f>F199*G197</f>
        <v>12.6</v>
      </c>
      <c r="H199" s="225"/>
      <c r="I199" s="225"/>
      <c r="J199" s="225"/>
      <c r="K199" s="225"/>
      <c r="L199" s="225"/>
      <c r="M199" s="225"/>
      <c r="N199" s="147"/>
    </row>
    <row r="200" spans="2:14">
      <c r="B200" s="378">
        <v>33</v>
      </c>
      <c r="C200" s="440" t="s">
        <v>395</v>
      </c>
      <c r="D200" s="137" t="s">
        <v>436</v>
      </c>
      <c r="E200" s="138" t="s">
        <v>23</v>
      </c>
      <c r="F200" s="138"/>
      <c r="G200" s="139">
        <v>4</v>
      </c>
      <c r="H200" s="73"/>
      <c r="I200" s="332"/>
      <c r="J200" s="332"/>
      <c r="K200" s="332"/>
      <c r="L200" s="332"/>
      <c r="M200" s="332"/>
      <c r="N200" s="44"/>
    </row>
    <row r="201" spans="2:14">
      <c r="B201" s="379"/>
      <c r="C201" s="440"/>
      <c r="D201" s="140" t="s">
        <v>386</v>
      </c>
      <c r="E201" s="141" t="s">
        <v>229</v>
      </c>
      <c r="F201" s="141">
        <v>0.31</v>
      </c>
      <c r="G201" s="141">
        <f>G200*F201</f>
        <v>1.24</v>
      </c>
      <c r="H201" s="225"/>
      <c r="I201" s="322"/>
      <c r="J201" s="322"/>
      <c r="K201" s="322"/>
      <c r="L201" s="322"/>
      <c r="M201" s="322"/>
      <c r="N201" s="36"/>
    </row>
    <row r="202" spans="2:14">
      <c r="B202" s="379"/>
      <c r="C202" s="440"/>
      <c r="D202" s="46" t="s">
        <v>17</v>
      </c>
      <c r="E202" s="322" t="s">
        <v>11</v>
      </c>
      <c r="F202" s="141">
        <f>22/1000</f>
        <v>2.1999999999999999E-2</v>
      </c>
      <c r="G202" s="141">
        <f>G200*F202</f>
        <v>8.7999999999999995E-2</v>
      </c>
      <c r="H202" s="225"/>
      <c r="I202" s="322"/>
      <c r="J202" s="322"/>
      <c r="K202" s="322"/>
      <c r="L202" s="322"/>
      <c r="M202" s="322"/>
      <c r="N202" s="36"/>
    </row>
    <row r="203" spans="2:14">
      <c r="B203" s="379"/>
      <c r="C203" s="440"/>
      <c r="D203" s="142" t="s">
        <v>437</v>
      </c>
      <c r="E203" s="143" t="s">
        <v>23</v>
      </c>
      <c r="F203" s="144"/>
      <c r="G203" s="145">
        <f>G200</f>
        <v>4</v>
      </c>
      <c r="H203" s="225"/>
      <c r="I203" s="322"/>
      <c r="J203" s="322"/>
      <c r="K203" s="322"/>
      <c r="L203" s="322"/>
      <c r="M203" s="322"/>
      <c r="N203" s="36"/>
    </row>
    <row r="204" spans="2:14">
      <c r="B204" s="380"/>
      <c r="C204" s="440"/>
      <c r="D204" s="46" t="s">
        <v>13</v>
      </c>
      <c r="E204" s="322" t="s">
        <v>11</v>
      </c>
      <c r="F204" s="141">
        <f>54.8/1000</f>
        <v>5.4799999999999995E-2</v>
      </c>
      <c r="G204" s="141">
        <f>G200*F204</f>
        <v>0.21919999999999998</v>
      </c>
      <c r="H204" s="225"/>
      <c r="I204" s="322"/>
      <c r="J204" s="322"/>
      <c r="K204" s="322"/>
      <c r="L204" s="322"/>
      <c r="M204" s="322"/>
      <c r="N204" s="36"/>
    </row>
    <row r="205" spans="2:14">
      <c r="B205" s="441">
        <v>34</v>
      </c>
      <c r="C205" s="362" t="s">
        <v>438</v>
      </c>
      <c r="D205" s="43" t="s">
        <v>479</v>
      </c>
      <c r="E205" s="61" t="s">
        <v>26</v>
      </c>
      <c r="F205" s="61"/>
      <c r="G205" s="61">
        <v>2</v>
      </c>
      <c r="H205" s="170"/>
      <c r="I205" s="61"/>
      <c r="J205" s="61"/>
      <c r="K205" s="61"/>
      <c r="L205" s="61"/>
      <c r="M205" s="61"/>
      <c r="N205" s="63"/>
    </row>
    <row r="206" spans="2:14">
      <c r="B206" s="441"/>
      <c r="C206" s="363"/>
      <c r="D206" s="72" t="s">
        <v>8</v>
      </c>
      <c r="E206" s="323" t="s">
        <v>10</v>
      </c>
      <c r="F206" s="323">
        <v>9.1999999999999993</v>
      </c>
      <c r="G206" s="323">
        <f>F206*G205</f>
        <v>18.399999999999999</v>
      </c>
      <c r="H206" s="323"/>
      <c r="I206" s="323"/>
      <c r="J206" s="323"/>
      <c r="K206" s="323"/>
      <c r="L206" s="323"/>
      <c r="M206" s="323"/>
      <c r="N206" s="65"/>
    </row>
    <row r="207" spans="2:14">
      <c r="B207" s="441"/>
      <c r="C207" s="363"/>
      <c r="D207" s="72" t="s">
        <v>9</v>
      </c>
      <c r="E207" s="323" t="s">
        <v>11</v>
      </c>
      <c r="F207" s="323">
        <v>2.5299999999999998</v>
      </c>
      <c r="G207" s="323">
        <f>F207*G205</f>
        <v>5.0599999999999996</v>
      </c>
      <c r="H207" s="323"/>
      <c r="I207" s="323"/>
      <c r="J207" s="323"/>
      <c r="K207" s="323"/>
      <c r="L207" s="323"/>
      <c r="M207" s="323"/>
      <c r="N207" s="65"/>
    </row>
    <row r="208" spans="2:14">
      <c r="B208" s="441"/>
      <c r="C208" s="363"/>
      <c r="D208" s="72" t="s">
        <v>554</v>
      </c>
      <c r="E208" s="323" t="s">
        <v>26</v>
      </c>
      <c r="F208" s="323"/>
      <c r="G208" s="323">
        <v>1</v>
      </c>
      <c r="H208" s="323"/>
      <c r="I208" s="323"/>
      <c r="J208" s="323"/>
      <c r="K208" s="323"/>
      <c r="L208" s="323"/>
      <c r="M208" s="323"/>
      <c r="N208" s="65"/>
    </row>
    <row r="209" spans="2:14">
      <c r="B209" s="441"/>
      <c r="C209" s="363"/>
      <c r="D209" s="72" t="s">
        <v>480</v>
      </c>
      <c r="E209" s="323" t="s">
        <v>26</v>
      </c>
      <c r="F209" s="323"/>
      <c r="G209" s="323">
        <f>G205</f>
        <v>2</v>
      </c>
      <c r="H209" s="323"/>
      <c r="I209" s="323"/>
      <c r="J209" s="323"/>
      <c r="K209" s="323"/>
      <c r="L209" s="323"/>
      <c r="M209" s="323"/>
      <c r="N209" s="65"/>
    </row>
    <row r="210" spans="2:14">
      <c r="B210" s="441"/>
      <c r="C210" s="363"/>
      <c r="D210" s="46" t="s">
        <v>439</v>
      </c>
      <c r="E210" s="323" t="s">
        <v>26</v>
      </c>
      <c r="F210" s="323"/>
      <c r="G210" s="323">
        <f>G209</f>
        <v>2</v>
      </c>
      <c r="H210" s="323"/>
      <c r="I210" s="323"/>
      <c r="J210" s="323"/>
      <c r="K210" s="323"/>
      <c r="L210" s="323"/>
      <c r="M210" s="323"/>
      <c r="N210" s="65"/>
    </row>
    <row r="211" spans="2:14">
      <c r="B211" s="441"/>
      <c r="C211" s="363"/>
      <c r="D211" s="164" t="s">
        <v>478</v>
      </c>
      <c r="E211" s="322" t="s">
        <v>23</v>
      </c>
      <c r="F211" s="319"/>
      <c r="G211" s="319">
        <v>0.6</v>
      </c>
      <c r="H211" s="334"/>
      <c r="I211" s="322"/>
      <c r="J211" s="322"/>
      <c r="K211" s="322"/>
      <c r="L211" s="322"/>
      <c r="M211" s="322"/>
      <c r="N211" s="36"/>
    </row>
    <row r="212" spans="2:14">
      <c r="B212" s="441"/>
      <c r="C212" s="363"/>
      <c r="D212" s="46" t="s">
        <v>25</v>
      </c>
      <c r="E212" s="323" t="s">
        <v>12</v>
      </c>
      <c r="F212" s="323">
        <v>0.52400000000000002</v>
      </c>
      <c r="G212" s="323">
        <f>F212*G205</f>
        <v>1.048</v>
      </c>
      <c r="H212" s="323"/>
      <c r="I212" s="323"/>
      <c r="J212" s="323"/>
      <c r="K212" s="323"/>
      <c r="L212" s="323"/>
      <c r="M212" s="323"/>
      <c r="N212" s="65"/>
    </row>
    <row r="213" spans="2:14">
      <c r="B213" s="441"/>
      <c r="C213" s="364"/>
      <c r="D213" s="72" t="s">
        <v>440</v>
      </c>
      <c r="E213" s="323" t="s">
        <v>11</v>
      </c>
      <c r="F213" s="323">
        <v>5.87</v>
      </c>
      <c r="G213" s="323">
        <f>F213*G205</f>
        <v>11.74</v>
      </c>
      <c r="H213" s="323"/>
      <c r="I213" s="323"/>
      <c r="J213" s="323"/>
      <c r="K213" s="323"/>
      <c r="L213" s="323"/>
      <c r="M213" s="323"/>
      <c r="N213" s="65"/>
    </row>
    <row r="214" spans="2:14">
      <c r="B214" s="353">
        <v>35</v>
      </c>
      <c r="C214" s="442" t="s">
        <v>481</v>
      </c>
      <c r="D214" s="171" t="s">
        <v>482</v>
      </c>
      <c r="E214" s="172" t="s">
        <v>483</v>
      </c>
      <c r="F214" s="172"/>
      <c r="G214" s="172">
        <v>4</v>
      </c>
      <c r="H214" s="319"/>
      <c r="I214" s="322"/>
      <c r="J214" s="322"/>
      <c r="K214" s="322"/>
      <c r="L214" s="322"/>
      <c r="M214" s="322"/>
      <c r="N214" s="36"/>
    </row>
    <row r="215" spans="2:14">
      <c r="B215" s="354"/>
      <c r="C215" s="443"/>
      <c r="D215" s="176" t="s">
        <v>8</v>
      </c>
      <c r="E215" s="177" t="s">
        <v>10</v>
      </c>
      <c r="F215" s="177">
        <v>1.002</v>
      </c>
      <c r="G215" s="177">
        <f>G214*F215</f>
        <v>4.008</v>
      </c>
      <c r="H215" s="319"/>
      <c r="I215" s="322"/>
      <c r="J215" s="322"/>
      <c r="K215" s="322"/>
      <c r="L215" s="322"/>
      <c r="M215" s="322"/>
      <c r="N215" s="36"/>
    </row>
    <row r="216" spans="2:14">
      <c r="B216" s="355"/>
      <c r="C216" s="444"/>
      <c r="D216" s="176" t="s">
        <v>235</v>
      </c>
      <c r="E216" s="177" t="s">
        <v>11</v>
      </c>
      <c r="F216" s="177">
        <v>0.49340000000000001</v>
      </c>
      <c r="G216" s="177">
        <f>G214*F216</f>
        <v>1.9736</v>
      </c>
      <c r="H216" s="319"/>
      <c r="I216" s="322"/>
      <c r="J216" s="322"/>
      <c r="K216" s="322"/>
      <c r="L216" s="322"/>
      <c r="M216" s="322"/>
      <c r="N216" s="36"/>
    </row>
    <row r="217" spans="2:14">
      <c r="B217" s="353">
        <v>36</v>
      </c>
      <c r="C217" s="442" t="s">
        <v>484</v>
      </c>
      <c r="D217" s="171" t="s">
        <v>485</v>
      </c>
      <c r="E217" s="330" t="s">
        <v>453</v>
      </c>
      <c r="F217" s="178">
        <f>0.12*0.12</f>
        <v>1.44E-2</v>
      </c>
      <c r="G217" s="172">
        <v>0.01</v>
      </c>
      <c r="H217" s="319"/>
      <c r="I217" s="322"/>
      <c r="J217" s="322"/>
      <c r="K217" s="322"/>
      <c r="L217" s="322"/>
      <c r="M217" s="322"/>
      <c r="N217" s="36"/>
    </row>
    <row r="218" spans="2:14" ht="25.5">
      <c r="B218" s="354"/>
      <c r="C218" s="443"/>
      <c r="D218" s="179" t="s">
        <v>234</v>
      </c>
      <c r="E218" s="81" t="s">
        <v>229</v>
      </c>
      <c r="F218" s="81">
        <v>74.2</v>
      </c>
      <c r="G218" s="82">
        <f>G217*F218</f>
        <v>0.74199999999999999</v>
      </c>
      <c r="H218" s="82"/>
      <c r="I218" s="322"/>
      <c r="J218" s="322"/>
      <c r="K218" s="322"/>
      <c r="L218" s="322"/>
      <c r="M218" s="322"/>
      <c r="N218" s="36"/>
    </row>
    <row r="219" spans="2:14">
      <c r="B219" s="354"/>
      <c r="C219" s="443"/>
      <c r="D219" s="179" t="s">
        <v>239</v>
      </c>
      <c r="E219" s="81" t="s">
        <v>11</v>
      </c>
      <c r="F219" s="81">
        <v>1.1000000000000001</v>
      </c>
      <c r="G219" s="82">
        <f>G217*F219</f>
        <v>1.1000000000000001E-2</v>
      </c>
      <c r="H219" s="82"/>
      <c r="I219" s="322"/>
      <c r="J219" s="322"/>
      <c r="K219" s="322"/>
      <c r="L219" s="322"/>
      <c r="M219" s="322"/>
      <c r="N219" s="36"/>
    </row>
    <row r="220" spans="2:14">
      <c r="B220" s="354"/>
      <c r="C220" s="443"/>
      <c r="D220" s="46" t="s">
        <v>486</v>
      </c>
      <c r="E220" s="81" t="s">
        <v>217</v>
      </c>
      <c r="F220" s="81">
        <v>1.04</v>
      </c>
      <c r="G220" s="82">
        <f>G217*F220</f>
        <v>1.0400000000000001E-2</v>
      </c>
      <c r="H220" s="82"/>
      <c r="I220" s="322"/>
      <c r="J220" s="322"/>
      <c r="K220" s="322"/>
      <c r="L220" s="322"/>
      <c r="M220" s="322"/>
      <c r="N220" s="36"/>
    </row>
    <row r="221" spans="2:14">
      <c r="B221" s="354"/>
      <c r="C221" s="443"/>
      <c r="D221" s="179" t="s">
        <v>487</v>
      </c>
      <c r="E221" s="81" t="s">
        <v>30</v>
      </c>
      <c r="F221" s="81">
        <v>5.9</v>
      </c>
      <c r="G221" s="82">
        <f>G217*F221</f>
        <v>5.9000000000000004E-2</v>
      </c>
      <c r="H221" s="82"/>
      <c r="I221" s="322"/>
      <c r="J221" s="322"/>
      <c r="K221" s="322"/>
      <c r="L221" s="322"/>
      <c r="M221" s="322"/>
      <c r="N221" s="36"/>
    </row>
    <row r="222" spans="2:14">
      <c r="B222" s="354"/>
      <c r="C222" s="443"/>
      <c r="D222" s="179" t="s">
        <v>488</v>
      </c>
      <c r="E222" s="81" t="s">
        <v>217</v>
      </c>
      <c r="F222" s="81">
        <v>0.21</v>
      </c>
      <c r="G222" s="82">
        <f>G217*F222</f>
        <v>2.0999999999999999E-3</v>
      </c>
      <c r="H222" s="82"/>
      <c r="I222" s="322"/>
      <c r="J222" s="322"/>
      <c r="K222" s="322"/>
      <c r="L222" s="322"/>
      <c r="M222" s="322"/>
      <c r="N222" s="36"/>
    </row>
    <row r="223" spans="2:14">
      <c r="B223" s="354"/>
      <c r="C223" s="443"/>
      <c r="D223" s="179" t="s">
        <v>489</v>
      </c>
      <c r="E223" s="81" t="s">
        <v>12</v>
      </c>
      <c r="F223" s="81">
        <v>0.18</v>
      </c>
      <c r="G223" s="82">
        <f>G217*F223</f>
        <v>1.8E-3</v>
      </c>
      <c r="H223" s="82"/>
      <c r="I223" s="322"/>
      <c r="J223" s="322"/>
      <c r="K223" s="322"/>
      <c r="L223" s="322"/>
      <c r="M223" s="322"/>
      <c r="N223" s="36"/>
    </row>
    <row r="224" spans="2:14" ht="38.25">
      <c r="B224" s="362">
        <v>37</v>
      </c>
      <c r="C224" s="445" t="s">
        <v>365</v>
      </c>
      <c r="D224" s="166" t="s">
        <v>490</v>
      </c>
      <c r="E224" s="52" t="s">
        <v>543</v>
      </c>
      <c r="F224" s="52"/>
      <c r="G224" s="52">
        <v>6.28</v>
      </c>
      <c r="H224" s="330"/>
      <c r="I224" s="322"/>
      <c r="J224" s="330"/>
      <c r="K224" s="322"/>
      <c r="L224" s="330"/>
      <c r="M224" s="322"/>
      <c r="N224" s="36"/>
    </row>
    <row r="225" spans="2:14">
      <c r="B225" s="363"/>
      <c r="C225" s="446"/>
      <c r="D225" s="46" t="s">
        <v>28</v>
      </c>
      <c r="E225" s="319" t="s">
        <v>10</v>
      </c>
      <c r="F225" s="319">
        <v>0.33600000000000002</v>
      </c>
      <c r="G225" s="319">
        <f>G224*F225</f>
        <v>2.1100800000000004</v>
      </c>
      <c r="H225" s="319"/>
      <c r="I225" s="322"/>
      <c r="J225" s="319"/>
      <c r="K225" s="322"/>
      <c r="L225" s="319"/>
      <c r="M225" s="322"/>
      <c r="N225" s="36"/>
    </row>
    <row r="226" spans="2:14">
      <c r="B226" s="363"/>
      <c r="C226" s="446"/>
      <c r="D226" s="46" t="s">
        <v>17</v>
      </c>
      <c r="E226" s="39" t="s">
        <v>11</v>
      </c>
      <c r="F226" s="319">
        <v>1.4999999999999999E-2</v>
      </c>
      <c r="G226" s="319">
        <f>G224*F226</f>
        <v>9.4200000000000006E-2</v>
      </c>
      <c r="H226" s="319"/>
      <c r="I226" s="322"/>
      <c r="J226" s="319"/>
      <c r="K226" s="322"/>
      <c r="L226" s="319"/>
      <c r="M226" s="322"/>
      <c r="N226" s="36"/>
    </row>
    <row r="227" spans="2:14">
      <c r="B227" s="363"/>
      <c r="C227" s="446"/>
      <c r="D227" s="46" t="s">
        <v>366</v>
      </c>
      <c r="E227" s="319" t="s">
        <v>367</v>
      </c>
      <c r="F227" s="319">
        <v>2.4</v>
      </c>
      <c r="G227" s="319">
        <f>G224*F227</f>
        <v>15.071999999999999</v>
      </c>
      <c r="H227" s="319"/>
      <c r="I227" s="322"/>
      <c r="J227" s="319"/>
      <c r="K227" s="322"/>
      <c r="L227" s="319"/>
      <c r="M227" s="322"/>
      <c r="N227" s="36"/>
    </row>
    <row r="228" spans="2:14">
      <c r="B228" s="364"/>
      <c r="C228" s="447"/>
      <c r="D228" s="46" t="s">
        <v>13</v>
      </c>
      <c r="E228" s="168" t="s">
        <v>11</v>
      </c>
      <c r="F228" s="319">
        <v>2.2800000000000001E-2</v>
      </c>
      <c r="G228" s="319">
        <f>F228*G224</f>
        <v>0.14318400000000001</v>
      </c>
      <c r="H228" s="319"/>
      <c r="I228" s="180"/>
      <c r="J228" s="319"/>
      <c r="K228" s="322"/>
      <c r="L228" s="319"/>
      <c r="M228" s="322"/>
      <c r="N228" s="36"/>
    </row>
    <row r="229" spans="2:14" ht="25.5">
      <c r="B229" s="386">
        <v>38</v>
      </c>
      <c r="C229" s="353" t="s">
        <v>215</v>
      </c>
      <c r="D229" s="43" t="s">
        <v>227</v>
      </c>
      <c r="E229" s="330" t="s">
        <v>23</v>
      </c>
      <c r="F229" s="319"/>
      <c r="G229" s="330">
        <f>G164+G159+G154+G149+G115+G110+G105+G29+G25+G21</f>
        <v>283</v>
      </c>
      <c r="H229" s="319"/>
      <c r="I229" s="319"/>
      <c r="J229" s="319"/>
      <c r="K229" s="319"/>
      <c r="L229" s="319"/>
      <c r="M229" s="319"/>
      <c r="N229" s="37"/>
    </row>
    <row r="230" spans="2:14">
      <c r="B230" s="386"/>
      <c r="C230" s="354"/>
      <c r="D230" s="46" t="s">
        <v>207</v>
      </c>
      <c r="E230" s="319" t="s">
        <v>208</v>
      </c>
      <c r="F230" s="319">
        <f>5.16/100</f>
        <v>5.16E-2</v>
      </c>
      <c r="G230" s="319">
        <f>G229*F230</f>
        <v>14.6028</v>
      </c>
      <c r="H230" s="319"/>
      <c r="I230" s="319"/>
      <c r="J230" s="319"/>
      <c r="K230" s="319"/>
      <c r="L230" s="319"/>
      <c r="M230" s="319"/>
      <c r="N230" s="37"/>
    </row>
    <row r="231" spans="2:14">
      <c r="B231" s="386"/>
      <c r="C231" s="354"/>
      <c r="D231" s="46" t="s">
        <v>120</v>
      </c>
      <c r="E231" s="319" t="s">
        <v>217</v>
      </c>
      <c r="F231" s="319">
        <f>3.8/100</f>
        <v>3.7999999999999999E-2</v>
      </c>
      <c r="G231" s="319">
        <f>G229*F231</f>
        <v>10.754</v>
      </c>
      <c r="H231" s="319"/>
      <c r="I231" s="37"/>
      <c r="J231" s="319"/>
      <c r="K231" s="319"/>
      <c r="L231" s="319"/>
      <c r="M231" s="319"/>
      <c r="N231" s="37"/>
    </row>
    <row r="232" spans="2:14">
      <c r="B232" s="386"/>
      <c r="C232" s="355"/>
      <c r="D232" s="46" t="s">
        <v>218</v>
      </c>
      <c r="E232" s="319" t="s">
        <v>11</v>
      </c>
      <c r="F232" s="319">
        <f>0.11/100</f>
        <v>1.1000000000000001E-3</v>
      </c>
      <c r="G232" s="319">
        <f>G229*F232</f>
        <v>0.31130000000000002</v>
      </c>
      <c r="H232" s="319"/>
      <c r="I232" s="37"/>
      <c r="J232" s="319"/>
      <c r="K232" s="319"/>
      <c r="L232" s="319"/>
      <c r="M232" s="319"/>
      <c r="N232" s="37"/>
    </row>
    <row r="233" spans="2:14" ht="25.5">
      <c r="B233" s="386">
        <v>39</v>
      </c>
      <c r="C233" s="347" t="s">
        <v>219</v>
      </c>
      <c r="D233" s="43" t="s">
        <v>220</v>
      </c>
      <c r="E233" s="332" t="s">
        <v>221</v>
      </c>
      <c r="F233" s="322"/>
      <c r="G233" s="332">
        <v>1</v>
      </c>
      <c r="H233" s="322"/>
      <c r="I233" s="319"/>
      <c r="J233" s="322"/>
      <c r="K233" s="319"/>
      <c r="L233" s="322"/>
      <c r="M233" s="319"/>
      <c r="N233" s="37"/>
    </row>
    <row r="234" spans="2:14">
      <c r="B234" s="386"/>
      <c r="C234" s="348"/>
      <c r="D234" s="46" t="s">
        <v>207</v>
      </c>
      <c r="E234" s="319" t="s">
        <v>208</v>
      </c>
      <c r="F234" s="319">
        <v>4.9800000000000004</v>
      </c>
      <c r="G234" s="319">
        <f>G233*F234</f>
        <v>4.9800000000000004</v>
      </c>
      <c r="H234" s="319"/>
      <c r="I234" s="319"/>
      <c r="J234" s="319"/>
      <c r="K234" s="319"/>
      <c r="L234" s="319"/>
      <c r="M234" s="319"/>
      <c r="N234" s="37"/>
    </row>
    <row r="235" spans="2:14">
      <c r="B235" s="386"/>
      <c r="C235" s="348"/>
      <c r="D235" s="46" t="s">
        <v>216</v>
      </c>
      <c r="E235" s="319" t="s">
        <v>210</v>
      </c>
      <c r="F235" s="319">
        <v>0.08</v>
      </c>
      <c r="G235" s="319">
        <f>G233*F235</f>
        <v>0.08</v>
      </c>
      <c r="H235" s="319"/>
      <c r="I235" s="319"/>
      <c r="J235" s="319"/>
      <c r="K235" s="319"/>
      <c r="L235" s="319"/>
      <c r="M235" s="319"/>
      <c r="N235" s="37"/>
    </row>
    <row r="236" spans="2:14">
      <c r="B236" s="386"/>
      <c r="C236" s="349"/>
      <c r="D236" s="46" t="s">
        <v>222</v>
      </c>
      <c r="E236" s="319" t="s">
        <v>210</v>
      </c>
      <c r="F236" s="319">
        <v>0.23</v>
      </c>
      <c r="G236" s="319">
        <f>G233*F236</f>
        <v>0.23</v>
      </c>
      <c r="H236" s="319"/>
      <c r="I236" s="319"/>
      <c r="J236" s="319"/>
      <c r="K236" s="319"/>
      <c r="L236" s="319"/>
      <c r="M236" s="319"/>
      <c r="N236" s="37"/>
    </row>
    <row r="237" spans="2:14">
      <c r="B237" s="322"/>
      <c r="C237" s="322"/>
      <c r="D237" s="332" t="s">
        <v>6</v>
      </c>
      <c r="E237" s="322"/>
      <c r="F237" s="322"/>
      <c r="G237" s="322"/>
      <c r="H237" s="322"/>
      <c r="I237" s="332"/>
      <c r="J237" s="332"/>
      <c r="K237" s="332"/>
      <c r="L237" s="332"/>
      <c r="M237" s="332"/>
      <c r="N237" s="44"/>
    </row>
    <row r="238" spans="2:14">
      <c r="B238" s="102"/>
      <c r="C238" s="350" t="s">
        <v>268</v>
      </c>
      <c r="D238" s="351"/>
      <c r="E238" s="332"/>
      <c r="F238" s="322"/>
      <c r="G238" s="322"/>
      <c r="H238" s="322"/>
      <c r="I238" s="108"/>
      <c r="J238" s="322"/>
      <c r="K238" s="322"/>
      <c r="L238" s="322"/>
      <c r="M238" s="322"/>
      <c r="N238" s="36"/>
    </row>
    <row r="239" spans="2:14">
      <c r="B239" s="102"/>
      <c r="C239" s="350" t="s">
        <v>6</v>
      </c>
      <c r="D239" s="351"/>
      <c r="E239" s="332"/>
      <c r="F239" s="322"/>
      <c r="G239" s="322"/>
      <c r="H239" s="322"/>
      <c r="I239" s="322"/>
      <c r="J239" s="322"/>
      <c r="K239" s="322"/>
      <c r="L239" s="322"/>
      <c r="M239" s="322"/>
      <c r="N239" s="44"/>
    </row>
    <row r="240" spans="2:14">
      <c r="B240" s="102"/>
      <c r="C240" s="390" t="s">
        <v>128</v>
      </c>
      <c r="D240" s="450"/>
      <c r="E240" s="332"/>
      <c r="F240" s="332"/>
      <c r="G240" s="102"/>
      <c r="H240" s="102"/>
      <c r="I240" s="322"/>
      <c r="J240" s="322"/>
      <c r="K240" s="108"/>
      <c r="L240" s="322"/>
      <c r="M240" s="322"/>
      <c r="N240" s="36"/>
    </row>
    <row r="241" spans="2:15">
      <c r="B241" s="102"/>
      <c r="C241" s="368" t="s">
        <v>6</v>
      </c>
      <c r="D241" s="369"/>
      <c r="E241" s="322"/>
      <c r="F241" s="322"/>
      <c r="G241" s="102"/>
      <c r="H241" s="102"/>
      <c r="I241" s="322"/>
      <c r="J241" s="322"/>
      <c r="K241" s="322"/>
      <c r="L241" s="322"/>
      <c r="M241" s="322"/>
      <c r="N241" s="44"/>
    </row>
    <row r="242" spans="2:15">
      <c r="B242" s="102"/>
      <c r="C242" s="368" t="s">
        <v>19</v>
      </c>
      <c r="D242" s="369"/>
      <c r="E242" s="332"/>
      <c r="F242" s="332"/>
      <c r="G242" s="102"/>
      <c r="H242" s="102"/>
      <c r="I242" s="322"/>
      <c r="J242" s="322"/>
      <c r="K242" s="322"/>
      <c r="L242" s="322"/>
      <c r="M242" s="322"/>
      <c r="N242" s="36"/>
    </row>
    <row r="243" spans="2:15">
      <c r="B243" s="102"/>
      <c r="C243" s="368" t="s">
        <v>6</v>
      </c>
      <c r="D243" s="369"/>
      <c r="E243" s="332"/>
      <c r="F243" s="332"/>
      <c r="G243" s="102"/>
      <c r="H243" s="102"/>
      <c r="I243" s="322"/>
      <c r="J243" s="322"/>
      <c r="K243" s="322"/>
      <c r="L243" s="322"/>
      <c r="M243" s="322"/>
      <c r="N243" s="44"/>
    </row>
    <row r="244" spans="2:15">
      <c r="B244" s="108"/>
      <c r="C244" s="108"/>
      <c r="D244" s="109"/>
      <c r="E244" s="108"/>
      <c r="F244" s="108"/>
      <c r="G244" s="108"/>
      <c r="H244" s="108"/>
      <c r="I244" s="108"/>
      <c r="J244" s="108"/>
      <c r="K244" s="108"/>
      <c r="L244" s="108"/>
      <c r="M244" s="108"/>
      <c r="N244" s="108"/>
    </row>
    <row r="245" spans="2:15">
      <c r="B245" s="108"/>
      <c r="C245" s="326"/>
      <c r="D245" s="155"/>
      <c r="E245" s="106"/>
      <c r="F245" s="326"/>
      <c r="G245" s="326"/>
      <c r="H245" s="326"/>
      <c r="I245" s="326"/>
      <c r="J245" s="381"/>
      <c r="K245" s="381"/>
      <c r="L245" s="326"/>
      <c r="M245" s="326"/>
      <c r="N245" s="326"/>
      <c r="O245" s="175"/>
    </row>
    <row r="246" spans="2:15">
      <c r="B246" s="326"/>
      <c r="C246" s="326"/>
      <c r="D246" s="181"/>
      <c r="E246" s="182"/>
      <c r="F246" s="108"/>
      <c r="G246" s="326"/>
      <c r="H246" s="326"/>
      <c r="I246" s="326"/>
      <c r="J246" s="326"/>
      <c r="K246" s="326"/>
      <c r="L246" s="326"/>
      <c r="M246" s="326"/>
      <c r="N246" s="326"/>
    </row>
    <row r="247" spans="2:15">
      <c r="B247" s="326"/>
      <c r="C247" s="382"/>
      <c r="D247" s="382"/>
      <c r="E247" s="382"/>
      <c r="F247" s="382"/>
      <c r="G247" s="326"/>
      <c r="H247" s="326"/>
      <c r="I247" s="326"/>
      <c r="J247" s="326"/>
      <c r="K247" s="326"/>
      <c r="L247" s="326"/>
      <c r="M247" s="326"/>
      <c r="N247" s="326"/>
    </row>
  </sheetData>
  <mergeCells count="106">
    <mergeCell ref="B1:N1"/>
    <mergeCell ref="B2:N2"/>
    <mergeCell ref="B3:N3"/>
    <mergeCell ref="B4:G4"/>
    <mergeCell ref="H4:L4"/>
    <mergeCell ref="B5:B6"/>
    <mergeCell ref="C5:C6"/>
    <mergeCell ref="D5:D6"/>
    <mergeCell ref="E5:E6"/>
    <mergeCell ref="F5:F6"/>
    <mergeCell ref="G5:G6"/>
    <mergeCell ref="H5:I5"/>
    <mergeCell ref="J5:K5"/>
    <mergeCell ref="L5:M5"/>
    <mergeCell ref="N5:N6"/>
    <mergeCell ref="B25:B28"/>
    <mergeCell ref="C25:C28"/>
    <mergeCell ref="B29:B32"/>
    <mergeCell ref="C29:C32"/>
    <mergeCell ref="B33:B45"/>
    <mergeCell ref="C33:C45"/>
    <mergeCell ref="B46:B50"/>
    <mergeCell ref="C46:C50"/>
    <mergeCell ref="B9:B12"/>
    <mergeCell ref="C9:C12"/>
    <mergeCell ref="B13:B14"/>
    <mergeCell ref="C13:C14"/>
    <mergeCell ref="B15:B17"/>
    <mergeCell ref="C15:C17"/>
    <mergeCell ref="B18:B20"/>
    <mergeCell ref="C18:C20"/>
    <mergeCell ref="B21:B24"/>
    <mergeCell ref="C21:C24"/>
    <mergeCell ref="B52:B56"/>
    <mergeCell ref="C52:C56"/>
    <mergeCell ref="B57:B61"/>
    <mergeCell ref="C57:C61"/>
    <mergeCell ref="B62:B65"/>
    <mergeCell ref="C62:C65"/>
    <mergeCell ref="B66:B71"/>
    <mergeCell ref="C66:C71"/>
    <mergeCell ref="B72:B77"/>
    <mergeCell ref="C72:C77"/>
    <mergeCell ref="B120:B124"/>
    <mergeCell ref="C120:C124"/>
    <mergeCell ref="B142:B147"/>
    <mergeCell ref="C142:C147"/>
    <mergeCell ref="B78:B86"/>
    <mergeCell ref="C78:C86"/>
    <mergeCell ref="B87:B93"/>
    <mergeCell ref="C87:C93"/>
    <mergeCell ref="B99:B103"/>
    <mergeCell ref="C99:C103"/>
    <mergeCell ref="B105:B109"/>
    <mergeCell ref="C105:C109"/>
    <mergeCell ref="B110:B114"/>
    <mergeCell ref="C110:C114"/>
    <mergeCell ref="B115:B119"/>
    <mergeCell ref="C115:C119"/>
    <mergeCell ref="C94:C98"/>
    <mergeCell ref="C194:C196"/>
    <mergeCell ref="B197:B199"/>
    <mergeCell ref="C197:C199"/>
    <mergeCell ref="B169:B172"/>
    <mergeCell ref="C169:C172"/>
    <mergeCell ref="B173:B177"/>
    <mergeCell ref="C173:C177"/>
    <mergeCell ref="B178:B182"/>
    <mergeCell ref="C178:C182"/>
    <mergeCell ref="B183:B187"/>
    <mergeCell ref="C183:C187"/>
    <mergeCell ref="J245:K245"/>
    <mergeCell ref="C247:F247"/>
    <mergeCell ref="B229:B232"/>
    <mergeCell ref="C229:C232"/>
    <mergeCell ref="B233:B236"/>
    <mergeCell ref="C233:C236"/>
    <mergeCell ref="C238:D238"/>
    <mergeCell ref="C239:D239"/>
    <mergeCell ref="C240:D240"/>
    <mergeCell ref="C241:D241"/>
    <mergeCell ref="C242:D242"/>
    <mergeCell ref="B149:B153"/>
    <mergeCell ref="C149:C153"/>
    <mergeCell ref="B154:B158"/>
    <mergeCell ref="C154:C158"/>
    <mergeCell ref="B159:B163"/>
    <mergeCell ref="C159:C163"/>
    <mergeCell ref="B164:B168"/>
    <mergeCell ref="C164:C168"/>
    <mergeCell ref="C243:D243"/>
    <mergeCell ref="B200:B204"/>
    <mergeCell ref="C200:C204"/>
    <mergeCell ref="B205:B213"/>
    <mergeCell ref="C205:C213"/>
    <mergeCell ref="B214:B216"/>
    <mergeCell ref="C214:C216"/>
    <mergeCell ref="B217:B223"/>
    <mergeCell ref="C217:C223"/>
    <mergeCell ref="B224:B228"/>
    <mergeCell ref="C224:C228"/>
    <mergeCell ref="B188:B191"/>
    <mergeCell ref="C188:C191"/>
    <mergeCell ref="B192:B193"/>
    <mergeCell ref="C192:C193"/>
    <mergeCell ref="B194:B196"/>
  </mergeCells>
  <pageMargins left="0.59055118110236227" right="0.19685039370078741" top="0.51181102362204722" bottom="0.47244094488188981" header="0.31496062992125984" footer="0.31496062992125984"/>
  <pageSetup paperSize="9" scale="92" orientation="landscape" r:id="rId1"/>
  <headerFooter>
    <oddHeader>&amp;R&amp;P--&amp;N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view="pageBreakPreview" topLeftCell="B28" zoomScale="120" zoomScaleNormal="130" zoomScaleSheetLayoutView="120" workbookViewId="0">
      <selection activeCell="E38" sqref="E38:E44"/>
    </sheetView>
  </sheetViews>
  <sheetFormatPr defaultColWidth="8.85546875" defaultRowHeight="15"/>
  <cols>
    <col min="1" max="1" width="3.140625" style="188" hidden="1" customWidth="1"/>
    <col min="2" max="2" width="3.28515625" style="188" customWidth="1"/>
    <col min="3" max="3" width="9.85546875" style="188" customWidth="1"/>
    <col min="4" max="4" width="54.140625" style="188" customWidth="1"/>
    <col min="5" max="5" width="5.85546875" style="212" customWidth="1"/>
    <col min="6" max="6" width="7.5703125" style="212" customWidth="1"/>
    <col min="7" max="7" width="9.140625" style="212"/>
    <col min="8" max="8" width="8.28515625" style="212" customWidth="1"/>
    <col min="9" max="9" width="10.7109375" style="212" customWidth="1"/>
    <col min="10" max="10" width="7.7109375" style="212" customWidth="1"/>
    <col min="11" max="11" width="9.140625" style="212"/>
    <col min="12" max="12" width="9.140625" style="212" customWidth="1"/>
    <col min="13" max="13" width="9.140625" style="212"/>
    <col min="14" max="14" width="12.28515625" style="212" customWidth="1"/>
    <col min="15" max="16384" width="8.85546875" style="134"/>
  </cols>
  <sheetData>
    <row r="1" spans="1:14" s="10" customFormat="1" ht="15.75">
      <c r="A1" s="188"/>
      <c r="B1" s="370" t="s">
        <v>620</v>
      </c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</row>
    <row r="2" spans="1:14" s="10" customFormat="1" ht="15.75">
      <c r="A2" s="188"/>
      <c r="B2" s="467" t="s">
        <v>302</v>
      </c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467"/>
      <c r="N2" s="467"/>
    </row>
    <row r="3" spans="1:14" s="10" customFormat="1" ht="15.75">
      <c r="A3" s="188"/>
      <c r="B3" s="467" t="s">
        <v>293</v>
      </c>
      <c r="C3" s="467"/>
      <c r="D3" s="467"/>
      <c r="E3" s="467"/>
      <c r="F3" s="467"/>
      <c r="G3" s="467"/>
      <c r="H3" s="467"/>
      <c r="I3" s="467"/>
      <c r="J3" s="467"/>
      <c r="K3" s="467"/>
      <c r="L3" s="467"/>
      <c r="M3" s="467"/>
      <c r="N3" s="467"/>
    </row>
    <row r="4" spans="1:14" s="10" customFormat="1" ht="15.75">
      <c r="A4" s="188"/>
      <c r="B4" s="468"/>
      <c r="C4" s="468"/>
      <c r="D4" s="468"/>
      <c r="E4" s="468"/>
      <c r="F4" s="468"/>
      <c r="G4" s="466" t="s">
        <v>122</v>
      </c>
      <c r="H4" s="466"/>
      <c r="I4" s="466"/>
      <c r="J4" s="466"/>
      <c r="K4" s="466"/>
      <c r="L4" s="190">
        <f>N44</f>
        <v>0</v>
      </c>
      <c r="M4" s="328" t="s">
        <v>22</v>
      </c>
      <c r="N4" s="328"/>
    </row>
    <row r="5" spans="1:14">
      <c r="B5" s="464" t="s">
        <v>0</v>
      </c>
      <c r="C5" s="464" t="s">
        <v>1</v>
      </c>
      <c r="D5" s="464" t="s">
        <v>16</v>
      </c>
      <c r="E5" s="464" t="s">
        <v>2</v>
      </c>
      <c r="F5" s="464" t="s">
        <v>125</v>
      </c>
      <c r="G5" s="464" t="s">
        <v>126</v>
      </c>
      <c r="H5" s="464" t="s">
        <v>3</v>
      </c>
      <c r="I5" s="464"/>
      <c r="J5" s="464" t="s">
        <v>7</v>
      </c>
      <c r="K5" s="464"/>
      <c r="L5" s="464" t="s">
        <v>18</v>
      </c>
      <c r="M5" s="464"/>
      <c r="N5" s="464" t="s">
        <v>6</v>
      </c>
    </row>
    <row r="6" spans="1:14" ht="27">
      <c r="B6" s="465"/>
      <c r="C6" s="465"/>
      <c r="D6" s="465"/>
      <c r="E6" s="465"/>
      <c r="F6" s="464"/>
      <c r="G6" s="464"/>
      <c r="H6" s="337" t="s">
        <v>15</v>
      </c>
      <c r="I6" s="337" t="s">
        <v>6</v>
      </c>
      <c r="J6" s="337" t="s">
        <v>15</v>
      </c>
      <c r="K6" s="337" t="s">
        <v>6</v>
      </c>
      <c r="L6" s="337" t="s">
        <v>15</v>
      </c>
      <c r="M6" s="337" t="s">
        <v>6</v>
      </c>
      <c r="N6" s="465"/>
    </row>
    <row r="7" spans="1:14">
      <c r="B7" s="191">
        <v>1</v>
      </c>
      <c r="C7" s="192">
        <v>2</v>
      </c>
      <c r="D7" s="192">
        <v>3</v>
      </c>
      <c r="E7" s="192">
        <v>4</v>
      </c>
      <c r="F7" s="192">
        <v>5</v>
      </c>
      <c r="G7" s="192">
        <v>6</v>
      </c>
      <c r="H7" s="192">
        <v>7</v>
      </c>
      <c r="I7" s="192">
        <v>8</v>
      </c>
      <c r="J7" s="192">
        <v>9</v>
      </c>
      <c r="K7" s="192">
        <v>10</v>
      </c>
      <c r="L7" s="192">
        <v>11</v>
      </c>
      <c r="M7" s="192">
        <v>12</v>
      </c>
      <c r="N7" s="192">
        <v>13</v>
      </c>
    </row>
    <row r="8" spans="1:14" s="195" customFormat="1" ht="27">
      <c r="A8" s="193"/>
      <c r="B8" s="461">
        <v>1</v>
      </c>
      <c r="C8" s="458" t="s">
        <v>304</v>
      </c>
      <c r="D8" s="194" t="s">
        <v>335</v>
      </c>
      <c r="E8" s="45" t="s">
        <v>43</v>
      </c>
      <c r="F8" s="45"/>
      <c r="G8" s="45">
        <v>1</v>
      </c>
      <c r="H8" s="45"/>
      <c r="I8" s="340"/>
      <c r="J8" s="340"/>
      <c r="K8" s="340"/>
      <c r="L8" s="340"/>
      <c r="M8" s="340"/>
      <c r="N8" s="340"/>
    </row>
    <row r="9" spans="1:14" s="195" customFormat="1">
      <c r="A9" s="193"/>
      <c r="B9" s="462"/>
      <c r="C9" s="459"/>
      <c r="D9" s="196" t="s">
        <v>8</v>
      </c>
      <c r="E9" s="47" t="s">
        <v>10</v>
      </c>
      <c r="F9" s="47">
        <v>52.5</v>
      </c>
      <c r="G9" s="47">
        <f>F9*G8</f>
        <v>52.5</v>
      </c>
      <c r="H9" s="47"/>
      <c r="I9" s="340"/>
      <c r="J9" s="47"/>
      <c r="K9" s="340"/>
      <c r="L9" s="47"/>
      <c r="M9" s="340"/>
      <c r="N9" s="340"/>
    </row>
    <row r="10" spans="1:14" s="195" customFormat="1" ht="27">
      <c r="A10" s="193"/>
      <c r="B10" s="462"/>
      <c r="C10" s="459"/>
      <c r="D10" s="196" t="s">
        <v>335</v>
      </c>
      <c r="E10" s="47" t="s">
        <v>99</v>
      </c>
      <c r="F10" s="47"/>
      <c r="G10" s="47">
        <v>1</v>
      </c>
      <c r="H10" s="47"/>
      <c r="I10" s="340"/>
      <c r="J10" s="47"/>
      <c r="K10" s="340"/>
      <c r="L10" s="47"/>
      <c r="M10" s="340"/>
      <c r="N10" s="340"/>
    </row>
    <row r="11" spans="1:14" s="195" customFormat="1" ht="27">
      <c r="A11" s="193"/>
      <c r="B11" s="462"/>
      <c r="C11" s="459"/>
      <c r="D11" s="196" t="s">
        <v>271</v>
      </c>
      <c r="E11" s="47" t="s">
        <v>99</v>
      </c>
      <c r="F11" s="47"/>
      <c r="G11" s="47">
        <v>4</v>
      </c>
      <c r="H11" s="47"/>
      <c r="I11" s="340"/>
      <c r="J11" s="47"/>
      <c r="K11" s="340"/>
      <c r="L11" s="47"/>
      <c r="M11" s="340"/>
      <c r="N11" s="340"/>
    </row>
    <row r="12" spans="1:14" s="195" customFormat="1" ht="27">
      <c r="A12" s="193"/>
      <c r="B12" s="463"/>
      <c r="C12" s="460"/>
      <c r="D12" s="196" t="s">
        <v>272</v>
      </c>
      <c r="E12" s="47" t="s">
        <v>99</v>
      </c>
      <c r="F12" s="47"/>
      <c r="G12" s="47">
        <v>29</v>
      </c>
      <c r="H12" s="47"/>
      <c r="I12" s="340"/>
      <c r="J12" s="47"/>
      <c r="K12" s="340"/>
      <c r="L12" s="47"/>
      <c r="M12" s="340"/>
      <c r="N12" s="340"/>
    </row>
    <row r="13" spans="1:14" s="195" customFormat="1" ht="27">
      <c r="A13" s="193"/>
      <c r="B13" s="339"/>
      <c r="C13" s="338"/>
      <c r="D13" s="197" t="s">
        <v>275</v>
      </c>
      <c r="E13" s="47" t="s">
        <v>26</v>
      </c>
      <c r="F13" s="47"/>
      <c r="G13" s="47">
        <v>1</v>
      </c>
      <c r="H13" s="47"/>
      <c r="I13" s="340"/>
      <c r="J13" s="47"/>
      <c r="K13" s="340"/>
      <c r="L13" s="47"/>
      <c r="M13" s="340"/>
      <c r="N13" s="340"/>
    </row>
    <row r="14" spans="1:14" s="195" customFormat="1">
      <c r="A14" s="193"/>
      <c r="B14" s="461">
        <v>2</v>
      </c>
      <c r="C14" s="458" t="s">
        <v>274</v>
      </c>
      <c r="D14" s="95" t="s">
        <v>273</v>
      </c>
      <c r="E14" s="45" t="s">
        <v>27</v>
      </c>
      <c r="F14" s="45"/>
      <c r="G14" s="45">
        <v>450</v>
      </c>
      <c r="H14" s="45"/>
      <c r="I14" s="340"/>
      <c r="J14" s="45"/>
      <c r="K14" s="340"/>
      <c r="L14" s="45"/>
      <c r="M14" s="340"/>
      <c r="N14" s="340"/>
    </row>
    <row r="15" spans="1:14" s="195" customFormat="1">
      <c r="A15" s="193"/>
      <c r="B15" s="462"/>
      <c r="C15" s="459"/>
      <c r="D15" s="196" t="s">
        <v>8</v>
      </c>
      <c r="E15" s="47" t="s">
        <v>10</v>
      </c>
      <c r="F15" s="47">
        <v>0.51</v>
      </c>
      <c r="G15" s="47">
        <f>F15*G14</f>
        <v>229.5</v>
      </c>
      <c r="H15" s="47"/>
      <c r="I15" s="340"/>
      <c r="J15" s="47"/>
      <c r="K15" s="340"/>
      <c r="L15" s="47"/>
      <c r="M15" s="340"/>
      <c r="N15" s="340"/>
    </row>
    <row r="16" spans="1:14" s="195" customFormat="1">
      <c r="A16" s="193"/>
      <c r="B16" s="462"/>
      <c r="C16" s="459"/>
      <c r="D16" s="196" t="s">
        <v>336</v>
      </c>
      <c r="E16" s="47" t="s">
        <v>23</v>
      </c>
      <c r="F16" s="47"/>
      <c r="G16" s="47">
        <f>G14</f>
        <v>450</v>
      </c>
      <c r="H16" s="47"/>
      <c r="I16" s="340"/>
      <c r="J16" s="47"/>
      <c r="K16" s="340"/>
      <c r="L16" s="47"/>
      <c r="M16" s="340"/>
      <c r="N16" s="340"/>
    </row>
    <row r="17" spans="1:14" s="195" customFormat="1" ht="27">
      <c r="A17" s="193"/>
      <c r="B17" s="463"/>
      <c r="C17" s="460"/>
      <c r="D17" s="196" t="s">
        <v>13</v>
      </c>
      <c r="E17" s="47" t="s">
        <v>11</v>
      </c>
      <c r="F17" s="47">
        <f>2.51/100</f>
        <v>2.5099999999999997E-2</v>
      </c>
      <c r="G17" s="47">
        <f>F17*G14</f>
        <v>11.294999999999998</v>
      </c>
      <c r="H17" s="47"/>
      <c r="I17" s="340"/>
      <c r="J17" s="47"/>
      <c r="K17" s="340"/>
      <c r="L17" s="47"/>
      <c r="M17" s="340"/>
      <c r="N17" s="340"/>
    </row>
    <row r="18" spans="1:14" s="195" customFormat="1" ht="27">
      <c r="A18" s="193"/>
      <c r="B18" s="469">
        <v>2</v>
      </c>
      <c r="C18" s="469" t="s">
        <v>337</v>
      </c>
      <c r="D18" s="198" t="s">
        <v>348</v>
      </c>
      <c r="E18" s="337" t="s">
        <v>332</v>
      </c>
      <c r="F18" s="337"/>
      <c r="G18" s="337">
        <v>25</v>
      </c>
      <c r="H18" s="47"/>
      <c r="I18" s="47"/>
      <c r="J18" s="47"/>
      <c r="K18" s="47"/>
      <c r="L18" s="47"/>
      <c r="M18" s="47"/>
      <c r="N18" s="47"/>
    </row>
    <row r="19" spans="1:14" s="195" customFormat="1">
      <c r="A19" s="193"/>
      <c r="B19" s="470"/>
      <c r="C19" s="470"/>
      <c r="D19" s="199" t="s">
        <v>330</v>
      </c>
      <c r="E19" s="340" t="s">
        <v>331</v>
      </c>
      <c r="F19" s="340">
        <v>2</v>
      </c>
      <c r="G19" s="340">
        <f>F19*G18</f>
        <v>50</v>
      </c>
      <c r="H19" s="47"/>
      <c r="I19" s="47"/>
      <c r="J19" s="47"/>
      <c r="K19" s="47"/>
      <c r="L19" s="47"/>
      <c r="M19" s="47"/>
      <c r="N19" s="47"/>
    </row>
    <row r="20" spans="1:14" s="195" customFormat="1">
      <c r="A20" s="193"/>
      <c r="B20" s="471"/>
      <c r="C20" s="471"/>
      <c r="D20" s="199" t="s">
        <v>349</v>
      </c>
      <c r="E20" s="340" t="s">
        <v>332</v>
      </c>
      <c r="F20" s="340"/>
      <c r="G20" s="340">
        <f>G18</f>
        <v>25</v>
      </c>
      <c r="H20" s="47"/>
      <c r="I20" s="47"/>
      <c r="J20" s="47"/>
      <c r="K20" s="47"/>
      <c r="L20" s="47"/>
      <c r="M20" s="47"/>
      <c r="N20" s="47"/>
    </row>
    <row r="21" spans="1:14" s="195" customFormat="1" ht="27">
      <c r="A21" s="193"/>
      <c r="B21" s="469">
        <v>3</v>
      </c>
      <c r="C21" s="469" t="s">
        <v>337</v>
      </c>
      <c r="D21" s="198" t="s">
        <v>346</v>
      </c>
      <c r="E21" s="337" t="s">
        <v>332</v>
      </c>
      <c r="F21" s="337"/>
      <c r="G21" s="337">
        <v>2</v>
      </c>
      <c r="H21" s="47"/>
      <c r="I21" s="47"/>
      <c r="J21" s="47"/>
      <c r="K21" s="47"/>
      <c r="L21" s="47"/>
      <c r="M21" s="47"/>
      <c r="N21" s="47"/>
    </row>
    <row r="22" spans="1:14" s="195" customFormat="1">
      <c r="A22" s="193"/>
      <c r="B22" s="470"/>
      <c r="C22" s="470"/>
      <c r="D22" s="199" t="s">
        <v>330</v>
      </c>
      <c r="E22" s="340" t="s">
        <v>331</v>
      </c>
      <c r="F22" s="340">
        <v>2</v>
      </c>
      <c r="G22" s="340">
        <f>F22*G21</f>
        <v>4</v>
      </c>
      <c r="H22" s="47"/>
      <c r="I22" s="47"/>
      <c r="J22" s="47"/>
      <c r="K22" s="47"/>
      <c r="L22" s="47"/>
      <c r="M22" s="47"/>
      <c r="N22" s="47"/>
    </row>
    <row r="23" spans="1:14" s="195" customFormat="1">
      <c r="A23" s="193"/>
      <c r="B23" s="471"/>
      <c r="C23" s="471"/>
      <c r="D23" s="199" t="s">
        <v>347</v>
      </c>
      <c r="E23" s="340" t="s">
        <v>332</v>
      </c>
      <c r="F23" s="340"/>
      <c r="G23" s="340">
        <f>G21</f>
        <v>2</v>
      </c>
      <c r="H23" s="47"/>
      <c r="I23" s="47"/>
      <c r="J23" s="47"/>
      <c r="K23" s="47"/>
      <c r="L23" s="47"/>
      <c r="M23" s="47"/>
      <c r="N23" s="47"/>
    </row>
    <row r="24" spans="1:14" s="195" customFormat="1">
      <c r="A24" s="193"/>
      <c r="B24" s="469">
        <v>4</v>
      </c>
      <c r="C24" s="472" t="s">
        <v>343</v>
      </c>
      <c r="D24" s="198" t="s">
        <v>345</v>
      </c>
      <c r="E24" s="337" t="s">
        <v>332</v>
      </c>
      <c r="F24" s="340"/>
      <c r="G24" s="337">
        <v>2</v>
      </c>
      <c r="H24" s="47"/>
      <c r="I24" s="47"/>
      <c r="J24" s="47"/>
      <c r="K24" s="47"/>
      <c r="L24" s="47"/>
      <c r="M24" s="47"/>
      <c r="N24" s="47"/>
    </row>
    <row r="25" spans="1:14" s="195" customFormat="1">
      <c r="A25" s="193"/>
      <c r="B25" s="470"/>
      <c r="C25" s="472"/>
      <c r="D25" s="199" t="s">
        <v>330</v>
      </c>
      <c r="E25" s="340" t="s">
        <v>331</v>
      </c>
      <c r="F25" s="340">
        <v>2</v>
      </c>
      <c r="G25" s="340">
        <f>F25*G24</f>
        <v>4</v>
      </c>
      <c r="H25" s="47"/>
      <c r="I25" s="47"/>
      <c r="J25" s="47"/>
      <c r="K25" s="47"/>
      <c r="L25" s="47"/>
      <c r="M25" s="47"/>
      <c r="N25" s="47"/>
    </row>
    <row r="26" spans="1:14" s="195" customFormat="1">
      <c r="A26" s="193"/>
      <c r="B26" s="471"/>
      <c r="C26" s="472"/>
      <c r="D26" s="199" t="s">
        <v>344</v>
      </c>
      <c r="E26" s="340" t="s">
        <v>332</v>
      </c>
      <c r="F26" s="340"/>
      <c r="G26" s="340">
        <f>G24</f>
        <v>2</v>
      </c>
      <c r="H26" s="47"/>
      <c r="I26" s="47"/>
      <c r="J26" s="47"/>
      <c r="K26" s="47"/>
      <c r="L26" s="47"/>
      <c r="M26" s="47"/>
      <c r="N26" s="47"/>
    </row>
    <row r="27" spans="1:14" s="195" customFormat="1">
      <c r="A27" s="193"/>
      <c r="B27" s="469">
        <v>5</v>
      </c>
      <c r="C27" s="472" t="s">
        <v>340</v>
      </c>
      <c r="D27" s="198" t="s">
        <v>341</v>
      </c>
      <c r="E27" s="337" t="s">
        <v>26</v>
      </c>
      <c r="F27" s="340"/>
      <c r="G27" s="337">
        <v>2</v>
      </c>
      <c r="H27" s="47"/>
      <c r="I27" s="47"/>
      <c r="J27" s="47"/>
      <c r="K27" s="47"/>
      <c r="L27" s="47"/>
      <c r="M27" s="47"/>
      <c r="N27" s="47"/>
    </row>
    <row r="28" spans="1:14" s="195" customFormat="1">
      <c r="A28" s="193"/>
      <c r="B28" s="470"/>
      <c r="C28" s="472"/>
      <c r="D28" s="199" t="s">
        <v>330</v>
      </c>
      <c r="E28" s="340" t="s">
        <v>331</v>
      </c>
      <c r="F28" s="340">
        <v>3</v>
      </c>
      <c r="G28" s="340">
        <f>F28*G27</f>
        <v>6</v>
      </c>
      <c r="H28" s="47"/>
      <c r="I28" s="47"/>
      <c r="J28" s="47"/>
      <c r="K28" s="47"/>
      <c r="L28" s="47"/>
      <c r="M28" s="47"/>
      <c r="N28" s="47"/>
    </row>
    <row r="29" spans="1:14" s="195" customFormat="1">
      <c r="A29" s="193"/>
      <c r="B29" s="471"/>
      <c r="C29" s="472"/>
      <c r="D29" s="199" t="s">
        <v>342</v>
      </c>
      <c r="E29" s="340" t="s">
        <v>332</v>
      </c>
      <c r="F29" s="340"/>
      <c r="G29" s="340">
        <f>G27</f>
        <v>2</v>
      </c>
      <c r="H29" s="47"/>
      <c r="I29" s="47"/>
      <c r="J29" s="47"/>
      <c r="K29" s="47"/>
      <c r="L29" s="47"/>
      <c r="M29" s="47"/>
      <c r="N29" s="47"/>
    </row>
    <row r="30" spans="1:14" s="195" customFormat="1">
      <c r="A30" s="193"/>
      <c r="B30" s="469">
        <v>6</v>
      </c>
      <c r="C30" s="469" t="s">
        <v>337</v>
      </c>
      <c r="D30" s="198" t="s">
        <v>338</v>
      </c>
      <c r="E30" s="337" t="s">
        <v>332</v>
      </c>
      <c r="F30" s="337"/>
      <c r="G30" s="337">
        <v>29</v>
      </c>
      <c r="H30" s="47"/>
      <c r="I30" s="47"/>
      <c r="J30" s="47"/>
      <c r="K30" s="47"/>
      <c r="L30" s="47"/>
      <c r="M30" s="47"/>
      <c r="N30" s="47"/>
    </row>
    <row r="31" spans="1:14" s="195" customFormat="1">
      <c r="A31" s="193"/>
      <c r="B31" s="470"/>
      <c r="C31" s="470"/>
      <c r="D31" s="199" t="s">
        <v>330</v>
      </c>
      <c r="E31" s="340" t="s">
        <v>331</v>
      </c>
      <c r="F31" s="340">
        <v>2</v>
      </c>
      <c r="G31" s="340">
        <f>F31*G30</f>
        <v>58</v>
      </c>
      <c r="H31" s="47"/>
      <c r="I31" s="47"/>
      <c r="J31" s="47"/>
      <c r="K31" s="47"/>
      <c r="L31" s="47"/>
      <c r="M31" s="47"/>
      <c r="N31" s="47"/>
    </row>
    <row r="32" spans="1:14" s="195" customFormat="1">
      <c r="A32" s="193"/>
      <c r="B32" s="471"/>
      <c r="C32" s="471"/>
      <c r="D32" s="199" t="s">
        <v>339</v>
      </c>
      <c r="E32" s="340" t="s">
        <v>332</v>
      </c>
      <c r="F32" s="340"/>
      <c r="G32" s="340">
        <f>G30</f>
        <v>29</v>
      </c>
      <c r="H32" s="47"/>
      <c r="I32" s="47"/>
      <c r="J32" s="47"/>
      <c r="K32" s="47"/>
      <c r="L32" s="47"/>
      <c r="M32" s="47"/>
      <c r="N32" s="47"/>
    </row>
    <row r="33" spans="1:15" s="195" customFormat="1" ht="27">
      <c r="A33" s="193"/>
      <c r="B33" s="469">
        <v>7</v>
      </c>
      <c r="C33" s="469" t="s">
        <v>328</v>
      </c>
      <c r="D33" s="198" t="s">
        <v>329</v>
      </c>
      <c r="E33" s="337" t="s">
        <v>26</v>
      </c>
      <c r="F33" s="340"/>
      <c r="G33" s="337">
        <v>1</v>
      </c>
      <c r="H33" s="47"/>
      <c r="I33" s="47"/>
      <c r="J33" s="47"/>
      <c r="K33" s="47"/>
      <c r="L33" s="47"/>
      <c r="M33" s="47"/>
      <c r="N33" s="47"/>
    </row>
    <row r="34" spans="1:15" s="195" customFormat="1">
      <c r="A34" s="193"/>
      <c r="B34" s="470"/>
      <c r="C34" s="470"/>
      <c r="D34" s="199" t="s">
        <v>330</v>
      </c>
      <c r="E34" s="340" t="s">
        <v>331</v>
      </c>
      <c r="F34" s="340">
        <v>1</v>
      </c>
      <c r="G34" s="340">
        <f>F34*G33</f>
        <v>1</v>
      </c>
      <c r="H34" s="47"/>
      <c r="I34" s="47"/>
      <c r="J34" s="47"/>
      <c r="K34" s="47"/>
      <c r="L34" s="47"/>
      <c r="M34" s="47"/>
      <c r="N34" s="47"/>
    </row>
    <row r="35" spans="1:15" s="195" customFormat="1">
      <c r="A35" s="193"/>
      <c r="B35" s="470"/>
      <c r="C35" s="470"/>
      <c r="D35" s="342" t="s">
        <v>13</v>
      </c>
      <c r="E35" s="340" t="s">
        <v>210</v>
      </c>
      <c r="F35" s="340">
        <v>0.23</v>
      </c>
      <c r="G35" s="340">
        <f>F35*G33</f>
        <v>0.23</v>
      </c>
      <c r="H35" s="224"/>
      <c r="I35" s="47"/>
      <c r="J35" s="47"/>
      <c r="K35" s="47"/>
      <c r="L35" s="47"/>
      <c r="M35" s="47"/>
      <c r="N35" s="47"/>
    </row>
    <row r="36" spans="1:15" s="195" customFormat="1">
      <c r="A36" s="193"/>
      <c r="B36" s="471"/>
      <c r="C36" s="471"/>
      <c r="D36" s="199" t="s">
        <v>619</v>
      </c>
      <c r="E36" s="340" t="s">
        <v>332</v>
      </c>
      <c r="F36" s="340"/>
      <c r="G36" s="340">
        <f>G33</f>
        <v>1</v>
      </c>
      <c r="H36" s="47"/>
      <c r="I36" s="47"/>
      <c r="J36" s="47"/>
      <c r="K36" s="47"/>
      <c r="L36" s="47"/>
      <c r="M36" s="47"/>
      <c r="N36" s="47"/>
    </row>
    <row r="37" spans="1:15">
      <c r="B37" s="200"/>
      <c r="C37" s="45"/>
      <c r="D37" s="201" t="s">
        <v>6</v>
      </c>
      <c r="E37" s="47"/>
      <c r="F37" s="200"/>
      <c r="G37" s="200"/>
      <c r="H37" s="201"/>
      <c r="I37" s="45"/>
      <c r="J37" s="201"/>
      <c r="K37" s="201"/>
      <c r="L37" s="201"/>
      <c r="M37" s="201"/>
      <c r="N37" s="202"/>
    </row>
    <row r="38" spans="1:15">
      <c r="B38" s="200"/>
      <c r="C38" s="95"/>
      <c r="D38" s="45" t="s">
        <v>268</v>
      </c>
      <c r="E38" s="45"/>
      <c r="F38" s="47"/>
      <c r="G38" s="47"/>
      <c r="H38" s="47"/>
      <c r="I38" s="203"/>
      <c r="J38" s="47"/>
      <c r="K38" s="47"/>
      <c r="L38" s="47"/>
      <c r="M38" s="47"/>
      <c r="N38" s="50"/>
    </row>
    <row r="39" spans="1:15">
      <c r="B39" s="200"/>
      <c r="C39" s="95"/>
      <c r="D39" s="45" t="s">
        <v>6</v>
      </c>
      <c r="E39" s="45"/>
      <c r="F39" s="47"/>
      <c r="G39" s="47"/>
      <c r="H39" s="47"/>
      <c r="I39" s="47"/>
      <c r="J39" s="47"/>
      <c r="K39" s="47"/>
      <c r="L39" s="47"/>
      <c r="M39" s="47"/>
      <c r="N39" s="204"/>
    </row>
    <row r="40" spans="1:15">
      <c r="B40" s="200"/>
      <c r="D40" s="201" t="s">
        <v>334</v>
      </c>
      <c r="E40" s="223"/>
      <c r="F40" s="223"/>
      <c r="G40" s="205"/>
      <c r="H40" s="205"/>
      <c r="I40" s="205"/>
      <c r="J40" s="205"/>
      <c r="K40" s="206"/>
      <c r="L40" s="205"/>
      <c r="M40" s="205"/>
      <c r="N40" s="341"/>
    </row>
    <row r="41" spans="1:15">
      <c r="B41" s="200"/>
      <c r="C41" s="207"/>
      <c r="D41" s="207" t="s">
        <v>131</v>
      </c>
      <c r="E41" s="45"/>
      <c r="F41" s="201"/>
      <c r="G41" s="200"/>
      <c r="H41" s="200"/>
      <c r="I41" s="47"/>
      <c r="J41" s="47"/>
      <c r="K41" s="208"/>
      <c r="L41" s="47"/>
      <c r="M41" s="47"/>
      <c r="N41" s="50"/>
    </row>
    <row r="42" spans="1:15">
      <c r="B42" s="200"/>
      <c r="C42" s="45"/>
      <c r="D42" s="201" t="s">
        <v>6</v>
      </c>
      <c r="E42" s="47"/>
      <c r="F42" s="200"/>
      <c r="G42" s="200"/>
      <c r="H42" s="200"/>
      <c r="I42" s="47"/>
      <c r="J42" s="47"/>
      <c r="K42" s="47"/>
      <c r="L42" s="47"/>
      <c r="M42" s="47"/>
      <c r="N42" s="204"/>
    </row>
    <row r="43" spans="1:15">
      <c r="B43" s="200"/>
      <c r="C43" s="45"/>
      <c r="D43" s="201" t="s">
        <v>19</v>
      </c>
      <c r="E43" s="45"/>
      <c r="F43" s="201"/>
      <c r="G43" s="200"/>
      <c r="H43" s="200"/>
      <c r="I43" s="47"/>
      <c r="J43" s="47"/>
      <c r="K43" s="50"/>
      <c r="L43" s="47"/>
      <c r="M43" s="47"/>
      <c r="N43" s="50"/>
    </row>
    <row r="44" spans="1:15">
      <c r="B44" s="200"/>
      <c r="C44" s="45"/>
      <c r="D44" s="201" t="s">
        <v>6</v>
      </c>
      <c r="E44" s="45"/>
      <c r="F44" s="201"/>
      <c r="G44" s="200"/>
      <c r="H44" s="200"/>
      <c r="I44" s="47"/>
      <c r="J44" s="47"/>
      <c r="K44" s="47"/>
      <c r="L44" s="47"/>
      <c r="M44" s="47"/>
      <c r="N44" s="204"/>
    </row>
    <row r="45" spans="1:15">
      <c r="B45" s="189"/>
      <c r="C45" s="189"/>
      <c r="D45" s="189"/>
      <c r="E45" s="209"/>
      <c r="F45" s="209"/>
      <c r="G45" s="209"/>
      <c r="H45" s="209"/>
      <c r="I45" s="209"/>
      <c r="J45" s="209"/>
      <c r="K45" s="209"/>
      <c r="L45" s="209"/>
      <c r="M45" s="209"/>
      <c r="N45" s="209"/>
    </row>
    <row r="46" spans="1:15" s="152" customFormat="1" ht="16.5">
      <c r="A46" s="336"/>
      <c r="B46" s="189"/>
      <c r="C46" s="336"/>
      <c r="D46" s="210"/>
      <c r="E46" s="210"/>
      <c r="F46" s="336"/>
      <c r="G46" s="336"/>
      <c r="H46" s="473"/>
      <c r="I46" s="473"/>
      <c r="J46" s="336"/>
      <c r="K46" s="336"/>
      <c r="L46" s="336"/>
      <c r="M46" s="336"/>
      <c r="N46" s="336"/>
      <c r="O46" s="153"/>
    </row>
    <row r="47" spans="1:15" s="152" customFormat="1" ht="16.5">
      <c r="A47" s="336"/>
      <c r="B47" s="336"/>
      <c r="C47" s="336"/>
      <c r="D47" s="211"/>
      <c r="E47" s="211"/>
      <c r="F47" s="189"/>
      <c r="G47" s="336"/>
      <c r="H47" s="336"/>
      <c r="I47" s="336"/>
      <c r="J47" s="336"/>
      <c r="K47" s="336"/>
      <c r="L47" s="336"/>
      <c r="M47" s="336"/>
      <c r="N47" s="336"/>
    </row>
    <row r="48" spans="1:15" s="152" customFormat="1" ht="16.5">
      <c r="A48" s="336"/>
      <c r="B48" s="336"/>
      <c r="C48" s="382"/>
      <c r="D48" s="382"/>
      <c r="E48" s="382"/>
      <c r="F48" s="382"/>
      <c r="G48" s="336"/>
      <c r="H48" s="336"/>
      <c r="I48" s="336"/>
      <c r="J48" s="336"/>
      <c r="K48" s="336"/>
      <c r="L48" s="336"/>
      <c r="M48" s="336"/>
      <c r="N48" s="336"/>
    </row>
  </sheetData>
  <mergeCells count="33">
    <mergeCell ref="H46:I46"/>
    <mergeCell ref="C48:F48"/>
    <mergeCell ref="D5:D6"/>
    <mergeCell ref="E5:E6"/>
    <mergeCell ref="F5:F6"/>
    <mergeCell ref="G5:G6"/>
    <mergeCell ref="C18:C20"/>
    <mergeCell ref="C14:C17"/>
    <mergeCell ref="B14:B17"/>
    <mergeCell ref="B33:B36"/>
    <mergeCell ref="C33:C36"/>
    <mergeCell ref="B30:B32"/>
    <mergeCell ref="C30:C32"/>
    <mergeCell ref="B27:B29"/>
    <mergeCell ref="C27:C29"/>
    <mergeCell ref="B24:B26"/>
    <mergeCell ref="C24:C26"/>
    <mergeCell ref="B21:B23"/>
    <mergeCell ref="C21:C23"/>
    <mergeCell ref="B18:B20"/>
    <mergeCell ref="B1:N1"/>
    <mergeCell ref="C8:C12"/>
    <mergeCell ref="B8:B12"/>
    <mergeCell ref="J5:K5"/>
    <mergeCell ref="L5:M5"/>
    <mergeCell ref="N5:N6"/>
    <mergeCell ref="B5:B6"/>
    <mergeCell ref="H5:I5"/>
    <mergeCell ref="C5:C6"/>
    <mergeCell ref="G4:K4"/>
    <mergeCell ref="B3:N3"/>
    <mergeCell ref="B2:N2"/>
    <mergeCell ref="B4:F4"/>
  </mergeCells>
  <pageMargins left="0.70866141732283472" right="0.38" top="0.74803149606299213" bottom="0.74803149606299213" header="0.31496062992125984" footer="0.31496062992125984"/>
  <pageSetup paperSize="9" scale="98" orientation="landscape" r:id="rId1"/>
  <headerFooter>
    <oddHeader>&amp;R&amp;P--&amp;N</oddHeader>
  </headerFooter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12</vt:i4>
      </vt:variant>
    </vt:vector>
  </HeadingPairs>
  <TitlesOfParts>
    <vt:vector size="18" baseType="lpstr">
      <vt:lpstr>krebsiti</vt:lpstr>
      <vt:lpstr>samsh</vt:lpstr>
      <vt:lpstr>eleqtroba</vt:lpstr>
      <vt:lpstr>gatboba</vt:lpstr>
      <vt:lpstr>wy-kan</vt:lpstr>
      <vt:lpstr>saxandzro</vt:lpstr>
      <vt:lpstr>eleqtroba!Print_Area</vt:lpstr>
      <vt:lpstr>gatboba!Print_Area</vt:lpstr>
      <vt:lpstr>krebsiti!Print_Area</vt:lpstr>
      <vt:lpstr>samsh!Print_Area</vt:lpstr>
      <vt:lpstr>saxandzro!Print_Area</vt:lpstr>
      <vt:lpstr>'wy-kan'!Print_Area</vt:lpstr>
      <vt:lpstr>eleqtroba!Print_Titles</vt:lpstr>
      <vt:lpstr>gatboba!Print_Titles</vt:lpstr>
      <vt:lpstr>krebsiti!Print_Titles</vt:lpstr>
      <vt:lpstr>samsh!Print_Titles</vt:lpstr>
      <vt:lpstr>saxandzro!Print_Titles</vt:lpstr>
      <vt:lpstr>'wy-kan'!Print_Titles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2020-02-27T08:09:59Z</dcterms:modified>
</cp:coreProperties>
</file>