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360" windowWidth="23985" windowHeight="3660" tabRatio="983" activeTab="8"/>
  </bookViews>
  <sheets>
    <sheet name="B" sheetId="1" r:id="rId1"/>
    <sheet name="B-1" sheetId="2" r:id="rId2"/>
    <sheet name="B-2" sheetId="3" r:id="rId3"/>
    <sheet name="B-3" sheetId="4" r:id="rId4"/>
    <sheet name="B-4" sheetId="5" r:id="rId5"/>
    <sheet name="B-5" sheetId="6" r:id="rId6"/>
    <sheet name="B-6" sheetId="7" r:id="rId7"/>
    <sheet name="B-7" sheetId="8" r:id="rId8"/>
    <sheet name="B-8" sheetId="9" r:id="rId9"/>
  </sheets>
  <definedNames>
    <definedName name="_xlnm._FilterDatabase" localSheetId="1" hidden="1">'B-1'!$A$1:$A$163</definedName>
    <definedName name="_xlnm._FilterDatabase" localSheetId="2" hidden="1">'B-2'!$A$2:$A$158</definedName>
    <definedName name="_xlnm._FilterDatabase" localSheetId="3" hidden="1">'B-3'!$A$1:$A$78</definedName>
    <definedName name="_xlnm._FilterDatabase" localSheetId="4" hidden="1">'B-4'!$A$1:$A$266</definedName>
    <definedName name="_xlnm._FilterDatabase" localSheetId="5" hidden="1">'B-5'!$A$1:$A$79</definedName>
    <definedName name="_xlnm._FilterDatabase" localSheetId="6" hidden="1">'B-6'!$A$1:$A$75</definedName>
    <definedName name="_xlnm._FilterDatabase" localSheetId="7" hidden="1">'B-7'!$A$1:$A$174</definedName>
    <definedName name="_xlnm._FilterDatabase" localSheetId="8" hidden="1">'B-8'!$A$1:$A$167</definedName>
    <definedName name="_xlnm.Print_Area" localSheetId="0">'B'!$A$1:$G$29</definedName>
    <definedName name="_xlnm.Print_Area" localSheetId="1">'B-1'!$A$1:$M$164</definedName>
    <definedName name="_xlnm.Print_Area" localSheetId="2">'B-2'!$A$1:$M$179</definedName>
    <definedName name="_xlnm.Print_Area" localSheetId="3">'B-3'!$A$1:$M$96</definedName>
    <definedName name="_xlnm.Print_Area" localSheetId="4">'B-4'!$A$1:$M$283</definedName>
    <definedName name="_xlnm.Print_Area" localSheetId="5">'B-5'!$A$1:$M$83</definedName>
    <definedName name="_xlnm.Print_Area" localSheetId="6">'B-6'!$A$1:$M$91</definedName>
    <definedName name="_xlnm.Print_Area" localSheetId="7">'B-7'!$A$1:$M$193</definedName>
    <definedName name="_xlnm.Print_Area" localSheetId="8">'B-8'!$A$1:$M$205</definedName>
    <definedName name="_xlnm.Print_Titles" localSheetId="0">'B'!$3:$3</definedName>
    <definedName name="_xlnm.Print_Titles" localSheetId="1">'B-1'!$4:$6</definedName>
    <definedName name="_xlnm.Print_Titles" localSheetId="2">'B-2'!$4:$6</definedName>
    <definedName name="_xlnm.Print_Titles" localSheetId="3">'B-3'!$4:$6</definedName>
    <definedName name="_xlnm.Print_Titles" localSheetId="4">'B-4'!$4:$6</definedName>
    <definedName name="_xlnm.Print_Titles" localSheetId="5">'B-5'!$4:$6</definedName>
    <definedName name="_xlnm.Print_Titles" localSheetId="6">'B-6'!$4:$6</definedName>
    <definedName name="_xlnm.Print_Titles" localSheetId="7">'B-7'!$4:$6</definedName>
    <definedName name="_xlnm.Print_Titles" localSheetId="8">'B-8'!$4:$6</definedName>
  </definedNames>
  <calcPr fullCalcOnLoad="1"/>
</workbook>
</file>

<file path=xl/sharedStrings.xml><?xml version="1.0" encoding="utf-8"?>
<sst xmlns="http://schemas.openxmlformats.org/spreadsheetml/2006/main" count="2529" uniqueCount="520">
  <si>
    <t>lari</t>
  </si>
  <si>
    <t>#</t>
  </si>
  <si>
    <t xml:space="preserve"> Sifri</t>
  </si>
  <si>
    <t xml:space="preserve">samuSaos dasaxeleba </t>
  </si>
  <si>
    <t>ganz. erT.</t>
  </si>
  <si>
    <t>raode-noba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</si>
  <si>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</si>
  <si>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</si>
  <si>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</si>
  <si>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</si>
  <si>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</si>
  <si>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</si>
  <si>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</si>
  <si>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norma      er-ze</t>
  </si>
  <si>
    <t>Sromis danaxarji</t>
  </si>
  <si>
    <t>kac/sT</t>
  </si>
  <si>
    <t>resursebi</t>
  </si>
  <si>
    <t>m</t>
  </si>
  <si>
    <t xml:space="preserve">masalis transporti </t>
  </si>
  <si>
    <t>masalebi</t>
  </si>
  <si>
    <t>sxva masala</t>
  </si>
  <si>
    <t xml:space="preserve">gegmiuri dagroveba </t>
  </si>
  <si>
    <t>zednadebi xarjebi saamSeneblo samuSaoebze</t>
  </si>
  <si>
    <t>m3</t>
  </si>
  <si>
    <t>SromiTi resursebi</t>
  </si>
  <si>
    <t>manqanebi</t>
  </si>
  <si>
    <t>c</t>
  </si>
  <si>
    <t>samSeneblo samuSaoebi</t>
  </si>
  <si>
    <t>sul</t>
  </si>
  <si>
    <t xml:space="preserve"> 23-1-1 </t>
  </si>
  <si>
    <t>qviSa</t>
  </si>
  <si>
    <t xml:space="preserve">sxva manqana </t>
  </si>
  <si>
    <t>man/sT</t>
  </si>
  <si>
    <t xml:space="preserve">eqskavatori CamCis moc. 0,5m3, </t>
  </si>
  <si>
    <t xml:space="preserve">Sromis danaxarjebi </t>
  </si>
  <si>
    <r>
      <t>m</t>
    </r>
    <r>
      <rPr>
        <vertAlign val="superscript"/>
        <sz val="10"/>
        <rFont val="AcadNusx"/>
        <family val="0"/>
      </rPr>
      <t>3</t>
    </r>
  </si>
  <si>
    <t xml:space="preserve">jami </t>
  </si>
  <si>
    <t>wyali</t>
  </si>
  <si>
    <t>sasignalo lentis mowyoba</t>
  </si>
  <si>
    <t>miyenebiT
8-700-6</t>
  </si>
  <si>
    <t>100 m</t>
  </si>
  <si>
    <t xml:space="preserve">Sromis danaxari </t>
  </si>
  <si>
    <t>masalebi:</t>
  </si>
  <si>
    <t>sasignalo lenti</t>
  </si>
  <si>
    <t>sxva masalebi</t>
  </si>
  <si>
    <t>22-23-1</t>
  </si>
  <si>
    <t>1-31-3</t>
  </si>
  <si>
    <t>m/sT</t>
  </si>
  <si>
    <t>t</t>
  </si>
  <si>
    <t>100 m3</t>
  </si>
  <si>
    <t>r e s u r s e b i</t>
  </si>
  <si>
    <t xml:space="preserve">miltuCa adaptori </t>
  </si>
  <si>
    <t>kg</t>
  </si>
  <si>
    <t>1-22-16</t>
  </si>
  <si>
    <t>IV kategoriis gruntis damuSaveba tranSeaSi eqskavatoris kovSiT 0.5m3 a/T-ze datvirTviT</t>
  </si>
  <si>
    <t>IV kategoriis gruntis damuSaveba xeliT</t>
  </si>
  <si>
    <t>1-80-4</t>
  </si>
  <si>
    <t>tranSeis Sevseba balastiT  buldozeriT datkepniT</t>
  </si>
  <si>
    <t xml:space="preserve">buldozeri 80cx.Z. </t>
  </si>
  <si>
    <t>balasti</t>
  </si>
  <si>
    <t>8-3-2</t>
  </si>
  <si>
    <t>qviSa-xreSi</t>
  </si>
  <si>
    <t>Sromis danaxarjebi</t>
  </si>
  <si>
    <t>srf</t>
  </si>
  <si>
    <t>satkepni manqana 5t</t>
  </si>
  <si>
    <t>satkepni manqana 10t</t>
  </si>
  <si>
    <t xml:space="preserve">22-8-1   </t>
  </si>
  <si>
    <t>22-23-2</t>
  </si>
  <si>
    <t>22-30-1</t>
  </si>
  <si>
    <t>10 m3</t>
  </si>
  <si>
    <t>sxva manqanebi</t>
  </si>
  <si>
    <t>betoni saxuravi fila, xufiT</t>
  </si>
  <si>
    <t>rk/b Wis Ziris</t>
  </si>
  <si>
    <t xml:space="preserve">rk/b Wa d=1000mm </t>
  </si>
  <si>
    <t>Wis kedlebis izolacia cxeli bitumiT 2 fena</t>
  </si>
  <si>
    <t>8-4-7</t>
  </si>
  <si>
    <t>m2</t>
  </si>
  <si>
    <t>bitumi</t>
  </si>
  <si>
    <t xml:space="preserve"> </t>
  </si>
  <si>
    <t>urduli</t>
  </si>
  <si>
    <t>22-24-1</t>
  </si>
  <si>
    <t>15-164-7</t>
  </si>
  <si>
    <t>saRebavi</t>
  </si>
  <si>
    <t>zedmeti gruntis gatana saSualod 5 km-ze</t>
  </si>
  <si>
    <t>22-29-1</t>
  </si>
  <si>
    <t>xreSis baliSis momzadeba Wis qveS sisqiT 10sm</t>
  </si>
  <si>
    <t>polieTilenis miltuCa adaptoris SeZena da montaJi d-63</t>
  </si>
  <si>
    <t>gadamyvani</t>
  </si>
  <si>
    <t>uRel-unagira</t>
  </si>
  <si>
    <t>polieTilenis el.fuziuri uRel-unagiras montaJi d=63/25</t>
  </si>
  <si>
    <r>
      <t xml:space="preserve">polieTilenis milis montaJi d-25 mm hidravlikuri SemowmebiT </t>
    </r>
    <r>
      <rPr>
        <b/>
        <sz val="10"/>
        <rFont val="Calibri"/>
        <family val="2"/>
      </rPr>
      <t>PN-16</t>
    </r>
  </si>
  <si>
    <r>
      <t xml:space="preserve">mili </t>
    </r>
    <r>
      <rPr>
        <sz val="10"/>
        <rFont val="Calibri"/>
        <family val="2"/>
      </rPr>
      <t>PN</t>
    </r>
    <r>
      <rPr>
        <sz val="10"/>
        <rFont val="AcadNusx"/>
        <family val="0"/>
      </rPr>
      <t>-16</t>
    </r>
  </si>
  <si>
    <t xml:space="preserve">22-8-2   </t>
  </si>
  <si>
    <t>d-63-mm-mde milis gamorecxva  qloriani wyliT</t>
  </si>
  <si>
    <t>gruntis moWra xeliT IV kat gruntSi qvabulSi</t>
  </si>
  <si>
    <t>1-80-8</t>
  </si>
  <si>
    <t>Robis mowyoba, liTonis boZkintebis dabetonebiT, uJangavi mavTulbadiT</t>
  </si>
  <si>
    <t>7-21-8</t>
  </si>
  <si>
    <r>
      <t>საყრდენი ბოძი, ფოლადის მილი</t>
    </r>
    <r>
      <rPr>
        <sz val="10"/>
        <rFont val="Arial"/>
        <family val="2"/>
      </rPr>
      <t xml:space="preserve"> DN50 მმ. L=2.5 მ.</t>
    </r>
  </si>
  <si>
    <t>proeqt.</t>
  </si>
  <si>
    <r>
      <t xml:space="preserve">გამბჯენი, ფოლადის მილი </t>
    </r>
    <r>
      <rPr>
        <sz val="10"/>
        <rFont val="Arial"/>
        <family val="2"/>
      </rPr>
      <t>DN40 მმ. L=2.2 მ.</t>
    </r>
  </si>
  <si>
    <t>მოთუთიებული მავთული Φ3 მმ.</t>
  </si>
  <si>
    <t>მოთუთიებული, ორმაგი ეკლიანი მავთული</t>
  </si>
  <si>
    <t>betoni b-20</t>
  </si>
  <si>
    <t>samontaJo detalebi</t>
  </si>
  <si>
    <t>glinula</t>
  </si>
  <si>
    <t>kutikaris damzadeba</t>
  </si>
  <si>
    <t>sabazro</t>
  </si>
  <si>
    <t>მავთუბადე, უჯრედის ზომით 10X10 სმ; მავთული Φd-3 მმ.</t>
  </si>
  <si>
    <t>მილკვადრატი 100x100x4 მმ</t>
  </si>
  <si>
    <t>მილკვადრატი 40x40x3 მმ</t>
  </si>
  <si>
    <t>ზოლოვანი ფოლადი 20x5 მმ</t>
  </si>
  <si>
    <t>ჭიშკრის ჩამკეტი ღერო Φ20 მმ.</t>
  </si>
  <si>
    <t>kompl</t>
  </si>
  <si>
    <t>ანჯამა</t>
  </si>
  <si>
    <t>ჩამკეტი</t>
  </si>
  <si>
    <r>
      <t xml:space="preserve">გამბჯენი,ფოლადის მილი </t>
    </r>
    <r>
      <rPr>
        <sz val="10"/>
        <rFont val="Arial"/>
        <family val="2"/>
      </rPr>
      <t>DN40 მმ. L=2.2 მ.</t>
    </r>
  </si>
  <si>
    <t>damzadebuli kutikaris mowyoba</t>
  </si>
  <si>
    <t>sn da w.
7-22-8.</t>
  </si>
  <si>
    <t>kutikari</t>
  </si>
  <si>
    <t>eleqtrodi</t>
  </si>
  <si>
    <t>foladis milebisa da detalebis antikoroziuli laqiT 2 fenad</t>
  </si>
  <si>
    <t>enirE1-22               2-a</t>
  </si>
  <si>
    <t>xeliT damuSavebuli gruntis datvirTva avtoTviTmclelze</t>
  </si>
  <si>
    <t>1-11-15</t>
  </si>
  <si>
    <t>27-7-4</t>
  </si>
  <si>
    <t>avtogreideri 108 cxZ.</t>
  </si>
  <si>
    <t>buldozeri 108 cxZ.</t>
  </si>
  <si>
    <t>satkepni manqana 18t</t>
  </si>
  <si>
    <t>sarwyavi manqana 6000 l</t>
  </si>
  <si>
    <t xml:space="preserve">  </t>
  </si>
  <si>
    <t>RorRi</t>
  </si>
  <si>
    <t>rezervuaris teritoriis moxreSva 20sm sisqis qviSa-RorRis feniT, datkepvniT</t>
  </si>
  <si>
    <t>qviSis baliSis mowyoba milebis garSemo. qveS 10sm, zevidan 20sm</t>
  </si>
  <si>
    <t>22-22-5</t>
  </si>
  <si>
    <t>hidrantis mowyoba d-80 Tujis xufiT, avtomaturi sadrenaJo sistemiT, sadgamiani muxliT</t>
  </si>
  <si>
    <t xml:space="preserve">22-26-3 </t>
  </si>
  <si>
    <t>hidranti</t>
  </si>
  <si>
    <t>xis masala</t>
  </si>
  <si>
    <t>miltuCi</t>
  </si>
  <si>
    <t>betoni b-7,5</t>
  </si>
  <si>
    <t>6-1-1.</t>
  </si>
  <si>
    <r>
      <t>mili</t>
    </r>
  </si>
  <si>
    <t xml:space="preserve">22-5-6   </t>
  </si>
  <si>
    <t>hidravlikuri damwnexi mowyobiloba</t>
  </si>
  <si>
    <t>fasonuri SesaduRebeli detalebi</t>
  </si>
  <si>
    <t>samagri</t>
  </si>
  <si>
    <t>furcnovani rezini</t>
  </si>
  <si>
    <t>22-36-1</t>
  </si>
  <si>
    <t>foladis garsacm milSi polieTilenis d=90 gatareba</t>
  </si>
  <si>
    <t>xis fari</t>
  </si>
  <si>
    <t xml:space="preserve">zednadebi xarjebi </t>
  </si>
  <si>
    <t>samuSaoebis da danaxarjebis                                         dasaxeleba</t>
  </si>
  <si>
    <t>saxarjT-aRricxvo gaangariSebis #</t>
  </si>
  <si>
    <t>rezervuari</t>
  </si>
  <si>
    <t>eleqtro samuSaoebi</t>
  </si>
  <si>
    <t>danarCeni xarjebi</t>
  </si>
  <si>
    <t>liTonis karkasis mowyoba SenobisaTvis milkvadratiT</t>
  </si>
  <si>
    <t>liTonis samontaJo detalebi</t>
  </si>
  <si>
    <t>qanCi</t>
  </si>
  <si>
    <t>sendviCpaneliT kedlebis SefuTva</t>
  </si>
  <si>
    <t>9-4-8,</t>
  </si>
  <si>
    <t>100 m2</t>
  </si>
  <si>
    <t>sendviCpaneli</t>
  </si>
  <si>
    <t>sendviCpaneliT saxuravis mowyoba</t>
  </si>
  <si>
    <t>9-4-4,</t>
  </si>
  <si>
    <t>amwe 5t,</t>
  </si>
  <si>
    <t xml:space="preserve">9-14-6 miyenebiT       </t>
  </si>
  <si>
    <t>metalo plasmasis fanjara montaJiT</t>
  </si>
  <si>
    <t xml:space="preserve">16-19-1    miyenebiT    </t>
  </si>
  <si>
    <t>kvanZi</t>
  </si>
  <si>
    <t xml:space="preserve">Sr. danaxarjebi </t>
  </si>
  <si>
    <t>sxva manqana</t>
  </si>
  <si>
    <t>komp.</t>
  </si>
  <si>
    <t xml:space="preserve">cali </t>
  </si>
  <si>
    <t>saqloratoro</t>
  </si>
  <si>
    <t>ventili</t>
  </si>
  <si>
    <r>
      <t xml:space="preserve">mili </t>
    </r>
    <r>
      <rPr>
        <sz val="10"/>
        <rFont val="Calibri"/>
        <family val="2"/>
      </rPr>
      <t>PN</t>
    </r>
    <r>
      <rPr>
        <sz val="10"/>
        <rFont val="AcadNusx"/>
        <family val="0"/>
      </rPr>
      <t>-10</t>
    </r>
  </si>
  <si>
    <t>qseli (rezervuaris ubani)</t>
  </si>
  <si>
    <t>adgilobrivi grunti</t>
  </si>
  <si>
    <t>tranSeis Sevseba adgilobrivi gruntiT buldozeriT datkepniT (mildenis dasawyisSi l=170m sigrZeze)</t>
  </si>
  <si>
    <t>22-20-1</t>
  </si>
  <si>
    <t>foladis d=80mm milis daerTeba arsebul d=200mm foladis milze</t>
  </si>
  <si>
    <t>22-27-5</t>
  </si>
  <si>
    <t>SeWra</t>
  </si>
  <si>
    <t xml:space="preserve">foladis mili d=80/4mm </t>
  </si>
  <si>
    <r>
      <t xml:space="preserve">wyalsadenis anakrebi rk/b Wis mowyoba </t>
    </r>
    <r>
      <rPr>
        <b/>
        <sz val="10"/>
        <rFont val="Calibri"/>
        <family val="2"/>
      </rPr>
      <t>D</t>
    </r>
    <r>
      <rPr>
        <b/>
        <sz val="10"/>
        <rFont val="AcadNusx"/>
        <family val="0"/>
      </rPr>
      <t xml:space="preserve">=1000mm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=1500 (Tujis xufiT, Ziris filiT da betonis sadgamiT urdulebisTvis)</t>
    </r>
  </si>
  <si>
    <t xml:space="preserve">foladis garcmis milis SeZena da montaJi d=219/7 </t>
  </si>
  <si>
    <t>foladis garsacm milSi polieTilenis d=63 gatareba</t>
  </si>
  <si>
    <t xml:space="preserve">2 cali betonis sayrdenis (0.4X0.6X1.5 V=0.36) mowyoba foladis garcmis milisTvis d=200mm </t>
  </si>
  <si>
    <r>
      <t>el. fuziuri muxli 90</t>
    </r>
    <r>
      <rPr>
        <sz val="10"/>
        <rFont val="Calibri"/>
        <family val="2"/>
      </rPr>
      <t>˚</t>
    </r>
    <r>
      <rPr>
        <sz val="11"/>
        <rFont val="AcadNusx"/>
        <family val="0"/>
      </rPr>
      <t xml:space="preserve"> d=25</t>
    </r>
  </si>
  <si>
    <r>
      <t xml:space="preserve">polieTilenis wamgvarebis, muxlebisa, da quroebis </t>
    </r>
    <r>
      <rPr>
        <b/>
        <sz val="10"/>
        <rFont val="AcadNusx"/>
        <family val="0"/>
      </rPr>
      <t>montaJi</t>
    </r>
  </si>
  <si>
    <t>el.fuziuri quros d=25</t>
  </si>
  <si>
    <r>
      <t>el. fuziuri muxli 90</t>
    </r>
    <r>
      <rPr>
        <sz val="10"/>
        <rFont val="Calibri"/>
        <family val="2"/>
      </rPr>
      <t>˚</t>
    </r>
    <r>
      <rPr>
        <sz val="11"/>
        <rFont val="AcadNusx"/>
        <family val="0"/>
      </rPr>
      <t xml:space="preserve"> d=63</t>
    </r>
  </si>
  <si>
    <r>
      <t>el. fuziuri wamgvari 45</t>
    </r>
    <r>
      <rPr>
        <sz val="10"/>
        <rFont val="Calibri"/>
        <family val="2"/>
      </rPr>
      <t>˚</t>
    </r>
    <r>
      <rPr>
        <sz val="11"/>
        <rFont val="AcadNusx"/>
        <family val="0"/>
      </rPr>
      <t xml:space="preserve"> d=63</t>
    </r>
  </si>
  <si>
    <t>foladis miltuCis SeZena da montaJi d-50</t>
  </si>
  <si>
    <t>foladis gadamyvanis mowyoba d=80/50</t>
  </si>
  <si>
    <r>
      <t xml:space="preserve">Tujis solisebri urdulis SeZena da montaJi </t>
    </r>
    <r>
      <rPr>
        <b/>
        <sz val="10"/>
        <rFont val="Arial"/>
        <family val="2"/>
      </rPr>
      <t>PN10, DN50</t>
    </r>
  </si>
  <si>
    <t>22-26-2</t>
  </si>
  <si>
    <t>vantuzi</t>
  </si>
  <si>
    <t xml:space="preserve">ormxrivi moqmedebis vantuzis SeZena da montaJi d-50mm </t>
  </si>
  <si>
    <t xml:space="preserve">wyalmzomi kvanZis mowyoba d-25 naxazis mixedviT </t>
  </si>
  <si>
    <t>yuTi</t>
  </si>
  <si>
    <t xml:space="preserve">wyalmzomi </t>
  </si>
  <si>
    <t>ukusarqveli</t>
  </si>
  <si>
    <t xml:space="preserve">filtri </t>
  </si>
  <si>
    <t>gadamyvani 63X25</t>
  </si>
  <si>
    <r>
      <t xml:space="preserve">polieTilenis milis montaJi d-63 mm hidravlikuri SemowmebiT </t>
    </r>
    <r>
      <rPr>
        <b/>
        <sz val="10"/>
        <rFont val="Calibri"/>
        <family val="2"/>
      </rPr>
      <t>PN-10</t>
    </r>
  </si>
  <si>
    <r>
      <t xml:space="preserve">polieTilenis milis montaJi d-25 mm hidravlikuri SemowmebiT </t>
    </r>
    <r>
      <rPr>
        <b/>
        <sz val="10"/>
        <rFont val="Calibri"/>
        <family val="2"/>
      </rPr>
      <t>PN-10</t>
    </r>
  </si>
  <si>
    <r>
      <t xml:space="preserve">polieTilenis milis montaJi d-75 mm hidravlikuri SemowmebiT </t>
    </r>
    <r>
      <rPr>
        <b/>
        <sz val="10"/>
        <rFont val="Calibri"/>
        <family val="2"/>
      </rPr>
      <t>PN-10</t>
    </r>
  </si>
  <si>
    <t xml:space="preserve">22-8-3   </t>
  </si>
  <si>
    <r>
      <t xml:space="preserve">polieTilenis milis montaJi d-90 mm hidravlikuri SemowmebiT </t>
    </r>
    <r>
      <rPr>
        <b/>
        <sz val="10"/>
        <rFont val="Calibri"/>
        <family val="2"/>
      </rPr>
      <t>PN-10</t>
    </r>
  </si>
  <si>
    <t>qseli (WaburRilis ubani)</t>
  </si>
  <si>
    <t>d-90-mm-mde milis gamorecxva  qloriani wyliT</t>
  </si>
  <si>
    <t>22-20-2</t>
  </si>
  <si>
    <t>d-75-mm-mde milis gamorecxva  qloriani wyliT</t>
  </si>
  <si>
    <t>22-20-3</t>
  </si>
  <si>
    <t>foladis qarxnuli izolirebuli d-219/7 milis gatareba savali gzis qveS daWirxvniT</t>
  </si>
  <si>
    <t>22-34-2</t>
  </si>
  <si>
    <t>mili d-219/7</t>
  </si>
  <si>
    <r>
      <t xml:space="preserve">wyalsadenis anakrebi rk/b Wis mowyoba </t>
    </r>
    <r>
      <rPr>
        <b/>
        <sz val="10"/>
        <rFont val="Calibri"/>
        <family val="2"/>
      </rPr>
      <t>D</t>
    </r>
    <r>
      <rPr>
        <b/>
        <sz val="10"/>
        <rFont val="AcadNusx"/>
        <family val="0"/>
      </rPr>
      <t xml:space="preserve">=1000mm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=1500 (Tujis xufiT, Ziris filiT da betonis sadgamiT urdulebisTvis) 5komp</t>
    </r>
  </si>
  <si>
    <r>
      <t>el. fuziuri muxli 90</t>
    </r>
    <r>
      <rPr>
        <sz val="10"/>
        <rFont val="Calibri"/>
        <family val="2"/>
      </rPr>
      <t>˚</t>
    </r>
    <r>
      <rPr>
        <sz val="11"/>
        <rFont val="AcadNusx"/>
        <family val="0"/>
      </rPr>
      <t xml:space="preserve"> d=90</t>
    </r>
  </si>
  <si>
    <t>polieTilenis uRel-unagirisa da samkapis</t>
  </si>
  <si>
    <t>el.fuziuri uRel-unagiras d=63/25</t>
  </si>
  <si>
    <t>samkapi d=90/63</t>
  </si>
  <si>
    <t>მოთუთიებული მავთუბადე, უჯრედის ზომით 10X10 სმ; მავთული Φd-3 მმ.</t>
  </si>
  <si>
    <t>r/b monoliTuri saZirkvlis betonis mowyoba</t>
  </si>
  <si>
    <t>6-1-22</t>
  </si>
  <si>
    <t>armatura a-III klasis 12Ǿ</t>
  </si>
  <si>
    <t>furclovani liToni</t>
  </si>
  <si>
    <t>9-7-1,</t>
  </si>
  <si>
    <t>amwe 16t,</t>
  </si>
  <si>
    <t>liTonis konstruqcia</t>
  </si>
  <si>
    <t>Sps "eko"</t>
  </si>
  <si>
    <t>saqloratoro danadgari</t>
  </si>
  <si>
    <t>qviSa-xreSovani baliSis momzadeba saqloratoros qveS</t>
  </si>
  <si>
    <t>III kategoriis gruntis damuSaveba wyalmimRebisTvis eqskavatoris kovSiT 0.5m3 gverdze dayriT</t>
  </si>
  <si>
    <t>qviSa-xreSovani baliSis momzadeba avzebis qveS</t>
  </si>
  <si>
    <t>san. zonaSi Sesasvleli teritoriis moSandakeba 20sm sisqis balastis feniT, datkepvniT</t>
  </si>
  <si>
    <t>avzebze nayaris mowyoba</t>
  </si>
  <si>
    <t>1-22-14</t>
  </si>
  <si>
    <t>gatanili gruntis Semotana saSualod 5 km-ze avzis miwayrilisTvis</t>
  </si>
  <si>
    <t xml:space="preserve">sanitaruli dacvis Robe </t>
  </si>
  <si>
    <t>22-29-2</t>
  </si>
  <si>
    <t>22-23-3</t>
  </si>
  <si>
    <t>gamSvebi</t>
  </si>
  <si>
    <t>22-25-1</t>
  </si>
  <si>
    <t xml:space="preserve">hidrantis gamSvebi baionetiT (saxanZro Slangis misaerTeblad) d=50 </t>
  </si>
  <si>
    <t>WanWiki da qanCi</t>
  </si>
  <si>
    <t>miltuCebi</t>
  </si>
  <si>
    <t>manometri</t>
  </si>
  <si>
    <t>16-12-1</t>
  </si>
  <si>
    <t>manometri d=25</t>
  </si>
  <si>
    <t>sayrdeni</t>
  </si>
  <si>
    <t>moTuTiebuli sayrdenis mowyoba 2c.</t>
  </si>
  <si>
    <t>6-1-1</t>
  </si>
  <si>
    <t>betonis mosamzadebeli fila b-7,5</t>
  </si>
  <si>
    <t xml:space="preserve">ukusarqvelis SeZena da montaJi d-50 </t>
  </si>
  <si>
    <t xml:space="preserve">burTula ventilis SeZena da montaJi d-1" </t>
  </si>
  <si>
    <t xml:space="preserve">burTula ventilis SeZena da montaJi d-3/4" </t>
  </si>
  <si>
    <t xml:space="preserve">ormxrivi moqmedebis vantuzis SeZena da montaJi d-3/4" </t>
  </si>
  <si>
    <t>muxli</t>
  </si>
  <si>
    <t>foladis muxlis SeZena da montaJi d=50 3c</t>
  </si>
  <si>
    <t>samkapi</t>
  </si>
  <si>
    <t>foladis samkapis SeZena da montaJi d=50 1c</t>
  </si>
  <si>
    <t>foladis mili</t>
  </si>
  <si>
    <t xml:space="preserve">22-5-8   </t>
  </si>
  <si>
    <t>foladis milis SeZena da montaJi d=300</t>
  </si>
  <si>
    <t xml:space="preserve">22-5-1   </t>
  </si>
  <si>
    <t>foladis milis SeZena da montaJi d=50</t>
  </si>
  <si>
    <t>foladis polieTilenze gadamyvanis SeZena da montaJi d=75 1c</t>
  </si>
  <si>
    <t>foladis polieTilenze gadamyvanis SeZena da montaJi d=63 1c</t>
  </si>
  <si>
    <r>
      <t xml:space="preserve">Tujis solisebri urdulis SeZena da montaJi </t>
    </r>
    <r>
      <rPr>
        <b/>
        <sz val="10"/>
        <rFont val="Arial"/>
        <family val="2"/>
      </rPr>
      <t>PN16, DN50</t>
    </r>
  </si>
  <si>
    <t>zednadebi xarjebi montaJis xelfasze</t>
  </si>
  <si>
    <t xml:space="preserve">kabeli </t>
  </si>
  <si>
    <t>uJangavi gvarli d-7 mm</t>
  </si>
  <si>
    <t>avtomatika</t>
  </si>
  <si>
    <t>tumbo</t>
  </si>
  <si>
    <t>mowyobilobebi</t>
  </si>
  <si>
    <t>TavmorTulobis mowyoba</t>
  </si>
  <si>
    <t>xi smasala</t>
  </si>
  <si>
    <t>betoni m-400</t>
  </si>
  <si>
    <t>6-1-2</t>
  </si>
  <si>
    <t>saTavis dabetoneba</t>
  </si>
  <si>
    <t>kompresori</t>
  </si>
  <si>
    <t>saburRi mowyobilebis kompleqti</t>
  </si>
  <si>
    <t>dRe/Rame</t>
  </si>
  <si>
    <t>4-40-1</t>
  </si>
  <si>
    <t>WaburRilidan wylis amotumbva erliftiT</t>
  </si>
  <si>
    <t>4-39</t>
  </si>
  <si>
    <t>naburRsa da sacav milebs Soris arsebuli sicarielis amovseba RorRiT d=15/20</t>
  </si>
  <si>
    <t>10 m</t>
  </si>
  <si>
    <t>4-38-2 კ-0.8</t>
  </si>
  <si>
    <t>sacavi milebisa da filtrebis CaSveba</t>
  </si>
  <si>
    <t>SesaduRebeli manqana</t>
  </si>
  <si>
    <t>4-33-1</t>
  </si>
  <si>
    <t xml:space="preserve">4-33-1 </t>
  </si>
  <si>
    <t>saburRi milebi damamZimebeli</t>
  </si>
  <si>
    <t>saburRi milebi (Stangebi)</t>
  </si>
  <si>
    <t>4-10-4
k-1.1</t>
  </si>
  <si>
    <t>rotoruli burRva pirdapiri garecxviT saSualod VII kategoriis gruntSi d-245</t>
  </si>
  <si>
    <t>4-10-3
k-1.1</t>
  </si>
  <si>
    <t>rotoruli burRva pirdapiri garecxviT saSualod V-VI kategoriis gruntSi d-245</t>
  </si>
  <si>
    <t>4-10-2
k-1.1</t>
  </si>
  <si>
    <t>rotoruli burRva pirdapiri garecxviT saSualod III-IV kategoriis gruntSi d-245</t>
  </si>
  <si>
    <t>burRviTi samuSaoebi</t>
  </si>
  <si>
    <r>
      <t>tumbos CaSveba WaburRilSi, el kabeliT qselSi daerTebiT awevis simaRle 150 m.</t>
    </r>
    <r>
      <rPr>
        <b/>
        <sz val="10"/>
        <rFont val="Cambria"/>
        <family val="1"/>
      </rPr>
      <t xml:space="preserve"> Q=7.2</t>
    </r>
    <r>
      <rPr>
        <b/>
        <sz val="10"/>
        <rFont val="AcadNusx"/>
        <family val="0"/>
      </rPr>
      <t>m3/sT (mSrali svlisgan dacva; miwasTan mokle CarTvisgan dacva; Zravis gadaxurebisagan dacva; fazis dakargvisgan dacva)</t>
    </r>
  </si>
  <si>
    <t>polipropilenis wyalsawevi milis montaJi d-63 mm pn-16</t>
  </si>
  <si>
    <t>zednadebi xarjebi liTonis konstruqciebze</t>
  </si>
  <si>
    <t>sxva samuSaoebi</t>
  </si>
  <si>
    <t>maT Soris liTonis konstruqciebi</t>
  </si>
  <si>
    <t xml:space="preserve">22-25-2 </t>
  </si>
  <si>
    <t xml:space="preserve">22-5-3   </t>
  </si>
  <si>
    <t>22-25-2</t>
  </si>
  <si>
    <r>
      <t xml:space="preserve">tivtiva urdulis SeZena da montaJi </t>
    </r>
    <r>
      <rPr>
        <b/>
        <sz val="10"/>
        <rFont val="Arial"/>
        <family val="2"/>
      </rPr>
      <t>PN16, DN40</t>
    </r>
  </si>
  <si>
    <t>miltuCa adaptori</t>
  </si>
  <si>
    <t>22-29-3</t>
  </si>
  <si>
    <t>polieTilenis miltuCa adaptoris montaJi d-90 pn-10</t>
  </si>
  <si>
    <t>polieTilenis miltuCa adaptoris montaJi d-50 pn-10</t>
  </si>
  <si>
    <t>jvaredi</t>
  </si>
  <si>
    <t>polieTilenis samkapis d=90 SeZena da mowyoba</t>
  </si>
  <si>
    <t>polieTilenis samkapis d=50 SeZena da mowyoba</t>
  </si>
  <si>
    <t>polieTilenis el. fuziuri muxli d=90 SeZena da mowyoba</t>
  </si>
  <si>
    <t>polieTilenis el. fuziuri muxli d=50 SeZena da mowyoba</t>
  </si>
  <si>
    <t>quro</t>
  </si>
  <si>
    <t>polieTilenis el. fuziuri quro d=50 SeZena da mowyoba</t>
  </si>
  <si>
    <t>polieTilenis el. fuziuri quro d=90 SeZena da mowyoba</t>
  </si>
  <si>
    <t>foladis miltuCi wamgvariT d=80</t>
  </si>
  <si>
    <t>foladis gadamyvanis mowyoba d-200/100 1c.</t>
  </si>
  <si>
    <t>muxli d-100</t>
  </si>
  <si>
    <t>milyeli</t>
  </si>
  <si>
    <r>
      <t xml:space="preserve">foladis miltuCiani milyelis montaJi d-40 </t>
    </r>
    <r>
      <rPr>
        <b/>
        <sz val="10"/>
        <rFont val="Arial"/>
        <family val="2"/>
      </rPr>
      <t>L-0,2</t>
    </r>
  </si>
  <si>
    <r>
      <t xml:space="preserve">foladis miltuCiani milyelis montaJi d-40 </t>
    </r>
    <r>
      <rPr>
        <b/>
        <sz val="10"/>
        <rFont val="Arial"/>
        <family val="2"/>
      </rPr>
      <t>L-0,42</t>
    </r>
  </si>
  <si>
    <r>
      <t xml:space="preserve">foladis miltuCiani milyelis montaJi d-80 </t>
    </r>
    <r>
      <rPr>
        <b/>
        <sz val="10"/>
        <rFont val="Arial"/>
        <family val="2"/>
      </rPr>
      <t>L-0,42</t>
    </r>
  </si>
  <si>
    <r>
      <t xml:space="preserve">foladis miltuCiani milyelis montaJi d-100 </t>
    </r>
    <r>
      <rPr>
        <b/>
        <sz val="10"/>
        <rFont val="Arial"/>
        <family val="2"/>
      </rPr>
      <t>L-0,42</t>
    </r>
  </si>
  <si>
    <t xml:space="preserve">         resursebi:</t>
  </si>
  <si>
    <t xml:space="preserve">15-164-2 </t>
  </si>
  <si>
    <t>liTonis avzis SeRebva zeTovani saRebaviT 2 fena</t>
  </si>
  <si>
    <t>amwe 40t,</t>
  </si>
  <si>
    <t>9-21-1</t>
  </si>
  <si>
    <r>
      <t>2X50m</t>
    </r>
    <r>
      <rPr>
        <b/>
        <sz val="10"/>
        <rFont val="Calibri"/>
        <family val="2"/>
      </rPr>
      <t xml:space="preserve">³ </t>
    </r>
    <r>
      <rPr>
        <b/>
        <sz val="10"/>
        <rFont val="AcadNusx"/>
        <family val="0"/>
      </rPr>
      <t>liTonis rezervuaris montaJi</t>
    </r>
  </si>
  <si>
    <t>foladis muxlis mowyoba d-80 4c.</t>
  </si>
  <si>
    <t>polieTilenis jvaredis d=90 SeZena da mowyoba</t>
  </si>
  <si>
    <t>polieTilenis el. fuziuri muxli d=75 SeZena da mowyoba</t>
  </si>
  <si>
    <t>polieTilenis el. fuziuri quro d=75 SeZena da mowyoba</t>
  </si>
  <si>
    <t>polieTilenis miltuCa adaptoris montaJi d-75 pn-10</t>
  </si>
  <si>
    <r>
      <t xml:space="preserve">solisebri urdulis SeZena da montaJi </t>
    </r>
    <r>
      <rPr>
        <b/>
        <sz val="10"/>
        <rFont val="Arial"/>
        <family val="2"/>
      </rPr>
      <t>PN16, DN80</t>
    </r>
  </si>
  <si>
    <t>22-24-2</t>
  </si>
  <si>
    <r>
      <t xml:space="preserve">ukuCamketi sarqvelis SeZena da montaJi </t>
    </r>
    <r>
      <rPr>
        <b/>
        <sz val="10"/>
        <rFont val="Arial"/>
        <family val="2"/>
      </rPr>
      <t>DN80</t>
    </r>
  </si>
  <si>
    <t>foladis garcmis mili qarxnuli izolaciiT d=89/3</t>
  </si>
  <si>
    <t>uJangavi foladis filtris montaJi d-80</t>
  </si>
  <si>
    <r>
      <t xml:space="preserve">solisebri urdulis SeZena da montaJi </t>
    </r>
    <r>
      <rPr>
        <b/>
        <sz val="10"/>
        <rFont val="Arial"/>
        <family val="2"/>
      </rPr>
      <t>PN16, DN75</t>
    </r>
  </si>
  <si>
    <t>polieTilenis samkapis d=75 SeZena da mowyoba</t>
  </si>
  <si>
    <t>foladis garcmis mili qarxnuli izolaciiT d=100/3.5</t>
  </si>
  <si>
    <t>polieTilenis el. Fuziuri gadamyvani d=90/50 SeZena da mowyoba</t>
  </si>
  <si>
    <r>
      <t xml:space="preserve">tivtiva urdulis SeZena da montaJi </t>
    </r>
    <r>
      <rPr>
        <b/>
        <sz val="10"/>
        <rFont val="Arial"/>
        <family val="2"/>
      </rPr>
      <t>PN16, DN50</t>
    </r>
  </si>
  <si>
    <t>avzebis teqnologia</t>
  </si>
  <si>
    <t>miwis samuSaoebi</t>
  </si>
  <si>
    <t>WaburRili</t>
  </si>
  <si>
    <t>sanitaruli dacvis Robe</t>
  </si>
  <si>
    <t>teqnologia</t>
  </si>
  <si>
    <t>konstruqciebi</t>
  </si>
  <si>
    <r>
      <t xml:space="preserve">teqnologia </t>
    </r>
    <r>
      <rPr>
        <b/>
        <i/>
        <u val="single"/>
        <sz val="11"/>
        <color indexed="8"/>
        <rFont val="AcadNusx"/>
        <family val="0"/>
      </rPr>
      <t>(mowyobilobebi)</t>
    </r>
  </si>
  <si>
    <t>WaburRilis teqnologia</t>
  </si>
  <si>
    <t>xis smasala</t>
  </si>
  <si>
    <t>mili d-63</t>
  </si>
  <si>
    <t>rotoruli burRva pirdapiri garecxviT saSualod VIII kategoriis gruntSi d-245</t>
  </si>
  <si>
    <t>4-10-5
k-1.1</t>
  </si>
  <si>
    <t>rotoruli burRva pirdapiri garecxviT saSualod IX kategoriis gruntSi d-245</t>
  </si>
  <si>
    <t>4-10-6
k-1.1</t>
  </si>
  <si>
    <r>
      <t>polieTilenis sacavi milebis SeduReba</t>
    </r>
    <r>
      <rPr>
        <b/>
        <sz val="10"/>
        <rFont val="Times New Roman"/>
        <family val="1"/>
      </rPr>
      <t xml:space="preserve"> PE100 OD140 SDR22</t>
    </r>
  </si>
  <si>
    <r>
      <t>polieTilenis mili</t>
    </r>
    <r>
      <rPr>
        <sz val="10"/>
        <color indexed="8"/>
        <rFont val="Times New Roman"/>
        <family val="1"/>
      </rPr>
      <t xml:space="preserve"> PE100 OD140 SDR22</t>
    </r>
  </si>
  <si>
    <t>polieTilenis filtrebis d-140mm damzzadeba - SeduReba da mowyoba (perforirebuli)</t>
  </si>
  <si>
    <t>polieTilenis mili d-140</t>
  </si>
  <si>
    <t>8-571-12</t>
  </si>
  <si>
    <t xml:space="preserve">Sromis danaxarji </t>
  </si>
  <si>
    <t>karada</t>
  </si>
  <si>
    <t xml:space="preserve">samfaza avtomatebis montaJi 380v 25a </t>
  </si>
  <si>
    <t>8-526-5</t>
  </si>
  <si>
    <t>avtomati</t>
  </si>
  <si>
    <t xml:space="preserve">samfaza avtomatebis montaJi 380v 32a </t>
  </si>
  <si>
    <t xml:space="preserve">erTfaza avtomatebis montaJi 220v 25a </t>
  </si>
  <si>
    <t>8-526-1</t>
  </si>
  <si>
    <t>erTfaza avtomatebis montaJi 220v 25a dif, dacviT</t>
  </si>
  <si>
    <t>erTfaza avtomatebis montaJi 220v 16a</t>
  </si>
  <si>
    <t>8-531-1</t>
  </si>
  <si>
    <t>magnituri gamSvebis mowyoba 25a 220v</t>
  </si>
  <si>
    <t>magnituri gamSvebis mowyoba 16a 220v</t>
  </si>
  <si>
    <t>sp. ZarRviani kabeli kveT. (5X6)mm 0,4kv</t>
  </si>
  <si>
    <t>8-148-1</t>
  </si>
  <si>
    <t>sp. ZarRviani kabeli kveT. (5X6)mm</t>
  </si>
  <si>
    <t xml:space="preserve">sxva masalebi  </t>
  </si>
  <si>
    <t>sp. ZarRviani gamtari izolerebuli kveT. (3X2,5)mm 220v montaJi</t>
  </si>
  <si>
    <t>sp. ZarRviani gamtari kveT. (3X2,5)mm 220v</t>
  </si>
  <si>
    <t>sp. ZarRviani gamtari izolerebuli kveT. (3X1,5)mm 220v montaJi</t>
  </si>
  <si>
    <t>sp. ZarRviani gamtari kveT. (3X1,5)mm 220v</t>
  </si>
  <si>
    <t>or klaviSiani amomrTvelis montaJi 10a. 220v.</t>
  </si>
  <si>
    <t>8-591-2</t>
  </si>
  <si>
    <t>amomrTveli</t>
  </si>
  <si>
    <t>Stefseluri rozeti hermetuli Sesrulebis 380v, 10a montaJi  daxuruli dayenebis damiwebiT</t>
  </si>
  <si>
    <t>8-591-8</t>
  </si>
  <si>
    <t>Stefseluri rozeti hermetuli Sesrulebis 380v, 10a</t>
  </si>
  <si>
    <t>8-534-1</t>
  </si>
  <si>
    <t>kolofi</t>
  </si>
  <si>
    <t>gamanawilebeli kolofebis montaJi mopmWerebis rigiT2,5mm2 Sida dayenebis</t>
  </si>
  <si>
    <t>gamanawilebeli kolofebis montaJi mopmWerebis rigiT2,5mm2 gare dayenebis</t>
  </si>
  <si>
    <t>fotoelementi 2kvt. simZlavriT, 220v</t>
  </si>
  <si>
    <t>8-574-55</t>
  </si>
  <si>
    <t>fotoelementi</t>
  </si>
  <si>
    <t>damiwebis mowyoba SiSveli sadeni 16mm2</t>
  </si>
  <si>
    <t xml:space="preserve"> 8-472-10</t>
  </si>
  <si>
    <t>sadenii 16mm2</t>
  </si>
  <si>
    <t>ormos Sevseba betonis xnsanariT m150</t>
  </si>
  <si>
    <t>miwis gaburRva ganaTebis dgarebisTvis burRiT d=300mm h=0.7m</t>
  </si>
  <si>
    <t>qviSis baliSis mowyoba</t>
  </si>
  <si>
    <t>tranSeis Sevseba adgilobrivi gruntiT meqanizmiT</t>
  </si>
  <si>
    <t>buldozeri 80cx.Z.</t>
  </si>
  <si>
    <t>zedmeti gruntis adgilze mosworeba buldozeriT</t>
  </si>
  <si>
    <t>buldozeri 80cx.Z. (9.21+4.97X4)</t>
  </si>
  <si>
    <r>
      <t xml:space="preserve">liTonis milis saydeni sanaTisTvis </t>
    </r>
    <r>
      <rPr>
        <b/>
        <sz val="10"/>
        <rFont val="Times New Roman"/>
        <family val="1"/>
      </rPr>
      <t>l=300 d=80</t>
    </r>
  </si>
  <si>
    <r>
      <t xml:space="preserve">liTonis milis saydeni sanaTisTvis </t>
    </r>
    <r>
      <rPr>
        <b/>
        <sz val="10"/>
        <rFont val="Times New Roman"/>
        <family val="1"/>
      </rPr>
      <t>l=3400 d=100</t>
    </r>
  </si>
  <si>
    <t>polieTilenis gofrirebuli milis mowyoba d-25mm</t>
  </si>
  <si>
    <t>8-417-1</t>
  </si>
  <si>
    <t>mili d=25 mm</t>
  </si>
  <si>
    <t>grZ.m</t>
  </si>
  <si>
    <t xml:space="preserve"> 21-26-1 </t>
  </si>
  <si>
    <t>100 c</t>
  </si>
  <si>
    <t>sanaTi</t>
  </si>
  <si>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sanaTi diodebiT daxuruli tipis, (1X32) vt. 220v. </t>
    </r>
    <r>
      <rPr>
        <b/>
        <sz val="10"/>
        <rFont val="Arial"/>
        <family val="2"/>
      </rPr>
      <t>IP</t>
    </r>
    <r>
      <rPr>
        <b/>
        <sz val="10"/>
        <rFont val="AcadNusx"/>
        <family val="0"/>
      </rPr>
      <t>56 dacviT</t>
    </r>
  </si>
  <si>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sanaTi diodebiT gare dayenebiT, badiT daculi (1X20) vt. 220v. </t>
    </r>
    <r>
      <rPr>
        <b/>
        <sz val="10"/>
        <rFont val="Arial"/>
        <family val="2"/>
      </rPr>
      <t>IP</t>
    </r>
    <r>
      <rPr>
        <b/>
        <sz val="10"/>
        <rFont val="AcadNusx"/>
        <family val="0"/>
      </rPr>
      <t>56 dacviT</t>
    </r>
  </si>
  <si>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sanaTi diodebiT gare dayenebiT, permietris ganaTebisTvis (1X75) vt. 220v. </t>
    </r>
    <r>
      <rPr>
        <b/>
        <sz val="10"/>
        <rFont val="Arial"/>
        <family val="2"/>
      </rPr>
      <t>IP</t>
    </r>
    <r>
      <rPr>
        <b/>
        <sz val="10"/>
        <rFont val="AcadNusx"/>
        <family val="0"/>
      </rPr>
      <t>56 dacviT</t>
    </r>
  </si>
  <si>
    <t>8-471-4</t>
  </si>
  <si>
    <t>glinula d-16</t>
  </si>
  <si>
    <t>vertikaluri damiwebis mowyoba glinuliT d-16 l=1.5</t>
  </si>
  <si>
    <t>damiwebis mowyoba foladis zolovanasagan 40X4</t>
  </si>
  <si>
    <t xml:space="preserve"> 8-472-2</t>
  </si>
  <si>
    <t>zolovani foladi (40X4)</t>
  </si>
  <si>
    <t>damiwebis mowyoba foladis zolovanasagan 25X4</t>
  </si>
  <si>
    <t>zolovani foladi (25X4)</t>
  </si>
  <si>
    <t>gamanawilebeli karada 12 modulze avt. amomrTvelebisTvis</t>
  </si>
  <si>
    <t>sp. ZarRviani kabeli kveT. (5X4)mm 0,4kv</t>
  </si>
  <si>
    <t>sp. ZarRviani kabeli kveT. (5X4)mm</t>
  </si>
  <si>
    <t>wyaldamxarji onkanebi</t>
  </si>
  <si>
    <r>
      <t>wyaldamxarji onkani</t>
    </r>
    <r>
      <rPr>
        <b/>
        <sz val="10"/>
        <rFont val="Times New Roman"/>
        <family val="1"/>
      </rPr>
      <t xml:space="preserve"> PN16 D=25</t>
    </r>
  </si>
  <si>
    <t>komp</t>
  </si>
  <si>
    <t>onkani</t>
  </si>
  <si>
    <r>
      <t>wyaldamxarji ventili</t>
    </r>
    <r>
      <rPr>
        <b/>
        <sz val="10"/>
        <rFont val="Times New Roman"/>
        <family val="1"/>
      </rPr>
      <t xml:space="preserve"> PN16 D=25</t>
    </r>
  </si>
  <si>
    <t>23-3-1</t>
  </si>
  <si>
    <r>
      <t xml:space="preserve">kanalizaciis gofrirebuli mili </t>
    </r>
    <r>
      <rPr>
        <b/>
        <sz val="10"/>
        <rFont val="Times New Roman"/>
        <family val="1"/>
      </rPr>
      <t>SN8 D=100</t>
    </r>
  </si>
  <si>
    <r>
      <t xml:space="preserve">kanalizaciis gofrirebuli milis muxli </t>
    </r>
    <r>
      <rPr>
        <b/>
        <sz val="10"/>
        <rFont val="Times New Roman"/>
        <family val="1"/>
      </rPr>
      <t>D=100</t>
    </r>
  </si>
  <si>
    <t>wamgvari</t>
  </si>
  <si>
    <r>
      <t>foladis wamgvaris 90</t>
    </r>
    <r>
      <rPr>
        <b/>
        <sz val="10"/>
        <rFont val="Calibri"/>
        <family val="2"/>
      </rPr>
      <t xml:space="preserve">˚ </t>
    </r>
    <r>
      <rPr>
        <b/>
        <sz val="10"/>
        <rFont val="AcadNusx"/>
        <family val="0"/>
      </rPr>
      <t>d-25 SeZena da mowyoba 12c</t>
    </r>
  </si>
  <si>
    <t xml:space="preserve">22-5-1  </t>
  </si>
  <si>
    <t xml:space="preserve">foladis garcmis milis qarxnuli izolaciiTSeZena da montaJi d=108/4 </t>
  </si>
  <si>
    <t xml:space="preserve">22-5-3  </t>
  </si>
  <si>
    <t xml:space="preserve">foladis garcmis milis qarxnuli izolaciiT SeZena da montaJi d=25/3 </t>
  </si>
  <si>
    <t>betoni b-25</t>
  </si>
  <si>
    <t>6-26-3</t>
  </si>
  <si>
    <t>armatura</t>
  </si>
  <si>
    <t>bade 150X150</t>
  </si>
  <si>
    <t>r/b monoliTuri Wis mowyoba</t>
  </si>
  <si>
    <t>avzebi da maTi teritoria</t>
  </si>
  <si>
    <t>metalo plasmasis fanjrebis mowyoba</t>
  </si>
  <si>
    <t>metalo plasmasis karis mowyoba</t>
  </si>
  <si>
    <t>metalo plasmasis kari montaJiT</t>
  </si>
  <si>
    <t xml:space="preserve">ormagi Tboizolaciis mowyoba </t>
  </si>
  <si>
    <t>26-7-3</t>
  </si>
  <si>
    <t>saTboizolacio masala</t>
  </si>
  <si>
    <t>wyaldamxarji svetis moednis mokirwyvla</t>
  </si>
  <si>
    <t>27-44-1</t>
  </si>
  <si>
    <t>qvafenili</t>
  </si>
  <si>
    <t>cementis xsnari</t>
  </si>
  <si>
    <t>gatanili gruntis datvirTva eqskavatoris kovSiT 0.5m3 a/T-ze</t>
  </si>
  <si>
    <t>1-22-15</t>
  </si>
  <si>
    <t>samsaRaraviani satexi d=245</t>
  </si>
  <si>
    <t xml:space="preserve">masalis transportiრება </t>
  </si>
  <si>
    <t>___%</t>
  </si>
  <si>
    <t>ლოკალური ხარჯთაღრიცხვა N2</t>
  </si>
  <si>
    <t>ბოლნისის მუნიციპალიტეტის სოფელ ტალავერში წყალმომარაგების ქსელის გაფართოების სამუშაოების</t>
  </si>
  <si>
    <t>დანართი #2-2</t>
  </si>
  <si>
    <t>დანართი #2-1</t>
  </si>
  <si>
    <t>ლოკალური ხარჯთაღრიცხვა N1</t>
  </si>
  <si>
    <t>დანართი #2-3</t>
  </si>
  <si>
    <t>ლოკალური ხარჯთაღრიცხვა N3</t>
  </si>
  <si>
    <t>gegmiuri dagroveba ლითონის კონსტრუქციებზე</t>
  </si>
  <si>
    <t>დანართი #2-4</t>
  </si>
  <si>
    <t>ლოკალური ხარჯთაღრიცხვა N4</t>
  </si>
  <si>
    <t>დანართი #2-5</t>
  </si>
  <si>
    <t>ლოკალური ხარჯთაღრიცხვა N5</t>
  </si>
  <si>
    <t>jami  (samSeneblo+mowyobiloba)</t>
  </si>
  <si>
    <t>დანართი #2-6</t>
  </si>
  <si>
    <t>ლოკალური ხარჯთაღრიცხვა N6</t>
  </si>
  <si>
    <t>დანართი #2-7</t>
  </si>
  <si>
    <t>ლოკალური ხარჯთაღრიცხვა N7</t>
  </si>
  <si>
    <t>jami mowyobilobebi</t>
  </si>
  <si>
    <t>sul jami (teqnologia+dacvis Robe + mowyobilobebi)</t>
  </si>
  <si>
    <t>დანართი #2-8</t>
  </si>
  <si>
    <t>ლოკალური ხარჯთაღრიცხვა N8</t>
  </si>
  <si>
    <t>zednadebi xarjebi eleqtrosamontaJo samuSaoebze (xelfasidan)</t>
  </si>
  <si>
    <t>jami (eleqtrosamontaJo+samSeneblo)</t>
  </si>
  <si>
    <t>2_1 ლოკალური ხარჯთაღრიცხვა N1</t>
  </si>
  <si>
    <t>2_2 ლოკალური ხარჯთაღრიცხვა N2</t>
  </si>
  <si>
    <t>2_3 ლოკალური ხარჯთაღრიცხვა N3</t>
  </si>
  <si>
    <t>2_4 ლოკალური ხარჯთაღრიცხვა N4</t>
  </si>
  <si>
    <t>2_5 ლოკალური ხარჯთაღრიცხვა N5</t>
  </si>
  <si>
    <t>2_6 ლოკალური ხარჯთაღრიცხვა N6</t>
  </si>
  <si>
    <t>2_7 ლოკალური ხარჯთაღრიცხვა N7</t>
  </si>
  <si>
    <t>2_8 ლოკალური ხარჯთაღრიცხვა N8</t>
  </si>
  <si>
    <t>ჯამი</t>
  </si>
  <si>
    <t>დანართი #2</t>
  </si>
  <si>
    <t>კრებსითი ხარჯთაღრიცხვა</t>
  </si>
  <si>
    <r>
      <t xml:space="preserve">გაუთვალისწინებული ხარჯები </t>
    </r>
    <r>
      <rPr>
        <b/>
        <sz val="9"/>
        <color indexed="10"/>
        <rFont val="Arial"/>
        <family val="2"/>
      </rPr>
      <t>(*)</t>
    </r>
    <r>
      <rPr>
        <b/>
        <sz val="9"/>
        <rFont val="Arial"/>
        <family val="2"/>
      </rPr>
      <t xml:space="preserve">  </t>
    </r>
  </si>
  <si>
    <t>სულ:</t>
  </si>
  <si>
    <t xml:space="preserve">დ.ღ.გ. </t>
  </si>
  <si>
    <t>მთლიანი ჯამი</t>
  </si>
  <si>
    <t>Semsyidveli organizacia</t>
  </si>
  <si>
    <t>ხელმოწერა ბ.ა</t>
  </si>
  <si>
    <t>შენიშვნა:</t>
  </si>
  <si>
    <r>
      <rPr>
        <b/>
        <sz val="11"/>
        <color indexed="10"/>
        <rFont val="AcadMtavr"/>
        <family val="0"/>
      </rPr>
      <t>(*)</t>
    </r>
    <r>
      <rPr>
        <sz val="11"/>
        <rFont val="AcadMtavr"/>
        <family val="0"/>
      </rPr>
      <t xml:space="preserve"> 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</t>
    </r>
    <r>
      <rPr>
        <b/>
        <sz val="11"/>
        <color indexed="10"/>
        <rFont val="AcadMtavr"/>
        <family val="0"/>
      </rPr>
      <t>(3%)</t>
    </r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</si>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</sst>
</file>

<file path=xl/styles.xml><?xml version="1.0" encoding="utf-8"?>
<styleSheet xmlns="http://schemas.openxmlformats.org/spreadsheetml/2006/main">
  <numFmts count="6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0000"/>
    <numFmt numFmtId="192" formatCode="_-* #,##0.000_р_._-;\-* #,##0.000_р_._-;_-* &quot;-&quot;??_р_._-;_-@_-"/>
    <numFmt numFmtId="193" formatCode="0.000000"/>
    <numFmt numFmtId="194" formatCode="0.0000000"/>
    <numFmt numFmtId="195" formatCode="0.00000000"/>
    <numFmt numFmtId="196" formatCode="0.000000000"/>
    <numFmt numFmtId="197" formatCode="_-* #,##0.000\ _L_a_r_i_-;\-* #,##0.000\ _L_a_r_i_-;_-* &quot;-&quot;???\ _L_a_r_i_-;_-@_-"/>
    <numFmt numFmtId="198" formatCode="_-* #,##0.0_р_._-;\-* #,##0.0_р_._-;_-* &quot;-&quot;??_р_._-;_-@_-"/>
    <numFmt numFmtId="199" formatCode="_-* #,##0.0\ _L_a_r_i_-;\-* #,##0.0\ _L_a_r_i_-;_-* &quot;-&quot;?\ _L_a_r_i_-;_-@_-"/>
    <numFmt numFmtId="200" formatCode="_-* #,##0.0000_р_._-;\-* #,##0.0000_р_._-;_-* &quot;-&quot;??_р_._-;_-@_-"/>
    <numFmt numFmtId="201" formatCode="_-* #,##0_р_._-;\-* #,##0_р_._-;_-* &quot;-&quot;??_р_._-;_-@_-"/>
    <numFmt numFmtId="202" formatCode="[$-409]dddd\,\ mmmm\ dd\,\ yyyy"/>
    <numFmt numFmtId="203" formatCode="&quot;$&quot;#,##0.00"/>
    <numFmt numFmtId="204" formatCode="_(* #,##0.000_);_(* \(#,##0.000\);_(* &quot;-&quot;???_);_(@_)"/>
    <numFmt numFmtId="205" formatCode="_-* #,##0.00000_р_._-;\-* #,##0.00000_р_._-;_-* &quot;-&quot;??_р_._-;_-@_-"/>
    <numFmt numFmtId="206" formatCode="_-* #,##0.0000_р_._-;\-* #,##0.0000_р_._-;_-* &quot;-&quot;????_р_._-;_-@_-"/>
    <numFmt numFmtId="207" formatCode="_-* #,##0.00_р_._-;\-* #,##0.00_р_._-;_-* &quot;-&quot;???_р_._-;_-@_-"/>
    <numFmt numFmtId="208" formatCode="_-* #,##0.000_р_._-;\-* #,##0.000_р_._-;_-* &quot;-&quot;???_р_._-;_-@_-"/>
    <numFmt numFmtId="209" formatCode="_-* #,##0.0_р_._-;\-* #,##0.0_р_._-;_-* &quot;-&quot;?_р_._-;_-@_-"/>
    <numFmt numFmtId="210" formatCode="_-* #,##0.0_р_._-;\-* #,##0.0_р_._-;_-* &quot;-&quot;????_р_._-;_-@_-"/>
    <numFmt numFmtId="211" formatCode="_(* #,##0.0_);_(* \(#,##0.0\);_(* &quot;-&quot;?_);_(@_)"/>
    <numFmt numFmtId="212" formatCode="_(* #,##0.000_);_(* \(#,##0.000\);_(* &quot;-&quot;??_);_(@_)"/>
    <numFmt numFmtId="213" formatCode="_(* #,##0.0_);_(* \(#,##0.0\);_(* &quot;-&quot;??_);_(@_)"/>
    <numFmt numFmtId="214" formatCode="_(* #,##0_);_(* \(#,##0\);_(* &quot;-&quot;??_);_(@_)"/>
    <numFmt numFmtId="215" formatCode="[$-409]h:mm:ss\ AM/PM"/>
    <numFmt numFmtId="216" formatCode="_-* #,##0.0\ _L_a_r_i_-;\-* #,##0.0\ _L_a_r_i_-;_-* &quot;-&quot;??\ _L_a_r_i_-;_-@_-"/>
    <numFmt numFmtId="217" formatCode="_-* #,##0\ _L_a_r_i_-;\-* #,##0\ _L_a_r_i_-;_-* &quot;-&quot;??\ _L_a_r_i_-;_-@_-"/>
    <numFmt numFmtId="218" formatCode="0.0%"/>
    <numFmt numFmtId="219" formatCode="[$-437]dddd\,\ dd\ mmmm\,\ yyyy"/>
  </numFmts>
  <fonts count="99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b/>
      <sz val="8"/>
      <name val="AcadNusx"/>
      <family val="0"/>
    </font>
    <font>
      <sz val="12"/>
      <name val="AcadNusx"/>
      <family val="0"/>
    </font>
    <font>
      <b/>
      <sz val="14"/>
      <name val="AcadNusx"/>
      <family val="0"/>
    </font>
    <font>
      <sz val="12"/>
      <name val="Arachveulebrivi Thin"/>
      <family val="2"/>
    </font>
    <font>
      <b/>
      <sz val="10"/>
      <name val="Arial"/>
      <family val="2"/>
    </font>
    <font>
      <sz val="9"/>
      <name val="AcadNusx"/>
      <family val="0"/>
    </font>
    <font>
      <vertAlign val="superscript"/>
      <sz val="10"/>
      <name val="AcadNusx"/>
      <family val="0"/>
    </font>
    <font>
      <sz val="12"/>
      <name val="Times New Roman"/>
      <family val="1"/>
    </font>
    <font>
      <sz val="12"/>
      <name val="Arial"/>
      <family val="2"/>
    </font>
    <font>
      <i/>
      <sz val="10"/>
      <name val="AcadNusx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cadNusx"/>
      <family val="0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0"/>
      <color indexed="10"/>
      <name val="AcadNusx"/>
      <family val="0"/>
    </font>
    <font>
      <b/>
      <i/>
      <u val="single"/>
      <sz val="11"/>
      <color indexed="8"/>
      <name val="AcadNusx"/>
      <family val="0"/>
    </font>
    <font>
      <sz val="10"/>
      <color indexed="8"/>
      <name val="Times New Roman"/>
      <family val="1"/>
    </font>
    <font>
      <sz val="10.5"/>
      <name val="AcadNusx"/>
      <family val="0"/>
    </font>
    <font>
      <b/>
      <sz val="12"/>
      <name val="AcadNusx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14"/>
      <name val="AcadMtavr"/>
      <family val="0"/>
    </font>
    <font>
      <sz val="11"/>
      <name val="AcadMtavr"/>
      <family val="0"/>
    </font>
    <font>
      <b/>
      <sz val="11"/>
      <color indexed="10"/>
      <name val="AcadMtav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0"/>
      <color indexed="10"/>
      <name val="Arial"/>
      <family val="2"/>
    </font>
    <font>
      <b/>
      <sz val="10"/>
      <color indexed="10"/>
      <name val="AcadNusx"/>
      <family val="0"/>
    </font>
    <font>
      <sz val="11"/>
      <color indexed="8"/>
      <name val="AcadNusx"/>
      <family val="0"/>
    </font>
    <font>
      <sz val="8"/>
      <color indexed="8"/>
      <name val="AcadNusx"/>
      <family val="0"/>
    </font>
    <font>
      <sz val="9"/>
      <color indexed="8"/>
      <name val="AcadNusx"/>
      <family val="0"/>
    </font>
    <font>
      <b/>
      <i/>
      <u val="single"/>
      <sz val="11"/>
      <color indexed="10"/>
      <name val="AcadNusx"/>
      <family val="0"/>
    </font>
    <font>
      <b/>
      <sz val="12"/>
      <color indexed="10"/>
      <name val="AcadNusx"/>
      <family val="0"/>
    </font>
    <font>
      <b/>
      <sz val="11"/>
      <color indexed="8"/>
      <name val="AcadNusx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cadNusx"/>
      <family val="0"/>
    </font>
    <font>
      <sz val="11"/>
      <color theme="1"/>
      <name val="AcadNusx"/>
      <family val="0"/>
    </font>
    <font>
      <sz val="8"/>
      <color theme="1"/>
      <name val="AcadNusx"/>
      <family val="0"/>
    </font>
    <font>
      <sz val="9"/>
      <color theme="1"/>
      <name val="AcadNusx"/>
      <family val="0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9"/>
      <color rgb="FFFF0000"/>
      <name val="Arial"/>
      <family val="2"/>
    </font>
    <font>
      <b/>
      <i/>
      <u val="single"/>
      <sz val="11"/>
      <color rgb="FFFF0000"/>
      <name val="AcadNusx"/>
      <family val="0"/>
    </font>
    <font>
      <b/>
      <sz val="12"/>
      <color rgb="FFFF0000"/>
      <name val="AcadNusx"/>
      <family val="0"/>
    </font>
    <font>
      <b/>
      <sz val="11"/>
      <color theme="1"/>
      <name val="AcadNusx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5">
    <xf numFmtId="0" fontId="0" fillId="0" borderId="0" xfId="0" applyAlignment="1">
      <alignment/>
    </xf>
    <xf numFmtId="0" fontId="8" fillId="0" borderId="0" xfId="65" applyFont="1">
      <alignment/>
      <protection/>
    </xf>
    <xf numFmtId="0" fontId="4" fillId="0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217" fontId="4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74" applyFont="1" applyFill="1" applyBorder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3" fillId="0" borderId="0" xfId="74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71" fontId="1" fillId="0" borderId="10" xfId="42" applyFont="1" applyFill="1" applyBorder="1" applyAlignment="1">
      <alignment horizontal="center" vertical="center" wrapText="1"/>
    </xf>
    <xf numFmtId="0" fontId="2" fillId="34" borderId="10" xfId="61" applyFont="1" applyFill="1" applyBorder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center"/>
      <protection/>
    </xf>
    <xf numFmtId="0" fontId="7" fillId="34" borderId="10" xfId="61" applyFont="1" applyFill="1" applyBorder="1" applyAlignment="1">
      <alignment horizontal="center" vertical="center"/>
      <protection/>
    </xf>
    <xf numFmtId="2" fontId="12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10" xfId="74" applyFont="1" applyFill="1" applyBorder="1" applyAlignment="1">
      <alignment horizontal="center" vertical="center" wrapText="1"/>
      <protection/>
    </xf>
    <xf numFmtId="171" fontId="2" fillId="0" borderId="10" xfId="42" applyNumberFormat="1" applyFont="1" applyFill="1" applyBorder="1" applyAlignment="1">
      <alignment horizontal="center" vertical="center"/>
    </xf>
    <xf numFmtId="171" fontId="2" fillId="0" borderId="10" xfId="42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1" fillId="0" borderId="10" xfId="58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/>
    </xf>
    <xf numFmtId="0" fontId="2" fillId="35" borderId="10" xfId="74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 quotePrefix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quotePrefix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0" fontId="1" fillId="35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1" fillId="0" borderId="11" xfId="58" applyFont="1" applyFill="1" applyBorder="1" applyAlignment="1">
      <alignment vertical="center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/>
    </xf>
    <xf numFmtId="0" fontId="1" fillId="35" borderId="10" xfId="61" applyFont="1" applyFill="1" applyBorder="1" applyAlignment="1">
      <alignment horizontal="center" vertical="center" wrapText="1"/>
      <protection/>
    </xf>
    <xf numFmtId="0" fontId="1" fillId="35" borderId="10" xfId="61" applyFont="1" applyFill="1" applyBorder="1" applyAlignment="1">
      <alignment vertical="center" wrapText="1"/>
      <protection/>
    </xf>
    <xf numFmtId="0" fontId="3" fillId="35" borderId="10" xfId="61" applyFont="1" applyFill="1" applyBorder="1" applyAlignment="1">
      <alignment horizontal="center" vertical="center" wrapText="1"/>
      <protection/>
    </xf>
    <xf numFmtId="0" fontId="1" fillId="35" borderId="10" xfId="61" applyFont="1" applyFill="1" applyBorder="1" applyAlignment="1">
      <alignment horizontal="center" vertical="center"/>
      <protection/>
    </xf>
    <xf numFmtId="2" fontId="1" fillId="35" borderId="10" xfId="61" applyNumberFormat="1" applyFont="1" applyFill="1" applyBorder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74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 quotePrefix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0" fontId="1" fillId="35" borderId="10" xfId="67" applyFont="1" applyFill="1" applyBorder="1" applyAlignment="1">
      <alignment horizontal="center" vertical="center"/>
      <protection/>
    </xf>
    <xf numFmtId="190" fontId="1" fillId="35" borderId="10" xfId="58" applyNumberFormat="1" applyFont="1" applyFill="1" applyBorder="1" applyAlignment="1">
      <alignment horizontal="center" vertical="center"/>
      <protection/>
    </xf>
    <xf numFmtId="0" fontId="1" fillId="35" borderId="10" xfId="58" applyFont="1" applyFill="1" applyBorder="1" applyAlignment="1">
      <alignment horizontal="center" vertical="center"/>
      <protection/>
    </xf>
    <xf numFmtId="0" fontId="85" fillId="34" borderId="10" xfId="61" applyFont="1" applyFill="1" applyBorder="1" applyAlignment="1">
      <alignment horizontal="center" vertical="center" wrapText="1"/>
      <protection/>
    </xf>
    <xf numFmtId="0" fontId="2" fillId="34" borderId="10" xfId="58" applyFont="1" applyFill="1" applyBorder="1" applyAlignment="1">
      <alignment horizontal="center" vertical="center"/>
      <protection/>
    </xf>
    <xf numFmtId="208" fontId="2" fillId="34" borderId="10" xfId="58" applyNumberFormat="1" applyFont="1" applyFill="1" applyBorder="1" applyAlignment="1">
      <alignment horizontal="center" vertical="center"/>
      <protection/>
    </xf>
    <xf numFmtId="2" fontId="2" fillId="34" borderId="10" xfId="58" applyNumberFormat="1" applyFont="1" applyFill="1" applyBorder="1" applyAlignment="1">
      <alignment horizontal="center" vertical="center"/>
      <protection/>
    </xf>
    <xf numFmtId="0" fontId="2" fillId="34" borderId="0" xfId="58" applyFont="1" applyFill="1" applyBorder="1">
      <alignment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vertical="center" wrapText="1"/>
      <protection/>
    </xf>
    <xf numFmtId="0" fontId="1" fillId="0" borderId="0" xfId="58" applyFont="1" applyFill="1" applyBorder="1">
      <alignment/>
      <protection/>
    </xf>
    <xf numFmtId="188" fontId="1" fillId="0" borderId="10" xfId="58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 quotePrefix="1">
      <alignment horizontal="center" vertical="center" wrapText="1"/>
      <protection/>
    </xf>
    <xf numFmtId="2" fontId="1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horizontal="left" vertical="center"/>
      <protection/>
    </xf>
    <xf numFmtId="0" fontId="2" fillId="0" borderId="10" xfId="58" applyFont="1" applyFill="1" applyBorder="1" applyAlignment="1">
      <alignment horizontal="center" vertical="top" wrapText="1"/>
      <protection/>
    </xf>
    <xf numFmtId="0" fontId="1" fillId="0" borderId="10" xfId="58" applyFont="1" applyFill="1" applyBorder="1" applyAlignment="1">
      <alignment vertical="top" wrapText="1"/>
      <protection/>
    </xf>
    <xf numFmtId="0" fontId="1" fillId="0" borderId="10" xfId="58" applyFont="1" applyFill="1" applyBorder="1" applyAlignment="1">
      <alignment horizontal="center" vertical="top" wrapText="1"/>
      <protection/>
    </xf>
    <xf numFmtId="2" fontId="1" fillId="0" borderId="10" xfId="58" applyNumberFormat="1" applyFont="1" applyFill="1" applyBorder="1" applyAlignment="1">
      <alignment horizontal="center" vertical="top" wrapText="1"/>
      <protection/>
    </xf>
    <xf numFmtId="0" fontId="1" fillId="0" borderId="10" xfId="58" applyFont="1" applyFill="1" applyBorder="1" applyAlignment="1">
      <alignment horizontal="left" vertical="top" wrapText="1"/>
      <protection/>
    </xf>
    <xf numFmtId="0" fontId="16" fillId="0" borderId="10" xfId="58" applyFont="1" applyFill="1" applyBorder="1" applyAlignment="1">
      <alignment horizontal="left" vertical="top" wrapText="1"/>
      <protection/>
    </xf>
    <xf numFmtId="0" fontId="1" fillId="0" borderId="10" xfId="58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34" borderId="13" xfId="61" applyFont="1" applyFill="1" applyBorder="1" applyAlignment="1">
      <alignment horizontal="center" vertical="center" wrapText="1"/>
      <protection/>
    </xf>
    <xf numFmtId="2" fontId="1" fillId="35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0" borderId="13" xfId="58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2" fontId="2" fillId="34" borderId="13" xfId="58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86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08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87" fillId="33" borderId="0" xfId="58" applyFont="1" applyFill="1" applyAlignment="1">
      <alignment vertical="center"/>
      <protection/>
    </xf>
    <xf numFmtId="0" fontId="88" fillId="33" borderId="0" xfId="58" applyFont="1" applyFill="1" applyBorder="1" applyAlignment="1">
      <alignment vertical="center"/>
      <protection/>
    </xf>
    <xf numFmtId="49" fontId="3" fillId="0" borderId="10" xfId="58" applyNumberFormat="1" applyFont="1" applyFill="1" applyBorder="1" applyAlignment="1">
      <alignment horizontal="center" vertical="top" wrapText="1"/>
      <protection/>
    </xf>
    <xf numFmtId="0" fontId="3" fillId="0" borderId="10" xfId="58" applyFont="1" applyFill="1" applyBorder="1" applyAlignment="1" quotePrefix="1">
      <alignment horizontal="center" vertical="top" wrapText="1"/>
      <protection/>
    </xf>
    <xf numFmtId="0" fontId="3" fillId="0" borderId="10" xfId="58" applyFont="1" applyFill="1" applyBorder="1" applyAlignment="1" quotePrefix="1">
      <alignment horizontal="center" vertical="center" wrapText="1"/>
      <protection/>
    </xf>
    <xf numFmtId="0" fontId="2" fillId="0" borderId="0" xfId="58" applyFont="1" applyFill="1" applyBorder="1" applyAlignment="1">
      <alignment vertical="center"/>
      <protection/>
    </xf>
    <xf numFmtId="0" fontId="85" fillId="34" borderId="10" xfId="58" applyFont="1" applyFill="1" applyBorder="1" applyAlignment="1">
      <alignment horizontal="center" vertical="center" wrapText="1"/>
      <protection/>
    </xf>
    <xf numFmtId="2" fontId="2" fillId="34" borderId="10" xfId="58" applyNumberFormat="1" applyFont="1" applyFill="1" applyBorder="1" applyAlignment="1">
      <alignment horizontal="center" vertical="center" wrapText="1"/>
      <protection/>
    </xf>
    <xf numFmtId="2" fontId="2" fillId="34" borderId="0" xfId="58" applyNumberFormat="1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2" fontId="1" fillId="0" borderId="13" xfId="58" applyNumberFormat="1" applyFont="1" applyFill="1" applyBorder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left" vertical="center" wrapText="1"/>
      <protection/>
    </xf>
    <xf numFmtId="0" fontId="2" fillId="34" borderId="10" xfId="61" applyFont="1" applyFill="1" applyBorder="1" applyAlignment="1">
      <alignment vertical="center" wrapText="1"/>
      <protection/>
    </xf>
    <xf numFmtId="49" fontId="3" fillId="34" borderId="10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 quotePrefix="1">
      <alignment horizontal="center" vertical="center" wrapText="1"/>
    </xf>
    <xf numFmtId="0" fontId="1" fillId="0" borderId="10" xfId="67" applyFont="1" applyFill="1" applyBorder="1" applyAlignment="1">
      <alignment horizontal="center" vertical="center"/>
      <protection/>
    </xf>
    <xf numFmtId="190" fontId="1" fillId="0" borderId="10" xfId="58" applyNumberFormat="1" applyFont="1" applyFill="1" applyBorder="1" applyAlignment="1">
      <alignment horizontal="center" vertical="center"/>
      <protection/>
    </xf>
    <xf numFmtId="188" fontId="1" fillId="35" borderId="10" xfId="67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2" fontId="2" fillId="34" borderId="10" xfId="61" applyNumberFormat="1" applyFont="1" applyFill="1" applyBorder="1" applyAlignment="1">
      <alignment horizontal="center" vertical="center" wrapText="1"/>
      <protection/>
    </xf>
    <xf numFmtId="2" fontId="1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90" fontId="2" fillId="34" borderId="10" xfId="61" applyNumberFormat="1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188" fontId="1" fillId="0" borderId="10" xfId="58" applyNumberFormat="1" applyFont="1" applyFill="1" applyBorder="1" applyAlignment="1">
      <alignment horizontal="center" vertical="center" wrapText="1"/>
      <protection/>
    </xf>
    <xf numFmtId="1" fontId="1" fillId="0" borderId="10" xfId="58" applyNumberFormat="1" applyFont="1" applyFill="1" applyBorder="1" applyAlignment="1">
      <alignment horizontal="center" vertical="center"/>
      <protection/>
    </xf>
    <xf numFmtId="2" fontId="2" fillId="34" borderId="0" xfId="58" applyNumberFormat="1" applyFont="1" applyFill="1" applyBorder="1">
      <alignment/>
      <protection/>
    </xf>
    <xf numFmtId="2" fontId="1" fillId="0" borderId="10" xfId="67" applyNumberFormat="1" applyFont="1" applyFill="1" applyBorder="1" applyAlignment="1">
      <alignment horizontal="center" vertical="center"/>
      <protection/>
    </xf>
    <xf numFmtId="2" fontId="1" fillId="0" borderId="0" xfId="58" applyNumberFormat="1" applyFont="1" applyFill="1" applyBorder="1" applyAlignment="1">
      <alignment horizontal="center" vertical="center"/>
      <protection/>
    </xf>
    <xf numFmtId="2" fontId="1" fillId="0" borderId="0" xfId="58" applyNumberFormat="1" applyFont="1" applyFill="1" applyBorder="1" applyAlignment="1">
      <alignment horizontal="center" vertical="center" wrapText="1"/>
      <protection/>
    </xf>
    <xf numFmtId="2" fontId="12" fillId="34" borderId="13" xfId="0" applyNumberFormat="1" applyFont="1" applyFill="1" applyBorder="1" applyAlignment="1">
      <alignment horizontal="center" vertical="center"/>
    </xf>
    <xf numFmtId="188" fontId="1" fillId="0" borderId="10" xfId="67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0" fontId="2" fillId="34" borderId="10" xfId="58" applyFont="1" applyFill="1" applyBorder="1" applyAlignment="1">
      <alignment vertical="center" wrapText="1"/>
      <protection/>
    </xf>
    <xf numFmtId="1" fontId="2" fillId="34" borderId="10" xfId="58" applyNumberFormat="1" applyFont="1" applyFill="1" applyBorder="1" applyAlignment="1">
      <alignment horizontal="center" vertical="center" wrapText="1"/>
      <protection/>
    </xf>
    <xf numFmtId="207" fontId="2" fillId="34" borderId="10" xfId="58" applyNumberFormat="1" applyFont="1" applyFill="1" applyBorder="1" applyAlignment="1">
      <alignment horizontal="center" vertical="center"/>
      <protection/>
    </xf>
    <xf numFmtId="2" fontId="2" fillId="34" borderId="10" xfId="58" applyNumberFormat="1" applyFont="1" applyFill="1" applyBorder="1" applyAlignment="1">
      <alignment horizontal="center" vertical="top" wrapText="1"/>
      <protection/>
    </xf>
    <xf numFmtId="0" fontId="2" fillId="34" borderId="10" xfId="58" applyNumberFormat="1" applyFont="1" applyFill="1" applyBorder="1" applyAlignment="1">
      <alignment horizontal="center" vertical="top" wrapText="1"/>
      <protection/>
    </xf>
    <xf numFmtId="2" fontId="11" fillId="34" borderId="0" xfId="58" applyNumberFormat="1" applyFont="1" applyFill="1" applyBorder="1" applyAlignment="1">
      <alignment horizontal="center" vertical="center"/>
      <protection/>
    </xf>
    <xf numFmtId="0" fontId="21" fillId="34" borderId="0" xfId="58" applyFont="1" applyFill="1" applyBorder="1">
      <alignment/>
      <protection/>
    </xf>
    <xf numFmtId="49" fontId="1" fillId="0" borderId="10" xfId="58" applyNumberFormat="1" applyFont="1" applyFill="1" applyBorder="1" applyAlignment="1">
      <alignment horizontal="center" vertical="top" wrapText="1"/>
      <protection/>
    </xf>
    <xf numFmtId="0" fontId="21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21" fillId="0" borderId="0" xfId="58" applyFont="1" applyFill="1" applyBorder="1">
      <alignment/>
      <protection/>
    </xf>
    <xf numFmtId="0" fontId="1" fillId="0" borderId="10" xfId="58" applyFont="1" applyFill="1" applyBorder="1" applyAlignment="1" quotePrefix="1">
      <alignment horizontal="center" vertical="top" wrapText="1"/>
      <protection/>
    </xf>
    <xf numFmtId="0" fontId="22" fillId="0" borderId="0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22" fillId="0" borderId="0" xfId="58" applyFont="1" applyFill="1" applyBorder="1">
      <alignment/>
      <protection/>
    </xf>
    <xf numFmtId="2" fontId="1" fillId="34" borderId="10" xfId="0" applyNumberFormat="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  <protection/>
    </xf>
    <xf numFmtId="2" fontId="2" fillId="34" borderId="10" xfId="61" applyNumberFormat="1" applyFont="1" applyFill="1" applyBorder="1" applyAlignment="1">
      <alignment horizontal="center" vertical="center"/>
      <protection/>
    </xf>
    <xf numFmtId="0" fontId="1" fillId="34" borderId="0" xfId="61" applyFont="1" applyFill="1" applyBorder="1">
      <alignment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vertical="center" wrapText="1"/>
      <protection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2" fontId="1" fillId="0" borderId="1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>
      <alignment/>
      <protection/>
    </xf>
    <xf numFmtId="208" fontId="2" fillId="34" borderId="10" xfId="61" applyNumberFormat="1" applyFont="1" applyFill="1" applyBorder="1" applyAlignment="1">
      <alignment horizontal="center" vertical="center"/>
      <protection/>
    </xf>
    <xf numFmtId="0" fontId="2" fillId="34" borderId="0" xfId="61" applyFont="1" applyFill="1" applyBorder="1">
      <alignment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2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vertical="center"/>
      <protection/>
    </xf>
    <xf numFmtId="0" fontId="1" fillId="0" borderId="0" xfId="75" applyFont="1" applyFill="1" applyAlignment="1">
      <alignment vertical="center"/>
      <protection/>
    </xf>
    <xf numFmtId="0" fontId="1" fillId="0" borderId="10" xfId="75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 quotePrefix="1">
      <alignment horizontal="center" vertical="center" wrapText="1"/>
      <protection/>
    </xf>
    <xf numFmtId="0" fontId="1" fillId="0" borderId="10" xfId="61" applyNumberFormat="1" applyFont="1" applyFill="1" applyBorder="1" applyAlignment="1">
      <alignment horizontal="center" vertical="center" wrapText="1"/>
      <protection/>
    </xf>
    <xf numFmtId="14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/>
      <protection/>
    </xf>
    <xf numFmtId="189" fontId="1" fillId="0" borderId="10" xfId="61" applyNumberFormat="1" applyFont="1" applyFill="1" applyBorder="1" applyAlignment="1">
      <alignment horizontal="center" vertical="center" wrapText="1"/>
      <protection/>
    </xf>
    <xf numFmtId="2" fontId="1" fillId="0" borderId="13" xfId="61" applyNumberFormat="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75" applyFont="1" applyFill="1" applyBorder="1" applyAlignment="1">
      <alignment vertical="center"/>
      <protection/>
    </xf>
    <xf numFmtId="0" fontId="1" fillId="0" borderId="14" xfId="75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vertical="center"/>
      <protection/>
    </xf>
    <xf numFmtId="0" fontId="1" fillId="0" borderId="14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2" fontId="1" fillId="0" borderId="14" xfId="61" applyNumberFormat="1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/>
      <protection/>
    </xf>
    <xf numFmtId="2" fontId="1" fillId="0" borderId="14" xfId="67" applyNumberFormat="1" applyFont="1" applyFill="1" applyBorder="1" applyAlignment="1">
      <alignment horizontal="center" vertical="center"/>
      <protection/>
    </xf>
    <xf numFmtId="190" fontId="1" fillId="0" borderId="14" xfId="58" applyNumberFormat="1" applyFont="1" applyFill="1" applyBorder="1" applyAlignment="1">
      <alignment horizontal="center" vertical="center"/>
      <protection/>
    </xf>
    <xf numFmtId="0" fontId="1" fillId="0" borderId="14" xfId="58" applyFont="1" applyFill="1" applyBorder="1" applyAlignment="1">
      <alignment horizontal="center" vertical="center"/>
      <protection/>
    </xf>
    <xf numFmtId="2" fontId="1" fillId="0" borderId="15" xfId="61" applyNumberFormat="1" applyFont="1" applyFill="1" applyBorder="1" applyAlignment="1">
      <alignment horizontal="center" vertical="center" wrapText="1"/>
      <protection/>
    </xf>
    <xf numFmtId="2" fontId="2" fillId="34" borderId="14" xfId="61" applyNumberFormat="1" applyFont="1" applyFill="1" applyBorder="1" applyAlignment="1">
      <alignment horizontal="center" vertical="center" wrapText="1"/>
      <protection/>
    </xf>
    <xf numFmtId="2" fontId="2" fillId="34" borderId="13" xfId="61" applyNumberFormat="1" applyFont="1" applyFill="1" applyBorder="1" applyAlignment="1">
      <alignment horizontal="center" vertical="center"/>
      <protection/>
    </xf>
    <xf numFmtId="0" fontId="2" fillId="34" borderId="12" xfId="61" applyFont="1" applyFill="1" applyBorder="1">
      <alignment/>
      <protection/>
    </xf>
    <xf numFmtId="0" fontId="2" fillId="34" borderId="10" xfId="61" applyFont="1" applyFill="1" applyBorder="1">
      <alignment/>
      <protection/>
    </xf>
    <xf numFmtId="0" fontId="0" fillId="0" borderId="16" xfId="61" applyFont="1" applyFill="1" applyBorder="1" applyAlignment="1">
      <alignment horizontal="left" vertical="top" wrapText="1"/>
      <protection/>
    </xf>
    <xf numFmtId="0" fontId="0" fillId="0" borderId="10" xfId="61" applyFont="1" applyFill="1" applyBorder="1" applyAlignment="1">
      <alignment horizontal="left" vertical="top" wrapText="1"/>
      <protection/>
    </xf>
    <xf numFmtId="190" fontId="1" fillId="0" borderId="10" xfId="61" applyNumberFormat="1" applyFont="1" applyFill="1" applyBorder="1" applyAlignment="1">
      <alignment horizontal="center" vertical="center" wrapText="1"/>
      <protection/>
    </xf>
    <xf numFmtId="0" fontId="2" fillId="35" borderId="10" xfId="75" applyFont="1" applyFill="1" applyBorder="1" applyAlignment="1">
      <alignment horizontal="center" vertical="center"/>
      <protection/>
    </xf>
    <xf numFmtId="0" fontId="3" fillId="35" borderId="10" xfId="61" applyFont="1" applyFill="1" applyBorder="1" applyAlignment="1" quotePrefix="1">
      <alignment horizontal="center" vertical="center" wrapText="1"/>
      <protection/>
    </xf>
    <xf numFmtId="2" fontId="1" fillId="35" borderId="10" xfId="61" applyNumberFormat="1" applyFont="1" applyFill="1" applyBorder="1" applyAlignment="1">
      <alignment horizontal="center" vertical="center" wrapText="1"/>
      <protection/>
    </xf>
    <xf numFmtId="0" fontId="1" fillId="35" borderId="10" xfId="61" applyNumberFormat="1" applyFont="1" applyFill="1" applyBorder="1" applyAlignment="1">
      <alignment horizontal="center" vertical="center" wrapText="1"/>
      <protection/>
    </xf>
    <xf numFmtId="0" fontId="4" fillId="35" borderId="0" xfId="61" applyFont="1" applyFill="1" applyBorder="1" applyAlignment="1">
      <alignment vertical="center"/>
      <protection/>
    </xf>
    <xf numFmtId="2" fontId="12" fillId="34" borderId="10" xfId="58" applyNumberFormat="1" applyFont="1" applyFill="1" applyBorder="1" applyAlignment="1">
      <alignment horizontal="center" vertical="center" wrapText="1"/>
      <protection/>
    </xf>
    <xf numFmtId="2" fontId="12" fillId="34" borderId="10" xfId="58" applyNumberFormat="1" applyFont="1" applyFill="1" applyBorder="1" applyAlignment="1">
      <alignment horizontal="center" vertical="center"/>
      <protection/>
    </xf>
    <xf numFmtId="0" fontId="1" fillId="34" borderId="0" xfId="58" applyFont="1" applyFill="1" applyBorder="1">
      <alignment/>
      <protection/>
    </xf>
    <xf numFmtId="0" fontId="1" fillId="0" borderId="0" xfId="58" applyFont="1" applyFill="1" applyAlignment="1">
      <alignment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88" fontId="1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89" fillId="34" borderId="10" xfId="61" applyFont="1" applyFill="1" applyBorder="1" applyAlignment="1">
      <alignment horizontal="center" vertical="center" wrapText="1"/>
      <protection/>
    </xf>
    <xf numFmtId="2" fontId="2" fillId="34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5" fillId="0" borderId="10" xfId="74" applyFont="1" applyFill="1" applyBorder="1" applyAlignment="1">
      <alignment horizontal="center" vertical="center"/>
      <protection/>
    </xf>
    <xf numFmtId="0" fontId="86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 quotePrefix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189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/>
    </xf>
    <xf numFmtId="0" fontId="85" fillId="34" borderId="10" xfId="58" applyFont="1" applyFill="1" applyBorder="1" applyAlignment="1">
      <alignment horizontal="center" vertical="top" wrapText="1"/>
      <protection/>
    </xf>
    <xf numFmtId="2" fontId="2" fillId="34" borderId="13" xfId="58" applyNumberFormat="1" applyFont="1" applyFill="1" applyBorder="1" applyAlignment="1">
      <alignment horizontal="center" vertical="top" wrapText="1"/>
      <protection/>
    </xf>
    <xf numFmtId="2" fontId="1" fillId="0" borderId="13" xfId="58" applyNumberFormat="1" applyFont="1" applyFill="1" applyBorder="1" applyAlignment="1">
      <alignment horizontal="center" vertical="top" wrapText="1"/>
      <protection/>
    </xf>
    <xf numFmtId="49" fontId="1" fillId="34" borderId="10" xfId="58" applyNumberFormat="1" applyFont="1" applyFill="1" applyBorder="1" applyAlignment="1">
      <alignment horizontal="center" vertical="center" wrapText="1"/>
      <protection/>
    </xf>
    <xf numFmtId="0" fontId="8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 applyFill="1" applyBorder="1">
      <alignment/>
      <protection/>
    </xf>
    <xf numFmtId="0" fontId="86" fillId="0" borderId="10" xfId="58" applyFont="1" applyFill="1" applyBorder="1" applyAlignment="1">
      <alignment horizontal="center" vertical="center" wrapText="1"/>
      <protection/>
    </xf>
    <xf numFmtId="190" fontId="1" fillId="0" borderId="1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center"/>
      <protection/>
    </xf>
    <xf numFmtId="188" fontId="2" fillId="34" borderId="10" xfId="0" applyNumberFormat="1" applyFont="1" applyFill="1" applyBorder="1" applyAlignment="1">
      <alignment horizontal="center" vertical="center" wrapText="1"/>
    </xf>
    <xf numFmtId="190" fontId="2" fillId="34" borderId="10" xfId="0" applyNumberFormat="1" applyFont="1" applyFill="1" applyBorder="1" applyAlignment="1">
      <alignment horizontal="center" vertical="center" wrapText="1"/>
    </xf>
    <xf numFmtId="0" fontId="2" fillId="34" borderId="10" xfId="74" applyFont="1" applyFill="1" applyBorder="1" applyAlignment="1">
      <alignment horizontal="center" vertical="center"/>
      <protection/>
    </xf>
    <xf numFmtId="188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0" xfId="58" applyFont="1" applyFill="1" applyAlignment="1">
      <alignment vertical="center"/>
      <protection/>
    </xf>
    <xf numFmtId="0" fontId="10" fillId="0" borderId="0" xfId="65" applyFont="1">
      <alignment/>
      <protection/>
    </xf>
    <xf numFmtId="0" fontId="4" fillId="36" borderId="0" xfId="58" applyFont="1" applyFill="1" applyBorder="1" applyAlignment="1">
      <alignment vertical="center"/>
      <protection/>
    </xf>
    <xf numFmtId="0" fontId="4" fillId="36" borderId="0" xfId="65" applyFont="1" applyFill="1" applyBorder="1">
      <alignment/>
      <protection/>
    </xf>
    <xf numFmtId="171" fontId="4" fillId="0" borderId="0" xfId="45" applyFont="1" applyFill="1" applyBorder="1" applyAlignment="1">
      <alignment vertical="center"/>
    </xf>
    <xf numFmtId="171" fontId="4" fillId="0" borderId="0" xfId="45" applyFont="1" applyBorder="1" applyAlignment="1">
      <alignment/>
    </xf>
    <xf numFmtId="0" fontId="5" fillId="0" borderId="0" xfId="58" applyFont="1" applyFill="1" applyAlignment="1">
      <alignment vertical="center"/>
      <protection/>
    </xf>
    <xf numFmtId="0" fontId="8" fillId="0" borderId="0" xfId="65" applyFont="1" applyBorder="1">
      <alignment/>
      <protection/>
    </xf>
    <xf numFmtId="0" fontId="1" fillId="0" borderId="0" xfId="65" applyFont="1" applyBorder="1">
      <alignment/>
      <protection/>
    </xf>
    <xf numFmtId="0" fontId="5" fillId="0" borderId="0" xfId="74" applyFont="1" applyFill="1" applyBorder="1" applyAlignment="1">
      <alignment vertical="center" wrapText="1" shrinkToFit="1"/>
      <protection/>
    </xf>
    <xf numFmtId="189" fontId="2" fillId="34" borderId="10" xfId="0" applyNumberFormat="1" applyFont="1" applyFill="1" applyBorder="1" applyAlignment="1">
      <alignment horizontal="center" vertical="center" wrapText="1"/>
    </xf>
    <xf numFmtId="0" fontId="1" fillId="0" borderId="0" xfId="74" applyFont="1" applyFill="1" applyBorder="1" applyAlignment="1">
      <alignment vertical="center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12" fillId="37" borderId="1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vertical="center"/>
    </xf>
    <xf numFmtId="14" fontId="3" fillId="37" borderId="10" xfId="0" applyNumberFormat="1" applyFont="1" applyFill="1" applyBorder="1" applyAlignment="1">
      <alignment horizontal="center" vertical="center" wrapText="1"/>
    </xf>
    <xf numFmtId="0" fontId="12" fillId="37" borderId="10" xfId="74" applyFont="1" applyFill="1" applyBorder="1" applyAlignment="1">
      <alignment horizontal="center" vertical="center"/>
      <protection/>
    </xf>
    <xf numFmtId="0" fontId="3" fillId="37" borderId="10" xfId="0" applyFont="1" applyFill="1" applyBorder="1" applyAlignment="1">
      <alignment horizontal="left" vertical="center" wrapText="1"/>
    </xf>
    <xf numFmtId="179" fontId="1" fillId="33" borderId="0" xfId="0" applyNumberFormat="1" applyFont="1" applyFill="1" applyBorder="1" applyAlignment="1">
      <alignment vertical="center"/>
    </xf>
    <xf numFmtId="171" fontId="1" fillId="0" borderId="10" xfId="44" applyFont="1" applyFill="1" applyBorder="1" applyAlignment="1">
      <alignment horizontal="center" vertical="center" wrapText="1"/>
    </xf>
    <xf numFmtId="0" fontId="1" fillId="33" borderId="0" xfId="58" applyFont="1" applyFill="1" applyAlignment="1">
      <alignment vertical="center"/>
      <protection/>
    </xf>
    <xf numFmtId="0" fontId="1" fillId="33" borderId="0" xfId="58" applyFont="1" applyFill="1" applyBorder="1" applyAlignment="1">
      <alignment vertical="center"/>
      <protection/>
    </xf>
    <xf numFmtId="49" fontId="7" fillId="34" borderId="10" xfId="61" applyNumberFormat="1" applyFont="1" applyFill="1" applyBorder="1" applyAlignment="1">
      <alignment horizontal="center" vertical="center" wrapText="1"/>
      <protection/>
    </xf>
    <xf numFmtId="49" fontId="2" fillId="34" borderId="10" xfId="58" applyNumberFormat="1" applyFont="1" applyFill="1" applyBorder="1" applyAlignment="1">
      <alignment horizontal="center" vertical="center" wrapText="1"/>
      <protection/>
    </xf>
    <xf numFmtId="49" fontId="3" fillId="34" borderId="10" xfId="58" applyNumberFormat="1" applyFont="1" applyFill="1" applyBorder="1" applyAlignment="1">
      <alignment horizontal="center" vertical="center" wrapText="1"/>
      <protection/>
    </xf>
    <xf numFmtId="49" fontId="7" fillId="34" borderId="10" xfId="58" applyNumberFormat="1" applyFont="1" applyFill="1" applyBorder="1" applyAlignment="1">
      <alignment horizontal="center" vertical="center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58" applyFont="1" applyFill="1" applyAlignment="1">
      <alignment vertical="center"/>
      <protection/>
    </xf>
    <xf numFmtId="171" fontId="2" fillId="0" borderId="10" xfId="44" applyFont="1" applyFill="1" applyBorder="1" applyAlignment="1">
      <alignment horizontal="center" vertical="center" wrapText="1"/>
    </xf>
    <xf numFmtId="171" fontId="2" fillId="0" borderId="10" xfId="44" applyNumberFormat="1" applyFont="1" applyFill="1" applyBorder="1" applyAlignment="1">
      <alignment horizontal="center" vertical="center"/>
    </xf>
    <xf numFmtId="189" fontId="1" fillId="0" borderId="10" xfId="58" applyNumberFormat="1" applyFont="1" applyFill="1" applyBorder="1" applyAlignment="1">
      <alignment horizontal="center" vertical="center" wrapText="1"/>
      <protection/>
    </xf>
    <xf numFmtId="189" fontId="2" fillId="34" borderId="10" xfId="58" applyNumberFormat="1" applyFont="1" applyFill="1" applyBorder="1" applyAlignment="1">
      <alignment horizontal="center" vertical="center" wrapText="1"/>
      <protection/>
    </xf>
    <xf numFmtId="2" fontId="86" fillId="0" borderId="13" xfId="58" applyNumberFormat="1" applyFont="1" applyFill="1" applyBorder="1" applyAlignment="1">
      <alignment horizontal="center" vertical="center" wrapText="1"/>
      <protection/>
    </xf>
    <xf numFmtId="2" fontId="86" fillId="0" borderId="10" xfId="58" applyNumberFormat="1" applyFont="1" applyFill="1" applyBorder="1" applyAlignment="1">
      <alignment horizontal="center" vertical="center" wrapText="1"/>
      <protection/>
    </xf>
    <xf numFmtId="0" fontId="86" fillId="0" borderId="10" xfId="58" applyNumberFormat="1" applyFont="1" applyFill="1" applyBorder="1" applyAlignment="1">
      <alignment horizontal="center" vertical="center" wrapText="1"/>
      <protection/>
    </xf>
    <xf numFmtId="0" fontId="86" fillId="0" borderId="10" xfId="58" applyFont="1" applyFill="1" applyBorder="1" applyAlignment="1">
      <alignment horizontal="center" vertical="center"/>
      <protection/>
    </xf>
    <xf numFmtId="190" fontId="86" fillId="0" borderId="10" xfId="58" applyNumberFormat="1" applyFont="1" applyFill="1" applyBorder="1" applyAlignment="1">
      <alignment horizontal="center" vertical="center" wrapText="1"/>
      <protection/>
    </xf>
    <xf numFmtId="0" fontId="86" fillId="0" borderId="10" xfId="58" applyFont="1" applyFill="1" applyBorder="1" applyAlignment="1" quotePrefix="1">
      <alignment horizontal="center" vertical="center" wrapText="1"/>
      <protection/>
    </xf>
    <xf numFmtId="0" fontId="86" fillId="0" borderId="10" xfId="58" applyFont="1" applyFill="1" applyBorder="1" applyAlignment="1">
      <alignment horizontal="left" vertical="center" wrapText="1"/>
      <protection/>
    </xf>
    <xf numFmtId="189" fontId="86" fillId="0" borderId="10" xfId="58" applyNumberFormat="1" applyFont="1" applyFill="1" applyBorder="1" applyAlignment="1">
      <alignment horizontal="center" vertical="center" wrapText="1"/>
      <protection/>
    </xf>
    <xf numFmtId="0" fontId="4" fillId="35" borderId="0" xfId="58" applyFont="1" applyFill="1" applyBorder="1" applyAlignment="1">
      <alignment vertical="center"/>
      <protection/>
    </xf>
    <xf numFmtId="188" fontId="1" fillId="35" borderId="10" xfId="58" applyNumberFormat="1" applyFont="1" applyFill="1" applyBorder="1" applyAlignment="1">
      <alignment horizontal="center" vertical="center" wrapText="1"/>
      <protection/>
    </xf>
    <xf numFmtId="2" fontId="1" fillId="35" borderId="10" xfId="58" applyNumberFormat="1" applyFont="1" applyFill="1" applyBorder="1" applyAlignment="1">
      <alignment horizontal="center" vertical="center" wrapText="1"/>
      <protection/>
    </xf>
    <xf numFmtId="0" fontId="1" fillId="35" borderId="10" xfId="58" applyNumberFormat="1" applyFont="1" applyFill="1" applyBorder="1" applyAlignment="1">
      <alignment horizontal="center" vertical="center" wrapText="1"/>
      <protection/>
    </xf>
    <xf numFmtId="0" fontId="1" fillId="35" borderId="10" xfId="58" applyFont="1" applyFill="1" applyBorder="1" applyAlignment="1">
      <alignment horizontal="center" vertical="center" wrapText="1"/>
      <protection/>
    </xf>
    <xf numFmtId="0" fontId="12" fillId="35" borderId="10" xfId="58" applyFont="1" applyFill="1" applyBorder="1" applyAlignment="1" quotePrefix="1">
      <alignment horizontal="center" vertical="center" wrapText="1"/>
      <protection/>
    </xf>
    <xf numFmtId="0" fontId="1" fillId="35" borderId="10" xfId="58" applyFont="1" applyFill="1" applyBorder="1" applyAlignment="1">
      <alignment vertical="center" wrapText="1"/>
      <protection/>
    </xf>
    <xf numFmtId="0" fontId="1" fillId="35" borderId="10" xfId="58" applyFont="1" applyFill="1" applyBorder="1" applyAlignment="1">
      <alignment horizontal="left" vertical="center"/>
      <protection/>
    </xf>
    <xf numFmtId="2" fontId="1" fillId="35" borderId="10" xfId="58" applyNumberFormat="1" applyFont="1" applyFill="1" applyBorder="1" applyAlignment="1">
      <alignment horizontal="center" vertical="center"/>
      <protection/>
    </xf>
    <xf numFmtId="188" fontId="1" fillId="35" borderId="10" xfId="58" applyNumberFormat="1" applyFont="1" applyFill="1" applyBorder="1" applyAlignment="1">
      <alignment horizontal="center" vertical="center"/>
      <protection/>
    </xf>
    <xf numFmtId="0" fontId="12" fillId="35" borderId="10" xfId="58" applyFont="1" applyFill="1" applyBorder="1" applyAlignment="1">
      <alignment horizontal="center" vertical="center" wrapText="1"/>
      <protection/>
    </xf>
    <xf numFmtId="0" fontId="2" fillId="35" borderId="10" xfId="58" applyFont="1" applyFill="1" applyBorder="1" applyAlignment="1">
      <alignment horizontal="center" vertical="center" wrapText="1"/>
      <protection/>
    </xf>
    <xf numFmtId="0" fontId="85" fillId="34" borderId="10" xfId="6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85" fillId="34" borderId="10" xfId="58" applyFont="1" applyFill="1" applyBorder="1" applyAlignment="1">
      <alignment vertical="center" wrapText="1"/>
      <protection/>
    </xf>
    <xf numFmtId="0" fontId="0" fillId="0" borderId="0" xfId="58" applyFill="1">
      <alignment/>
      <protection/>
    </xf>
    <xf numFmtId="2" fontId="0" fillId="0" borderId="0" xfId="58" applyNumberFormat="1" applyFill="1">
      <alignment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left" vertical="center" wrapText="1"/>
      <protection/>
    </xf>
    <xf numFmtId="0" fontId="90" fillId="0" borderId="0" xfId="58" applyFont="1" applyFill="1" applyBorder="1" applyAlignment="1">
      <alignment vertical="center"/>
      <protection/>
    </xf>
    <xf numFmtId="49" fontId="91" fillId="0" borderId="10" xfId="58" applyNumberFormat="1" applyFont="1" applyFill="1" applyBorder="1" applyAlignment="1">
      <alignment horizontal="center" vertical="center" wrapText="1"/>
      <protection/>
    </xf>
    <xf numFmtId="0" fontId="86" fillId="0" borderId="10" xfId="58" applyFont="1" applyFill="1" applyBorder="1" applyAlignment="1">
      <alignment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2" fontId="1" fillId="34" borderId="10" xfId="58" applyNumberFormat="1" applyFont="1" applyFill="1" applyBorder="1" applyAlignment="1">
      <alignment horizontal="center" vertical="center"/>
      <protection/>
    </xf>
    <xf numFmtId="0" fontId="1" fillId="34" borderId="10" xfId="58" applyFont="1" applyFill="1" applyBorder="1" applyAlignment="1">
      <alignment horizontal="center" vertical="center"/>
      <protection/>
    </xf>
    <xf numFmtId="187" fontId="2" fillId="34" borderId="10" xfId="44" applyNumberFormat="1" applyFont="1" applyFill="1" applyBorder="1" applyAlignment="1">
      <alignment horizontal="center" vertical="center"/>
    </xf>
    <xf numFmtId="0" fontId="7" fillId="34" borderId="10" xfId="58" applyFont="1" applyFill="1" applyBorder="1" applyAlignment="1">
      <alignment horizontal="center" vertical="center" wrapText="1"/>
      <protection/>
    </xf>
    <xf numFmtId="49" fontId="91" fillId="34" borderId="10" xfId="58" applyNumberFormat="1" applyFont="1" applyFill="1" applyBorder="1" applyAlignment="1">
      <alignment horizontal="center" vertical="center" wrapText="1"/>
      <protection/>
    </xf>
    <xf numFmtId="0" fontId="0" fillId="33" borderId="0" xfId="58" applyFill="1">
      <alignment/>
      <protection/>
    </xf>
    <xf numFmtId="188" fontId="86" fillId="0" borderId="10" xfId="58" applyNumberFormat="1" applyFont="1" applyFill="1" applyBorder="1" applyAlignment="1">
      <alignment horizontal="center" vertical="center" wrapText="1"/>
      <protection/>
    </xf>
    <xf numFmtId="0" fontId="92" fillId="0" borderId="10" xfId="58" applyFont="1" applyFill="1" applyBorder="1" applyAlignment="1" quotePrefix="1">
      <alignment horizontal="center" vertical="center" wrapText="1"/>
      <protection/>
    </xf>
    <xf numFmtId="0" fontId="86" fillId="0" borderId="10" xfId="58" applyFont="1" applyFill="1" applyBorder="1" applyAlignment="1">
      <alignment horizontal="left" vertical="center"/>
      <protection/>
    </xf>
    <xf numFmtId="0" fontId="86" fillId="0" borderId="0" xfId="58" applyFont="1" applyFill="1" applyBorder="1">
      <alignment/>
      <protection/>
    </xf>
    <xf numFmtId="2" fontId="86" fillId="0" borderId="10" xfId="58" applyNumberFormat="1" applyFont="1" applyFill="1" applyBorder="1" applyAlignment="1">
      <alignment horizontal="center" vertical="center"/>
      <protection/>
    </xf>
    <xf numFmtId="188" fontId="86" fillId="0" borderId="10" xfId="58" applyNumberFormat="1" applyFont="1" applyFill="1" applyBorder="1" applyAlignment="1">
      <alignment horizontal="center" vertical="center"/>
      <protection/>
    </xf>
    <xf numFmtId="0" fontId="92" fillId="0" borderId="10" xfId="58" applyFont="1" applyFill="1" applyBorder="1" applyAlignment="1">
      <alignment horizontal="center" vertical="center" wrapText="1"/>
      <protection/>
    </xf>
    <xf numFmtId="0" fontId="85" fillId="0" borderId="10" xfId="58" applyFont="1" applyFill="1" applyBorder="1" applyAlignment="1">
      <alignment horizontal="center" vertical="center" wrapText="1"/>
      <protection/>
    </xf>
    <xf numFmtId="0" fontId="85" fillId="34" borderId="0" xfId="58" applyFont="1" applyFill="1" applyBorder="1">
      <alignment/>
      <protection/>
    </xf>
    <xf numFmtId="2" fontId="85" fillId="34" borderId="10" xfId="58" applyNumberFormat="1" applyFont="1" applyFill="1" applyBorder="1" applyAlignment="1">
      <alignment horizontal="center" vertical="center"/>
      <protection/>
    </xf>
    <xf numFmtId="0" fontId="85" fillId="34" borderId="10" xfId="58" applyFont="1" applyFill="1" applyBorder="1" applyAlignment="1">
      <alignment horizontal="center" vertical="center"/>
      <protection/>
    </xf>
    <xf numFmtId="208" fontId="85" fillId="34" borderId="10" xfId="58" applyNumberFormat="1" applyFont="1" applyFill="1" applyBorder="1" applyAlignment="1">
      <alignment horizontal="center" vertical="center"/>
      <protection/>
    </xf>
    <xf numFmtId="190" fontId="85" fillId="34" borderId="10" xfId="58" applyNumberFormat="1" applyFont="1" applyFill="1" applyBorder="1" applyAlignment="1">
      <alignment horizontal="center" vertical="center" wrapText="1"/>
      <protection/>
    </xf>
    <xf numFmtId="49" fontId="92" fillId="34" borderId="10" xfId="58" applyNumberFormat="1" applyFont="1" applyFill="1" applyBorder="1" applyAlignment="1">
      <alignment horizontal="center" vertical="center" wrapText="1"/>
      <protection/>
    </xf>
    <xf numFmtId="2" fontId="1" fillId="34" borderId="10" xfId="58" applyNumberFormat="1" applyFont="1" applyFill="1" applyBorder="1" applyAlignment="1">
      <alignment horizontal="center" vertical="center" wrapText="1"/>
      <protection/>
    </xf>
    <xf numFmtId="0" fontId="1" fillId="34" borderId="10" xfId="58" applyNumberFormat="1" applyFont="1" applyFill="1" applyBorder="1" applyAlignment="1">
      <alignment horizontal="center" vertical="center" wrapText="1"/>
      <protection/>
    </xf>
    <xf numFmtId="189" fontId="1" fillId="0" borderId="10" xfId="58" applyNumberFormat="1" applyFont="1" applyFill="1" applyBorder="1" applyAlignment="1">
      <alignment horizontal="center" vertical="center"/>
      <protection/>
    </xf>
    <xf numFmtId="192" fontId="2" fillId="34" borderId="10" xfId="44" applyNumberFormat="1" applyFont="1" applyFill="1" applyBorder="1" applyAlignment="1">
      <alignment horizontal="center" vertical="center"/>
    </xf>
    <xf numFmtId="0" fontId="2" fillId="0" borderId="10" xfId="58" applyFont="1" applyFill="1" applyBorder="1">
      <alignment/>
      <protection/>
    </xf>
    <xf numFmtId="198" fontId="2" fillId="34" borderId="10" xfId="44" applyNumberFormat="1" applyFont="1" applyFill="1" applyBorder="1" applyAlignment="1">
      <alignment horizontal="center" vertical="center"/>
    </xf>
    <xf numFmtId="171" fontId="1" fillId="0" borderId="10" xfId="58" applyNumberFormat="1" applyFont="1" applyFill="1" applyBorder="1" applyAlignment="1">
      <alignment horizontal="center" vertical="center" wrapText="1"/>
      <protection/>
    </xf>
    <xf numFmtId="0" fontId="2" fillId="34" borderId="10" xfId="58" applyFont="1" applyFill="1" applyBorder="1" applyAlignment="1">
      <alignment horizontal="center" vertical="top" wrapText="1"/>
      <protection/>
    </xf>
    <xf numFmtId="0" fontId="1" fillId="35" borderId="0" xfId="58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0" fontId="26" fillId="0" borderId="0" xfId="74" applyFont="1" applyFill="1" applyAlignment="1">
      <alignment vertical="center"/>
      <protection/>
    </xf>
    <xf numFmtId="2" fontId="1" fillId="0" borderId="10" xfId="74" applyNumberFormat="1" applyFont="1" applyFill="1" applyBorder="1" applyAlignment="1">
      <alignment horizontal="center" vertical="center"/>
      <protection/>
    </xf>
    <xf numFmtId="188" fontId="1" fillId="0" borderId="10" xfId="74" applyNumberFormat="1" applyFont="1" applyFill="1" applyBorder="1" applyAlignment="1">
      <alignment horizontal="center" vertical="center"/>
      <protection/>
    </xf>
    <xf numFmtId="0" fontId="1" fillId="0" borderId="10" xfId="74" applyFont="1" applyFill="1" applyBorder="1" applyAlignment="1">
      <alignment vertical="center" wrapText="1"/>
      <protection/>
    </xf>
    <xf numFmtId="0" fontId="26" fillId="0" borderId="10" xfId="74" applyFont="1" applyFill="1" applyBorder="1" applyAlignment="1">
      <alignment horizontal="center" vertical="center"/>
      <protection/>
    </xf>
    <xf numFmtId="0" fontId="1" fillId="0" borderId="0" xfId="58" applyFont="1" applyFill="1">
      <alignment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2" fillId="34" borderId="10" xfId="58" applyFont="1" applyFill="1" applyBorder="1">
      <alignment/>
      <protection/>
    </xf>
    <xf numFmtId="0" fontId="2" fillId="34" borderId="12" xfId="58" applyFont="1" applyFill="1" applyBorder="1">
      <alignment/>
      <protection/>
    </xf>
    <xf numFmtId="188" fontId="2" fillId="34" borderId="14" xfId="58" applyNumberFormat="1" applyFont="1" applyFill="1" applyBorder="1" applyAlignment="1">
      <alignment horizontal="center" vertical="center" wrapText="1"/>
      <protection/>
    </xf>
    <xf numFmtId="0" fontId="2" fillId="34" borderId="0" xfId="58" applyFont="1" applyFill="1" applyAlignment="1">
      <alignment vertical="center"/>
      <protection/>
    </xf>
    <xf numFmtId="0" fontId="2" fillId="34" borderId="10" xfId="58" applyNumberFormat="1" applyFont="1" applyFill="1" applyBorder="1" applyAlignment="1">
      <alignment horizontal="center" vertical="center" wrapText="1"/>
      <protection/>
    </xf>
    <xf numFmtId="14" fontId="1" fillId="34" borderId="10" xfId="58" applyNumberFormat="1" applyFont="1" applyFill="1" applyBorder="1" applyAlignment="1">
      <alignment horizontal="center" vertical="center" wrapText="1"/>
      <protection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34" borderId="10" xfId="58" applyFont="1" applyFill="1" applyBorder="1" applyAlignment="1">
      <alignment horizontal="left" vertical="center" wrapText="1"/>
      <protection/>
    </xf>
    <xf numFmtId="0" fontId="3" fillId="34" borderId="10" xfId="58" applyFont="1" applyFill="1" applyBorder="1" applyAlignment="1">
      <alignment horizontal="center" vertical="center" wrapText="1"/>
      <protection/>
    </xf>
    <xf numFmtId="1" fontId="2" fillId="34" borderId="10" xfId="58" applyNumberFormat="1" applyFont="1" applyFill="1" applyBorder="1" applyAlignment="1">
      <alignment horizontal="center" vertical="center"/>
      <protection/>
    </xf>
    <xf numFmtId="0" fontId="2" fillId="34" borderId="0" xfId="58" applyFont="1" applyFill="1" applyBorder="1" applyAlignment="1">
      <alignment vertical="center"/>
      <protection/>
    </xf>
    <xf numFmtId="0" fontId="0" fillId="0" borderId="0" xfId="58" applyFont="1" applyFill="1">
      <alignment/>
      <protection/>
    </xf>
    <xf numFmtId="0" fontId="12" fillId="0" borderId="10" xfId="58" applyFont="1" applyFill="1" applyBorder="1" applyAlignment="1">
      <alignment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29" fillId="0" borderId="10" xfId="74" applyFont="1" applyFill="1" applyBorder="1" applyAlignment="1">
      <alignment horizontal="center" vertical="center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88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58" applyNumberFormat="1" applyFont="1" applyFill="1" applyAlignment="1">
      <alignment horizontal="center" vertical="center"/>
      <protection/>
    </xf>
    <xf numFmtId="0" fontId="0" fillId="0" borderId="0" xfId="58" applyFont="1" applyFill="1" applyAlignment="1">
      <alignment horizontal="left"/>
      <protection/>
    </xf>
    <xf numFmtId="0" fontId="0" fillId="33" borderId="0" xfId="0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49" fontId="9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49" fontId="2" fillId="34" borderId="10" xfId="61" applyNumberFormat="1" applyFont="1" applyFill="1" applyBorder="1" applyAlignment="1">
      <alignment horizontal="center" vertical="center" wrapText="1"/>
      <protection/>
    </xf>
    <xf numFmtId="0" fontId="2" fillId="35" borderId="10" xfId="61" applyFont="1" applyFill="1" applyBorder="1" applyAlignment="1">
      <alignment horizontal="center" vertical="center" wrapText="1"/>
      <protection/>
    </xf>
    <xf numFmtId="49" fontId="3" fillId="35" borderId="10" xfId="61" applyNumberFormat="1" applyFont="1" applyFill="1" applyBorder="1" applyAlignment="1">
      <alignment horizontal="center" vertical="center" wrapText="1"/>
      <protection/>
    </xf>
    <xf numFmtId="0" fontId="2" fillId="35" borderId="10" xfId="6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35" borderId="10" xfId="58" applyFont="1" applyFill="1" applyBorder="1" applyAlignment="1">
      <alignment horizontal="center" vertical="center"/>
      <protection/>
    </xf>
    <xf numFmtId="0" fontId="1" fillId="35" borderId="10" xfId="58" applyFont="1" applyFill="1" applyBorder="1" applyAlignment="1">
      <alignment vertical="center"/>
      <protection/>
    </xf>
    <xf numFmtId="2" fontId="0" fillId="35" borderId="0" xfId="58" applyNumberFormat="1" applyFont="1" applyFill="1" applyAlignment="1">
      <alignment horizontal="center" vertical="center"/>
      <protection/>
    </xf>
    <xf numFmtId="0" fontId="0" fillId="35" borderId="0" xfId="58" applyFont="1" applyFill="1">
      <alignment/>
      <protection/>
    </xf>
    <xf numFmtId="0" fontId="0" fillId="35" borderId="0" xfId="58" applyFont="1" applyFill="1" applyAlignment="1">
      <alignment horizontal="left"/>
      <protection/>
    </xf>
    <xf numFmtId="0" fontId="1" fillId="0" borderId="0" xfId="0" applyFont="1" applyFill="1" applyAlignment="1">
      <alignment/>
    </xf>
    <xf numFmtId="2" fontId="86" fillId="0" borderId="13" xfId="0" applyNumberFormat="1" applyFont="1" applyFill="1" applyBorder="1" applyAlignment="1">
      <alignment horizontal="center" vertical="center" wrapText="1"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190" fontId="1" fillId="35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2" fillId="0" borderId="10" xfId="42" applyNumberFormat="1" applyFont="1" applyFill="1" applyBorder="1" applyAlignment="1">
      <alignment horizontal="center" vertical="center"/>
    </xf>
    <xf numFmtId="171" fontId="2" fillId="38" borderId="10" xfId="42" applyNumberFormat="1" applyFont="1" applyFill="1" applyBorder="1" applyAlignment="1">
      <alignment horizontal="center" vertical="center"/>
    </xf>
    <xf numFmtId="171" fontId="1" fillId="0" borderId="14" xfId="42" applyFont="1" applyFill="1" applyBorder="1" applyAlignment="1">
      <alignment horizontal="center" vertical="center" wrapText="1"/>
    </xf>
    <xf numFmtId="171" fontId="2" fillId="0" borderId="23" xfId="42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/>
    </xf>
    <xf numFmtId="0" fontId="2" fillId="38" borderId="10" xfId="61" applyFont="1" applyFill="1" applyBorder="1" applyAlignment="1">
      <alignment horizontal="center" vertical="center" wrapText="1"/>
      <protection/>
    </xf>
    <xf numFmtId="2" fontId="2" fillId="38" borderId="10" xfId="61" applyNumberFormat="1" applyFont="1" applyFill="1" applyBorder="1" applyAlignment="1">
      <alignment horizontal="center" vertical="center" wrapText="1"/>
      <protection/>
    </xf>
    <xf numFmtId="0" fontId="4" fillId="38" borderId="10" xfId="58" applyFont="1" applyFill="1" applyBorder="1" applyAlignment="1">
      <alignment horizontal="center" vertical="center"/>
      <protection/>
    </xf>
    <xf numFmtId="1" fontId="4" fillId="38" borderId="10" xfId="58" applyNumberFormat="1" applyFont="1" applyFill="1" applyBorder="1" applyAlignment="1">
      <alignment horizontal="center" vertical="center"/>
      <protection/>
    </xf>
    <xf numFmtId="171" fontId="2" fillId="38" borderId="10" xfId="44" applyNumberFormat="1" applyFont="1" applyFill="1" applyBorder="1" applyAlignment="1">
      <alignment horizontal="center" vertical="center"/>
    </xf>
    <xf numFmtId="0" fontId="1" fillId="0" borderId="10" xfId="74" applyFont="1" applyFill="1" applyBorder="1" applyAlignment="1">
      <alignment horizontal="right" vertical="center"/>
      <protection/>
    </xf>
    <xf numFmtId="2" fontId="1" fillId="0" borderId="10" xfId="58" applyNumberFormat="1" applyFont="1" applyFill="1" applyBorder="1" applyAlignment="1">
      <alignment horizontal="right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1" fontId="3" fillId="0" borderId="11" xfId="58" applyNumberFormat="1" applyFont="1" applyFill="1" applyBorder="1" applyAlignment="1">
      <alignment horizontal="center" vertical="center"/>
      <protection/>
    </xf>
    <xf numFmtId="0" fontId="3" fillId="0" borderId="18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/>
      <protection/>
    </xf>
    <xf numFmtId="2" fontId="3" fillId="0" borderId="21" xfId="58" applyNumberFormat="1" applyFont="1" applyFill="1" applyBorder="1" applyAlignment="1">
      <alignment horizontal="center" vertical="center"/>
      <protection/>
    </xf>
    <xf numFmtId="0" fontId="3" fillId="0" borderId="22" xfId="58" applyFont="1" applyFill="1" applyBorder="1" applyAlignment="1">
      <alignment horizontal="center" vertical="center"/>
      <protection/>
    </xf>
    <xf numFmtId="0" fontId="1" fillId="35" borderId="0" xfId="58" applyFont="1" applyFill="1" applyAlignment="1">
      <alignment vertical="center"/>
      <protection/>
    </xf>
    <xf numFmtId="0" fontId="3" fillId="35" borderId="0" xfId="58" applyFont="1" applyFill="1" applyAlignment="1">
      <alignment vertical="center"/>
      <protection/>
    </xf>
    <xf numFmtId="0" fontId="1" fillId="38" borderId="10" xfId="0" applyFont="1" applyFill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center" vertical="center"/>
    </xf>
    <xf numFmtId="0" fontId="1" fillId="35" borderId="0" xfId="58" applyFont="1" applyFill="1" applyBorder="1" applyAlignment="1">
      <alignment vertical="center"/>
      <protection/>
    </xf>
    <xf numFmtId="0" fontId="3" fillId="0" borderId="19" xfId="58" applyFont="1" applyFill="1" applyBorder="1" applyAlignment="1">
      <alignment horizontal="center" vertical="center"/>
      <protection/>
    </xf>
    <xf numFmtId="1" fontId="3" fillId="0" borderId="21" xfId="58" applyNumberFormat="1" applyFont="1" applyFill="1" applyBorder="1" applyAlignment="1">
      <alignment horizontal="center" vertical="center"/>
      <protection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5" fillId="38" borderId="10" xfId="58" applyFont="1" applyFill="1" applyBorder="1" applyAlignment="1">
      <alignment horizontal="center" vertical="center" wrapText="1"/>
      <protection/>
    </xf>
    <xf numFmtId="1" fontId="25" fillId="38" borderId="10" xfId="58" applyNumberFormat="1" applyFont="1" applyFill="1" applyBorder="1" applyAlignment="1">
      <alignment horizontal="center" vertical="center" wrapText="1"/>
      <protection/>
    </xf>
    <xf numFmtId="2" fontId="11" fillId="38" borderId="10" xfId="58" applyNumberFormat="1" applyFont="1" applyFill="1" applyBorder="1" applyAlignment="1">
      <alignment horizontal="center" vertical="center" wrapText="1"/>
      <protection/>
    </xf>
    <xf numFmtId="2" fontId="2" fillId="0" borderId="10" xfId="58" applyNumberFormat="1" applyFont="1" applyFill="1" applyBorder="1" applyAlignment="1">
      <alignment horizontal="right" vertical="center" wrapText="1"/>
      <protection/>
    </xf>
    <xf numFmtId="2" fontId="2" fillId="38" borderId="10" xfId="58" applyNumberFormat="1" applyFont="1" applyFill="1" applyBorder="1" applyAlignment="1">
      <alignment horizontal="right" vertical="center" wrapText="1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171" fontId="1" fillId="0" borderId="10" xfId="42" applyFont="1" applyFill="1" applyBorder="1" applyAlignment="1">
      <alignment horizontal="right" vertical="center" wrapText="1"/>
    </xf>
    <xf numFmtId="171" fontId="2" fillId="0" borderId="10" xfId="42" applyFont="1" applyFill="1" applyBorder="1" applyAlignment="1">
      <alignment horizontal="right" vertical="center" wrapText="1"/>
    </xf>
    <xf numFmtId="171" fontId="2" fillId="35" borderId="10" xfId="42" applyNumberFormat="1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 wrapText="1"/>
    </xf>
    <xf numFmtId="1" fontId="25" fillId="38" borderId="10" xfId="0" applyNumberFormat="1" applyFont="1" applyFill="1" applyBorder="1" applyAlignment="1">
      <alignment horizontal="center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/>
    </xf>
    <xf numFmtId="0" fontId="8" fillId="0" borderId="24" xfId="65" applyFont="1" applyBorder="1" applyAlignment="1">
      <alignment horizontal="center"/>
      <protection/>
    </xf>
    <xf numFmtId="0" fontId="8" fillId="39" borderId="24" xfId="65" applyFont="1" applyFill="1" applyBorder="1" applyAlignment="1">
      <alignment horizontal="center"/>
      <protection/>
    </xf>
    <xf numFmtId="0" fontId="5" fillId="0" borderId="11" xfId="65" applyFont="1" applyBorder="1" applyAlignment="1">
      <alignment horizontal="center" vertical="center"/>
      <protection/>
    </xf>
    <xf numFmtId="171" fontId="24" fillId="0" borderId="11" xfId="45" applyFont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/>
      <protection/>
    </xf>
    <xf numFmtId="171" fontId="24" fillId="0" borderId="10" xfId="45" applyFont="1" applyBorder="1" applyAlignment="1">
      <alignment horizontal="center" vertical="center" wrapText="1"/>
    </xf>
    <xf numFmtId="0" fontId="6" fillId="0" borderId="25" xfId="65" applyFont="1" applyBorder="1" applyAlignment="1">
      <alignment horizontal="center" vertical="center" wrapText="1"/>
      <protection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right"/>
    </xf>
    <xf numFmtId="2" fontId="5" fillId="0" borderId="27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vertical="center" wrapText="1"/>
    </xf>
    <xf numFmtId="0" fontId="15" fillId="35" borderId="0" xfId="61" applyFont="1" applyFill="1" applyBorder="1" applyAlignment="1">
      <alignment horizontal="center" vertical="top"/>
      <protection/>
    </xf>
    <xf numFmtId="49" fontId="30" fillId="35" borderId="0" xfId="61" applyNumberFormat="1" applyFont="1" applyFill="1" applyBorder="1" applyAlignment="1">
      <alignment horizontal="center" vertical="top" wrapText="1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35" borderId="0" xfId="6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33" fillId="0" borderId="28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/>
    </xf>
    <xf numFmtId="0" fontId="8" fillId="39" borderId="29" xfId="65" applyFont="1" applyFill="1" applyBorder="1" applyAlignment="1">
      <alignment horizontal="center"/>
      <protection/>
    </xf>
    <xf numFmtId="9" fontId="95" fillId="0" borderId="11" xfId="0" applyNumberFormat="1" applyFont="1" applyFill="1" applyBorder="1" applyAlignment="1">
      <alignment horizontal="right" vertical="center"/>
    </xf>
    <xf numFmtId="4" fontId="31" fillId="0" borderId="11" xfId="0" applyNumberFormat="1" applyFont="1" applyFill="1" applyBorder="1" applyAlignment="1">
      <alignment horizontal="right" vertical="center"/>
    </xf>
    <xf numFmtId="9" fontId="31" fillId="0" borderId="14" xfId="0" applyNumberFormat="1" applyFont="1" applyFill="1" applyBorder="1" applyAlignment="1">
      <alignment horizontal="right" vertical="center"/>
    </xf>
    <xf numFmtId="4" fontId="31" fillId="0" borderId="14" xfId="0" applyNumberFormat="1" applyFont="1" applyFill="1" applyBorder="1" applyAlignment="1">
      <alignment horizontal="right" vertical="center"/>
    </xf>
    <xf numFmtId="0" fontId="4" fillId="36" borderId="30" xfId="65" applyFont="1" applyFill="1" applyBorder="1" applyAlignment="1">
      <alignment horizontal="right"/>
      <protection/>
    </xf>
    <xf numFmtId="0" fontId="4" fillId="36" borderId="27" xfId="65" applyFont="1" applyFill="1" applyBorder="1" applyAlignment="1">
      <alignment horizontal="right"/>
      <protection/>
    </xf>
    <xf numFmtId="2" fontId="7" fillId="0" borderId="31" xfId="0" applyNumberFormat="1" applyFont="1" applyBorder="1" applyAlignment="1">
      <alignment horizontal="center" vertical="center" wrapText="1"/>
    </xf>
    <xf numFmtId="0" fontId="64" fillId="0" borderId="32" xfId="0" applyFont="1" applyBorder="1" applyAlignment="1">
      <alignment horizontal="left"/>
    </xf>
    <xf numFmtId="0" fontId="64" fillId="0" borderId="33" xfId="0" applyFont="1" applyBorder="1" applyAlignment="1">
      <alignment horizontal="left"/>
    </xf>
    <xf numFmtId="0" fontId="64" fillId="0" borderId="34" xfId="0" applyFont="1" applyBorder="1" applyAlignment="1">
      <alignment horizontal="left"/>
    </xf>
    <xf numFmtId="0" fontId="34" fillId="0" borderId="35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8" fillId="39" borderId="41" xfId="65" applyFont="1" applyFill="1" applyBorder="1" applyAlignment="1">
      <alignment horizontal="center"/>
      <protection/>
    </xf>
    <xf numFmtId="0" fontId="8" fillId="39" borderId="42" xfId="65" applyFont="1" applyFill="1" applyBorder="1" applyAlignment="1">
      <alignment horizontal="center"/>
      <protection/>
    </xf>
    <xf numFmtId="0" fontId="2" fillId="0" borderId="29" xfId="65" applyFont="1" applyBorder="1" applyAlignment="1">
      <alignment horizontal="center" vertical="center" wrapText="1"/>
      <protection/>
    </xf>
    <xf numFmtId="0" fontId="2" fillId="0" borderId="43" xfId="65" applyFont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right" vertical="center" wrapText="1"/>
    </xf>
    <xf numFmtId="0" fontId="31" fillId="0" borderId="44" xfId="0" applyFont="1" applyFill="1" applyBorder="1" applyAlignment="1">
      <alignment horizontal="right" vertical="center" wrapText="1"/>
    </xf>
    <xf numFmtId="0" fontId="31" fillId="0" borderId="45" xfId="0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right" vertical="center" wrapText="1"/>
    </xf>
    <xf numFmtId="4" fontId="31" fillId="0" borderId="13" xfId="0" applyNumberFormat="1" applyFont="1" applyFill="1" applyBorder="1" applyAlignment="1">
      <alignment horizontal="right" vertical="center"/>
    </xf>
    <xf numFmtId="4" fontId="31" fillId="0" borderId="12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right" vertical="center" wrapText="1"/>
    </xf>
    <xf numFmtId="0" fontId="31" fillId="0" borderId="44" xfId="0" applyFont="1" applyFill="1" applyBorder="1" applyAlignment="1">
      <alignment horizontal="right" vertical="center" wrapText="1"/>
    </xf>
    <xf numFmtId="4" fontId="31" fillId="0" borderId="41" xfId="0" applyNumberFormat="1" applyFont="1" applyFill="1" applyBorder="1" applyAlignment="1">
      <alignment horizontal="right" vertical="center"/>
    </xf>
    <xf numFmtId="4" fontId="31" fillId="0" borderId="42" xfId="0" applyNumberFormat="1" applyFont="1" applyFill="1" applyBorder="1" applyAlignment="1">
      <alignment horizontal="right" vertical="center"/>
    </xf>
    <xf numFmtId="171" fontId="4" fillId="0" borderId="13" xfId="45" applyFont="1" applyBorder="1" applyAlignment="1">
      <alignment horizontal="center" vertical="center"/>
    </xf>
    <xf numFmtId="171" fontId="4" fillId="0" borderId="44" xfId="45" applyFont="1" applyBorder="1" applyAlignment="1">
      <alignment horizontal="center" vertical="center"/>
    </xf>
    <xf numFmtId="171" fontId="4" fillId="0" borderId="12" xfId="45" applyFont="1" applyBorder="1" applyAlignment="1">
      <alignment horizontal="center" vertical="center"/>
    </xf>
    <xf numFmtId="171" fontId="4" fillId="0" borderId="15" xfId="45" applyFont="1" applyBorder="1" applyAlignment="1">
      <alignment horizontal="center" vertical="center"/>
    </xf>
    <xf numFmtId="171" fontId="4" fillId="0" borderId="31" xfId="45" applyFont="1" applyBorder="1" applyAlignment="1">
      <alignment horizontal="center" vertical="center"/>
    </xf>
    <xf numFmtId="171" fontId="4" fillId="0" borderId="46" xfId="45" applyFont="1" applyBorder="1" applyAlignment="1">
      <alignment horizontal="center" vertical="center"/>
    </xf>
    <xf numFmtId="0" fontId="8" fillId="39" borderId="47" xfId="65" applyFont="1" applyFill="1" applyBorder="1" applyAlignment="1">
      <alignment horizontal="center"/>
      <protection/>
    </xf>
    <xf numFmtId="171" fontId="4" fillId="36" borderId="41" xfId="45" applyFont="1" applyFill="1" applyBorder="1" applyAlignment="1">
      <alignment horizontal="center"/>
    </xf>
    <xf numFmtId="171" fontId="4" fillId="36" borderId="47" xfId="45" applyFont="1" applyFill="1" applyBorder="1" applyAlignment="1">
      <alignment horizontal="center"/>
    </xf>
    <xf numFmtId="171" fontId="4" fillId="36" borderId="42" xfId="45" applyFont="1" applyFill="1" applyBorder="1" applyAlignment="1">
      <alignment horizontal="center"/>
    </xf>
    <xf numFmtId="171" fontId="4" fillId="0" borderId="30" xfId="45" applyFont="1" applyBorder="1" applyAlignment="1">
      <alignment horizontal="center" vertical="center"/>
    </xf>
    <xf numFmtId="171" fontId="4" fillId="0" borderId="27" xfId="45" applyFont="1" applyBorder="1" applyAlignment="1">
      <alignment horizontal="center" vertical="center"/>
    </xf>
    <xf numFmtId="171" fontId="4" fillId="0" borderId="45" xfId="45" applyFont="1" applyBorder="1" applyAlignment="1">
      <alignment horizontal="center" vertical="center"/>
    </xf>
    <xf numFmtId="0" fontId="2" fillId="0" borderId="0" xfId="65" applyFont="1" applyBorder="1" applyAlignment="1">
      <alignment horizontal="center"/>
      <protection/>
    </xf>
    <xf numFmtId="0" fontId="5" fillId="0" borderId="0" xfId="74" applyFont="1" applyFill="1" applyBorder="1" applyAlignment="1">
      <alignment horizontal="center" vertical="center" wrapText="1" shrinkToFit="1"/>
      <protection/>
    </xf>
    <xf numFmtId="0" fontId="9" fillId="0" borderId="0" xfId="65" applyFont="1" applyAlignment="1">
      <alignment horizontal="center"/>
      <protection/>
    </xf>
    <xf numFmtId="0" fontId="2" fillId="0" borderId="47" xfId="65" applyFont="1" applyBorder="1" applyAlignment="1">
      <alignment horizontal="center" vertical="center" wrapText="1"/>
      <protection/>
    </xf>
    <xf numFmtId="0" fontId="2" fillId="0" borderId="42" xfId="65" applyFont="1" applyBorder="1" applyAlignment="1">
      <alignment horizontal="center" vertical="center" wrapText="1"/>
      <protection/>
    </xf>
    <xf numFmtId="0" fontId="30" fillId="0" borderId="0" xfId="65" applyFont="1" applyAlignment="1">
      <alignment horizontal="center"/>
      <protection/>
    </xf>
    <xf numFmtId="0" fontId="1" fillId="0" borderId="13" xfId="0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0" fillId="35" borderId="0" xfId="0" applyFont="1" applyFill="1" applyAlignment="1">
      <alignment horizontal="center" vertical="center"/>
    </xf>
    <xf numFmtId="0" fontId="5" fillId="0" borderId="27" xfId="74" applyFont="1" applyFill="1" applyBorder="1" applyAlignment="1">
      <alignment horizontal="center" vertical="center" shrinkToFit="1"/>
      <protection/>
    </xf>
    <xf numFmtId="0" fontId="3" fillId="0" borderId="4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6" fillId="40" borderId="13" xfId="0" applyFont="1" applyFill="1" applyBorder="1" applyAlignment="1">
      <alignment horizontal="center" vertical="center" wrapText="1"/>
    </xf>
    <xf numFmtId="0" fontId="96" fillId="40" borderId="44" xfId="0" applyFont="1" applyFill="1" applyBorder="1" applyAlignment="1">
      <alignment horizontal="center" vertical="center" wrapText="1"/>
    </xf>
    <xf numFmtId="0" fontId="96" fillId="40" borderId="1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5" fillId="0" borderId="0" xfId="74" applyFont="1" applyFill="1" applyBorder="1" applyAlignment="1">
      <alignment horizontal="center" vertical="center" shrinkToFit="1"/>
      <protection/>
    </xf>
    <xf numFmtId="0" fontId="1" fillId="0" borderId="13" xfId="58" applyFont="1" applyFill="1" applyBorder="1" applyAlignment="1">
      <alignment horizontal="right" vertical="center" wrapText="1"/>
      <protection/>
    </xf>
    <xf numFmtId="0" fontId="1" fillId="0" borderId="44" xfId="58" applyFont="1" applyFill="1" applyBorder="1" applyAlignment="1">
      <alignment horizontal="right" vertical="center" wrapText="1"/>
      <protection/>
    </xf>
    <xf numFmtId="0" fontId="1" fillId="0" borderId="12" xfId="58" applyFont="1" applyFill="1" applyBorder="1" applyAlignment="1">
      <alignment horizontal="right" vertical="center" wrapText="1"/>
      <protection/>
    </xf>
    <xf numFmtId="0" fontId="2" fillId="0" borderId="13" xfId="58" applyFont="1" applyFill="1" applyBorder="1" applyAlignment="1">
      <alignment horizontal="right" vertical="center" wrapText="1"/>
      <protection/>
    </xf>
    <xf numFmtId="0" fontId="2" fillId="0" borderId="44" xfId="58" applyFont="1" applyFill="1" applyBorder="1" applyAlignment="1">
      <alignment horizontal="right" vertical="center" wrapText="1"/>
      <protection/>
    </xf>
    <xf numFmtId="0" fontId="2" fillId="0" borderId="12" xfId="58" applyFont="1" applyFill="1" applyBorder="1" applyAlignment="1">
      <alignment horizontal="right" vertical="center" wrapText="1"/>
      <protection/>
    </xf>
    <xf numFmtId="0" fontId="3" fillId="0" borderId="48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48" xfId="58" applyFont="1" applyFill="1" applyBorder="1" applyAlignment="1">
      <alignment horizontal="center" vertical="center"/>
      <protection/>
    </xf>
    <xf numFmtId="0" fontId="96" fillId="40" borderId="13" xfId="58" applyFont="1" applyFill="1" applyBorder="1" applyAlignment="1">
      <alignment horizontal="center" vertical="center" wrapText="1"/>
      <protection/>
    </xf>
    <xf numFmtId="0" fontId="96" fillId="40" borderId="44" xfId="58" applyFont="1" applyFill="1" applyBorder="1" applyAlignment="1">
      <alignment horizontal="center" vertical="center" wrapText="1"/>
      <protection/>
    </xf>
    <xf numFmtId="0" fontId="96" fillId="40" borderId="12" xfId="58" applyFont="1" applyFill="1" applyBorder="1" applyAlignment="1">
      <alignment horizontal="center" vertical="center" wrapText="1"/>
      <protection/>
    </xf>
    <xf numFmtId="0" fontId="97" fillId="41" borderId="13" xfId="0" applyFont="1" applyFill="1" applyBorder="1" applyAlignment="1">
      <alignment horizontal="center" vertical="center" wrapText="1"/>
    </xf>
    <xf numFmtId="0" fontId="97" fillId="41" borderId="44" xfId="0" applyFont="1" applyFill="1" applyBorder="1" applyAlignment="1">
      <alignment horizontal="center" vertical="center" wrapText="1"/>
    </xf>
    <xf numFmtId="0" fontId="97" fillId="41" borderId="12" xfId="0" applyFont="1" applyFill="1" applyBorder="1" applyAlignment="1">
      <alignment horizontal="center" vertical="center" wrapText="1"/>
    </xf>
    <xf numFmtId="0" fontId="3" fillId="0" borderId="28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97" fillId="41" borderId="30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4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7" fillId="41" borderId="11" xfId="58" applyFont="1" applyFill="1" applyBorder="1" applyAlignment="1">
      <alignment horizontal="center" vertical="center" wrapText="1"/>
      <protection/>
    </xf>
    <xf numFmtId="0" fontId="97" fillId="41" borderId="30" xfId="58" applyFont="1" applyFill="1" applyBorder="1" applyAlignment="1">
      <alignment horizontal="center" vertical="center" wrapText="1"/>
      <protection/>
    </xf>
    <xf numFmtId="0" fontId="3" fillId="0" borderId="49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1" fillId="35" borderId="10" xfId="58" applyFont="1" applyFill="1" applyBorder="1" applyAlignment="1">
      <alignment horizontal="right" vertical="center"/>
      <protection/>
    </xf>
    <xf numFmtId="0" fontId="98" fillId="40" borderId="13" xfId="58" applyFont="1" applyFill="1" applyBorder="1" applyAlignment="1">
      <alignment horizontal="center" vertical="center" wrapText="1"/>
      <protection/>
    </xf>
    <xf numFmtId="0" fontId="98" fillId="40" borderId="44" xfId="58" applyFont="1" applyFill="1" applyBorder="1" applyAlignment="1">
      <alignment horizontal="center" vertical="center" wrapText="1"/>
      <protection/>
    </xf>
    <xf numFmtId="0" fontId="98" fillId="40" borderId="12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97" fillId="41" borderId="13" xfId="58" applyFont="1" applyFill="1" applyBorder="1" applyAlignment="1">
      <alignment horizontal="center" vertical="center" wrapText="1"/>
      <protection/>
    </xf>
    <xf numFmtId="0" fontId="97" fillId="41" borderId="44" xfId="58" applyFont="1" applyFill="1" applyBorder="1" applyAlignment="1">
      <alignment horizontal="center" vertical="center" wrapText="1"/>
      <protection/>
    </xf>
    <xf numFmtId="0" fontId="97" fillId="41" borderId="12" xfId="5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85" fillId="40" borderId="13" xfId="0" applyFont="1" applyFill="1" applyBorder="1" applyAlignment="1">
      <alignment horizontal="center" vertical="center" wrapText="1"/>
    </xf>
    <xf numFmtId="0" fontId="85" fillId="40" borderId="44" xfId="0" applyFont="1" applyFill="1" applyBorder="1" applyAlignment="1">
      <alignment horizontal="center" vertical="center" wrapText="1"/>
    </xf>
    <xf numFmtId="0" fontId="85" fillId="40" borderId="12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4" xfId="59"/>
    <cellStyle name="Normal 16_axalqalaqis skola " xfId="60"/>
    <cellStyle name="Normal 2" xfId="61"/>
    <cellStyle name="Normal 2 2 2" xfId="62"/>
    <cellStyle name="Normal 2 2_MCXETA yazarma- Copy" xfId="63"/>
    <cellStyle name="Normal 2_---SUL--- GORI-HOSPITALI-BOLO" xfId="64"/>
    <cellStyle name="Normal 3" xfId="65"/>
    <cellStyle name="Normal 8" xfId="66"/>
    <cellStyle name="Normal_gare wyalsadfenigagarini 2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Обычный_Лист1" xfId="74"/>
    <cellStyle name="Обычный_Лист1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19</xdr:row>
      <xdr:rowOff>0</xdr:rowOff>
    </xdr:from>
    <xdr:to>
      <xdr:col>2</xdr:col>
      <xdr:colOff>2581275</xdr:colOff>
      <xdr:row>19</xdr:row>
      <xdr:rowOff>28575</xdr:rowOff>
    </xdr:to>
    <xdr:pic>
      <xdr:nvPicPr>
        <xdr:cNvPr id="1" name="Рисунок 1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2292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3028950</xdr:colOff>
      <xdr:row>18</xdr:row>
      <xdr:rowOff>28575</xdr:rowOff>
    </xdr:from>
    <xdr:to>
      <xdr:col>2</xdr:col>
      <xdr:colOff>3028950</xdr:colOff>
      <xdr:row>18</xdr:row>
      <xdr:rowOff>28575</xdr:rowOff>
    </xdr:to>
    <xdr:pic>
      <xdr:nvPicPr>
        <xdr:cNvPr id="2" name="Рисунок 2" descr="vitali nazarovi xelmocer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2657475</xdr:colOff>
      <xdr:row>18</xdr:row>
      <xdr:rowOff>95250</xdr:rowOff>
    </xdr:from>
    <xdr:to>
      <xdr:col>2</xdr:col>
      <xdr:colOff>2657475</xdr:colOff>
      <xdr:row>18</xdr:row>
      <xdr:rowOff>95250</xdr:rowOff>
    </xdr:to>
    <xdr:pic>
      <xdr:nvPicPr>
        <xdr:cNvPr id="3" name="Рисунок 3" descr="vitali nazarovi xelmocer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513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2924175</xdr:colOff>
      <xdr:row>19</xdr:row>
      <xdr:rowOff>0</xdr:rowOff>
    </xdr:from>
    <xdr:to>
      <xdr:col>2</xdr:col>
      <xdr:colOff>2924175</xdr:colOff>
      <xdr:row>19</xdr:row>
      <xdr:rowOff>0</xdr:rowOff>
    </xdr:to>
    <xdr:pic>
      <xdr:nvPicPr>
        <xdr:cNvPr id="4" name="Рисунок 4" descr="vitali nazarovi xelmocer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3476625</xdr:colOff>
      <xdr:row>18</xdr:row>
      <xdr:rowOff>57150</xdr:rowOff>
    </xdr:from>
    <xdr:to>
      <xdr:col>4</xdr:col>
      <xdr:colOff>190500</xdr:colOff>
      <xdr:row>18</xdr:row>
      <xdr:rowOff>57150</xdr:rowOff>
    </xdr:to>
    <xdr:pic>
      <xdr:nvPicPr>
        <xdr:cNvPr id="5" name="Рисунок 5" descr="vitali nazarovi xelmocer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50958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00"/>
  </sheetPr>
  <dimension ref="A1:IR126"/>
  <sheetViews>
    <sheetView view="pageBreakPreview" zoomScale="115" zoomScaleSheetLayoutView="115" zoomScalePageLayoutView="0" workbookViewId="0" topLeftCell="A1">
      <selection activeCell="C6" sqref="C6:D13"/>
    </sheetView>
  </sheetViews>
  <sheetFormatPr defaultColWidth="9.140625" defaultRowHeight="12.75"/>
  <cols>
    <col min="1" max="1" width="6.57421875" style="272" customWidth="1"/>
    <col min="2" max="2" width="36.28125" style="272" customWidth="1"/>
    <col min="3" max="3" width="55.28125" style="272" customWidth="1"/>
    <col min="4" max="4" width="4.140625" style="272" customWidth="1"/>
    <col min="5" max="5" width="4.7109375" style="272" customWidth="1"/>
    <col min="6" max="6" width="5.57421875" style="272" customWidth="1"/>
    <col min="7" max="7" width="20.7109375" style="272" customWidth="1"/>
    <col min="8" max="8" width="9.140625" style="272" customWidth="1"/>
    <col min="9" max="9" width="10.8515625" style="272" customWidth="1"/>
    <col min="10" max="252" width="9.140625" style="272" customWidth="1"/>
    <col min="253" max="16384" width="9.140625" style="271" customWidth="1"/>
  </cols>
  <sheetData>
    <row r="1" spans="1:252" ht="16.5">
      <c r="A1" s="549"/>
      <c r="B1" s="549"/>
      <c r="C1" s="1"/>
      <c r="D1" s="1"/>
      <c r="E1" s="554" t="s">
        <v>509</v>
      </c>
      <c r="F1" s="554"/>
      <c r="G1" s="5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11" s="277" customFormat="1" ht="22.5" customHeight="1">
      <c r="A2" s="550" t="s">
        <v>478</v>
      </c>
      <c r="B2" s="550"/>
      <c r="C2" s="550"/>
      <c r="D2" s="550"/>
      <c r="E2" s="550"/>
      <c r="F2" s="550"/>
      <c r="G2" s="550"/>
      <c r="H2" s="280"/>
      <c r="I2" s="280"/>
      <c r="J2" s="280"/>
      <c r="K2" s="280"/>
    </row>
    <row r="3" spans="1:252" s="277" customFormat="1" ht="21" customHeight="1" thickBot="1">
      <c r="A3" s="551" t="s">
        <v>510</v>
      </c>
      <c r="B3" s="551"/>
      <c r="C3" s="551"/>
      <c r="D3" s="551"/>
      <c r="E3" s="551"/>
      <c r="F3" s="551"/>
      <c r="G3" s="55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6.25" thickBot="1">
      <c r="A4" s="485" t="s">
        <v>1</v>
      </c>
      <c r="B4" s="491" t="s">
        <v>153</v>
      </c>
      <c r="C4" s="524" t="s">
        <v>152</v>
      </c>
      <c r="D4" s="525"/>
      <c r="E4" s="524" t="s">
        <v>508</v>
      </c>
      <c r="F4" s="552"/>
      <c r="G4" s="553"/>
      <c r="H4" s="279"/>
      <c r="I4" s="27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277" customFormat="1" ht="17.25" thickBot="1">
      <c r="A5" s="486">
        <v>1</v>
      </c>
      <c r="B5" s="505">
        <v>2</v>
      </c>
      <c r="C5" s="522">
        <v>3</v>
      </c>
      <c r="D5" s="523"/>
      <c r="E5" s="542">
        <v>4</v>
      </c>
      <c r="F5" s="542"/>
      <c r="G5" s="523"/>
      <c r="H5" s="278"/>
      <c r="I5" s="27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275" customFormat="1" ht="26.25" thickBot="1">
      <c r="A6" s="487">
        <v>1</v>
      </c>
      <c r="B6" s="488" t="s">
        <v>500</v>
      </c>
      <c r="C6" s="524" t="s">
        <v>178</v>
      </c>
      <c r="D6" s="525"/>
      <c r="E6" s="546"/>
      <c r="F6" s="547"/>
      <c r="G6" s="548"/>
      <c r="H6" s="276"/>
      <c r="I6" s="276">
        <v>1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  <c r="IL6" s="276"/>
      <c r="IM6" s="276"/>
      <c r="IN6" s="276"/>
      <c r="IO6" s="276"/>
      <c r="IP6" s="276"/>
      <c r="IQ6" s="276"/>
      <c r="IR6" s="276"/>
    </row>
    <row r="7" spans="1:252" s="275" customFormat="1" ht="26.25" thickBot="1">
      <c r="A7" s="489">
        <v>2</v>
      </c>
      <c r="B7" s="490" t="s">
        <v>501</v>
      </c>
      <c r="C7" s="524" t="s">
        <v>212</v>
      </c>
      <c r="D7" s="525"/>
      <c r="E7" s="536"/>
      <c r="F7" s="537"/>
      <c r="G7" s="538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  <c r="HQ7" s="276"/>
      <c r="HR7" s="276"/>
      <c r="HS7" s="276"/>
      <c r="HT7" s="276"/>
      <c r="HU7" s="276"/>
      <c r="HV7" s="276"/>
      <c r="HW7" s="276"/>
      <c r="HX7" s="276"/>
      <c r="HY7" s="276"/>
      <c r="HZ7" s="276"/>
      <c r="IA7" s="276"/>
      <c r="IB7" s="276"/>
      <c r="IC7" s="276"/>
      <c r="ID7" s="276"/>
      <c r="IE7" s="276"/>
      <c r="IF7" s="276"/>
      <c r="IG7" s="276"/>
      <c r="IH7" s="276"/>
      <c r="II7" s="276"/>
      <c r="IJ7" s="276"/>
      <c r="IK7" s="276"/>
      <c r="IL7" s="276"/>
      <c r="IM7" s="276"/>
      <c r="IN7" s="276"/>
      <c r="IO7" s="276"/>
      <c r="IP7" s="276"/>
      <c r="IQ7" s="276"/>
      <c r="IR7" s="276"/>
    </row>
    <row r="8" spans="1:252" s="275" customFormat="1" ht="26.25" thickBot="1">
      <c r="A8" s="489">
        <v>3</v>
      </c>
      <c r="B8" s="490" t="s">
        <v>502</v>
      </c>
      <c r="C8" s="524" t="s">
        <v>442</v>
      </c>
      <c r="D8" s="525"/>
      <c r="E8" s="536"/>
      <c r="F8" s="537"/>
      <c r="G8" s="538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276"/>
      <c r="IN8" s="276"/>
      <c r="IO8" s="276"/>
      <c r="IP8" s="276"/>
      <c r="IQ8" s="276"/>
      <c r="IR8" s="276"/>
    </row>
    <row r="9" spans="1:252" s="275" customFormat="1" ht="26.25" thickBot="1">
      <c r="A9" s="489">
        <v>4</v>
      </c>
      <c r="B9" s="490" t="s">
        <v>503</v>
      </c>
      <c r="C9" s="524" t="s">
        <v>461</v>
      </c>
      <c r="D9" s="525"/>
      <c r="E9" s="536"/>
      <c r="F9" s="537"/>
      <c r="G9" s="538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6"/>
      <c r="GW9" s="276"/>
      <c r="GX9" s="276"/>
      <c r="GY9" s="276"/>
      <c r="GZ9" s="276"/>
      <c r="HA9" s="276"/>
      <c r="HB9" s="276"/>
      <c r="HC9" s="276"/>
      <c r="HD9" s="276"/>
      <c r="HE9" s="276"/>
      <c r="HF9" s="276"/>
      <c r="HG9" s="276"/>
      <c r="HH9" s="276"/>
      <c r="HI9" s="276"/>
      <c r="HJ9" s="276"/>
      <c r="HK9" s="276"/>
      <c r="HL9" s="276"/>
      <c r="HM9" s="276"/>
      <c r="HN9" s="276"/>
      <c r="HO9" s="276"/>
      <c r="HP9" s="276"/>
      <c r="HQ9" s="276"/>
      <c r="HR9" s="276"/>
      <c r="HS9" s="276"/>
      <c r="HT9" s="276"/>
      <c r="HU9" s="276"/>
      <c r="HV9" s="276"/>
      <c r="HW9" s="276"/>
      <c r="HX9" s="276"/>
      <c r="HY9" s="276"/>
      <c r="HZ9" s="276"/>
      <c r="IA9" s="276"/>
      <c r="IB9" s="276"/>
      <c r="IC9" s="276"/>
      <c r="ID9" s="276"/>
      <c r="IE9" s="276"/>
      <c r="IF9" s="276"/>
      <c r="IG9" s="276"/>
      <c r="IH9" s="276"/>
      <c r="II9" s="276"/>
      <c r="IJ9" s="276"/>
      <c r="IK9" s="276"/>
      <c r="IL9" s="276"/>
      <c r="IM9" s="276"/>
      <c r="IN9" s="276"/>
      <c r="IO9" s="276"/>
      <c r="IP9" s="276"/>
      <c r="IQ9" s="276"/>
      <c r="IR9" s="276"/>
    </row>
    <row r="10" spans="1:252" s="275" customFormat="1" ht="26.25" thickBot="1">
      <c r="A10" s="489">
        <v>5</v>
      </c>
      <c r="B10" s="490" t="s">
        <v>504</v>
      </c>
      <c r="C10" s="524" t="s">
        <v>175</v>
      </c>
      <c r="D10" s="525"/>
      <c r="E10" s="536"/>
      <c r="F10" s="537"/>
      <c r="G10" s="538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  <c r="IO10" s="276"/>
      <c r="IP10" s="276"/>
      <c r="IQ10" s="276"/>
      <c r="IR10" s="276"/>
    </row>
    <row r="11" spans="1:252" s="275" customFormat="1" ht="26.25" thickBot="1">
      <c r="A11" s="489">
        <v>6</v>
      </c>
      <c r="B11" s="490" t="s">
        <v>505</v>
      </c>
      <c r="C11" s="524" t="s">
        <v>305</v>
      </c>
      <c r="D11" s="525"/>
      <c r="E11" s="536"/>
      <c r="F11" s="537"/>
      <c r="G11" s="538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  <c r="II11" s="276"/>
      <c r="IJ11" s="276"/>
      <c r="IK11" s="276"/>
      <c r="IL11" s="276"/>
      <c r="IM11" s="276"/>
      <c r="IN11" s="276"/>
      <c r="IO11" s="276"/>
      <c r="IP11" s="276"/>
      <c r="IQ11" s="276"/>
      <c r="IR11" s="276"/>
    </row>
    <row r="12" spans="1:252" s="275" customFormat="1" ht="26.25" thickBot="1">
      <c r="A12" s="489">
        <v>7</v>
      </c>
      <c r="B12" s="490" t="s">
        <v>506</v>
      </c>
      <c r="C12" s="524" t="s">
        <v>363</v>
      </c>
      <c r="D12" s="525"/>
      <c r="E12" s="536"/>
      <c r="F12" s="537"/>
      <c r="G12" s="538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6"/>
      <c r="GT12" s="276"/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6"/>
      <c r="HX12" s="276"/>
      <c r="HY12" s="276"/>
      <c r="HZ12" s="276"/>
      <c r="IA12" s="276"/>
      <c r="IB12" s="276"/>
      <c r="IC12" s="276"/>
      <c r="ID12" s="276"/>
      <c r="IE12" s="276"/>
      <c r="IF12" s="276"/>
      <c r="IG12" s="276"/>
      <c r="IH12" s="276"/>
      <c r="II12" s="276"/>
      <c r="IJ12" s="276"/>
      <c r="IK12" s="276"/>
      <c r="IL12" s="276"/>
      <c r="IM12" s="276"/>
      <c r="IN12" s="276"/>
      <c r="IO12" s="276"/>
      <c r="IP12" s="276"/>
      <c r="IQ12" s="276"/>
      <c r="IR12" s="276"/>
    </row>
    <row r="13" spans="1:252" s="275" customFormat="1" ht="26.25" thickBot="1">
      <c r="A13" s="489">
        <v>8</v>
      </c>
      <c r="B13" s="490" t="s">
        <v>507</v>
      </c>
      <c r="C13" s="524" t="s">
        <v>155</v>
      </c>
      <c r="D13" s="525"/>
      <c r="E13" s="539"/>
      <c r="F13" s="540"/>
      <c r="G13" s="541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  <c r="IN13" s="276"/>
      <c r="IO13" s="276"/>
      <c r="IP13" s="276"/>
      <c r="IQ13" s="276"/>
      <c r="IR13" s="276"/>
    </row>
    <row r="14" spans="1:252" s="273" customFormat="1" ht="16.5" thickBot="1">
      <c r="A14" s="510" t="s">
        <v>28</v>
      </c>
      <c r="B14" s="511"/>
      <c r="C14" s="511"/>
      <c r="D14" s="511"/>
      <c r="E14" s="543"/>
      <c r="F14" s="544"/>
      <c r="G14" s="545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  <c r="GO14" s="274"/>
      <c r="GP14" s="274"/>
      <c r="GQ14" s="274"/>
      <c r="GR14" s="274"/>
      <c r="GS14" s="274"/>
      <c r="GT14" s="274"/>
      <c r="GU14" s="274"/>
      <c r="GV14" s="274"/>
      <c r="GW14" s="274"/>
      <c r="GX14" s="274"/>
      <c r="GY14" s="274"/>
      <c r="GZ14" s="274"/>
      <c r="HA14" s="274"/>
      <c r="HB14" s="274"/>
      <c r="HC14" s="274"/>
      <c r="HD14" s="274"/>
      <c r="HE14" s="274"/>
      <c r="HF14" s="274"/>
      <c r="HG14" s="274"/>
      <c r="HH14" s="274"/>
      <c r="HI14" s="274"/>
      <c r="HJ14" s="274"/>
      <c r="HK14" s="274"/>
      <c r="HL14" s="274"/>
      <c r="HM14" s="274"/>
      <c r="HN14" s="274"/>
      <c r="HO14" s="274"/>
      <c r="HP14" s="274"/>
      <c r="HQ14" s="274"/>
      <c r="HR14" s="274"/>
      <c r="HS14" s="274"/>
      <c r="HT14" s="274"/>
      <c r="HU14" s="274"/>
      <c r="HV14" s="274"/>
      <c r="HW14" s="274"/>
      <c r="HX14" s="274"/>
      <c r="HY14" s="274"/>
      <c r="HZ14" s="274"/>
      <c r="IA14" s="274"/>
      <c r="IB14" s="274"/>
      <c r="IC14" s="274"/>
      <c r="ID14" s="274"/>
      <c r="IE14" s="274"/>
      <c r="IF14" s="274"/>
      <c r="IG14" s="274"/>
      <c r="IH14" s="274"/>
      <c r="II14" s="274"/>
      <c r="IJ14" s="274"/>
      <c r="IK14" s="274"/>
      <c r="IL14" s="274"/>
      <c r="IM14" s="274"/>
      <c r="IN14" s="274"/>
      <c r="IO14" s="274"/>
      <c r="IP14" s="274"/>
      <c r="IQ14" s="274"/>
      <c r="IR14" s="274"/>
    </row>
    <row r="15" spans="1:252" s="264" customFormat="1" ht="16.5" customHeight="1">
      <c r="A15" s="526" t="s">
        <v>511</v>
      </c>
      <c r="B15" s="527"/>
      <c r="C15" s="527"/>
      <c r="D15" s="527"/>
      <c r="E15" s="528"/>
      <c r="F15" s="506">
        <v>0.03</v>
      </c>
      <c r="G15" s="507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  <c r="GP15" s="272"/>
      <c r="GQ15" s="272"/>
      <c r="GR15" s="272"/>
      <c r="GS15" s="272"/>
      <c r="GT15" s="272"/>
      <c r="GU15" s="272"/>
      <c r="GV15" s="272"/>
      <c r="GW15" s="272"/>
      <c r="GX15" s="272"/>
      <c r="GY15" s="272"/>
      <c r="GZ15" s="272"/>
      <c r="HA15" s="272"/>
      <c r="HB15" s="272"/>
      <c r="HC15" s="272"/>
      <c r="HD15" s="272"/>
      <c r="HE15" s="272"/>
      <c r="HF15" s="272"/>
      <c r="HG15" s="272"/>
      <c r="HH15" s="272"/>
      <c r="HI15" s="272"/>
      <c r="HJ15" s="272"/>
      <c r="HK15" s="272"/>
      <c r="HL15" s="272"/>
      <c r="HM15" s="272"/>
      <c r="HN15" s="272"/>
      <c r="HO15" s="272"/>
      <c r="HP15" s="272"/>
      <c r="HQ15" s="272"/>
      <c r="HR15" s="272"/>
      <c r="HS15" s="272"/>
      <c r="HT15" s="272"/>
      <c r="HU15" s="272"/>
      <c r="HV15" s="272"/>
      <c r="HW15" s="272"/>
      <c r="HX15" s="272"/>
      <c r="HY15" s="272"/>
      <c r="HZ15" s="272"/>
      <c r="IA15" s="272"/>
      <c r="IB15" s="272"/>
      <c r="IC15" s="272"/>
      <c r="ID15" s="272"/>
      <c r="IE15" s="272"/>
      <c r="IF15" s="272"/>
      <c r="IG15" s="272"/>
      <c r="IH15" s="272"/>
      <c r="II15" s="272"/>
      <c r="IJ15" s="272"/>
      <c r="IK15" s="272"/>
      <c r="IL15" s="272"/>
      <c r="IM15" s="272"/>
      <c r="IN15" s="272"/>
      <c r="IO15" s="272"/>
      <c r="IP15" s="272"/>
      <c r="IQ15" s="272"/>
      <c r="IR15" s="272"/>
    </row>
    <row r="16" spans="1:252" s="264" customFormat="1" ht="16.5">
      <c r="A16" s="526" t="s">
        <v>512</v>
      </c>
      <c r="B16" s="527"/>
      <c r="C16" s="527"/>
      <c r="D16" s="527"/>
      <c r="E16" s="529"/>
      <c r="F16" s="530"/>
      <c r="G16" s="531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  <c r="GP16" s="272"/>
      <c r="GQ16" s="272"/>
      <c r="GR16" s="272"/>
      <c r="GS16" s="272"/>
      <c r="GT16" s="272"/>
      <c r="GU16" s="272"/>
      <c r="GV16" s="272"/>
      <c r="GW16" s="272"/>
      <c r="GX16" s="272"/>
      <c r="GY16" s="272"/>
      <c r="GZ16" s="272"/>
      <c r="HA16" s="272"/>
      <c r="HB16" s="272"/>
      <c r="HC16" s="272"/>
      <c r="HD16" s="272"/>
      <c r="HE16" s="272"/>
      <c r="HF16" s="272"/>
      <c r="HG16" s="272"/>
      <c r="HH16" s="272"/>
      <c r="HI16" s="272"/>
      <c r="HJ16" s="272"/>
      <c r="HK16" s="272"/>
      <c r="HL16" s="272"/>
      <c r="HM16" s="272"/>
      <c r="HN16" s="272"/>
      <c r="HO16" s="272"/>
      <c r="HP16" s="272"/>
      <c r="HQ16" s="272"/>
      <c r="HR16" s="272"/>
      <c r="HS16" s="272"/>
      <c r="HT16" s="272"/>
      <c r="HU16" s="272"/>
      <c r="HV16" s="272"/>
      <c r="HW16" s="272"/>
      <c r="HX16" s="272"/>
      <c r="HY16" s="272"/>
      <c r="HZ16" s="272"/>
      <c r="IA16" s="272"/>
      <c r="IB16" s="272"/>
      <c r="IC16" s="272"/>
      <c r="ID16" s="272"/>
      <c r="IE16" s="272"/>
      <c r="IF16" s="272"/>
      <c r="IG16" s="272"/>
      <c r="IH16" s="272"/>
      <c r="II16" s="272"/>
      <c r="IJ16" s="272"/>
      <c r="IK16" s="272"/>
      <c r="IL16" s="272"/>
      <c r="IM16" s="272"/>
      <c r="IN16" s="272"/>
      <c r="IO16" s="272"/>
      <c r="IP16" s="272"/>
      <c r="IQ16" s="272"/>
      <c r="IR16" s="272"/>
    </row>
    <row r="17" spans="1:252" s="264" customFormat="1" ht="17.25" thickBot="1">
      <c r="A17" s="526" t="s">
        <v>513</v>
      </c>
      <c r="B17" s="527"/>
      <c r="C17" s="527"/>
      <c r="D17" s="527"/>
      <c r="E17" s="529"/>
      <c r="F17" s="508">
        <v>0.18</v>
      </c>
      <c r="G17" s="509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  <c r="GP17" s="272"/>
      <c r="GQ17" s="272"/>
      <c r="GR17" s="272"/>
      <c r="GS17" s="272"/>
      <c r="GT17" s="272"/>
      <c r="GU17" s="272"/>
      <c r="GV17" s="272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  <c r="HS17" s="272"/>
      <c r="HT17" s="272"/>
      <c r="HU17" s="272"/>
      <c r="HV17" s="272"/>
      <c r="HW17" s="272"/>
      <c r="HX17" s="272"/>
      <c r="HY17" s="272"/>
      <c r="HZ17" s="272"/>
      <c r="IA17" s="272"/>
      <c r="IB17" s="272"/>
      <c r="IC17" s="272"/>
      <c r="ID17" s="272"/>
      <c r="IE17" s="272"/>
      <c r="IF17" s="272"/>
      <c r="IG17" s="272"/>
      <c r="IH17" s="272"/>
      <c r="II17" s="272"/>
      <c r="IJ17" s="272"/>
      <c r="IK17" s="272"/>
      <c r="IL17" s="272"/>
      <c r="IM17" s="272"/>
      <c r="IN17" s="272"/>
      <c r="IO17" s="272"/>
      <c r="IP17" s="272"/>
      <c r="IQ17" s="272"/>
      <c r="IR17" s="272"/>
    </row>
    <row r="18" spans="1:252" s="264" customFormat="1" ht="16.5" customHeight="1" thickBot="1">
      <c r="A18" s="532" t="s">
        <v>514</v>
      </c>
      <c r="B18" s="533"/>
      <c r="C18" s="533"/>
      <c r="D18" s="533"/>
      <c r="E18" s="533"/>
      <c r="F18" s="534"/>
      <c r="G18" s="535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  <c r="GP18" s="272"/>
      <c r="GQ18" s="272"/>
      <c r="GR18" s="272"/>
      <c r="GS18" s="272"/>
      <c r="GT18" s="272"/>
      <c r="GU18" s="272"/>
      <c r="GV18" s="272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  <c r="HS18" s="272"/>
      <c r="HT18" s="272"/>
      <c r="HU18" s="272"/>
      <c r="HV18" s="272"/>
      <c r="HW18" s="272"/>
      <c r="HX18" s="272"/>
      <c r="HY18" s="272"/>
      <c r="HZ18" s="272"/>
      <c r="IA18" s="272"/>
      <c r="IB18" s="272"/>
      <c r="IC18" s="272"/>
      <c r="ID18" s="272"/>
      <c r="IE18" s="272"/>
      <c r="IF18" s="272"/>
      <c r="IG18" s="272"/>
      <c r="IH18" s="272"/>
      <c r="II18" s="272"/>
      <c r="IJ18" s="272"/>
      <c r="IK18" s="272"/>
      <c r="IL18" s="272"/>
      <c r="IM18" s="272"/>
      <c r="IN18" s="272"/>
      <c r="IO18" s="272"/>
      <c r="IP18" s="272"/>
      <c r="IQ18" s="272"/>
      <c r="IR18" s="272"/>
    </row>
    <row r="19" spans="1:252" s="264" customFormat="1" ht="15">
      <c r="A19" s="492"/>
      <c r="B19" s="492"/>
      <c r="C19" s="492"/>
      <c r="D19" s="493"/>
      <c r="E19" s="493"/>
      <c r="F19" s="493"/>
      <c r="G19" s="493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  <c r="GP19" s="272"/>
      <c r="GQ19" s="272"/>
      <c r="GR19" s="272"/>
      <c r="GS19" s="272"/>
      <c r="GT19" s="272"/>
      <c r="GU19" s="272"/>
      <c r="GV19" s="272"/>
      <c r="GW19" s="272"/>
      <c r="GX19" s="272"/>
      <c r="GY19" s="272"/>
      <c r="GZ19" s="272"/>
      <c r="HA19" s="272"/>
      <c r="HB19" s="272"/>
      <c r="HC19" s="272"/>
      <c r="HD19" s="272"/>
      <c r="HE19" s="272"/>
      <c r="HF19" s="272"/>
      <c r="HG19" s="272"/>
      <c r="HH19" s="272"/>
      <c r="HI19" s="272"/>
      <c r="HJ19" s="272"/>
      <c r="HK19" s="272"/>
      <c r="HL19" s="272"/>
      <c r="HM19" s="272"/>
      <c r="HN19" s="272"/>
      <c r="HO19" s="272"/>
      <c r="HP19" s="272"/>
      <c r="HQ19" s="272"/>
      <c r="HR19" s="272"/>
      <c r="HS19" s="272"/>
      <c r="HT19" s="272"/>
      <c r="HU19" s="272"/>
      <c r="HV19" s="272"/>
      <c r="HW19" s="272"/>
      <c r="HX19" s="272"/>
      <c r="HY19" s="272"/>
      <c r="HZ19" s="272"/>
      <c r="IA19" s="272"/>
      <c r="IB19" s="272"/>
      <c r="IC19" s="272"/>
      <c r="ID19" s="272"/>
      <c r="IE19" s="272"/>
      <c r="IF19" s="272"/>
      <c r="IG19" s="272"/>
      <c r="IH19" s="272"/>
      <c r="II19" s="272"/>
      <c r="IJ19" s="272"/>
      <c r="IK19" s="272"/>
      <c r="IL19" s="272"/>
      <c r="IM19" s="272"/>
      <c r="IN19" s="272"/>
      <c r="IO19" s="272"/>
      <c r="IP19" s="272"/>
      <c r="IQ19" s="272"/>
      <c r="IR19" s="272"/>
    </row>
    <row r="20" spans="1:252" s="264" customFormat="1" ht="15">
      <c r="A20" s="494"/>
      <c r="B20" s="494"/>
      <c r="C20" s="494"/>
      <c r="D20" s="495"/>
      <c r="E20" s="494"/>
      <c r="F20" s="494"/>
      <c r="G20" s="494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  <c r="GP20" s="272"/>
      <c r="GQ20" s="272"/>
      <c r="GR20" s="272"/>
      <c r="GS20" s="272"/>
      <c r="GT20" s="272"/>
      <c r="GU20" s="272"/>
      <c r="GV20" s="272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  <c r="HS20" s="272"/>
      <c r="HT20" s="272"/>
      <c r="HU20" s="272"/>
      <c r="HV20" s="272"/>
      <c r="HW20" s="272"/>
      <c r="HX20" s="272"/>
      <c r="HY20" s="272"/>
      <c r="HZ20" s="272"/>
      <c r="IA20" s="272"/>
      <c r="IB20" s="272"/>
      <c r="IC20" s="272"/>
      <c r="ID20" s="272"/>
      <c r="IE20" s="272"/>
      <c r="IF20" s="272"/>
      <c r="IG20" s="272"/>
      <c r="IH20" s="272"/>
      <c r="II20" s="272"/>
      <c r="IJ20" s="272"/>
      <c r="IK20" s="272"/>
      <c r="IL20" s="272"/>
      <c r="IM20" s="272"/>
      <c r="IN20" s="272"/>
      <c r="IO20" s="272"/>
      <c r="IP20" s="272"/>
      <c r="IQ20" s="272"/>
      <c r="IR20" s="272"/>
    </row>
    <row r="21" spans="1:252" s="264" customFormat="1" ht="16.5" customHeight="1">
      <c r="A21" s="512" t="s">
        <v>515</v>
      </c>
      <c r="B21" s="512"/>
      <c r="C21" s="512"/>
      <c r="D21" s="496"/>
      <c r="E21" s="512" t="s">
        <v>516</v>
      </c>
      <c r="F21" s="512"/>
      <c r="G21" s="51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  <c r="GP21" s="272"/>
      <c r="GQ21" s="272"/>
      <c r="GR21" s="272"/>
      <c r="GS21" s="272"/>
      <c r="GT21" s="272"/>
      <c r="GU21" s="272"/>
      <c r="GV21" s="272"/>
      <c r="GW21" s="272"/>
      <c r="GX21" s="272"/>
      <c r="GY21" s="272"/>
      <c r="GZ21" s="272"/>
      <c r="HA21" s="272"/>
      <c r="HB21" s="272"/>
      <c r="HC21" s="272"/>
      <c r="HD21" s="272"/>
      <c r="HE21" s="272"/>
      <c r="HF21" s="272"/>
      <c r="HG21" s="272"/>
      <c r="HH21" s="272"/>
      <c r="HI21" s="272"/>
      <c r="HJ21" s="272"/>
      <c r="HK21" s="272"/>
      <c r="HL21" s="272"/>
      <c r="HM21" s="272"/>
      <c r="HN21" s="272"/>
      <c r="HO21" s="272"/>
      <c r="HP21" s="272"/>
      <c r="HQ21" s="272"/>
      <c r="HR21" s="272"/>
      <c r="HS21" s="272"/>
      <c r="HT21" s="272"/>
      <c r="HU21" s="272"/>
      <c r="HV21" s="272"/>
      <c r="HW21" s="272"/>
      <c r="HX21" s="272"/>
      <c r="HY21" s="272"/>
      <c r="HZ21" s="272"/>
      <c r="IA21" s="272"/>
      <c r="IB21" s="272"/>
      <c r="IC21" s="272"/>
      <c r="ID21" s="272"/>
      <c r="IE21" s="272"/>
      <c r="IF21" s="272"/>
      <c r="IG21" s="272"/>
      <c r="IH21" s="272"/>
      <c r="II21" s="272"/>
      <c r="IJ21" s="272"/>
      <c r="IK21" s="272"/>
      <c r="IL21" s="272"/>
      <c r="IM21" s="272"/>
      <c r="IN21" s="272"/>
      <c r="IO21" s="272"/>
      <c r="IP21" s="272"/>
      <c r="IQ21" s="272"/>
      <c r="IR21" s="272"/>
    </row>
    <row r="22" spans="1:252" s="264" customFormat="1" ht="17.25" thickBot="1">
      <c r="A22" s="497"/>
      <c r="B22" s="498"/>
      <c r="C22" s="499"/>
      <c r="D22" s="500"/>
      <c r="E22" s="500"/>
      <c r="F22" s="500"/>
      <c r="G22" s="501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  <c r="GN22" s="272"/>
      <c r="GO22" s="272"/>
      <c r="GP22" s="272"/>
      <c r="GQ22" s="272"/>
      <c r="GR22" s="272"/>
      <c r="GS22" s="272"/>
      <c r="GT22" s="272"/>
      <c r="GU22" s="272"/>
      <c r="GV22" s="272"/>
      <c r="GW22" s="272"/>
      <c r="GX22" s="272"/>
      <c r="GY22" s="272"/>
      <c r="GZ22" s="272"/>
      <c r="HA22" s="272"/>
      <c r="HB22" s="272"/>
      <c r="HC22" s="272"/>
      <c r="HD22" s="272"/>
      <c r="HE22" s="272"/>
      <c r="HF22" s="272"/>
      <c r="HG22" s="272"/>
      <c r="HH22" s="272"/>
      <c r="HI22" s="272"/>
      <c r="HJ22" s="272"/>
      <c r="HK22" s="272"/>
      <c r="HL22" s="272"/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/>
      <c r="ID22" s="272"/>
      <c r="IE22" s="272"/>
      <c r="IF22" s="272"/>
      <c r="IG22" s="272"/>
      <c r="IH22" s="272"/>
      <c r="II22" s="272"/>
      <c r="IJ22" s="272"/>
      <c r="IK22" s="272"/>
      <c r="IL22" s="272"/>
      <c r="IM22" s="272"/>
      <c r="IN22" s="272"/>
      <c r="IO22" s="272"/>
      <c r="IP22" s="272"/>
      <c r="IQ22" s="272"/>
      <c r="IR22" s="272"/>
    </row>
    <row r="23" spans="1:252" s="264" customFormat="1" ht="17.25" thickBot="1">
      <c r="A23" s="513" t="s">
        <v>517</v>
      </c>
      <c r="B23" s="514"/>
      <c r="C23" s="515"/>
      <c r="D23" s="502"/>
      <c r="E23" s="500"/>
      <c r="F23" s="500"/>
      <c r="G23" s="501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  <c r="GP23" s="272"/>
      <c r="GQ23" s="272"/>
      <c r="GR23" s="272"/>
      <c r="GS23" s="272"/>
      <c r="GT23" s="272"/>
      <c r="GU23" s="272"/>
      <c r="GV23" s="272"/>
      <c r="GW23" s="272"/>
      <c r="GX23" s="272"/>
      <c r="GY23" s="272"/>
      <c r="GZ23" s="272"/>
      <c r="HA23" s="272"/>
      <c r="HB23" s="272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2"/>
      <c r="IL23" s="272"/>
      <c r="IM23" s="272"/>
      <c r="IN23" s="272"/>
      <c r="IO23" s="272"/>
      <c r="IP23" s="272"/>
      <c r="IQ23" s="272"/>
      <c r="IR23" s="272"/>
    </row>
    <row r="24" spans="1:252" s="264" customFormat="1" ht="34.5" customHeight="1">
      <c r="A24" s="503">
        <v>1</v>
      </c>
      <c r="B24" s="516" t="s">
        <v>518</v>
      </c>
      <c r="C24" s="517"/>
      <c r="D24" s="517"/>
      <c r="E24" s="517"/>
      <c r="F24" s="517"/>
      <c r="G24" s="518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  <c r="GP24" s="272"/>
      <c r="GQ24" s="272"/>
      <c r="GR24" s="272"/>
      <c r="GS24" s="272"/>
      <c r="GT24" s="272"/>
      <c r="GU24" s="272"/>
      <c r="GV24" s="272"/>
      <c r="GW24" s="272"/>
      <c r="GX24" s="272"/>
      <c r="GY24" s="272"/>
      <c r="GZ24" s="272"/>
      <c r="HA24" s="272"/>
      <c r="HB24" s="272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/>
      <c r="HO24" s="272"/>
      <c r="HP24" s="272"/>
      <c r="HQ24" s="272"/>
      <c r="HR24" s="272"/>
      <c r="HS24" s="272"/>
      <c r="HT24" s="272"/>
      <c r="HU24" s="272"/>
      <c r="HV24" s="272"/>
      <c r="HW24" s="272"/>
      <c r="HX24" s="272"/>
      <c r="HY24" s="272"/>
      <c r="HZ24" s="272"/>
      <c r="IA24" s="272"/>
      <c r="IB24" s="272"/>
      <c r="IC24" s="272"/>
      <c r="ID24" s="272"/>
      <c r="IE24" s="272"/>
      <c r="IF24" s="272"/>
      <c r="IG24" s="272"/>
      <c r="IH24" s="272"/>
      <c r="II24" s="272"/>
      <c r="IJ24" s="272"/>
      <c r="IK24" s="272"/>
      <c r="IL24" s="272"/>
      <c r="IM24" s="272"/>
      <c r="IN24" s="272"/>
      <c r="IO24" s="272"/>
      <c r="IP24" s="272"/>
      <c r="IQ24" s="272"/>
      <c r="IR24" s="272"/>
    </row>
    <row r="25" spans="1:252" s="264" customFormat="1" ht="45" customHeight="1" thickBot="1">
      <c r="A25" s="504">
        <v>2</v>
      </c>
      <c r="B25" s="519" t="s">
        <v>519</v>
      </c>
      <c r="C25" s="520"/>
      <c r="D25" s="520"/>
      <c r="E25" s="520"/>
      <c r="F25" s="520"/>
      <c r="G25" s="521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  <c r="GP25" s="272"/>
      <c r="GQ25" s="272"/>
      <c r="GR25" s="272"/>
      <c r="GS25" s="272"/>
      <c r="GT25" s="272"/>
      <c r="GU25" s="272"/>
      <c r="GV25" s="272"/>
      <c r="GW25" s="272"/>
      <c r="GX25" s="272"/>
      <c r="GY25" s="272"/>
      <c r="GZ25" s="272"/>
      <c r="HA25" s="272"/>
      <c r="HB25" s="272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  <c r="HS25" s="272"/>
      <c r="HT25" s="272"/>
      <c r="HU25" s="272"/>
      <c r="HV25" s="272"/>
      <c r="HW25" s="272"/>
      <c r="HX25" s="272"/>
      <c r="HY25" s="272"/>
      <c r="HZ25" s="272"/>
      <c r="IA25" s="272"/>
      <c r="IB25" s="272"/>
      <c r="IC25" s="272"/>
      <c r="ID25" s="272"/>
      <c r="IE25" s="272"/>
      <c r="IF25" s="272"/>
      <c r="IG25" s="272"/>
      <c r="IH25" s="272"/>
      <c r="II25" s="272"/>
      <c r="IJ25" s="272"/>
      <c r="IK25" s="272"/>
      <c r="IL25" s="272"/>
      <c r="IM25" s="272"/>
      <c r="IN25" s="272"/>
      <c r="IO25" s="272"/>
      <c r="IP25" s="272"/>
      <c r="IQ25" s="272"/>
      <c r="IR25" s="272"/>
    </row>
    <row r="26" spans="1:252" s="264" customFormat="1" ht="16.5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  <c r="GP26" s="272"/>
      <c r="GQ26" s="272"/>
      <c r="GR26" s="272"/>
      <c r="GS26" s="272"/>
      <c r="GT26" s="272"/>
      <c r="GU26" s="272"/>
      <c r="GV26" s="272"/>
      <c r="GW26" s="272"/>
      <c r="GX26" s="272"/>
      <c r="GY26" s="272"/>
      <c r="GZ26" s="272"/>
      <c r="HA26" s="272"/>
      <c r="HB26" s="272"/>
      <c r="HC26" s="272"/>
      <c r="HD26" s="272"/>
      <c r="HE26" s="272"/>
      <c r="HF26" s="272"/>
      <c r="HG26" s="272"/>
      <c r="HH26" s="272"/>
      <c r="HI26" s="272"/>
      <c r="HJ26" s="272"/>
      <c r="HK26" s="272"/>
      <c r="HL26" s="272"/>
      <c r="HM26" s="272"/>
      <c r="HN26" s="272"/>
      <c r="HO26" s="272"/>
      <c r="HP26" s="272"/>
      <c r="HQ26" s="272"/>
      <c r="HR26" s="272"/>
      <c r="HS26" s="272"/>
      <c r="HT26" s="272"/>
      <c r="HU26" s="272"/>
      <c r="HV26" s="272"/>
      <c r="HW26" s="272"/>
      <c r="HX26" s="272"/>
      <c r="HY26" s="272"/>
      <c r="HZ26" s="272"/>
      <c r="IA26" s="272"/>
      <c r="IB26" s="272"/>
      <c r="IC26" s="272"/>
      <c r="ID26" s="272"/>
      <c r="IE26" s="272"/>
      <c r="IF26" s="272"/>
      <c r="IG26" s="272"/>
      <c r="IH26" s="272"/>
      <c r="II26" s="272"/>
      <c r="IJ26" s="272"/>
      <c r="IK26" s="272"/>
      <c r="IL26" s="272"/>
      <c r="IM26" s="272"/>
      <c r="IN26" s="272"/>
      <c r="IO26" s="272"/>
      <c r="IP26" s="272"/>
      <c r="IQ26" s="272"/>
      <c r="IR26" s="272"/>
    </row>
    <row r="27" spans="1:252" s="264" customFormat="1" ht="16.5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  <c r="GP27" s="272"/>
      <c r="GQ27" s="272"/>
      <c r="GR27" s="272"/>
      <c r="GS27" s="272"/>
      <c r="GT27" s="272"/>
      <c r="GU27" s="272"/>
      <c r="GV27" s="272"/>
      <c r="GW27" s="272"/>
      <c r="GX27" s="272"/>
      <c r="GY27" s="272"/>
      <c r="GZ27" s="272"/>
      <c r="HA27" s="272"/>
      <c r="HB27" s="272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/>
      <c r="HS27" s="272"/>
      <c r="HT27" s="272"/>
      <c r="HU27" s="272"/>
      <c r="HV27" s="272"/>
      <c r="HW27" s="272"/>
      <c r="HX27" s="272"/>
      <c r="HY27" s="272"/>
      <c r="HZ27" s="272"/>
      <c r="IA27" s="272"/>
      <c r="IB27" s="272"/>
      <c r="IC27" s="272"/>
      <c r="ID27" s="272"/>
      <c r="IE27" s="272"/>
      <c r="IF27" s="272"/>
      <c r="IG27" s="272"/>
      <c r="IH27" s="272"/>
      <c r="II27" s="272"/>
      <c r="IJ27" s="272"/>
      <c r="IK27" s="272"/>
      <c r="IL27" s="272"/>
      <c r="IM27" s="272"/>
      <c r="IN27" s="272"/>
      <c r="IO27" s="272"/>
      <c r="IP27" s="272"/>
      <c r="IQ27" s="272"/>
      <c r="IR27" s="272"/>
    </row>
    <row r="28" spans="1:252" s="264" customFormat="1" ht="16.5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  <c r="GP28" s="272"/>
      <c r="GQ28" s="272"/>
      <c r="GR28" s="272"/>
      <c r="GS28" s="272"/>
      <c r="GT28" s="272"/>
      <c r="GU28" s="272"/>
      <c r="GV28" s="272"/>
      <c r="GW28" s="272"/>
      <c r="GX28" s="272"/>
      <c r="GY28" s="272"/>
      <c r="GZ28" s="272"/>
      <c r="HA28" s="272"/>
      <c r="HB28" s="272"/>
      <c r="HC28" s="272"/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  <c r="HS28" s="272"/>
      <c r="HT28" s="272"/>
      <c r="HU28" s="272"/>
      <c r="HV28" s="272"/>
      <c r="HW28" s="272"/>
      <c r="HX28" s="272"/>
      <c r="HY28" s="272"/>
      <c r="HZ28" s="272"/>
      <c r="IA28" s="272"/>
      <c r="IB28" s="272"/>
      <c r="IC28" s="272"/>
      <c r="ID28" s="272"/>
      <c r="IE28" s="272"/>
      <c r="IF28" s="272"/>
      <c r="IG28" s="272"/>
      <c r="IH28" s="272"/>
      <c r="II28" s="272"/>
      <c r="IJ28" s="272"/>
      <c r="IK28" s="272"/>
      <c r="IL28" s="272"/>
      <c r="IM28" s="272"/>
      <c r="IN28" s="272"/>
      <c r="IO28" s="272"/>
      <c r="IP28" s="272"/>
      <c r="IQ28" s="272"/>
      <c r="IR28" s="272"/>
    </row>
    <row r="29" spans="1:252" s="264" customFormat="1" ht="16.5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  <c r="GP29" s="272"/>
      <c r="GQ29" s="272"/>
      <c r="GR29" s="272"/>
      <c r="GS29" s="272"/>
      <c r="GT29" s="272"/>
      <c r="GU29" s="272"/>
      <c r="GV29" s="272"/>
      <c r="GW29" s="272"/>
      <c r="GX29" s="272"/>
      <c r="GY29" s="272"/>
      <c r="GZ29" s="272"/>
      <c r="HA29" s="272"/>
      <c r="HB29" s="272"/>
      <c r="HC29" s="272"/>
      <c r="HD29" s="272"/>
      <c r="HE29" s="272"/>
      <c r="HF29" s="272"/>
      <c r="HG29" s="272"/>
      <c r="HH29" s="272"/>
      <c r="HI29" s="272"/>
      <c r="HJ29" s="272"/>
      <c r="HK29" s="272"/>
      <c r="HL29" s="272"/>
      <c r="HM29" s="272"/>
      <c r="HN29" s="272"/>
      <c r="HO29" s="272"/>
      <c r="HP29" s="272"/>
      <c r="HQ29" s="272"/>
      <c r="HR29" s="272"/>
      <c r="HS29" s="272"/>
      <c r="HT29" s="272"/>
      <c r="HU29" s="272"/>
      <c r="HV29" s="272"/>
      <c r="HW29" s="272"/>
      <c r="HX29" s="272"/>
      <c r="HY29" s="272"/>
      <c r="HZ29" s="272"/>
      <c r="IA29" s="272"/>
      <c r="IB29" s="272"/>
      <c r="IC29" s="272"/>
      <c r="ID29" s="272"/>
      <c r="IE29" s="272"/>
      <c r="IF29" s="272"/>
      <c r="IG29" s="272"/>
      <c r="IH29" s="272"/>
      <c r="II29" s="272"/>
      <c r="IJ29" s="272"/>
      <c r="IK29" s="272"/>
      <c r="IL29" s="272"/>
      <c r="IM29" s="272"/>
      <c r="IN29" s="272"/>
      <c r="IO29" s="272"/>
      <c r="IP29" s="272"/>
      <c r="IQ29" s="272"/>
      <c r="IR29" s="272"/>
    </row>
    <row r="30" spans="1:252" s="264" customFormat="1" ht="16.5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  <c r="GP30" s="272"/>
      <c r="GQ30" s="272"/>
      <c r="GR30" s="272"/>
      <c r="GS30" s="272"/>
      <c r="GT30" s="272"/>
      <c r="GU30" s="272"/>
      <c r="GV30" s="272"/>
      <c r="GW30" s="272"/>
      <c r="GX30" s="272"/>
      <c r="GY30" s="272"/>
      <c r="GZ30" s="272"/>
      <c r="HA30" s="272"/>
      <c r="HB30" s="272"/>
      <c r="HC30" s="272"/>
      <c r="HD30" s="272"/>
      <c r="HE30" s="272"/>
      <c r="HF30" s="272"/>
      <c r="HG30" s="272"/>
      <c r="HH30" s="272"/>
      <c r="HI30" s="272"/>
      <c r="HJ30" s="272"/>
      <c r="HK30" s="272"/>
      <c r="HL30" s="272"/>
      <c r="HM30" s="272"/>
      <c r="HN30" s="272"/>
      <c r="HO30" s="272"/>
      <c r="HP30" s="272"/>
      <c r="HQ30" s="272"/>
      <c r="HR30" s="272"/>
      <c r="HS30" s="272"/>
      <c r="HT30" s="272"/>
      <c r="HU30" s="272"/>
      <c r="HV30" s="272"/>
      <c r="HW30" s="272"/>
      <c r="HX30" s="272"/>
      <c r="HY30" s="272"/>
      <c r="HZ30" s="272"/>
      <c r="IA30" s="272"/>
      <c r="IB30" s="272"/>
      <c r="IC30" s="272"/>
      <c r="ID30" s="272"/>
      <c r="IE30" s="272"/>
      <c r="IF30" s="272"/>
      <c r="IG30" s="272"/>
      <c r="IH30" s="272"/>
      <c r="II30" s="272"/>
      <c r="IJ30" s="272"/>
      <c r="IK30" s="272"/>
      <c r="IL30" s="272"/>
      <c r="IM30" s="272"/>
      <c r="IN30" s="272"/>
      <c r="IO30" s="272"/>
      <c r="IP30" s="272"/>
      <c r="IQ30" s="272"/>
      <c r="IR30" s="272"/>
    </row>
    <row r="31" spans="1:252" s="264" customFormat="1" ht="16.5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  <c r="GP31" s="272"/>
      <c r="GQ31" s="272"/>
      <c r="GR31" s="272"/>
      <c r="GS31" s="272"/>
      <c r="GT31" s="272"/>
      <c r="GU31" s="272"/>
      <c r="GV31" s="272"/>
      <c r="GW31" s="272"/>
      <c r="GX31" s="272"/>
      <c r="GY31" s="272"/>
      <c r="GZ31" s="272"/>
      <c r="HA31" s="272"/>
      <c r="HB31" s="272"/>
      <c r="HC31" s="272"/>
      <c r="HD31" s="272"/>
      <c r="HE31" s="272"/>
      <c r="HF31" s="272"/>
      <c r="HG31" s="272"/>
      <c r="HH31" s="272"/>
      <c r="HI31" s="272"/>
      <c r="HJ31" s="272"/>
      <c r="HK31" s="272"/>
      <c r="HL31" s="272"/>
      <c r="HM31" s="272"/>
      <c r="HN31" s="272"/>
      <c r="HO31" s="272"/>
      <c r="HP31" s="272"/>
      <c r="HQ31" s="272"/>
      <c r="HR31" s="272"/>
      <c r="HS31" s="272"/>
      <c r="HT31" s="272"/>
      <c r="HU31" s="272"/>
      <c r="HV31" s="272"/>
      <c r="HW31" s="272"/>
      <c r="HX31" s="272"/>
      <c r="HY31" s="272"/>
      <c r="HZ31" s="272"/>
      <c r="IA31" s="272"/>
      <c r="IB31" s="272"/>
      <c r="IC31" s="272"/>
      <c r="ID31" s="272"/>
      <c r="IE31" s="272"/>
      <c r="IF31" s="272"/>
      <c r="IG31" s="272"/>
      <c r="IH31" s="272"/>
      <c r="II31" s="272"/>
      <c r="IJ31" s="272"/>
      <c r="IK31" s="272"/>
      <c r="IL31" s="272"/>
      <c r="IM31" s="272"/>
      <c r="IN31" s="272"/>
      <c r="IO31" s="272"/>
      <c r="IP31" s="272"/>
      <c r="IQ31" s="272"/>
      <c r="IR31" s="272"/>
    </row>
    <row r="32" spans="1:252" s="264" customFormat="1" ht="16.5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  <c r="GP32" s="272"/>
      <c r="GQ32" s="272"/>
      <c r="GR32" s="272"/>
      <c r="GS32" s="272"/>
      <c r="GT32" s="272"/>
      <c r="GU32" s="272"/>
      <c r="GV32" s="272"/>
      <c r="GW32" s="272"/>
      <c r="GX32" s="272"/>
      <c r="GY32" s="272"/>
      <c r="GZ32" s="272"/>
      <c r="HA32" s="272"/>
      <c r="HB32" s="272"/>
      <c r="HC32" s="272"/>
      <c r="HD32" s="272"/>
      <c r="HE32" s="272"/>
      <c r="HF32" s="272"/>
      <c r="HG32" s="272"/>
      <c r="HH32" s="272"/>
      <c r="HI32" s="272"/>
      <c r="HJ32" s="272"/>
      <c r="HK32" s="272"/>
      <c r="HL32" s="272"/>
      <c r="HM32" s="272"/>
      <c r="HN32" s="272"/>
      <c r="HO32" s="272"/>
      <c r="HP32" s="272"/>
      <c r="HQ32" s="272"/>
      <c r="HR32" s="272"/>
      <c r="HS32" s="272"/>
      <c r="HT32" s="272"/>
      <c r="HU32" s="272"/>
      <c r="HV32" s="272"/>
      <c r="HW32" s="272"/>
      <c r="HX32" s="272"/>
      <c r="HY32" s="272"/>
      <c r="HZ32" s="272"/>
      <c r="IA32" s="272"/>
      <c r="IB32" s="272"/>
      <c r="IC32" s="272"/>
      <c r="ID32" s="272"/>
      <c r="IE32" s="272"/>
      <c r="IF32" s="272"/>
      <c r="IG32" s="272"/>
      <c r="IH32" s="272"/>
      <c r="II32" s="272"/>
      <c r="IJ32" s="272"/>
      <c r="IK32" s="272"/>
      <c r="IL32" s="272"/>
      <c r="IM32" s="272"/>
      <c r="IN32" s="272"/>
      <c r="IO32" s="272"/>
      <c r="IP32" s="272"/>
      <c r="IQ32" s="272"/>
      <c r="IR32" s="272"/>
    </row>
    <row r="33" spans="1:252" s="264" customFormat="1" ht="16.5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  <c r="GN33" s="272"/>
      <c r="GO33" s="272"/>
      <c r="GP33" s="272"/>
      <c r="GQ33" s="272"/>
      <c r="GR33" s="272"/>
      <c r="GS33" s="272"/>
      <c r="GT33" s="272"/>
      <c r="GU33" s="272"/>
      <c r="GV33" s="272"/>
      <c r="GW33" s="272"/>
      <c r="GX33" s="272"/>
      <c r="GY33" s="272"/>
      <c r="GZ33" s="272"/>
      <c r="HA33" s="272"/>
      <c r="HB33" s="272"/>
      <c r="HC33" s="272"/>
      <c r="HD33" s="272"/>
      <c r="HE33" s="272"/>
      <c r="HF33" s="272"/>
      <c r="HG33" s="272"/>
      <c r="HH33" s="272"/>
      <c r="HI33" s="272"/>
      <c r="HJ33" s="272"/>
      <c r="HK33" s="272"/>
      <c r="HL33" s="272"/>
      <c r="HM33" s="272"/>
      <c r="HN33" s="272"/>
      <c r="HO33" s="272"/>
      <c r="HP33" s="272"/>
      <c r="HQ33" s="272"/>
      <c r="HR33" s="272"/>
      <c r="HS33" s="272"/>
      <c r="HT33" s="272"/>
      <c r="HU33" s="272"/>
      <c r="HV33" s="272"/>
      <c r="HW33" s="272"/>
      <c r="HX33" s="272"/>
      <c r="HY33" s="272"/>
      <c r="HZ33" s="272"/>
      <c r="IA33" s="272"/>
      <c r="IB33" s="272"/>
      <c r="IC33" s="272"/>
      <c r="ID33" s="272"/>
      <c r="IE33" s="272"/>
      <c r="IF33" s="272"/>
      <c r="IG33" s="272"/>
      <c r="IH33" s="272"/>
      <c r="II33" s="272"/>
      <c r="IJ33" s="272"/>
      <c r="IK33" s="272"/>
      <c r="IL33" s="272"/>
      <c r="IM33" s="272"/>
      <c r="IN33" s="272"/>
      <c r="IO33" s="272"/>
      <c r="IP33" s="272"/>
      <c r="IQ33" s="272"/>
      <c r="IR33" s="272"/>
    </row>
    <row r="34" spans="1:252" s="264" customFormat="1" ht="16.5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  <c r="GN34" s="272"/>
      <c r="GO34" s="272"/>
      <c r="GP34" s="272"/>
      <c r="GQ34" s="272"/>
      <c r="GR34" s="272"/>
      <c r="GS34" s="272"/>
      <c r="GT34" s="272"/>
      <c r="GU34" s="272"/>
      <c r="GV34" s="272"/>
      <c r="GW34" s="272"/>
      <c r="GX34" s="272"/>
      <c r="GY34" s="272"/>
      <c r="GZ34" s="272"/>
      <c r="HA34" s="272"/>
      <c r="HB34" s="272"/>
      <c r="HC34" s="272"/>
      <c r="HD34" s="272"/>
      <c r="HE34" s="272"/>
      <c r="HF34" s="272"/>
      <c r="HG34" s="272"/>
      <c r="HH34" s="272"/>
      <c r="HI34" s="272"/>
      <c r="HJ34" s="272"/>
      <c r="HK34" s="272"/>
      <c r="HL34" s="272"/>
      <c r="HM34" s="272"/>
      <c r="HN34" s="272"/>
      <c r="HO34" s="272"/>
      <c r="HP34" s="272"/>
      <c r="HQ34" s="272"/>
      <c r="HR34" s="272"/>
      <c r="HS34" s="272"/>
      <c r="HT34" s="272"/>
      <c r="HU34" s="272"/>
      <c r="HV34" s="272"/>
      <c r="HW34" s="272"/>
      <c r="HX34" s="272"/>
      <c r="HY34" s="272"/>
      <c r="HZ34" s="272"/>
      <c r="IA34" s="272"/>
      <c r="IB34" s="272"/>
      <c r="IC34" s="272"/>
      <c r="ID34" s="272"/>
      <c r="IE34" s="272"/>
      <c r="IF34" s="272"/>
      <c r="IG34" s="272"/>
      <c r="IH34" s="272"/>
      <c r="II34" s="272"/>
      <c r="IJ34" s="272"/>
      <c r="IK34" s="272"/>
      <c r="IL34" s="272"/>
      <c r="IM34" s="272"/>
      <c r="IN34" s="272"/>
      <c r="IO34" s="272"/>
      <c r="IP34" s="272"/>
      <c r="IQ34" s="272"/>
      <c r="IR34" s="272"/>
    </row>
    <row r="35" spans="1:252" s="264" customFormat="1" ht="16.5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  <c r="GN35" s="272"/>
      <c r="GO35" s="272"/>
      <c r="GP35" s="272"/>
      <c r="GQ35" s="272"/>
      <c r="GR35" s="272"/>
      <c r="GS35" s="272"/>
      <c r="GT35" s="272"/>
      <c r="GU35" s="272"/>
      <c r="GV35" s="272"/>
      <c r="GW35" s="272"/>
      <c r="GX35" s="272"/>
      <c r="GY35" s="272"/>
      <c r="GZ35" s="272"/>
      <c r="HA35" s="272"/>
      <c r="HB35" s="272"/>
      <c r="HC35" s="272"/>
      <c r="HD35" s="272"/>
      <c r="HE35" s="272"/>
      <c r="HF35" s="272"/>
      <c r="HG35" s="272"/>
      <c r="HH35" s="272"/>
      <c r="HI35" s="272"/>
      <c r="HJ35" s="272"/>
      <c r="HK35" s="272"/>
      <c r="HL35" s="272"/>
      <c r="HM35" s="272"/>
      <c r="HN35" s="272"/>
      <c r="HO35" s="272"/>
      <c r="HP35" s="272"/>
      <c r="HQ35" s="272"/>
      <c r="HR35" s="272"/>
      <c r="HS35" s="272"/>
      <c r="HT35" s="272"/>
      <c r="HU35" s="272"/>
      <c r="HV35" s="272"/>
      <c r="HW35" s="272"/>
      <c r="HX35" s="272"/>
      <c r="HY35" s="272"/>
      <c r="HZ35" s="272"/>
      <c r="IA35" s="272"/>
      <c r="IB35" s="272"/>
      <c r="IC35" s="272"/>
      <c r="ID35" s="272"/>
      <c r="IE35" s="272"/>
      <c r="IF35" s="272"/>
      <c r="IG35" s="272"/>
      <c r="IH35" s="272"/>
      <c r="II35" s="272"/>
      <c r="IJ35" s="272"/>
      <c r="IK35" s="272"/>
      <c r="IL35" s="272"/>
      <c r="IM35" s="272"/>
      <c r="IN35" s="272"/>
      <c r="IO35" s="272"/>
      <c r="IP35" s="272"/>
      <c r="IQ35" s="272"/>
      <c r="IR35" s="272"/>
    </row>
    <row r="36" spans="1:252" s="264" customFormat="1" ht="16.5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  <c r="GN36" s="272"/>
      <c r="GO36" s="272"/>
      <c r="GP36" s="272"/>
      <c r="GQ36" s="272"/>
      <c r="GR36" s="272"/>
      <c r="GS36" s="272"/>
      <c r="GT36" s="272"/>
      <c r="GU36" s="272"/>
      <c r="GV36" s="272"/>
      <c r="GW36" s="272"/>
      <c r="GX36" s="272"/>
      <c r="GY36" s="272"/>
      <c r="GZ36" s="272"/>
      <c r="HA36" s="272"/>
      <c r="HB36" s="272"/>
      <c r="HC36" s="272"/>
      <c r="HD36" s="272"/>
      <c r="HE36" s="272"/>
      <c r="HF36" s="272"/>
      <c r="HG36" s="272"/>
      <c r="HH36" s="272"/>
      <c r="HI36" s="272"/>
      <c r="HJ36" s="272"/>
      <c r="HK36" s="272"/>
      <c r="HL36" s="272"/>
      <c r="HM36" s="272"/>
      <c r="HN36" s="272"/>
      <c r="HO36" s="272"/>
      <c r="HP36" s="272"/>
      <c r="HQ36" s="272"/>
      <c r="HR36" s="272"/>
      <c r="HS36" s="272"/>
      <c r="HT36" s="272"/>
      <c r="HU36" s="272"/>
      <c r="HV36" s="272"/>
      <c r="HW36" s="272"/>
      <c r="HX36" s="272"/>
      <c r="HY36" s="272"/>
      <c r="HZ36" s="272"/>
      <c r="IA36" s="272"/>
      <c r="IB36" s="272"/>
      <c r="IC36" s="272"/>
      <c r="ID36" s="272"/>
      <c r="IE36" s="272"/>
      <c r="IF36" s="272"/>
      <c r="IG36" s="272"/>
      <c r="IH36" s="272"/>
      <c r="II36" s="272"/>
      <c r="IJ36" s="272"/>
      <c r="IK36" s="272"/>
      <c r="IL36" s="272"/>
      <c r="IM36" s="272"/>
      <c r="IN36" s="272"/>
      <c r="IO36" s="272"/>
      <c r="IP36" s="272"/>
      <c r="IQ36" s="272"/>
      <c r="IR36" s="272"/>
    </row>
    <row r="37" spans="1:252" s="264" customFormat="1" ht="16.5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  <c r="GN37" s="272"/>
      <c r="GO37" s="272"/>
      <c r="GP37" s="272"/>
      <c r="GQ37" s="272"/>
      <c r="GR37" s="272"/>
      <c r="GS37" s="272"/>
      <c r="GT37" s="272"/>
      <c r="GU37" s="272"/>
      <c r="GV37" s="272"/>
      <c r="GW37" s="272"/>
      <c r="GX37" s="272"/>
      <c r="GY37" s="272"/>
      <c r="GZ37" s="272"/>
      <c r="HA37" s="272"/>
      <c r="HB37" s="272"/>
      <c r="HC37" s="272"/>
      <c r="HD37" s="272"/>
      <c r="HE37" s="272"/>
      <c r="HF37" s="272"/>
      <c r="HG37" s="272"/>
      <c r="HH37" s="272"/>
      <c r="HI37" s="272"/>
      <c r="HJ37" s="272"/>
      <c r="HK37" s="272"/>
      <c r="HL37" s="272"/>
      <c r="HM37" s="272"/>
      <c r="HN37" s="272"/>
      <c r="HO37" s="272"/>
      <c r="HP37" s="272"/>
      <c r="HQ37" s="272"/>
      <c r="HR37" s="272"/>
      <c r="HS37" s="272"/>
      <c r="HT37" s="272"/>
      <c r="HU37" s="272"/>
      <c r="HV37" s="272"/>
      <c r="HW37" s="272"/>
      <c r="HX37" s="272"/>
      <c r="HY37" s="272"/>
      <c r="HZ37" s="272"/>
      <c r="IA37" s="272"/>
      <c r="IB37" s="272"/>
      <c r="IC37" s="272"/>
      <c r="ID37" s="272"/>
      <c r="IE37" s="272"/>
      <c r="IF37" s="272"/>
      <c r="IG37" s="272"/>
      <c r="IH37" s="272"/>
      <c r="II37" s="272"/>
      <c r="IJ37" s="272"/>
      <c r="IK37" s="272"/>
      <c r="IL37" s="272"/>
      <c r="IM37" s="272"/>
      <c r="IN37" s="272"/>
      <c r="IO37" s="272"/>
      <c r="IP37" s="272"/>
      <c r="IQ37" s="272"/>
      <c r="IR37" s="272"/>
    </row>
    <row r="38" spans="1:252" s="264" customFormat="1" ht="16.5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  <c r="GN38" s="272"/>
      <c r="GO38" s="272"/>
      <c r="GP38" s="272"/>
      <c r="GQ38" s="272"/>
      <c r="GR38" s="272"/>
      <c r="GS38" s="272"/>
      <c r="GT38" s="272"/>
      <c r="GU38" s="272"/>
      <c r="GV38" s="272"/>
      <c r="GW38" s="272"/>
      <c r="GX38" s="272"/>
      <c r="GY38" s="272"/>
      <c r="GZ38" s="272"/>
      <c r="HA38" s="272"/>
      <c r="HB38" s="272"/>
      <c r="HC38" s="272"/>
      <c r="HD38" s="272"/>
      <c r="HE38" s="272"/>
      <c r="HF38" s="272"/>
      <c r="HG38" s="272"/>
      <c r="HH38" s="272"/>
      <c r="HI38" s="272"/>
      <c r="HJ38" s="272"/>
      <c r="HK38" s="272"/>
      <c r="HL38" s="272"/>
      <c r="HM38" s="272"/>
      <c r="HN38" s="272"/>
      <c r="HO38" s="272"/>
      <c r="HP38" s="272"/>
      <c r="HQ38" s="272"/>
      <c r="HR38" s="272"/>
      <c r="HS38" s="272"/>
      <c r="HT38" s="272"/>
      <c r="HU38" s="272"/>
      <c r="HV38" s="272"/>
      <c r="HW38" s="272"/>
      <c r="HX38" s="272"/>
      <c r="HY38" s="272"/>
      <c r="HZ38" s="272"/>
      <c r="IA38" s="272"/>
      <c r="IB38" s="272"/>
      <c r="IC38" s="272"/>
      <c r="ID38" s="272"/>
      <c r="IE38" s="272"/>
      <c r="IF38" s="272"/>
      <c r="IG38" s="272"/>
      <c r="IH38" s="272"/>
      <c r="II38" s="272"/>
      <c r="IJ38" s="272"/>
      <c r="IK38" s="272"/>
      <c r="IL38" s="272"/>
      <c r="IM38" s="272"/>
      <c r="IN38" s="272"/>
      <c r="IO38" s="272"/>
      <c r="IP38" s="272"/>
      <c r="IQ38" s="272"/>
      <c r="IR38" s="272"/>
    </row>
    <row r="39" spans="1:252" s="264" customFormat="1" ht="16.5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  <c r="GN39" s="272"/>
      <c r="GO39" s="272"/>
      <c r="GP39" s="272"/>
      <c r="GQ39" s="272"/>
      <c r="GR39" s="272"/>
      <c r="GS39" s="272"/>
      <c r="GT39" s="272"/>
      <c r="GU39" s="272"/>
      <c r="GV39" s="272"/>
      <c r="GW39" s="272"/>
      <c r="GX39" s="272"/>
      <c r="GY39" s="272"/>
      <c r="GZ39" s="272"/>
      <c r="HA39" s="272"/>
      <c r="HB39" s="272"/>
      <c r="HC39" s="272"/>
      <c r="HD39" s="272"/>
      <c r="HE39" s="272"/>
      <c r="HF39" s="272"/>
      <c r="HG39" s="272"/>
      <c r="HH39" s="272"/>
      <c r="HI39" s="272"/>
      <c r="HJ39" s="272"/>
      <c r="HK39" s="272"/>
      <c r="HL39" s="272"/>
      <c r="HM39" s="272"/>
      <c r="HN39" s="272"/>
      <c r="HO39" s="272"/>
      <c r="HP39" s="272"/>
      <c r="HQ39" s="272"/>
      <c r="HR39" s="272"/>
      <c r="HS39" s="272"/>
      <c r="HT39" s="272"/>
      <c r="HU39" s="272"/>
      <c r="HV39" s="272"/>
      <c r="HW39" s="272"/>
      <c r="HX39" s="272"/>
      <c r="HY39" s="272"/>
      <c r="HZ39" s="272"/>
      <c r="IA39" s="272"/>
      <c r="IB39" s="272"/>
      <c r="IC39" s="272"/>
      <c r="ID39" s="272"/>
      <c r="IE39" s="272"/>
      <c r="IF39" s="272"/>
      <c r="IG39" s="272"/>
      <c r="IH39" s="272"/>
      <c r="II39" s="272"/>
      <c r="IJ39" s="272"/>
      <c r="IK39" s="272"/>
      <c r="IL39" s="272"/>
      <c r="IM39" s="272"/>
      <c r="IN39" s="272"/>
      <c r="IO39" s="272"/>
      <c r="IP39" s="272"/>
      <c r="IQ39" s="272"/>
      <c r="IR39" s="272"/>
    </row>
    <row r="40" spans="1:252" s="264" customFormat="1" ht="16.5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  <c r="GN40" s="272"/>
      <c r="GO40" s="272"/>
      <c r="GP40" s="272"/>
      <c r="GQ40" s="272"/>
      <c r="GR40" s="272"/>
      <c r="GS40" s="272"/>
      <c r="GT40" s="272"/>
      <c r="GU40" s="272"/>
      <c r="GV40" s="272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  <c r="HS40" s="272"/>
      <c r="HT40" s="272"/>
      <c r="HU40" s="272"/>
      <c r="HV40" s="272"/>
      <c r="HW40" s="272"/>
      <c r="HX40" s="272"/>
      <c r="HY40" s="272"/>
      <c r="HZ40" s="272"/>
      <c r="IA40" s="272"/>
      <c r="IB40" s="272"/>
      <c r="IC40" s="272"/>
      <c r="ID40" s="272"/>
      <c r="IE40" s="272"/>
      <c r="IF40" s="272"/>
      <c r="IG40" s="272"/>
      <c r="IH40" s="272"/>
      <c r="II40" s="272"/>
      <c r="IJ40" s="272"/>
      <c r="IK40" s="272"/>
      <c r="IL40" s="272"/>
      <c r="IM40" s="272"/>
      <c r="IN40" s="272"/>
      <c r="IO40" s="272"/>
      <c r="IP40" s="272"/>
      <c r="IQ40" s="272"/>
      <c r="IR40" s="272"/>
    </row>
    <row r="41" spans="1:252" s="264" customFormat="1" ht="16.5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  <c r="GN41" s="272"/>
      <c r="GO41" s="272"/>
      <c r="GP41" s="272"/>
      <c r="GQ41" s="272"/>
      <c r="GR41" s="272"/>
      <c r="GS41" s="272"/>
      <c r="GT41" s="272"/>
      <c r="GU41" s="272"/>
      <c r="GV41" s="272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  <c r="HS41" s="272"/>
      <c r="HT41" s="272"/>
      <c r="HU41" s="272"/>
      <c r="HV41" s="272"/>
      <c r="HW41" s="272"/>
      <c r="HX41" s="272"/>
      <c r="HY41" s="272"/>
      <c r="HZ41" s="272"/>
      <c r="IA41" s="272"/>
      <c r="IB41" s="272"/>
      <c r="IC41" s="272"/>
      <c r="ID41" s="272"/>
      <c r="IE41" s="272"/>
      <c r="IF41" s="272"/>
      <c r="IG41" s="272"/>
      <c r="IH41" s="272"/>
      <c r="II41" s="272"/>
      <c r="IJ41" s="272"/>
      <c r="IK41" s="272"/>
      <c r="IL41" s="272"/>
      <c r="IM41" s="272"/>
      <c r="IN41" s="272"/>
      <c r="IO41" s="272"/>
      <c r="IP41" s="272"/>
      <c r="IQ41" s="272"/>
      <c r="IR41" s="272"/>
    </row>
    <row r="42" spans="1:252" s="264" customFormat="1" ht="16.5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  <c r="GN42" s="272"/>
      <c r="GO42" s="272"/>
      <c r="GP42" s="272"/>
      <c r="GQ42" s="272"/>
      <c r="GR42" s="272"/>
      <c r="GS42" s="272"/>
      <c r="GT42" s="272"/>
      <c r="GU42" s="272"/>
      <c r="GV42" s="272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2"/>
      <c r="IG42" s="272"/>
      <c r="IH42" s="272"/>
      <c r="II42" s="272"/>
      <c r="IJ42" s="272"/>
      <c r="IK42" s="272"/>
      <c r="IL42" s="272"/>
      <c r="IM42" s="272"/>
      <c r="IN42" s="272"/>
      <c r="IO42" s="272"/>
      <c r="IP42" s="272"/>
      <c r="IQ42" s="272"/>
      <c r="IR42" s="272"/>
    </row>
    <row r="43" spans="1:252" s="264" customFormat="1" ht="16.5">
      <c r="A43" s="272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  <c r="GN43" s="272"/>
      <c r="GO43" s="272"/>
      <c r="GP43" s="272"/>
      <c r="GQ43" s="272"/>
      <c r="GR43" s="272"/>
      <c r="GS43" s="272"/>
      <c r="GT43" s="272"/>
      <c r="GU43" s="272"/>
      <c r="GV43" s="272"/>
      <c r="GW43" s="272"/>
      <c r="GX43" s="272"/>
      <c r="GY43" s="272"/>
      <c r="GZ43" s="272"/>
      <c r="HA43" s="272"/>
      <c r="HB43" s="272"/>
      <c r="HC43" s="272"/>
      <c r="HD43" s="272"/>
      <c r="HE43" s="272"/>
      <c r="HF43" s="272"/>
      <c r="HG43" s="272"/>
      <c r="HH43" s="272"/>
      <c r="HI43" s="272"/>
      <c r="HJ43" s="272"/>
      <c r="HK43" s="272"/>
      <c r="HL43" s="272"/>
      <c r="HM43" s="272"/>
      <c r="HN43" s="272"/>
      <c r="HO43" s="272"/>
      <c r="HP43" s="272"/>
      <c r="HQ43" s="272"/>
      <c r="HR43" s="272"/>
      <c r="HS43" s="272"/>
      <c r="HT43" s="272"/>
      <c r="HU43" s="272"/>
      <c r="HV43" s="272"/>
      <c r="HW43" s="272"/>
      <c r="HX43" s="272"/>
      <c r="HY43" s="272"/>
      <c r="HZ43" s="272"/>
      <c r="IA43" s="272"/>
      <c r="IB43" s="272"/>
      <c r="IC43" s="272"/>
      <c r="ID43" s="272"/>
      <c r="IE43" s="272"/>
      <c r="IF43" s="272"/>
      <c r="IG43" s="272"/>
      <c r="IH43" s="272"/>
      <c r="II43" s="272"/>
      <c r="IJ43" s="272"/>
      <c r="IK43" s="272"/>
      <c r="IL43" s="272"/>
      <c r="IM43" s="272"/>
      <c r="IN43" s="272"/>
      <c r="IO43" s="272"/>
      <c r="IP43" s="272"/>
      <c r="IQ43" s="272"/>
      <c r="IR43" s="272"/>
    </row>
    <row r="44" spans="1:252" s="264" customFormat="1" ht="16.5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  <c r="GN44" s="272"/>
      <c r="GO44" s="272"/>
      <c r="GP44" s="272"/>
      <c r="GQ44" s="272"/>
      <c r="GR44" s="272"/>
      <c r="GS44" s="272"/>
      <c r="GT44" s="272"/>
      <c r="GU44" s="272"/>
      <c r="GV44" s="272"/>
      <c r="GW44" s="272"/>
      <c r="GX44" s="272"/>
      <c r="GY44" s="272"/>
      <c r="GZ44" s="272"/>
      <c r="HA44" s="272"/>
      <c r="HB44" s="272"/>
      <c r="HC44" s="272"/>
      <c r="HD44" s="272"/>
      <c r="HE44" s="272"/>
      <c r="HF44" s="272"/>
      <c r="HG44" s="272"/>
      <c r="HH44" s="272"/>
      <c r="HI44" s="272"/>
      <c r="HJ44" s="272"/>
      <c r="HK44" s="272"/>
      <c r="HL44" s="272"/>
      <c r="HM44" s="272"/>
      <c r="HN44" s="272"/>
      <c r="HO44" s="272"/>
      <c r="HP44" s="272"/>
      <c r="HQ44" s="272"/>
      <c r="HR44" s="272"/>
      <c r="HS44" s="272"/>
      <c r="HT44" s="272"/>
      <c r="HU44" s="272"/>
      <c r="HV44" s="272"/>
      <c r="HW44" s="272"/>
      <c r="HX44" s="272"/>
      <c r="HY44" s="272"/>
      <c r="HZ44" s="272"/>
      <c r="IA44" s="272"/>
      <c r="IB44" s="272"/>
      <c r="IC44" s="272"/>
      <c r="ID44" s="272"/>
      <c r="IE44" s="272"/>
      <c r="IF44" s="272"/>
      <c r="IG44" s="272"/>
      <c r="IH44" s="272"/>
      <c r="II44" s="272"/>
      <c r="IJ44" s="272"/>
      <c r="IK44" s="272"/>
      <c r="IL44" s="272"/>
      <c r="IM44" s="272"/>
      <c r="IN44" s="272"/>
      <c r="IO44" s="272"/>
      <c r="IP44" s="272"/>
      <c r="IQ44" s="272"/>
      <c r="IR44" s="272"/>
    </row>
    <row r="45" spans="1:252" s="264" customFormat="1" ht="16.5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  <c r="GN45" s="272"/>
      <c r="GO45" s="272"/>
      <c r="GP45" s="272"/>
      <c r="GQ45" s="272"/>
      <c r="GR45" s="272"/>
      <c r="GS45" s="272"/>
      <c r="GT45" s="272"/>
      <c r="GU45" s="272"/>
      <c r="GV45" s="272"/>
      <c r="GW45" s="272"/>
      <c r="GX45" s="272"/>
      <c r="GY45" s="272"/>
      <c r="GZ45" s="272"/>
      <c r="HA45" s="272"/>
      <c r="HB45" s="272"/>
      <c r="HC45" s="272"/>
      <c r="HD45" s="272"/>
      <c r="HE45" s="272"/>
      <c r="HF45" s="272"/>
      <c r="HG45" s="272"/>
      <c r="HH45" s="272"/>
      <c r="HI45" s="272"/>
      <c r="HJ45" s="272"/>
      <c r="HK45" s="272"/>
      <c r="HL45" s="272"/>
      <c r="HM45" s="272"/>
      <c r="HN45" s="272"/>
      <c r="HO45" s="272"/>
      <c r="HP45" s="272"/>
      <c r="HQ45" s="272"/>
      <c r="HR45" s="272"/>
      <c r="HS45" s="272"/>
      <c r="HT45" s="272"/>
      <c r="HU45" s="272"/>
      <c r="HV45" s="272"/>
      <c r="HW45" s="272"/>
      <c r="HX45" s="272"/>
      <c r="HY45" s="272"/>
      <c r="HZ45" s="272"/>
      <c r="IA45" s="272"/>
      <c r="IB45" s="272"/>
      <c r="IC45" s="272"/>
      <c r="ID45" s="272"/>
      <c r="IE45" s="272"/>
      <c r="IF45" s="272"/>
      <c r="IG45" s="272"/>
      <c r="IH45" s="272"/>
      <c r="II45" s="272"/>
      <c r="IJ45" s="272"/>
      <c r="IK45" s="272"/>
      <c r="IL45" s="272"/>
      <c r="IM45" s="272"/>
      <c r="IN45" s="272"/>
      <c r="IO45" s="272"/>
      <c r="IP45" s="272"/>
      <c r="IQ45" s="272"/>
      <c r="IR45" s="272"/>
    </row>
    <row r="46" spans="1:252" s="264" customFormat="1" ht="16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  <c r="GN46" s="272"/>
      <c r="GO46" s="272"/>
      <c r="GP46" s="272"/>
      <c r="GQ46" s="272"/>
      <c r="GR46" s="272"/>
      <c r="GS46" s="272"/>
      <c r="GT46" s="272"/>
      <c r="GU46" s="272"/>
      <c r="GV46" s="272"/>
      <c r="GW46" s="272"/>
      <c r="GX46" s="272"/>
      <c r="GY46" s="272"/>
      <c r="GZ46" s="272"/>
      <c r="HA46" s="272"/>
      <c r="HB46" s="272"/>
      <c r="HC46" s="272"/>
      <c r="HD46" s="272"/>
      <c r="HE46" s="272"/>
      <c r="HF46" s="272"/>
      <c r="HG46" s="272"/>
      <c r="HH46" s="272"/>
      <c r="HI46" s="272"/>
      <c r="HJ46" s="272"/>
      <c r="HK46" s="272"/>
      <c r="HL46" s="272"/>
      <c r="HM46" s="272"/>
      <c r="HN46" s="272"/>
      <c r="HO46" s="272"/>
      <c r="HP46" s="272"/>
      <c r="HQ46" s="272"/>
      <c r="HR46" s="272"/>
      <c r="HS46" s="272"/>
      <c r="HT46" s="272"/>
      <c r="HU46" s="272"/>
      <c r="HV46" s="272"/>
      <c r="HW46" s="272"/>
      <c r="HX46" s="272"/>
      <c r="HY46" s="272"/>
      <c r="HZ46" s="272"/>
      <c r="IA46" s="272"/>
      <c r="IB46" s="272"/>
      <c r="IC46" s="272"/>
      <c r="ID46" s="272"/>
      <c r="IE46" s="272"/>
      <c r="IF46" s="272"/>
      <c r="IG46" s="272"/>
      <c r="IH46" s="272"/>
      <c r="II46" s="272"/>
      <c r="IJ46" s="272"/>
      <c r="IK46" s="272"/>
      <c r="IL46" s="272"/>
      <c r="IM46" s="272"/>
      <c r="IN46" s="272"/>
      <c r="IO46" s="272"/>
      <c r="IP46" s="272"/>
      <c r="IQ46" s="272"/>
      <c r="IR46" s="272"/>
    </row>
    <row r="47" spans="1:252" s="264" customFormat="1" ht="16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2"/>
      <c r="GO47" s="272"/>
      <c r="GP47" s="272"/>
      <c r="GQ47" s="272"/>
      <c r="GR47" s="272"/>
      <c r="GS47" s="272"/>
      <c r="GT47" s="272"/>
      <c r="GU47" s="272"/>
      <c r="GV47" s="272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72"/>
      <c r="IH47" s="272"/>
      <c r="II47" s="272"/>
      <c r="IJ47" s="272"/>
      <c r="IK47" s="272"/>
      <c r="IL47" s="272"/>
      <c r="IM47" s="272"/>
      <c r="IN47" s="272"/>
      <c r="IO47" s="272"/>
      <c r="IP47" s="272"/>
      <c r="IQ47" s="272"/>
      <c r="IR47" s="272"/>
    </row>
    <row r="48" spans="1:252" s="264" customFormat="1" ht="16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272"/>
      <c r="GS48" s="272"/>
      <c r="GT48" s="272"/>
      <c r="GU48" s="272"/>
      <c r="GV48" s="272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72"/>
      <c r="IH48" s="272"/>
      <c r="II48" s="272"/>
      <c r="IJ48" s="272"/>
      <c r="IK48" s="272"/>
      <c r="IL48" s="272"/>
      <c r="IM48" s="272"/>
      <c r="IN48" s="272"/>
      <c r="IO48" s="272"/>
      <c r="IP48" s="272"/>
      <c r="IQ48" s="272"/>
      <c r="IR48" s="272"/>
    </row>
    <row r="49" spans="1:252" s="264" customFormat="1" ht="16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272"/>
      <c r="GS49" s="272"/>
      <c r="GT49" s="272"/>
      <c r="GU49" s="272"/>
      <c r="GV49" s="272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72"/>
      <c r="IH49" s="272"/>
      <c r="II49" s="272"/>
      <c r="IJ49" s="272"/>
      <c r="IK49" s="272"/>
      <c r="IL49" s="272"/>
      <c r="IM49" s="272"/>
      <c r="IN49" s="272"/>
      <c r="IO49" s="272"/>
      <c r="IP49" s="272"/>
      <c r="IQ49" s="272"/>
      <c r="IR49" s="272"/>
    </row>
    <row r="50" spans="1:252" s="264" customFormat="1" ht="16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2"/>
      <c r="GO50" s="272"/>
      <c r="GP50" s="272"/>
      <c r="GQ50" s="272"/>
      <c r="GR50" s="272"/>
      <c r="GS50" s="272"/>
      <c r="GT50" s="272"/>
      <c r="GU50" s="272"/>
      <c r="GV50" s="272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72"/>
      <c r="IH50" s="272"/>
      <c r="II50" s="272"/>
      <c r="IJ50" s="272"/>
      <c r="IK50" s="272"/>
      <c r="IL50" s="272"/>
      <c r="IM50" s="272"/>
      <c r="IN50" s="272"/>
      <c r="IO50" s="272"/>
      <c r="IP50" s="272"/>
      <c r="IQ50" s="272"/>
      <c r="IR50" s="272"/>
    </row>
    <row r="51" spans="1:252" s="264" customFormat="1" ht="16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2"/>
      <c r="GO51" s="272"/>
      <c r="GP51" s="272"/>
      <c r="GQ51" s="272"/>
      <c r="GR51" s="272"/>
      <c r="GS51" s="272"/>
      <c r="GT51" s="272"/>
      <c r="GU51" s="272"/>
      <c r="GV51" s="272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72"/>
      <c r="IH51" s="272"/>
      <c r="II51" s="272"/>
      <c r="IJ51" s="272"/>
      <c r="IK51" s="272"/>
      <c r="IL51" s="272"/>
      <c r="IM51" s="272"/>
      <c r="IN51" s="272"/>
      <c r="IO51" s="272"/>
      <c r="IP51" s="272"/>
      <c r="IQ51" s="272"/>
      <c r="IR51" s="272"/>
    </row>
    <row r="52" spans="1:252" s="264" customFormat="1" ht="16.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72"/>
      <c r="IH52" s="272"/>
      <c r="II52" s="272"/>
      <c r="IJ52" s="272"/>
      <c r="IK52" s="272"/>
      <c r="IL52" s="272"/>
      <c r="IM52" s="272"/>
      <c r="IN52" s="272"/>
      <c r="IO52" s="272"/>
      <c r="IP52" s="272"/>
      <c r="IQ52" s="272"/>
      <c r="IR52" s="272"/>
    </row>
    <row r="53" spans="1:252" s="264" customFormat="1" ht="16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  <c r="GN53" s="272"/>
      <c r="GO53" s="272"/>
      <c r="GP53" s="272"/>
      <c r="GQ53" s="272"/>
      <c r="GR53" s="272"/>
      <c r="GS53" s="272"/>
      <c r="GT53" s="272"/>
      <c r="GU53" s="272"/>
      <c r="GV53" s="272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  <c r="HS53" s="272"/>
      <c r="HT53" s="272"/>
      <c r="HU53" s="272"/>
      <c r="HV53" s="272"/>
      <c r="HW53" s="272"/>
      <c r="HX53" s="272"/>
      <c r="HY53" s="272"/>
      <c r="HZ53" s="272"/>
      <c r="IA53" s="272"/>
      <c r="IB53" s="272"/>
      <c r="IC53" s="272"/>
      <c r="ID53" s="272"/>
      <c r="IE53" s="272"/>
      <c r="IF53" s="272"/>
      <c r="IG53" s="272"/>
      <c r="IH53" s="272"/>
      <c r="II53" s="272"/>
      <c r="IJ53" s="272"/>
      <c r="IK53" s="272"/>
      <c r="IL53" s="272"/>
      <c r="IM53" s="272"/>
      <c r="IN53" s="272"/>
      <c r="IO53" s="272"/>
      <c r="IP53" s="272"/>
      <c r="IQ53" s="272"/>
      <c r="IR53" s="272"/>
    </row>
    <row r="54" spans="1:252" s="264" customFormat="1" ht="16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  <c r="GN54" s="272"/>
      <c r="GO54" s="272"/>
      <c r="GP54" s="272"/>
      <c r="GQ54" s="272"/>
      <c r="GR54" s="272"/>
      <c r="GS54" s="272"/>
      <c r="GT54" s="272"/>
      <c r="GU54" s="272"/>
      <c r="GV54" s="272"/>
      <c r="GW54" s="272"/>
      <c r="GX54" s="272"/>
      <c r="GY54" s="272"/>
      <c r="GZ54" s="272"/>
      <c r="HA54" s="272"/>
      <c r="HB54" s="272"/>
      <c r="HC54" s="272"/>
      <c r="HD54" s="272"/>
      <c r="HE54" s="272"/>
      <c r="HF54" s="272"/>
      <c r="HG54" s="272"/>
      <c r="HH54" s="272"/>
      <c r="HI54" s="272"/>
      <c r="HJ54" s="272"/>
      <c r="HK54" s="272"/>
      <c r="HL54" s="272"/>
      <c r="HM54" s="272"/>
      <c r="HN54" s="272"/>
      <c r="HO54" s="272"/>
      <c r="HP54" s="272"/>
      <c r="HQ54" s="272"/>
      <c r="HR54" s="272"/>
      <c r="HS54" s="272"/>
      <c r="HT54" s="272"/>
      <c r="HU54" s="272"/>
      <c r="HV54" s="272"/>
      <c r="HW54" s="272"/>
      <c r="HX54" s="272"/>
      <c r="HY54" s="272"/>
      <c r="HZ54" s="272"/>
      <c r="IA54" s="272"/>
      <c r="IB54" s="272"/>
      <c r="IC54" s="272"/>
      <c r="ID54" s="272"/>
      <c r="IE54" s="272"/>
      <c r="IF54" s="272"/>
      <c r="IG54" s="272"/>
      <c r="IH54" s="272"/>
      <c r="II54" s="272"/>
      <c r="IJ54" s="272"/>
      <c r="IK54" s="272"/>
      <c r="IL54" s="272"/>
      <c r="IM54" s="272"/>
      <c r="IN54" s="272"/>
      <c r="IO54" s="272"/>
      <c r="IP54" s="272"/>
      <c r="IQ54" s="272"/>
      <c r="IR54" s="272"/>
    </row>
    <row r="55" spans="1:252" s="264" customFormat="1" ht="16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  <c r="GN55" s="272"/>
      <c r="GO55" s="272"/>
      <c r="GP55" s="272"/>
      <c r="GQ55" s="272"/>
      <c r="GR55" s="272"/>
      <c r="GS55" s="272"/>
      <c r="GT55" s="272"/>
      <c r="GU55" s="272"/>
      <c r="GV55" s="272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  <c r="HS55" s="272"/>
      <c r="HT55" s="272"/>
      <c r="HU55" s="272"/>
      <c r="HV55" s="272"/>
      <c r="HW55" s="272"/>
      <c r="HX55" s="272"/>
      <c r="HY55" s="272"/>
      <c r="HZ55" s="272"/>
      <c r="IA55" s="272"/>
      <c r="IB55" s="272"/>
      <c r="IC55" s="272"/>
      <c r="ID55" s="272"/>
      <c r="IE55" s="272"/>
      <c r="IF55" s="272"/>
      <c r="IG55" s="272"/>
      <c r="IH55" s="272"/>
      <c r="II55" s="272"/>
      <c r="IJ55" s="272"/>
      <c r="IK55" s="272"/>
      <c r="IL55" s="272"/>
      <c r="IM55" s="272"/>
      <c r="IN55" s="272"/>
      <c r="IO55" s="272"/>
      <c r="IP55" s="272"/>
      <c r="IQ55" s="272"/>
      <c r="IR55" s="272"/>
    </row>
    <row r="56" spans="1:252" s="264" customFormat="1" ht="16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  <c r="GN56" s="272"/>
      <c r="GO56" s="272"/>
      <c r="GP56" s="272"/>
      <c r="GQ56" s="272"/>
      <c r="GR56" s="272"/>
      <c r="GS56" s="272"/>
      <c r="GT56" s="272"/>
      <c r="GU56" s="272"/>
      <c r="GV56" s="272"/>
      <c r="GW56" s="272"/>
      <c r="GX56" s="272"/>
      <c r="GY56" s="272"/>
      <c r="GZ56" s="272"/>
      <c r="HA56" s="272"/>
      <c r="HB56" s="272"/>
      <c r="HC56" s="272"/>
      <c r="HD56" s="272"/>
      <c r="HE56" s="272"/>
      <c r="HF56" s="272"/>
      <c r="HG56" s="272"/>
      <c r="HH56" s="272"/>
      <c r="HI56" s="272"/>
      <c r="HJ56" s="272"/>
      <c r="HK56" s="272"/>
      <c r="HL56" s="272"/>
      <c r="HM56" s="272"/>
      <c r="HN56" s="272"/>
      <c r="HO56" s="272"/>
      <c r="HP56" s="272"/>
      <c r="HQ56" s="272"/>
      <c r="HR56" s="272"/>
      <c r="HS56" s="272"/>
      <c r="HT56" s="272"/>
      <c r="HU56" s="272"/>
      <c r="HV56" s="272"/>
      <c r="HW56" s="272"/>
      <c r="HX56" s="272"/>
      <c r="HY56" s="272"/>
      <c r="HZ56" s="272"/>
      <c r="IA56" s="272"/>
      <c r="IB56" s="272"/>
      <c r="IC56" s="272"/>
      <c r="ID56" s="272"/>
      <c r="IE56" s="272"/>
      <c r="IF56" s="272"/>
      <c r="IG56" s="272"/>
      <c r="IH56" s="272"/>
      <c r="II56" s="272"/>
      <c r="IJ56" s="272"/>
      <c r="IK56" s="272"/>
      <c r="IL56" s="272"/>
      <c r="IM56" s="272"/>
      <c r="IN56" s="272"/>
      <c r="IO56" s="272"/>
      <c r="IP56" s="272"/>
      <c r="IQ56" s="272"/>
      <c r="IR56" s="272"/>
    </row>
    <row r="57" spans="1:252" s="264" customFormat="1" ht="16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  <c r="GN57" s="272"/>
      <c r="GO57" s="272"/>
      <c r="GP57" s="272"/>
      <c r="GQ57" s="272"/>
      <c r="GR57" s="272"/>
      <c r="GS57" s="272"/>
      <c r="GT57" s="272"/>
      <c r="GU57" s="272"/>
      <c r="GV57" s="272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  <c r="HS57" s="272"/>
      <c r="HT57" s="272"/>
      <c r="HU57" s="272"/>
      <c r="HV57" s="272"/>
      <c r="HW57" s="272"/>
      <c r="HX57" s="272"/>
      <c r="HY57" s="272"/>
      <c r="HZ57" s="272"/>
      <c r="IA57" s="272"/>
      <c r="IB57" s="272"/>
      <c r="IC57" s="272"/>
      <c r="ID57" s="272"/>
      <c r="IE57" s="272"/>
      <c r="IF57" s="272"/>
      <c r="IG57" s="272"/>
      <c r="IH57" s="272"/>
      <c r="II57" s="272"/>
      <c r="IJ57" s="272"/>
      <c r="IK57" s="272"/>
      <c r="IL57" s="272"/>
      <c r="IM57" s="272"/>
      <c r="IN57" s="272"/>
      <c r="IO57" s="272"/>
      <c r="IP57" s="272"/>
      <c r="IQ57" s="272"/>
      <c r="IR57" s="272"/>
    </row>
    <row r="58" spans="1:252" s="264" customFormat="1" ht="16.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  <c r="GN58" s="272"/>
      <c r="GO58" s="272"/>
      <c r="GP58" s="272"/>
      <c r="GQ58" s="272"/>
      <c r="GR58" s="272"/>
      <c r="GS58" s="272"/>
      <c r="GT58" s="272"/>
      <c r="GU58" s="272"/>
      <c r="GV58" s="272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  <c r="HS58" s="272"/>
      <c r="HT58" s="272"/>
      <c r="HU58" s="272"/>
      <c r="HV58" s="272"/>
      <c r="HW58" s="272"/>
      <c r="HX58" s="272"/>
      <c r="HY58" s="272"/>
      <c r="HZ58" s="272"/>
      <c r="IA58" s="272"/>
      <c r="IB58" s="272"/>
      <c r="IC58" s="272"/>
      <c r="ID58" s="272"/>
      <c r="IE58" s="272"/>
      <c r="IF58" s="272"/>
      <c r="IG58" s="272"/>
      <c r="IH58" s="272"/>
      <c r="II58" s="272"/>
      <c r="IJ58" s="272"/>
      <c r="IK58" s="272"/>
      <c r="IL58" s="272"/>
      <c r="IM58" s="272"/>
      <c r="IN58" s="272"/>
      <c r="IO58" s="272"/>
      <c r="IP58" s="272"/>
      <c r="IQ58" s="272"/>
      <c r="IR58" s="272"/>
    </row>
    <row r="59" spans="1:252" s="264" customFormat="1" ht="16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  <c r="GN59" s="272"/>
      <c r="GO59" s="272"/>
      <c r="GP59" s="272"/>
      <c r="GQ59" s="272"/>
      <c r="GR59" s="272"/>
      <c r="GS59" s="272"/>
      <c r="GT59" s="272"/>
      <c r="GU59" s="272"/>
      <c r="GV59" s="272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  <c r="HS59" s="272"/>
      <c r="HT59" s="272"/>
      <c r="HU59" s="272"/>
      <c r="HV59" s="272"/>
      <c r="HW59" s="272"/>
      <c r="HX59" s="272"/>
      <c r="HY59" s="272"/>
      <c r="HZ59" s="272"/>
      <c r="IA59" s="272"/>
      <c r="IB59" s="272"/>
      <c r="IC59" s="272"/>
      <c r="ID59" s="272"/>
      <c r="IE59" s="272"/>
      <c r="IF59" s="272"/>
      <c r="IG59" s="272"/>
      <c r="IH59" s="272"/>
      <c r="II59" s="272"/>
      <c r="IJ59" s="272"/>
      <c r="IK59" s="272"/>
      <c r="IL59" s="272"/>
      <c r="IM59" s="272"/>
      <c r="IN59" s="272"/>
      <c r="IO59" s="272"/>
      <c r="IP59" s="272"/>
      <c r="IQ59" s="272"/>
      <c r="IR59" s="272"/>
    </row>
    <row r="60" spans="1:252" s="264" customFormat="1" ht="16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2"/>
      <c r="GO60" s="272"/>
      <c r="GP60" s="272"/>
      <c r="GQ60" s="272"/>
      <c r="GR60" s="272"/>
      <c r="GS60" s="272"/>
      <c r="GT60" s="272"/>
      <c r="GU60" s="272"/>
      <c r="GV60" s="272"/>
      <c r="GW60" s="272"/>
      <c r="GX60" s="272"/>
      <c r="GY60" s="272"/>
      <c r="GZ60" s="272"/>
      <c r="HA60" s="272"/>
      <c r="HB60" s="272"/>
      <c r="HC60" s="272"/>
      <c r="HD60" s="272"/>
      <c r="HE60" s="272"/>
      <c r="HF60" s="272"/>
      <c r="HG60" s="272"/>
      <c r="HH60" s="272"/>
      <c r="HI60" s="272"/>
      <c r="HJ60" s="272"/>
      <c r="HK60" s="272"/>
      <c r="HL60" s="272"/>
      <c r="HM60" s="272"/>
      <c r="HN60" s="272"/>
      <c r="HO60" s="272"/>
      <c r="HP60" s="272"/>
      <c r="HQ60" s="272"/>
      <c r="HR60" s="272"/>
      <c r="HS60" s="272"/>
      <c r="HT60" s="272"/>
      <c r="HU60" s="272"/>
      <c r="HV60" s="272"/>
      <c r="HW60" s="272"/>
      <c r="HX60" s="272"/>
      <c r="HY60" s="272"/>
      <c r="HZ60" s="272"/>
      <c r="IA60" s="272"/>
      <c r="IB60" s="272"/>
      <c r="IC60" s="272"/>
      <c r="ID60" s="272"/>
      <c r="IE60" s="272"/>
      <c r="IF60" s="272"/>
      <c r="IG60" s="272"/>
      <c r="IH60" s="272"/>
      <c r="II60" s="272"/>
      <c r="IJ60" s="272"/>
      <c r="IK60" s="272"/>
      <c r="IL60" s="272"/>
      <c r="IM60" s="272"/>
      <c r="IN60" s="272"/>
      <c r="IO60" s="272"/>
      <c r="IP60" s="272"/>
      <c r="IQ60" s="272"/>
      <c r="IR60" s="272"/>
    </row>
    <row r="61" spans="1:252" s="264" customFormat="1" ht="16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72"/>
      <c r="IH61" s="272"/>
      <c r="II61" s="272"/>
      <c r="IJ61" s="272"/>
      <c r="IK61" s="272"/>
      <c r="IL61" s="272"/>
      <c r="IM61" s="272"/>
      <c r="IN61" s="272"/>
      <c r="IO61" s="272"/>
      <c r="IP61" s="272"/>
      <c r="IQ61" s="272"/>
      <c r="IR61" s="272"/>
    </row>
    <row r="62" spans="1:252" s="264" customFormat="1" ht="16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  <c r="HS62" s="272"/>
      <c r="HT62" s="272"/>
      <c r="HU62" s="272"/>
      <c r="HV62" s="272"/>
      <c r="HW62" s="272"/>
      <c r="HX62" s="272"/>
      <c r="HY62" s="272"/>
      <c r="HZ62" s="272"/>
      <c r="IA62" s="272"/>
      <c r="IB62" s="272"/>
      <c r="IC62" s="272"/>
      <c r="ID62" s="272"/>
      <c r="IE62" s="272"/>
      <c r="IF62" s="272"/>
      <c r="IG62" s="272"/>
      <c r="IH62" s="272"/>
      <c r="II62" s="272"/>
      <c r="IJ62" s="272"/>
      <c r="IK62" s="272"/>
      <c r="IL62" s="272"/>
      <c r="IM62" s="272"/>
      <c r="IN62" s="272"/>
      <c r="IO62" s="272"/>
      <c r="IP62" s="272"/>
      <c r="IQ62" s="272"/>
      <c r="IR62" s="272"/>
    </row>
    <row r="63" spans="1:252" s="264" customFormat="1" ht="16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72"/>
      <c r="FV63" s="272"/>
      <c r="FW63" s="272"/>
      <c r="FX63" s="272"/>
      <c r="FY63" s="272"/>
      <c r="FZ63" s="272"/>
      <c r="GA63" s="272"/>
      <c r="GB63" s="272"/>
      <c r="GC63" s="272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2"/>
      <c r="GO63" s="272"/>
      <c r="GP63" s="272"/>
      <c r="GQ63" s="272"/>
      <c r="GR63" s="272"/>
      <c r="GS63" s="272"/>
      <c r="GT63" s="272"/>
      <c r="GU63" s="272"/>
      <c r="GV63" s="272"/>
      <c r="GW63" s="272"/>
      <c r="GX63" s="272"/>
      <c r="GY63" s="272"/>
      <c r="GZ63" s="272"/>
      <c r="HA63" s="272"/>
      <c r="HB63" s="272"/>
      <c r="HC63" s="272"/>
      <c r="HD63" s="272"/>
      <c r="HE63" s="272"/>
      <c r="HF63" s="272"/>
      <c r="HG63" s="272"/>
      <c r="HH63" s="272"/>
      <c r="HI63" s="272"/>
      <c r="HJ63" s="272"/>
      <c r="HK63" s="272"/>
      <c r="HL63" s="272"/>
      <c r="HM63" s="272"/>
      <c r="HN63" s="272"/>
      <c r="HO63" s="272"/>
      <c r="HP63" s="272"/>
      <c r="HQ63" s="272"/>
      <c r="HR63" s="272"/>
      <c r="HS63" s="272"/>
      <c r="HT63" s="272"/>
      <c r="HU63" s="272"/>
      <c r="HV63" s="272"/>
      <c r="HW63" s="272"/>
      <c r="HX63" s="272"/>
      <c r="HY63" s="272"/>
      <c r="HZ63" s="272"/>
      <c r="IA63" s="272"/>
      <c r="IB63" s="272"/>
      <c r="IC63" s="272"/>
      <c r="ID63" s="272"/>
      <c r="IE63" s="272"/>
      <c r="IF63" s="272"/>
      <c r="IG63" s="272"/>
      <c r="IH63" s="272"/>
      <c r="II63" s="272"/>
      <c r="IJ63" s="272"/>
      <c r="IK63" s="272"/>
      <c r="IL63" s="272"/>
      <c r="IM63" s="272"/>
      <c r="IN63" s="272"/>
      <c r="IO63" s="272"/>
      <c r="IP63" s="272"/>
      <c r="IQ63" s="272"/>
      <c r="IR63" s="272"/>
    </row>
    <row r="64" spans="1:252" s="264" customFormat="1" ht="16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2"/>
      <c r="GO64" s="272"/>
      <c r="GP64" s="272"/>
      <c r="GQ64" s="272"/>
      <c r="GR64" s="272"/>
      <c r="GS64" s="272"/>
      <c r="GT64" s="272"/>
      <c r="GU64" s="272"/>
      <c r="GV64" s="272"/>
      <c r="GW64" s="272"/>
      <c r="GX64" s="272"/>
      <c r="GY64" s="272"/>
      <c r="GZ64" s="272"/>
      <c r="HA64" s="272"/>
      <c r="HB64" s="272"/>
      <c r="HC64" s="272"/>
      <c r="HD64" s="272"/>
      <c r="HE64" s="272"/>
      <c r="HF64" s="272"/>
      <c r="HG64" s="272"/>
      <c r="HH64" s="272"/>
      <c r="HI64" s="272"/>
      <c r="HJ64" s="272"/>
      <c r="HK64" s="272"/>
      <c r="HL64" s="272"/>
      <c r="HM64" s="272"/>
      <c r="HN64" s="272"/>
      <c r="HO64" s="272"/>
      <c r="HP64" s="272"/>
      <c r="HQ64" s="272"/>
      <c r="HR64" s="272"/>
      <c r="HS64" s="272"/>
      <c r="HT64" s="272"/>
      <c r="HU64" s="272"/>
      <c r="HV64" s="272"/>
      <c r="HW64" s="272"/>
      <c r="HX64" s="272"/>
      <c r="HY64" s="272"/>
      <c r="HZ64" s="272"/>
      <c r="IA64" s="272"/>
      <c r="IB64" s="272"/>
      <c r="IC64" s="272"/>
      <c r="ID64" s="272"/>
      <c r="IE64" s="272"/>
      <c r="IF64" s="272"/>
      <c r="IG64" s="272"/>
      <c r="IH64" s="272"/>
      <c r="II64" s="272"/>
      <c r="IJ64" s="272"/>
      <c r="IK64" s="272"/>
      <c r="IL64" s="272"/>
      <c r="IM64" s="272"/>
      <c r="IN64" s="272"/>
      <c r="IO64" s="272"/>
      <c r="IP64" s="272"/>
      <c r="IQ64" s="272"/>
      <c r="IR64" s="272"/>
    </row>
    <row r="65" spans="1:252" s="264" customFormat="1" ht="16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  <c r="GN65" s="272"/>
      <c r="GO65" s="272"/>
      <c r="GP65" s="272"/>
      <c r="GQ65" s="272"/>
      <c r="GR65" s="272"/>
      <c r="GS65" s="272"/>
      <c r="GT65" s="272"/>
      <c r="GU65" s="272"/>
      <c r="GV65" s="272"/>
      <c r="GW65" s="272"/>
      <c r="GX65" s="272"/>
      <c r="GY65" s="272"/>
      <c r="GZ65" s="272"/>
      <c r="HA65" s="272"/>
      <c r="HB65" s="272"/>
      <c r="HC65" s="272"/>
      <c r="HD65" s="272"/>
      <c r="HE65" s="272"/>
      <c r="HF65" s="272"/>
      <c r="HG65" s="272"/>
      <c r="HH65" s="272"/>
      <c r="HI65" s="272"/>
      <c r="HJ65" s="272"/>
      <c r="HK65" s="272"/>
      <c r="HL65" s="272"/>
      <c r="HM65" s="272"/>
      <c r="HN65" s="272"/>
      <c r="HO65" s="272"/>
      <c r="HP65" s="272"/>
      <c r="HQ65" s="272"/>
      <c r="HR65" s="272"/>
      <c r="HS65" s="272"/>
      <c r="HT65" s="272"/>
      <c r="HU65" s="272"/>
      <c r="HV65" s="272"/>
      <c r="HW65" s="272"/>
      <c r="HX65" s="272"/>
      <c r="HY65" s="272"/>
      <c r="HZ65" s="272"/>
      <c r="IA65" s="272"/>
      <c r="IB65" s="272"/>
      <c r="IC65" s="272"/>
      <c r="ID65" s="272"/>
      <c r="IE65" s="272"/>
      <c r="IF65" s="272"/>
      <c r="IG65" s="272"/>
      <c r="IH65" s="272"/>
      <c r="II65" s="272"/>
      <c r="IJ65" s="272"/>
      <c r="IK65" s="272"/>
      <c r="IL65" s="272"/>
      <c r="IM65" s="272"/>
      <c r="IN65" s="272"/>
      <c r="IO65" s="272"/>
      <c r="IP65" s="272"/>
      <c r="IQ65" s="272"/>
      <c r="IR65" s="272"/>
    </row>
    <row r="66" spans="1:252" s="264" customFormat="1" ht="16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  <c r="GN66" s="272"/>
      <c r="GO66" s="272"/>
      <c r="GP66" s="272"/>
      <c r="GQ66" s="272"/>
      <c r="GR66" s="272"/>
      <c r="GS66" s="272"/>
      <c r="GT66" s="272"/>
      <c r="GU66" s="272"/>
      <c r="GV66" s="272"/>
      <c r="GW66" s="272"/>
      <c r="GX66" s="272"/>
      <c r="GY66" s="272"/>
      <c r="GZ66" s="272"/>
      <c r="HA66" s="272"/>
      <c r="HB66" s="272"/>
      <c r="HC66" s="272"/>
      <c r="HD66" s="272"/>
      <c r="HE66" s="272"/>
      <c r="HF66" s="272"/>
      <c r="HG66" s="272"/>
      <c r="HH66" s="272"/>
      <c r="HI66" s="272"/>
      <c r="HJ66" s="272"/>
      <c r="HK66" s="272"/>
      <c r="HL66" s="272"/>
      <c r="HM66" s="272"/>
      <c r="HN66" s="272"/>
      <c r="HO66" s="272"/>
      <c r="HP66" s="272"/>
      <c r="HQ66" s="272"/>
      <c r="HR66" s="272"/>
      <c r="HS66" s="272"/>
      <c r="HT66" s="272"/>
      <c r="HU66" s="272"/>
      <c r="HV66" s="272"/>
      <c r="HW66" s="272"/>
      <c r="HX66" s="272"/>
      <c r="HY66" s="272"/>
      <c r="HZ66" s="272"/>
      <c r="IA66" s="272"/>
      <c r="IB66" s="272"/>
      <c r="IC66" s="272"/>
      <c r="ID66" s="272"/>
      <c r="IE66" s="272"/>
      <c r="IF66" s="272"/>
      <c r="IG66" s="272"/>
      <c r="IH66" s="272"/>
      <c r="II66" s="272"/>
      <c r="IJ66" s="272"/>
      <c r="IK66" s="272"/>
      <c r="IL66" s="272"/>
      <c r="IM66" s="272"/>
      <c r="IN66" s="272"/>
      <c r="IO66" s="272"/>
      <c r="IP66" s="272"/>
      <c r="IQ66" s="272"/>
      <c r="IR66" s="272"/>
    </row>
    <row r="67" spans="1:252" s="264" customFormat="1" ht="16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  <c r="GN67" s="272"/>
      <c r="GO67" s="272"/>
      <c r="GP67" s="272"/>
      <c r="GQ67" s="272"/>
      <c r="GR67" s="272"/>
      <c r="GS67" s="272"/>
      <c r="GT67" s="272"/>
      <c r="GU67" s="272"/>
      <c r="GV67" s="272"/>
      <c r="GW67" s="272"/>
      <c r="GX67" s="272"/>
      <c r="GY67" s="272"/>
      <c r="GZ67" s="272"/>
      <c r="HA67" s="272"/>
      <c r="HB67" s="272"/>
      <c r="HC67" s="272"/>
      <c r="HD67" s="272"/>
      <c r="HE67" s="272"/>
      <c r="HF67" s="272"/>
      <c r="HG67" s="272"/>
      <c r="HH67" s="272"/>
      <c r="HI67" s="272"/>
      <c r="HJ67" s="272"/>
      <c r="HK67" s="272"/>
      <c r="HL67" s="272"/>
      <c r="HM67" s="272"/>
      <c r="HN67" s="272"/>
      <c r="HO67" s="272"/>
      <c r="HP67" s="272"/>
      <c r="HQ67" s="272"/>
      <c r="HR67" s="272"/>
      <c r="HS67" s="272"/>
      <c r="HT67" s="272"/>
      <c r="HU67" s="272"/>
      <c r="HV67" s="272"/>
      <c r="HW67" s="272"/>
      <c r="HX67" s="272"/>
      <c r="HY67" s="272"/>
      <c r="HZ67" s="272"/>
      <c r="IA67" s="272"/>
      <c r="IB67" s="272"/>
      <c r="IC67" s="272"/>
      <c r="ID67" s="272"/>
      <c r="IE67" s="272"/>
      <c r="IF67" s="272"/>
      <c r="IG67" s="272"/>
      <c r="IH67" s="272"/>
      <c r="II67" s="272"/>
      <c r="IJ67" s="272"/>
      <c r="IK67" s="272"/>
      <c r="IL67" s="272"/>
      <c r="IM67" s="272"/>
      <c r="IN67" s="272"/>
      <c r="IO67" s="272"/>
      <c r="IP67" s="272"/>
      <c r="IQ67" s="272"/>
      <c r="IR67" s="272"/>
    </row>
    <row r="68" spans="1:252" s="264" customFormat="1" ht="16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  <c r="GN68" s="272"/>
      <c r="GO68" s="272"/>
      <c r="GP68" s="272"/>
      <c r="GQ68" s="272"/>
      <c r="GR68" s="272"/>
      <c r="GS68" s="272"/>
      <c r="GT68" s="272"/>
      <c r="GU68" s="272"/>
      <c r="GV68" s="272"/>
      <c r="GW68" s="272"/>
      <c r="GX68" s="272"/>
      <c r="GY68" s="272"/>
      <c r="GZ68" s="272"/>
      <c r="HA68" s="272"/>
      <c r="HB68" s="272"/>
      <c r="HC68" s="272"/>
      <c r="HD68" s="272"/>
      <c r="HE68" s="272"/>
      <c r="HF68" s="272"/>
      <c r="HG68" s="272"/>
      <c r="HH68" s="272"/>
      <c r="HI68" s="272"/>
      <c r="HJ68" s="272"/>
      <c r="HK68" s="272"/>
      <c r="HL68" s="272"/>
      <c r="HM68" s="272"/>
      <c r="HN68" s="272"/>
      <c r="HO68" s="272"/>
      <c r="HP68" s="272"/>
      <c r="HQ68" s="272"/>
      <c r="HR68" s="272"/>
      <c r="HS68" s="272"/>
      <c r="HT68" s="272"/>
      <c r="HU68" s="272"/>
      <c r="HV68" s="272"/>
      <c r="HW68" s="272"/>
      <c r="HX68" s="272"/>
      <c r="HY68" s="272"/>
      <c r="HZ68" s="272"/>
      <c r="IA68" s="272"/>
      <c r="IB68" s="272"/>
      <c r="IC68" s="272"/>
      <c r="ID68" s="272"/>
      <c r="IE68" s="272"/>
      <c r="IF68" s="272"/>
      <c r="IG68" s="272"/>
      <c r="IH68" s="272"/>
      <c r="II68" s="272"/>
      <c r="IJ68" s="272"/>
      <c r="IK68" s="272"/>
      <c r="IL68" s="272"/>
      <c r="IM68" s="272"/>
      <c r="IN68" s="272"/>
      <c r="IO68" s="272"/>
      <c r="IP68" s="272"/>
      <c r="IQ68" s="272"/>
      <c r="IR68" s="272"/>
    </row>
    <row r="69" spans="1:252" s="264" customFormat="1" ht="16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  <c r="GN69" s="272"/>
      <c r="GO69" s="272"/>
      <c r="GP69" s="272"/>
      <c r="GQ69" s="272"/>
      <c r="GR69" s="272"/>
      <c r="GS69" s="272"/>
      <c r="GT69" s="272"/>
      <c r="GU69" s="272"/>
      <c r="GV69" s="272"/>
      <c r="GW69" s="272"/>
      <c r="GX69" s="272"/>
      <c r="GY69" s="272"/>
      <c r="GZ69" s="272"/>
      <c r="HA69" s="272"/>
      <c r="HB69" s="272"/>
      <c r="HC69" s="272"/>
      <c r="HD69" s="272"/>
      <c r="HE69" s="272"/>
      <c r="HF69" s="272"/>
      <c r="HG69" s="272"/>
      <c r="HH69" s="272"/>
      <c r="HI69" s="272"/>
      <c r="HJ69" s="272"/>
      <c r="HK69" s="272"/>
      <c r="HL69" s="272"/>
      <c r="HM69" s="272"/>
      <c r="HN69" s="272"/>
      <c r="HO69" s="272"/>
      <c r="HP69" s="272"/>
      <c r="HQ69" s="272"/>
      <c r="HR69" s="272"/>
      <c r="HS69" s="272"/>
      <c r="HT69" s="272"/>
      <c r="HU69" s="272"/>
      <c r="HV69" s="272"/>
      <c r="HW69" s="272"/>
      <c r="HX69" s="272"/>
      <c r="HY69" s="272"/>
      <c r="HZ69" s="272"/>
      <c r="IA69" s="272"/>
      <c r="IB69" s="272"/>
      <c r="IC69" s="272"/>
      <c r="ID69" s="272"/>
      <c r="IE69" s="272"/>
      <c r="IF69" s="272"/>
      <c r="IG69" s="272"/>
      <c r="IH69" s="272"/>
      <c r="II69" s="272"/>
      <c r="IJ69" s="272"/>
      <c r="IK69" s="272"/>
      <c r="IL69" s="272"/>
      <c r="IM69" s="272"/>
      <c r="IN69" s="272"/>
      <c r="IO69" s="272"/>
      <c r="IP69" s="272"/>
      <c r="IQ69" s="272"/>
      <c r="IR69" s="272"/>
    </row>
    <row r="70" spans="1:252" s="264" customFormat="1" ht="16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2"/>
      <c r="GO70" s="272"/>
      <c r="GP70" s="272"/>
      <c r="GQ70" s="272"/>
      <c r="GR70" s="272"/>
      <c r="GS70" s="272"/>
      <c r="GT70" s="272"/>
      <c r="GU70" s="272"/>
      <c r="GV70" s="272"/>
      <c r="GW70" s="272"/>
      <c r="GX70" s="272"/>
      <c r="GY70" s="272"/>
      <c r="GZ70" s="272"/>
      <c r="HA70" s="272"/>
      <c r="HB70" s="272"/>
      <c r="HC70" s="272"/>
      <c r="HD70" s="272"/>
      <c r="HE70" s="272"/>
      <c r="HF70" s="272"/>
      <c r="HG70" s="272"/>
      <c r="HH70" s="272"/>
      <c r="HI70" s="272"/>
      <c r="HJ70" s="272"/>
      <c r="HK70" s="272"/>
      <c r="HL70" s="272"/>
      <c r="HM70" s="272"/>
      <c r="HN70" s="272"/>
      <c r="HO70" s="272"/>
      <c r="HP70" s="272"/>
      <c r="HQ70" s="272"/>
      <c r="HR70" s="272"/>
      <c r="HS70" s="272"/>
      <c r="HT70" s="272"/>
      <c r="HU70" s="272"/>
      <c r="HV70" s="272"/>
      <c r="HW70" s="272"/>
      <c r="HX70" s="272"/>
      <c r="HY70" s="272"/>
      <c r="HZ70" s="272"/>
      <c r="IA70" s="272"/>
      <c r="IB70" s="272"/>
      <c r="IC70" s="272"/>
      <c r="ID70" s="272"/>
      <c r="IE70" s="272"/>
      <c r="IF70" s="272"/>
      <c r="IG70" s="272"/>
      <c r="IH70" s="272"/>
      <c r="II70" s="272"/>
      <c r="IJ70" s="272"/>
      <c r="IK70" s="272"/>
      <c r="IL70" s="272"/>
      <c r="IM70" s="272"/>
      <c r="IN70" s="272"/>
      <c r="IO70" s="272"/>
      <c r="IP70" s="272"/>
      <c r="IQ70" s="272"/>
      <c r="IR70" s="272"/>
    </row>
    <row r="71" spans="1:252" s="264" customFormat="1" ht="16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2"/>
      <c r="GO71" s="272"/>
      <c r="GP71" s="272"/>
      <c r="GQ71" s="272"/>
      <c r="GR71" s="272"/>
      <c r="GS71" s="272"/>
      <c r="GT71" s="272"/>
      <c r="GU71" s="272"/>
      <c r="GV71" s="272"/>
      <c r="GW71" s="272"/>
      <c r="GX71" s="272"/>
      <c r="GY71" s="272"/>
      <c r="GZ71" s="272"/>
      <c r="HA71" s="272"/>
      <c r="HB71" s="272"/>
      <c r="HC71" s="272"/>
      <c r="HD71" s="272"/>
      <c r="HE71" s="272"/>
      <c r="HF71" s="272"/>
      <c r="HG71" s="272"/>
      <c r="HH71" s="272"/>
      <c r="HI71" s="272"/>
      <c r="HJ71" s="272"/>
      <c r="HK71" s="272"/>
      <c r="HL71" s="272"/>
      <c r="HM71" s="272"/>
      <c r="HN71" s="272"/>
      <c r="HO71" s="272"/>
      <c r="HP71" s="272"/>
      <c r="HQ71" s="272"/>
      <c r="HR71" s="272"/>
      <c r="HS71" s="272"/>
      <c r="HT71" s="272"/>
      <c r="HU71" s="272"/>
      <c r="HV71" s="272"/>
      <c r="HW71" s="272"/>
      <c r="HX71" s="272"/>
      <c r="HY71" s="272"/>
      <c r="HZ71" s="272"/>
      <c r="IA71" s="272"/>
      <c r="IB71" s="272"/>
      <c r="IC71" s="272"/>
      <c r="ID71" s="272"/>
      <c r="IE71" s="272"/>
      <c r="IF71" s="272"/>
      <c r="IG71" s="272"/>
      <c r="IH71" s="272"/>
      <c r="II71" s="272"/>
      <c r="IJ71" s="272"/>
      <c r="IK71" s="272"/>
      <c r="IL71" s="272"/>
      <c r="IM71" s="272"/>
      <c r="IN71" s="272"/>
      <c r="IO71" s="272"/>
      <c r="IP71" s="272"/>
      <c r="IQ71" s="272"/>
      <c r="IR71" s="272"/>
    </row>
    <row r="72" spans="1:252" s="264" customFormat="1" ht="16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  <c r="GN72" s="272"/>
      <c r="GO72" s="272"/>
      <c r="GP72" s="272"/>
      <c r="GQ72" s="272"/>
      <c r="GR72" s="272"/>
      <c r="GS72" s="272"/>
      <c r="GT72" s="272"/>
      <c r="GU72" s="272"/>
      <c r="GV72" s="272"/>
      <c r="GW72" s="272"/>
      <c r="GX72" s="272"/>
      <c r="GY72" s="272"/>
      <c r="GZ72" s="272"/>
      <c r="HA72" s="272"/>
      <c r="HB72" s="272"/>
      <c r="HC72" s="272"/>
      <c r="HD72" s="272"/>
      <c r="HE72" s="272"/>
      <c r="HF72" s="272"/>
      <c r="HG72" s="272"/>
      <c r="HH72" s="272"/>
      <c r="HI72" s="272"/>
      <c r="HJ72" s="272"/>
      <c r="HK72" s="272"/>
      <c r="HL72" s="272"/>
      <c r="HM72" s="272"/>
      <c r="HN72" s="272"/>
      <c r="HO72" s="272"/>
      <c r="HP72" s="272"/>
      <c r="HQ72" s="272"/>
      <c r="HR72" s="272"/>
      <c r="HS72" s="272"/>
      <c r="HT72" s="272"/>
      <c r="HU72" s="272"/>
      <c r="HV72" s="272"/>
      <c r="HW72" s="272"/>
      <c r="HX72" s="272"/>
      <c r="HY72" s="272"/>
      <c r="HZ72" s="272"/>
      <c r="IA72" s="272"/>
      <c r="IB72" s="272"/>
      <c r="IC72" s="272"/>
      <c r="ID72" s="272"/>
      <c r="IE72" s="272"/>
      <c r="IF72" s="272"/>
      <c r="IG72" s="272"/>
      <c r="IH72" s="272"/>
      <c r="II72" s="272"/>
      <c r="IJ72" s="272"/>
      <c r="IK72" s="272"/>
      <c r="IL72" s="272"/>
      <c r="IM72" s="272"/>
      <c r="IN72" s="272"/>
      <c r="IO72" s="272"/>
      <c r="IP72" s="272"/>
      <c r="IQ72" s="272"/>
      <c r="IR72" s="272"/>
    </row>
    <row r="73" spans="1:252" s="264" customFormat="1" ht="16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  <c r="GN73" s="272"/>
      <c r="GO73" s="272"/>
      <c r="GP73" s="272"/>
      <c r="GQ73" s="272"/>
      <c r="GR73" s="272"/>
      <c r="GS73" s="272"/>
      <c r="GT73" s="272"/>
      <c r="GU73" s="272"/>
      <c r="GV73" s="272"/>
      <c r="GW73" s="272"/>
      <c r="GX73" s="272"/>
      <c r="GY73" s="272"/>
      <c r="GZ73" s="272"/>
      <c r="HA73" s="272"/>
      <c r="HB73" s="272"/>
      <c r="HC73" s="272"/>
      <c r="HD73" s="272"/>
      <c r="HE73" s="272"/>
      <c r="HF73" s="272"/>
      <c r="HG73" s="272"/>
      <c r="HH73" s="272"/>
      <c r="HI73" s="272"/>
      <c r="HJ73" s="272"/>
      <c r="HK73" s="272"/>
      <c r="HL73" s="272"/>
      <c r="HM73" s="272"/>
      <c r="HN73" s="272"/>
      <c r="HO73" s="272"/>
      <c r="HP73" s="272"/>
      <c r="HQ73" s="272"/>
      <c r="HR73" s="272"/>
      <c r="HS73" s="272"/>
      <c r="HT73" s="272"/>
      <c r="HU73" s="272"/>
      <c r="HV73" s="272"/>
      <c r="HW73" s="272"/>
      <c r="HX73" s="272"/>
      <c r="HY73" s="272"/>
      <c r="HZ73" s="272"/>
      <c r="IA73" s="272"/>
      <c r="IB73" s="272"/>
      <c r="IC73" s="272"/>
      <c r="ID73" s="272"/>
      <c r="IE73" s="272"/>
      <c r="IF73" s="272"/>
      <c r="IG73" s="272"/>
      <c r="IH73" s="272"/>
      <c r="II73" s="272"/>
      <c r="IJ73" s="272"/>
      <c r="IK73" s="272"/>
      <c r="IL73" s="272"/>
      <c r="IM73" s="272"/>
      <c r="IN73" s="272"/>
      <c r="IO73" s="272"/>
      <c r="IP73" s="272"/>
      <c r="IQ73" s="272"/>
      <c r="IR73" s="272"/>
    </row>
    <row r="74" spans="1:252" s="264" customFormat="1" ht="16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2"/>
      <c r="EJ74" s="272"/>
      <c r="EK74" s="272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2"/>
      <c r="FF74" s="272"/>
      <c r="FG74" s="272"/>
      <c r="FH74" s="272"/>
      <c r="FI74" s="272"/>
      <c r="FJ74" s="272"/>
      <c r="FK74" s="272"/>
      <c r="FL74" s="272"/>
      <c r="FM74" s="272"/>
      <c r="FN74" s="272"/>
      <c r="FO74" s="272"/>
      <c r="FP74" s="272"/>
      <c r="FQ74" s="272"/>
      <c r="FR74" s="272"/>
      <c r="FS74" s="272"/>
      <c r="FT74" s="272"/>
      <c r="FU74" s="272"/>
      <c r="FV74" s="272"/>
      <c r="FW74" s="272"/>
      <c r="FX74" s="272"/>
      <c r="FY74" s="272"/>
      <c r="FZ74" s="272"/>
      <c r="GA74" s="272"/>
      <c r="GB74" s="272"/>
      <c r="GC74" s="272"/>
      <c r="GD74" s="272"/>
      <c r="GE74" s="272"/>
      <c r="GF74" s="272"/>
      <c r="GG74" s="272"/>
      <c r="GH74" s="272"/>
      <c r="GI74" s="272"/>
      <c r="GJ74" s="272"/>
      <c r="GK74" s="272"/>
      <c r="GL74" s="272"/>
      <c r="GM74" s="272"/>
      <c r="GN74" s="272"/>
      <c r="GO74" s="272"/>
      <c r="GP74" s="272"/>
      <c r="GQ74" s="272"/>
      <c r="GR74" s="272"/>
      <c r="GS74" s="272"/>
      <c r="GT74" s="272"/>
      <c r="GU74" s="272"/>
      <c r="GV74" s="272"/>
      <c r="GW74" s="272"/>
      <c r="GX74" s="272"/>
      <c r="GY74" s="272"/>
      <c r="GZ74" s="272"/>
      <c r="HA74" s="272"/>
      <c r="HB74" s="272"/>
      <c r="HC74" s="272"/>
      <c r="HD74" s="272"/>
      <c r="HE74" s="272"/>
      <c r="HF74" s="272"/>
      <c r="HG74" s="272"/>
      <c r="HH74" s="272"/>
      <c r="HI74" s="272"/>
      <c r="HJ74" s="272"/>
      <c r="HK74" s="272"/>
      <c r="HL74" s="272"/>
      <c r="HM74" s="272"/>
      <c r="HN74" s="272"/>
      <c r="HO74" s="272"/>
      <c r="HP74" s="272"/>
      <c r="HQ74" s="272"/>
      <c r="HR74" s="272"/>
      <c r="HS74" s="272"/>
      <c r="HT74" s="272"/>
      <c r="HU74" s="272"/>
      <c r="HV74" s="272"/>
      <c r="HW74" s="272"/>
      <c r="HX74" s="272"/>
      <c r="HY74" s="272"/>
      <c r="HZ74" s="272"/>
      <c r="IA74" s="272"/>
      <c r="IB74" s="272"/>
      <c r="IC74" s="272"/>
      <c r="ID74" s="272"/>
      <c r="IE74" s="272"/>
      <c r="IF74" s="272"/>
      <c r="IG74" s="272"/>
      <c r="IH74" s="272"/>
      <c r="II74" s="272"/>
      <c r="IJ74" s="272"/>
      <c r="IK74" s="272"/>
      <c r="IL74" s="272"/>
      <c r="IM74" s="272"/>
      <c r="IN74" s="272"/>
      <c r="IO74" s="272"/>
      <c r="IP74" s="272"/>
      <c r="IQ74" s="272"/>
      <c r="IR74" s="272"/>
    </row>
    <row r="75" spans="1:252" s="264" customFormat="1" ht="16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2"/>
      <c r="DY75" s="272"/>
      <c r="DZ75" s="272"/>
      <c r="EA75" s="272"/>
      <c r="EB75" s="272"/>
      <c r="EC75" s="272"/>
      <c r="ED75" s="272"/>
      <c r="EE75" s="272"/>
      <c r="EF75" s="272"/>
      <c r="EG75" s="272"/>
      <c r="EH75" s="272"/>
      <c r="EI75" s="272"/>
      <c r="EJ75" s="272"/>
      <c r="EK75" s="272"/>
      <c r="EL75" s="272"/>
      <c r="EM75" s="272"/>
      <c r="EN75" s="272"/>
      <c r="EO75" s="272"/>
      <c r="EP75" s="272"/>
      <c r="EQ75" s="272"/>
      <c r="ER75" s="272"/>
      <c r="ES75" s="272"/>
      <c r="ET75" s="272"/>
      <c r="EU75" s="272"/>
      <c r="EV75" s="272"/>
      <c r="EW75" s="272"/>
      <c r="EX75" s="272"/>
      <c r="EY75" s="272"/>
      <c r="EZ75" s="272"/>
      <c r="FA75" s="272"/>
      <c r="FB75" s="272"/>
      <c r="FC75" s="272"/>
      <c r="FD75" s="272"/>
      <c r="FE75" s="272"/>
      <c r="FF75" s="272"/>
      <c r="FG75" s="272"/>
      <c r="FH75" s="272"/>
      <c r="FI75" s="272"/>
      <c r="FJ75" s="272"/>
      <c r="FK75" s="272"/>
      <c r="FL75" s="272"/>
      <c r="FM75" s="272"/>
      <c r="FN75" s="272"/>
      <c r="FO75" s="272"/>
      <c r="FP75" s="272"/>
      <c r="FQ75" s="272"/>
      <c r="FR75" s="272"/>
      <c r="FS75" s="272"/>
      <c r="FT75" s="272"/>
      <c r="FU75" s="272"/>
      <c r="FV75" s="272"/>
      <c r="FW75" s="272"/>
      <c r="FX75" s="272"/>
      <c r="FY75" s="272"/>
      <c r="FZ75" s="272"/>
      <c r="GA75" s="272"/>
      <c r="GB75" s="272"/>
      <c r="GC75" s="272"/>
      <c r="GD75" s="272"/>
      <c r="GE75" s="272"/>
      <c r="GF75" s="272"/>
      <c r="GG75" s="272"/>
      <c r="GH75" s="272"/>
      <c r="GI75" s="272"/>
      <c r="GJ75" s="272"/>
      <c r="GK75" s="272"/>
      <c r="GL75" s="272"/>
      <c r="GM75" s="272"/>
      <c r="GN75" s="272"/>
      <c r="GO75" s="272"/>
      <c r="GP75" s="272"/>
      <c r="GQ75" s="272"/>
      <c r="GR75" s="272"/>
      <c r="GS75" s="272"/>
      <c r="GT75" s="272"/>
      <c r="GU75" s="272"/>
      <c r="GV75" s="272"/>
      <c r="GW75" s="272"/>
      <c r="GX75" s="272"/>
      <c r="GY75" s="272"/>
      <c r="GZ75" s="272"/>
      <c r="HA75" s="272"/>
      <c r="HB75" s="272"/>
      <c r="HC75" s="272"/>
      <c r="HD75" s="272"/>
      <c r="HE75" s="272"/>
      <c r="HF75" s="272"/>
      <c r="HG75" s="272"/>
      <c r="HH75" s="272"/>
      <c r="HI75" s="272"/>
      <c r="HJ75" s="272"/>
      <c r="HK75" s="272"/>
      <c r="HL75" s="272"/>
      <c r="HM75" s="272"/>
      <c r="HN75" s="272"/>
      <c r="HO75" s="272"/>
      <c r="HP75" s="272"/>
      <c r="HQ75" s="272"/>
      <c r="HR75" s="272"/>
      <c r="HS75" s="272"/>
      <c r="HT75" s="272"/>
      <c r="HU75" s="272"/>
      <c r="HV75" s="272"/>
      <c r="HW75" s="272"/>
      <c r="HX75" s="272"/>
      <c r="HY75" s="272"/>
      <c r="HZ75" s="272"/>
      <c r="IA75" s="272"/>
      <c r="IB75" s="272"/>
      <c r="IC75" s="272"/>
      <c r="ID75" s="272"/>
      <c r="IE75" s="272"/>
      <c r="IF75" s="272"/>
      <c r="IG75" s="272"/>
      <c r="IH75" s="272"/>
      <c r="II75" s="272"/>
      <c r="IJ75" s="272"/>
      <c r="IK75" s="272"/>
      <c r="IL75" s="272"/>
      <c r="IM75" s="272"/>
      <c r="IN75" s="272"/>
      <c r="IO75" s="272"/>
      <c r="IP75" s="272"/>
      <c r="IQ75" s="272"/>
      <c r="IR75" s="272"/>
    </row>
    <row r="76" spans="1:252" s="264" customFormat="1" ht="16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  <c r="FB76" s="272"/>
      <c r="FC76" s="272"/>
      <c r="FD76" s="272"/>
      <c r="FE76" s="272"/>
      <c r="FF76" s="272"/>
      <c r="FG76" s="272"/>
      <c r="FH76" s="272"/>
      <c r="FI76" s="272"/>
      <c r="FJ76" s="272"/>
      <c r="FK76" s="272"/>
      <c r="FL76" s="272"/>
      <c r="FM76" s="272"/>
      <c r="FN76" s="272"/>
      <c r="FO76" s="272"/>
      <c r="FP76" s="272"/>
      <c r="FQ76" s="272"/>
      <c r="FR76" s="272"/>
      <c r="FS76" s="272"/>
      <c r="FT76" s="272"/>
      <c r="FU76" s="272"/>
      <c r="FV76" s="272"/>
      <c r="FW76" s="272"/>
      <c r="FX76" s="272"/>
      <c r="FY76" s="272"/>
      <c r="FZ76" s="272"/>
      <c r="GA76" s="272"/>
      <c r="GB76" s="272"/>
      <c r="GC76" s="272"/>
      <c r="GD76" s="272"/>
      <c r="GE76" s="272"/>
      <c r="GF76" s="272"/>
      <c r="GG76" s="272"/>
      <c r="GH76" s="272"/>
      <c r="GI76" s="272"/>
      <c r="GJ76" s="272"/>
      <c r="GK76" s="272"/>
      <c r="GL76" s="272"/>
      <c r="GM76" s="272"/>
      <c r="GN76" s="272"/>
      <c r="GO76" s="272"/>
      <c r="GP76" s="272"/>
      <c r="GQ76" s="272"/>
      <c r="GR76" s="272"/>
      <c r="GS76" s="272"/>
      <c r="GT76" s="272"/>
      <c r="GU76" s="272"/>
      <c r="GV76" s="272"/>
      <c r="GW76" s="272"/>
      <c r="GX76" s="272"/>
      <c r="GY76" s="272"/>
      <c r="GZ76" s="272"/>
      <c r="HA76" s="272"/>
      <c r="HB76" s="272"/>
      <c r="HC76" s="272"/>
      <c r="HD76" s="272"/>
      <c r="HE76" s="272"/>
      <c r="HF76" s="272"/>
      <c r="HG76" s="272"/>
      <c r="HH76" s="272"/>
      <c r="HI76" s="272"/>
      <c r="HJ76" s="272"/>
      <c r="HK76" s="272"/>
      <c r="HL76" s="272"/>
      <c r="HM76" s="272"/>
      <c r="HN76" s="272"/>
      <c r="HO76" s="272"/>
      <c r="HP76" s="272"/>
      <c r="HQ76" s="272"/>
      <c r="HR76" s="272"/>
      <c r="HS76" s="272"/>
      <c r="HT76" s="272"/>
      <c r="HU76" s="272"/>
      <c r="HV76" s="272"/>
      <c r="HW76" s="272"/>
      <c r="HX76" s="272"/>
      <c r="HY76" s="272"/>
      <c r="HZ76" s="272"/>
      <c r="IA76" s="272"/>
      <c r="IB76" s="272"/>
      <c r="IC76" s="272"/>
      <c r="ID76" s="272"/>
      <c r="IE76" s="272"/>
      <c r="IF76" s="272"/>
      <c r="IG76" s="272"/>
      <c r="IH76" s="272"/>
      <c r="II76" s="272"/>
      <c r="IJ76" s="272"/>
      <c r="IK76" s="272"/>
      <c r="IL76" s="272"/>
      <c r="IM76" s="272"/>
      <c r="IN76" s="272"/>
      <c r="IO76" s="272"/>
      <c r="IP76" s="272"/>
      <c r="IQ76" s="272"/>
      <c r="IR76" s="272"/>
    </row>
    <row r="77" spans="1:252" s="264" customFormat="1" ht="16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2"/>
      <c r="DA77" s="272"/>
      <c r="DB77" s="272"/>
      <c r="DC77" s="272"/>
      <c r="DD77" s="272"/>
      <c r="DE77" s="272"/>
      <c r="DF77" s="272"/>
      <c r="DG77" s="272"/>
      <c r="DH77" s="272"/>
      <c r="DI77" s="272"/>
      <c r="DJ77" s="272"/>
      <c r="DK77" s="272"/>
      <c r="DL77" s="272"/>
      <c r="DM77" s="272"/>
      <c r="DN77" s="272"/>
      <c r="DO77" s="272"/>
      <c r="DP77" s="272"/>
      <c r="DQ77" s="272"/>
      <c r="DR77" s="272"/>
      <c r="DS77" s="272"/>
      <c r="DT77" s="272"/>
      <c r="DU77" s="272"/>
      <c r="DV77" s="272"/>
      <c r="DW77" s="272"/>
      <c r="DX77" s="272"/>
      <c r="DY77" s="272"/>
      <c r="DZ77" s="272"/>
      <c r="EA77" s="272"/>
      <c r="EB77" s="272"/>
      <c r="EC77" s="272"/>
      <c r="ED77" s="272"/>
      <c r="EE77" s="272"/>
      <c r="EF77" s="272"/>
      <c r="EG77" s="272"/>
      <c r="EH77" s="272"/>
      <c r="EI77" s="272"/>
      <c r="EJ77" s="272"/>
      <c r="EK77" s="272"/>
      <c r="EL77" s="272"/>
      <c r="EM77" s="272"/>
      <c r="EN77" s="272"/>
      <c r="EO77" s="272"/>
      <c r="EP77" s="272"/>
      <c r="EQ77" s="272"/>
      <c r="ER77" s="272"/>
      <c r="ES77" s="272"/>
      <c r="ET77" s="272"/>
      <c r="EU77" s="272"/>
      <c r="EV77" s="272"/>
      <c r="EW77" s="272"/>
      <c r="EX77" s="272"/>
      <c r="EY77" s="272"/>
      <c r="EZ77" s="272"/>
      <c r="FA77" s="272"/>
      <c r="FB77" s="272"/>
      <c r="FC77" s="272"/>
      <c r="FD77" s="272"/>
      <c r="FE77" s="272"/>
      <c r="FF77" s="272"/>
      <c r="FG77" s="272"/>
      <c r="FH77" s="272"/>
      <c r="FI77" s="272"/>
      <c r="FJ77" s="272"/>
      <c r="FK77" s="272"/>
      <c r="FL77" s="272"/>
      <c r="FM77" s="272"/>
      <c r="FN77" s="272"/>
      <c r="FO77" s="272"/>
      <c r="FP77" s="272"/>
      <c r="FQ77" s="272"/>
      <c r="FR77" s="272"/>
      <c r="FS77" s="272"/>
      <c r="FT77" s="272"/>
      <c r="FU77" s="272"/>
      <c r="FV77" s="272"/>
      <c r="FW77" s="272"/>
      <c r="FX77" s="272"/>
      <c r="FY77" s="272"/>
      <c r="FZ77" s="272"/>
      <c r="GA77" s="272"/>
      <c r="GB77" s="272"/>
      <c r="GC77" s="272"/>
      <c r="GD77" s="272"/>
      <c r="GE77" s="272"/>
      <c r="GF77" s="272"/>
      <c r="GG77" s="272"/>
      <c r="GH77" s="272"/>
      <c r="GI77" s="272"/>
      <c r="GJ77" s="272"/>
      <c r="GK77" s="272"/>
      <c r="GL77" s="272"/>
      <c r="GM77" s="272"/>
      <c r="GN77" s="272"/>
      <c r="GO77" s="272"/>
      <c r="GP77" s="272"/>
      <c r="GQ77" s="272"/>
      <c r="GR77" s="272"/>
      <c r="GS77" s="272"/>
      <c r="GT77" s="272"/>
      <c r="GU77" s="272"/>
      <c r="GV77" s="272"/>
      <c r="GW77" s="272"/>
      <c r="GX77" s="272"/>
      <c r="GY77" s="272"/>
      <c r="GZ77" s="272"/>
      <c r="HA77" s="272"/>
      <c r="HB77" s="272"/>
      <c r="HC77" s="272"/>
      <c r="HD77" s="272"/>
      <c r="HE77" s="272"/>
      <c r="HF77" s="272"/>
      <c r="HG77" s="272"/>
      <c r="HH77" s="272"/>
      <c r="HI77" s="272"/>
      <c r="HJ77" s="272"/>
      <c r="HK77" s="272"/>
      <c r="HL77" s="272"/>
      <c r="HM77" s="272"/>
      <c r="HN77" s="272"/>
      <c r="HO77" s="272"/>
      <c r="HP77" s="272"/>
      <c r="HQ77" s="272"/>
      <c r="HR77" s="272"/>
      <c r="HS77" s="272"/>
      <c r="HT77" s="272"/>
      <c r="HU77" s="272"/>
      <c r="HV77" s="272"/>
      <c r="HW77" s="272"/>
      <c r="HX77" s="272"/>
      <c r="HY77" s="272"/>
      <c r="HZ77" s="272"/>
      <c r="IA77" s="272"/>
      <c r="IB77" s="272"/>
      <c r="IC77" s="272"/>
      <c r="ID77" s="272"/>
      <c r="IE77" s="272"/>
      <c r="IF77" s="272"/>
      <c r="IG77" s="272"/>
      <c r="IH77" s="272"/>
      <c r="II77" s="272"/>
      <c r="IJ77" s="272"/>
      <c r="IK77" s="272"/>
      <c r="IL77" s="272"/>
      <c r="IM77" s="272"/>
      <c r="IN77" s="272"/>
      <c r="IO77" s="272"/>
      <c r="IP77" s="272"/>
      <c r="IQ77" s="272"/>
      <c r="IR77" s="272"/>
    </row>
    <row r="78" spans="1:252" s="264" customFormat="1" ht="16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2"/>
      <c r="EC78" s="272"/>
      <c r="ED78" s="272"/>
      <c r="EE78" s="272"/>
      <c r="EF78" s="272"/>
      <c r="EG78" s="272"/>
      <c r="EH78" s="272"/>
      <c r="EI78" s="272"/>
      <c r="EJ78" s="272"/>
      <c r="EK78" s="272"/>
      <c r="EL78" s="272"/>
      <c r="EM78" s="272"/>
      <c r="EN78" s="272"/>
      <c r="EO78" s="272"/>
      <c r="EP78" s="272"/>
      <c r="EQ78" s="272"/>
      <c r="ER78" s="272"/>
      <c r="ES78" s="272"/>
      <c r="ET78" s="272"/>
      <c r="EU78" s="272"/>
      <c r="EV78" s="272"/>
      <c r="EW78" s="272"/>
      <c r="EX78" s="272"/>
      <c r="EY78" s="272"/>
      <c r="EZ78" s="272"/>
      <c r="FA78" s="272"/>
      <c r="FB78" s="272"/>
      <c r="FC78" s="272"/>
      <c r="FD78" s="272"/>
      <c r="FE78" s="272"/>
      <c r="FF78" s="272"/>
      <c r="FG78" s="272"/>
      <c r="FH78" s="272"/>
      <c r="FI78" s="272"/>
      <c r="FJ78" s="272"/>
      <c r="FK78" s="272"/>
      <c r="FL78" s="272"/>
      <c r="FM78" s="272"/>
      <c r="FN78" s="272"/>
      <c r="FO78" s="272"/>
      <c r="FP78" s="272"/>
      <c r="FQ78" s="272"/>
      <c r="FR78" s="272"/>
      <c r="FS78" s="272"/>
      <c r="FT78" s="272"/>
      <c r="FU78" s="272"/>
      <c r="FV78" s="272"/>
      <c r="FW78" s="272"/>
      <c r="FX78" s="272"/>
      <c r="FY78" s="272"/>
      <c r="FZ78" s="272"/>
      <c r="GA78" s="272"/>
      <c r="GB78" s="272"/>
      <c r="GC78" s="272"/>
      <c r="GD78" s="272"/>
      <c r="GE78" s="272"/>
      <c r="GF78" s="272"/>
      <c r="GG78" s="272"/>
      <c r="GH78" s="272"/>
      <c r="GI78" s="272"/>
      <c r="GJ78" s="272"/>
      <c r="GK78" s="272"/>
      <c r="GL78" s="272"/>
      <c r="GM78" s="272"/>
      <c r="GN78" s="272"/>
      <c r="GO78" s="272"/>
      <c r="GP78" s="272"/>
      <c r="GQ78" s="272"/>
      <c r="GR78" s="272"/>
      <c r="GS78" s="272"/>
      <c r="GT78" s="272"/>
      <c r="GU78" s="272"/>
      <c r="GV78" s="272"/>
      <c r="GW78" s="272"/>
      <c r="GX78" s="272"/>
      <c r="GY78" s="272"/>
      <c r="GZ78" s="272"/>
      <c r="HA78" s="272"/>
      <c r="HB78" s="272"/>
      <c r="HC78" s="272"/>
      <c r="HD78" s="272"/>
      <c r="HE78" s="272"/>
      <c r="HF78" s="272"/>
      <c r="HG78" s="272"/>
      <c r="HH78" s="272"/>
      <c r="HI78" s="272"/>
      <c r="HJ78" s="272"/>
      <c r="HK78" s="272"/>
      <c r="HL78" s="272"/>
      <c r="HM78" s="272"/>
      <c r="HN78" s="272"/>
      <c r="HO78" s="272"/>
      <c r="HP78" s="272"/>
      <c r="HQ78" s="272"/>
      <c r="HR78" s="272"/>
      <c r="HS78" s="272"/>
      <c r="HT78" s="272"/>
      <c r="HU78" s="272"/>
      <c r="HV78" s="272"/>
      <c r="HW78" s="272"/>
      <c r="HX78" s="272"/>
      <c r="HY78" s="272"/>
      <c r="HZ78" s="272"/>
      <c r="IA78" s="272"/>
      <c r="IB78" s="272"/>
      <c r="IC78" s="272"/>
      <c r="ID78" s="272"/>
      <c r="IE78" s="272"/>
      <c r="IF78" s="272"/>
      <c r="IG78" s="272"/>
      <c r="IH78" s="272"/>
      <c r="II78" s="272"/>
      <c r="IJ78" s="272"/>
      <c r="IK78" s="272"/>
      <c r="IL78" s="272"/>
      <c r="IM78" s="272"/>
      <c r="IN78" s="272"/>
      <c r="IO78" s="272"/>
      <c r="IP78" s="272"/>
      <c r="IQ78" s="272"/>
      <c r="IR78" s="272"/>
    </row>
    <row r="79" spans="1:252" s="264" customFormat="1" ht="16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  <c r="HD79" s="272"/>
      <c r="HE79" s="272"/>
      <c r="HF79" s="272"/>
      <c r="HG79" s="272"/>
      <c r="HH79" s="272"/>
      <c r="HI79" s="272"/>
      <c r="HJ79" s="272"/>
      <c r="HK79" s="272"/>
      <c r="HL79" s="272"/>
      <c r="HM79" s="272"/>
      <c r="HN79" s="272"/>
      <c r="HO79" s="272"/>
      <c r="HP79" s="272"/>
      <c r="HQ79" s="272"/>
      <c r="HR79" s="272"/>
      <c r="HS79" s="272"/>
      <c r="HT79" s="272"/>
      <c r="HU79" s="272"/>
      <c r="HV79" s="272"/>
      <c r="HW79" s="272"/>
      <c r="HX79" s="272"/>
      <c r="HY79" s="272"/>
      <c r="HZ79" s="272"/>
      <c r="IA79" s="272"/>
      <c r="IB79" s="272"/>
      <c r="IC79" s="272"/>
      <c r="ID79" s="272"/>
      <c r="IE79" s="272"/>
      <c r="IF79" s="272"/>
      <c r="IG79" s="272"/>
      <c r="IH79" s="272"/>
      <c r="II79" s="272"/>
      <c r="IJ79" s="272"/>
      <c r="IK79" s="272"/>
      <c r="IL79" s="272"/>
      <c r="IM79" s="272"/>
      <c r="IN79" s="272"/>
      <c r="IO79" s="272"/>
      <c r="IP79" s="272"/>
      <c r="IQ79" s="272"/>
      <c r="IR79" s="272"/>
    </row>
    <row r="80" spans="1:252" s="264" customFormat="1" ht="16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2"/>
      <c r="DA80" s="272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P80" s="272"/>
      <c r="DQ80" s="272"/>
      <c r="DR80" s="272"/>
      <c r="DS80" s="272"/>
      <c r="DT80" s="272"/>
      <c r="DU80" s="272"/>
      <c r="DV80" s="272"/>
      <c r="DW80" s="272"/>
      <c r="DX80" s="272"/>
      <c r="DY80" s="272"/>
      <c r="DZ80" s="272"/>
      <c r="EA80" s="272"/>
      <c r="EB80" s="272"/>
      <c r="EC80" s="272"/>
      <c r="ED80" s="272"/>
      <c r="EE80" s="272"/>
      <c r="EF80" s="272"/>
      <c r="EG80" s="272"/>
      <c r="EH80" s="272"/>
      <c r="EI80" s="272"/>
      <c r="EJ80" s="272"/>
      <c r="EK80" s="272"/>
      <c r="EL80" s="272"/>
      <c r="EM80" s="272"/>
      <c r="EN80" s="272"/>
      <c r="EO80" s="272"/>
      <c r="EP80" s="272"/>
      <c r="EQ80" s="272"/>
      <c r="ER80" s="272"/>
      <c r="ES80" s="272"/>
      <c r="ET80" s="272"/>
      <c r="EU80" s="272"/>
      <c r="EV80" s="272"/>
      <c r="EW80" s="272"/>
      <c r="EX80" s="272"/>
      <c r="EY80" s="272"/>
      <c r="EZ80" s="272"/>
      <c r="FA80" s="272"/>
      <c r="FB80" s="272"/>
      <c r="FC80" s="272"/>
      <c r="FD80" s="272"/>
      <c r="FE80" s="272"/>
      <c r="FF80" s="272"/>
      <c r="FG80" s="272"/>
      <c r="FH80" s="272"/>
      <c r="FI80" s="272"/>
      <c r="FJ80" s="272"/>
      <c r="FK80" s="272"/>
      <c r="FL80" s="272"/>
      <c r="FM80" s="272"/>
      <c r="FN80" s="272"/>
      <c r="FO80" s="272"/>
      <c r="FP80" s="272"/>
      <c r="FQ80" s="272"/>
      <c r="FR80" s="272"/>
      <c r="FS80" s="272"/>
      <c r="FT80" s="272"/>
      <c r="FU80" s="272"/>
      <c r="FV80" s="272"/>
      <c r="FW80" s="272"/>
      <c r="FX80" s="272"/>
      <c r="FY80" s="272"/>
      <c r="FZ80" s="272"/>
      <c r="GA80" s="272"/>
      <c r="GB80" s="272"/>
      <c r="GC80" s="272"/>
      <c r="GD80" s="272"/>
      <c r="GE80" s="272"/>
      <c r="GF80" s="272"/>
      <c r="GG80" s="272"/>
      <c r="GH80" s="272"/>
      <c r="GI80" s="272"/>
      <c r="GJ80" s="272"/>
      <c r="GK80" s="272"/>
      <c r="GL80" s="272"/>
      <c r="GM80" s="272"/>
      <c r="GN80" s="272"/>
      <c r="GO80" s="272"/>
      <c r="GP80" s="272"/>
      <c r="GQ80" s="272"/>
      <c r="GR80" s="272"/>
      <c r="GS80" s="272"/>
      <c r="GT80" s="272"/>
      <c r="GU80" s="272"/>
      <c r="GV80" s="272"/>
      <c r="GW80" s="272"/>
      <c r="GX80" s="272"/>
      <c r="GY80" s="272"/>
      <c r="GZ80" s="272"/>
      <c r="HA80" s="272"/>
      <c r="HB80" s="272"/>
      <c r="HC80" s="272"/>
      <c r="HD80" s="272"/>
      <c r="HE80" s="272"/>
      <c r="HF80" s="272"/>
      <c r="HG80" s="272"/>
      <c r="HH80" s="272"/>
      <c r="HI80" s="272"/>
      <c r="HJ80" s="272"/>
      <c r="HK80" s="272"/>
      <c r="HL80" s="272"/>
      <c r="HM80" s="272"/>
      <c r="HN80" s="272"/>
      <c r="HO80" s="272"/>
      <c r="HP80" s="272"/>
      <c r="HQ80" s="272"/>
      <c r="HR80" s="272"/>
      <c r="HS80" s="272"/>
      <c r="HT80" s="272"/>
      <c r="HU80" s="272"/>
      <c r="HV80" s="272"/>
      <c r="HW80" s="272"/>
      <c r="HX80" s="272"/>
      <c r="HY80" s="272"/>
      <c r="HZ80" s="272"/>
      <c r="IA80" s="272"/>
      <c r="IB80" s="272"/>
      <c r="IC80" s="272"/>
      <c r="ID80" s="272"/>
      <c r="IE80" s="272"/>
      <c r="IF80" s="272"/>
      <c r="IG80" s="272"/>
      <c r="IH80" s="272"/>
      <c r="II80" s="272"/>
      <c r="IJ80" s="272"/>
      <c r="IK80" s="272"/>
      <c r="IL80" s="272"/>
      <c r="IM80" s="272"/>
      <c r="IN80" s="272"/>
      <c r="IO80" s="272"/>
      <c r="IP80" s="272"/>
      <c r="IQ80" s="272"/>
      <c r="IR80" s="272"/>
    </row>
    <row r="81" spans="1:252" s="264" customFormat="1" ht="16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2"/>
      <c r="DX81" s="272"/>
      <c r="DY81" s="272"/>
      <c r="DZ81" s="272"/>
      <c r="EA81" s="272"/>
      <c r="EB81" s="272"/>
      <c r="EC81" s="272"/>
      <c r="ED81" s="272"/>
      <c r="EE81" s="272"/>
      <c r="EF81" s="272"/>
      <c r="EG81" s="272"/>
      <c r="EH81" s="272"/>
      <c r="EI81" s="272"/>
      <c r="EJ81" s="272"/>
      <c r="EK81" s="272"/>
      <c r="EL81" s="272"/>
      <c r="EM81" s="272"/>
      <c r="EN81" s="272"/>
      <c r="EO81" s="272"/>
      <c r="EP81" s="272"/>
      <c r="EQ81" s="272"/>
      <c r="ER81" s="272"/>
      <c r="ES81" s="272"/>
      <c r="ET81" s="272"/>
      <c r="EU81" s="272"/>
      <c r="EV81" s="272"/>
      <c r="EW81" s="272"/>
      <c r="EX81" s="272"/>
      <c r="EY81" s="272"/>
      <c r="EZ81" s="272"/>
      <c r="FA81" s="272"/>
      <c r="FB81" s="272"/>
      <c r="FC81" s="272"/>
      <c r="FD81" s="272"/>
      <c r="FE81" s="272"/>
      <c r="FF81" s="272"/>
      <c r="FG81" s="272"/>
      <c r="FH81" s="272"/>
      <c r="FI81" s="272"/>
      <c r="FJ81" s="272"/>
      <c r="FK81" s="272"/>
      <c r="FL81" s="272"/>
      <c r="FM81" s="272"/>
      <c r="FN81" s="272"/>
      <c r="FO81" s="272"/>
      <c r="FP81" s="272"/>
      <c r="FQ81" s="272"/>
      <c r="FR81" s="272"/>
      <c r="FS81" s="272"/>
      <c r="FT81" s="272"/>
      <c r="FU81" s="272"/>
      <c r="FV81" s="272"/>
      <c r="FW81" s="272"/>
      <c r="FX81" s="272"/>
      <c r="FY81" s="272"/>
      <c r="FZ81" s="272"/>
      <c r="GA81" s="272"/>
      <c r="GB81" s="272"/>
      <c r="GC81" s="272"/>
      <c r="GD81" s="272"/>
      <c r="GE81" s="272"/>
      <c r="GF81" s="272"/>
      <c r="GG81" s="272"/>
      <c r="GH81" s="272"/>
      <c r="GI81" s="272"/>
      <c r="GJ81" s="272"/>
      <c r="GK81" s="272"/>
      <c r="GL81" s="272"/>
      <c r="GM81" s="272"/>
      <c r="GN81" s="272"/>
      <c r="GO81" s="272"/>
      <c r="GP81" s="272"/>
      <c r="GQ81" s="272"/>
      <c r="GR81" s="272"/>
      <c r="GS81" s="272"/>
      <c r="GT81" s="272"/>
      <c r="GU81" s="272"/>
      <c r="GV81" s="272"/>
      <c r="GW81" s="272"/>
      <c r="GX81" s="272"/>
      <c r="GY81" s="272"/>
      <c r="GZ81" s="272"/>
      <c r="HA81" s="272"/>
      <c r="HB81" s="272"/>
      <c r="HC81" s="272"/>
      <c r="HD81" s="272"/>
      <c r="HE81" s="272"/>
      <c r="HF81" s="272"/>
      <c r="HG81" s="272"/>
      <c r="HH81" s="272"/>
      <c r="HI81" s="272"/>
      <c r="HJ81" s="272"/>
      <c r="HK81" s="272"/>
      <c r="HL81" s="272"/>
      <c r="HM81" s="272"/>
      <c r="HN81" s="272"/>
      <c r="HO81" s="272"/>
      <c r="HP81" s="272"/>
      <c r="HQ81" s="272"/>
      <c r="HR81" s="272"/>
      <c r="HS81" s="272"/>
      <c r="HT81" s="272"/>
      <c r="HU81" s="272"/>
      <c r="HV81" s="272"/>
      <c r="HW81" s="272"/>
      <c r="HX81" s="272"/>
      <c r="HY81" s="272"/>
      <c r="HZ81" s="272"/>
      <c r="IA81" s="272"/>
      <c r="IB81" s="272"/>
      <c r="IC81" s="272"/>
      <c r="ID81" s="272"/>
      <c r="IE81" s="272"/>
      <c r="IF81" s="272"/>
      <c r="IG81" s="272"/>
      <c r="IH81" s="272"/>
      <c r="II81" s="272"/>
      <c r="IJ81" s="272"/>
      <c r="IK81" s="272"/>
      <c r="IL81" s="272"/>
      <c r="IM81" s="272"/>
      <c r="IN81" s="272"/>
      <c r="IO81" s="272"/>
      <c r="IP81" s="272"/>
      <c r="IQ81" s="272"/>
      <c r="IR81" s="272"/>
    </row>
    <row r="82" spans="1:252" s="264" customFormat="1" ht="16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2"/>
      <c r="DY82" s="272"/>
      <c r="DZ82" s="272"/>
      <c r="EA82" s="272"/>
      <c r="EB82" s="272"/>
      <c r="EC82" s="272"/>
      <c r="ED82" s="272"/>
      <c r="EE82" s="272"/>
      <c r="EF82" s="272"/>
      <c r="EG82" s="272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2"/>
      <c r="FF82" s="272"/>
      <c r="FG82" s="272"/>
      <c r="FH82" s="272"/>
      <c r="FI82" s="272"/>
      <c r="FJ82" s="272"/>
      <c r="FK82" s="272"/>
      <c r="FL82" s="272"/>
      <c r="FM82" s="272"/>
      <c r="FN82" s="272"/>
      <c r="FO82" s="272"/>
      <c r="FP82" s="272"/>
      <c r="FQ82" s="272"/>
      <c r="FR82" s="272"/>
      <c r="FS82" s="272"/>
      <c r="FT82" s="272"/>
      <c r="FU82" s="272"/>
      <c r="FV82" s="272"/>
      <c r="FW82" s="272"/>
      <c r="FX82" s="272"/>
      <c r="FY82" s="272"/>
      <c r="FZ82" s="272"/>
      <c r="GA82" s="272"/>
      <c r="GB82" s="272"/>
      <c r="GC82" s="272"/>
      <c r="GD82" s="272"/>
      <c r="GE82" s="272"/>
      <c r="GF82" s="272"/>
      <c r="GG82" s="272"/>
      <c r="GH82" s="272"/>
      <c r="GI82" s="272"/>
      <c r="GJ82" s="272"/>
      <c r="GK82" s="272"/>
      <c r="GL82" s="272"/>
      <c r="GM82" s="272"/>
      <c r="GN82" s="272"/>
      <c r="GO82" s="272"/>
      <c r="GP82" s="272"/>
      <c r="GQ82" s="272"/>
      <c r="GR82" s="272"/>
      <c r="GS82" s="272"/>
      <c r="GT82" s="272"/>
      <c r="GU82" s="272"/>
      <c r="GV82" s="272"/>
      <c r="GW82" s="272"/>
      <c r="GX82" s="272"/>
      <c r="GY82" s="272"/>
      <c r="GZ82" s="272"/>
      <c r="HA82" s="272"/>
      <c r="HB82" s="272"/>
      <c r="HC82" s="272"/>
      <c r="HD82" s="272"/>
      <c r="HE82" s="272"/>
      <c r="HF82" s="272"/>
      <c r="HG82" s="272"/>
      <c r="HH82" s="272"/>
      <c r="HI82" s="272"/>
      <c r="HJ82" s="272"/>
      <c r="HK82" s="272"/>
      <c r="HL82" s="272"/>
      <c r="HM82" s="272"/>
      <c r="HN82" s="272"/>
      <c r="HO82" s="272"/>
      <c r="HP82" s="272"/>
      <c r="HQ82" s="272"/>
      <c r="HR82" s="272"/>
      <c r="HS82" s="272"/>
      <c r="HT82" s="272"/>
      <c r="HU82" s="272"/>
      <c r="HV82" s="272"/>
      <c r="HW82" s="272"/>
      <c r="HX82" s="272"/>
      <c r="HY82" s="272"/>
      <c r="HZ82" s="272"/>
      <c r="IA82" s="272"/>
      <c r="IB82" s="272"/>
      <c r="IC82" s="272"/>
      <c r="ID82" s="272"/>
      <c r="IE82" s="272"/>
      <c r="IF82" s="272"/>
      <c r="IG82" s="272"/>
      <c r="IH82" s="272"/>
      <c r="II82" s="272"/>
      <c r="IJ82" s="272"/>
      <c r="IK82" s="272"/>
      <c r="IL82" s="272"/>
      <c r="IM82" s="272"/>
      <c r="IN82" s="272"/>
      <c r="IO82" s="272"/>
      <c r="IP82" s="272"/>
      <c r="IQ82" s="272"/>
      <c r="IR82" s="272"/>
    </row>
    <row r="83" spans="1:252" s="264" customFormat="1" ht="16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72"/>
      <c r="FJ83" s="272"/>
      <c r="FK83" s="272"/>
      <c r="FL83" s="272"/>
      <c r="FM83" s="272"/>
      <c r="FN83" s="272"/>
      <c r="FO83" s="272"/>
      <c r="FP83" s="272"/>
      <c r="FQ83" s="272"/>
      <c r="FR83" s="272"/>
      <c r="FS83" s="272"/>
      <c r="FT83" s="272"/>
      <c r="FU83" s="272"/>
      <c r="FV83" s="272"/>
      <c r="FW83" s="272"/>
      <c r="FX83" s="272"/>
      <c r="FY83" s="272"/>
      <c r="FZ83" s="272"/>
      <c r="GA83" s="272"/>
      <c r="GB83" s="272"/>
      <c r="GC83" s="272"/>
      <c r="GD83" s="272"/>
      <c r="GE83" s="272"/>
      <c r="GF83" s="272"/>
      <c r="GG83" s="272"/>
      <c r="GH83" s="272"/>
      <c r="GI83" s="272"/>
      <c r="GJ83" s="272"/>
      <c r="GK83" s="272"/>
      <c r="GL83" s="272"/>
      <c r="GM83" s="272"/>
      <c r="GN83" s="272"/>
      <c r="GO83" s="272"/>
      <c r="GP83" s="272"/>
      <c r="GQ83" s="272"/>
      <c r="GR83" s="272"/>
      <c r="GS83" s="272"/>
      <c r="GT83" s="272"/>
      <c r="GU83" s="272"/>
      <c r="GV83" s="272"/>
      <c r="GW83" s="272"/>
      <c r="GX83" s="272"/>
      <c r="GY83" s="272"/>
      <c r="GZ83" s="272"/>
      <c r="HA83" s="272"/>
      <c r="HB83" s="272"/>
      <c r="HC83" s="272"/>
      <c r="HD83" s="272"/>
      <c r="HE83" s="272"/>
      <c r="HF83" s="272"/>
      <c r="HG83" s="272"/>
      <c r="HH83" s="272"/>
      <c r="HI83" s="272"/>
      <c r="HJ83" s="272"/>
      <c r="HK83" s="272"/>
      <c r="HL83" s="272"/>
      <c r="HM83" s="272"/>
      <c r="HN83" s="272"/>
      <c r="HO83" s="272"/>
      <c r="HP83" s="272"/>
      <c r="HQ83" s="272"/>
      <c r="HR83" s="272"/>
      <c r="HS83" s="272"/>
      <c r="HT83" s="272"/>
      <c r="HU83" s="272"/>
      <c r="HV83" s="272"/>
      <c r="HW83" s="272"/>
      <c r="HX83" s="272"/>
      <c r="HY83" s="272"/>
      <c r="HZ83" s="272"/>
      <c r="IA83" s="272"/>
      <c r="IB83" s="272"/>
      <c r="IC83" s="272"/>
      <c r="ID83" s="272"/>
      <c r="IE83" s="272"/>
      <c r="IF83" s="272"/>
      <c r="IG83" s="272"/>
      <c r="IH83" s="272"/>
      <c r="II83" s="272"/>
      <c r="IJ83" s="272"/>
      <c r="IK83" s="272"/>
      <c r="IL83" s="272"/>
      <c r="IM83" s="272"/>
      <c r="IN83" s="272"/>
      <c r="IO83" s="272"/>
      <c r="IP83" s="272"/>
      <c r="IQ83" s="272"/>
      <c r="IR83" s="272"/>
    </row>
    <row r="84" spans="1:252" s="264" customFormat="1" ht="16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P84" s="272"/>
      <c r="DQ84" s="272"/>
      <c r="DR84" s="272"/>
      <c r="DS84" s="272"/>
      <c r="DT84" s="272"/>
      <c r="DU84" s="272"/>
      <c r="DV84" s="272"/>
      <c r="DW84" s="272"/>
      <c r="DX84" s="272"/>
      <c r="DY84" s="272"/>
      <c r="DZ84" s="272"/>
      <c r="EA84" s="272"/>
      <c r="EB84" s="272"/>
      <c r="EC84" s="272"/>
      <c r="ED84" s="272"/>
      <c r="EE84" s="272"/>
      <c r="EF84" s="272"/>
      <c r="EG84" s="272"/>
      <c r="EH84" s="272"/>
      <c r="EI84" s="272"/>
      <c r="EJ84" s="272"/>
      <c r="EK84" s="272"/>
      <c r="EL84" s="272"/>
      <c r="EM84" s="272"/>
      <c r="EN84" s="272"/>
      <c r="EO84" s="272"/>
      <c r="EP84" s="272"/>
      <c r="EQ84" s="272"/>
      <c r="ER84" s="272"/>
      <c r="ES84" s="272"/>
      <c r="ET84" s="272"/>
      <c r="EU84" s="272"/>
      <c r="EV84" s="272"/>
      <c r="EW84" s="272"/>
      <c r="EX84" s="272"/>
      <c r="EY84" s="272"/>
      <c r="EZ84" s="272"/>
      <c r="FA84" s="272"/>
      <c r="FB84" s="272"/>
      <c r="FC84" s="272"/>
      <c r="FD84" s="272"/>
      <c r="FE84" s="272"/>
      <c r="FF84" s="272"/>
      <c r="FG84" s="272"/>
      <c r="FH84" s="272"/>
      <c r="FI84" s="272"/>
      <c r="FJ84" s="272"/>
      <c r="FK84" s="272"/>
      <c r="FL84" s="272"/>
      <c r="FM84" s="272"/>
      <c r="FN84" s="272"/>
      <c r="FO84" s="272"/>
      <c r="FP84" s="272"/>
      <c r="FQ84" s="272"/>
      <c r="FR84" s="272"/>
      <c r="FS84" s="272"/>
      <c r="FT84" s="272"/>
      <c r="FU84" s="272"/>
      <c r="FV84" s="272"/>
      <c r="FW84" s="272"/>
      <c r="FX84" s="272"/>
      <c r="FY84" s="272"/>
      <c r="FZ84" s="272"/>
      <c r="GA84" s="272"/>
      <c r="GB84" s="272"/>
      <c r="GC84" s="272"/>
      <c r="GD84" s="272"/>
      <c r="GE84" s="272"/>
      <c r="GF84" s="272"/>
      <c r="GG84" s="272"/>
      <c r="GH84" s="272"/>
      <c r="GI84" s="272"/>
      <c r="GJ84" s="272"/>
      <c r="GK84" s="272"/>
      <c r="GL84" s="272"/>
      <c r="GM84" s="272"/>
      <c r="GN84" s="272"/>
      <c r="GO84" s="272"/>
      <c r="GP84" s="272"/>
      <c r="GQ84" s="272"/>
      <c r="GR84" s="272"/>
      <c r="GS84" s="272"/>
      <c r="GT84" s="272"/>
      <c r="GU84" s="272"/>
      <c r="GV84" s="272"/>
      <c r="GW84" s="272"/>
      <c r="GX84" s="272"/>
      <c r="GY84" s="272"/>
      <c r="GZ84" s="272"/>
      <c r="HA84" s="272"/>
      <c r="HB84" s="272"/>
      <c r="HC84" s="272"/>
      <c r="HD84" s="272"/>
      <c r="HE84" s="272"/>
      <c r="HF84" s="272"/>
      <c r="HG84" s="272"/>
      <c r="HH84" s="272"/>
      <c r="HI84" s="272"/>
      <c r="HJ84" s="272"/>
      <c r="HK84" s="272"/>
      <c r="HL84" s="272"/>
      <c r="HM84" s="272"/>
      <c r="HN84" s="272"/>
      <c r="HO84" s="272"/>
      <c r="HP84" s="272"/>
      <c r="HQ84" s="272"/>
      <c r="HR84" s="272"/>
      <c r="HS84" s="272"/>
      <c r="HT84" s="272"/>
      <c r="HU84" s="272"/>
      <c r="HV84" s="272"/>
      <c r="HW84" s="272"/>
      <c r="HX84" s="272"/>
      <c r="HY84" s="272"/>
      <c r="HZ84" s="272"/>
      <c r="IA84" s="272"/>
      <c r="IB84" s="272"/>
      <c r="IC84" s="272"/>
      <c r="ID84" s="272"/>
      <c r="IE84" s="272"/>
      <c r="IF84" s="272"/>
      <c r="IG84" s="272"/>
      <c r="IH84" s="272"/>
      <c r="II84" s="272"/>
      <c r="IJ84" s="272"/>
      <c r="IK84" s="272"/>
      <c r="IL84" s="272"/>
      <c r="IM84" s="272"/>
      <c r="IN84" s="272"/>
      <c r="IO84" s="272"/>
      <c r="IP84" s="272"/>
      <c r="IQ84" s="272"/>
      <c r="IR84" s="272"/>
    </row>
    <row r="85" spans="1:252" s="264" customFormat="1" ht="16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272"/>
      <c r="EA85" s="272"/>
      <c r="EB85" s="272"/>
      <c r="EC85" s="272"/>
      <c r="ED85" s="272"/>
      <c r="EE85" s="272"/>
      <c r="EF85" s="272"/>
      <c r="EG85" s="272"/>
      <c r="EH85" s="272"/>
      <c r="EI85" s="272"/>
      <c r="EJ85" s="272"/>
      <c r="EK85" s="272"/>
      <c r="EL85" s="272"/>
      <c r="EM85" s="272"/>
      <c r="EN85" s="272"/>
      <c r="EO85" s="272"/>
      <c r="EP85" s="272"/>
      <c r="EQ85" s="272"/>
      <c r="ER85" s="272"/>
      <c r="ES85" s="272"/>
      <c r="ET85" s="272"/>
      <c r="EU85" s="272"/>
      <c r="EV85" s="272"/>
      <c r="EW85" s="272"/>
      <c r="EX85" s="272"/>
      <c r="EY85" s="272"/>
      <c r="EZ85" s="272"/>
      <c r="FA85" s="272"/>
      <c r="FB85" s="272"/>
      <c r="FC85" s="272"/>
      <c r="FD85" s="272"/>
      <c r="FE85" s="272"/>
      <c r="FF85" s="272"/>
      <c r="FG85" s="272"/>
      <c r="FH85" s="272"/>
      <c r="FI85" s="272"/>
      <c r="FJ85" s="272"/>
      <c r="FK85" s="272"/>
      <c r="FL85" s="272"/>
      <c r="FM85" s="272"/>
      <c r="FN85" s="272"/>
      <c r="FO85" s="272"/>
      <c r="FP85" s="272"/>
      <c r="FQ85" s="272"/>
      <c r="FR85" s="272"/>
      <c r="FS85" s="272"/>
      <c r="FT85" s="272"/>
      <c r="FU85" s="272"/>
      <c r="FV85" s="272"/>
      <c r="FW85" s="272"/>
      <c r="FX85" s="272"/>
      <c r="FY85" s="272"/>
      <c r="FZ85" s="272"/>
      <c r="GA85" s="272"/>
      <c r="GB85" s="272"/>
      <c r="GC85" s="272"/>
      <c r="GD85" s="272"/>
      <c r="GE85" s="272"/>
      <c r="GF85" s="272"/>
      <c r="GG85" s="272"/>
      <c r="GH85" s="272"/>
      <c r="GI85" s="272"/>
      <c r="GJ85" s="272"/>
      <c r="GK85" s="272"/>
      <c r="GL85" s="272"/>
      <c r="GM85" s="272"/>
      <c r="GN85" s="272"/>
      <c r="GO85" s="272"/>
      <c r="GP85" s="272"/>
      <c r="GQ85" s="272"/>
      <c r="GR85" s="272"/>
      <c r="GS85" s="272"/>
      <c r="GT85" s="272"/>
      <c r="GU85" s="272"/>
      <c r="GV85" s="272"/>
      <c r="GW85" s="272"/>
      <c r="GX85" s="272"/>
      <c r="GY85" s="272"/>
      <c r="GZ85" s="272"/>
      <c r="HA85" s="272"/>
      <c r="HB85" s="272"/>
      <c r="HC85" s="272"/>
      <c r="HD85" s="272"/>
      <c r="HE85" s="272"/>
      <c r="HF85" s="272"/>
      <c r="HG85" s="272"/>
      <c r="HH85" s="272"/>
      <c r="HI85" s="272"/>
      <c r="HJ85" s="272"/>
      <c r="HK85" s="272"/>
      <c r="HL85" s="272"/>
      <c r="HM85" s="272"/>
      <c r="HN85" s="272"/>
      <c r="HO85" s="272"/>
      <c r="HP85" s="272"/>
      <c r="HQ85" s="272"/>
      <c r="HR85" s="272"/>
      <c r="HS85" s="272"/>
      <c r="HT85" s="272"/>
      <c r="HU85" s="272"/>
      <c r="HV85" s="272"/>
      <c r="HW85" s="272"/>
      <c r="HX85" s="272"/>
      <c r="HY85" s="272"/>
      <c r="HZ85" s="272"/>
      <c r="IA85" s="272"/>
      <c r="IB85" s="272"/>
      <c r="IC85" s="272"/>
      <c r="ID85" s="272"/>
      <c r="IE85" s="272"/>
      <c r="IF85" s="272"/>
      <c r="IG85" s="272"/>
      <c r="IH85" s="272"/>
      <c r="II85" s="272"/>
      <c r="IJ85" s="272"/>
      <c r="IK85" s="272"/>
      <c r="IL85" s="272"/>
      <c r="IM85" s="272"/>
      <c r="IN85" s="272"/>
      <c r="IO85" s="272"/>
      <c r="IP85" s="272"/>
      <c r="IQ85" s="272"/>
      <c r="IR85" s="272"/>
    </row>
    <row r="86" spans="1:252" s="264" customFormat="1" ht="16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2"/>
      <c r="CF86" s="272"/>
      <c r="CG86" s="272"/>
      <c r="CH86" s="272"/>
      <c r="CI86" s="272"/>
      <c r="CJ86" s="272"/>
      <c r="CK86" s="272"/>
      <c r="CL86" s="272"/>
      <c r="CM86" s="272"/>
      <c r="CN86" s="272"/>
      <c r="CO86" s="272"/>
      <c r="CP86" s="272"/>
      <c r="CQ86" s="272"/>
      <c r="CR86" s="272"/>
      <c r="CS86" s="272"/>
      <c r="CT86" s="272"/>
      <c r="CU86" s="272"/>
      <c r="CV86" s="272"/>
      <c r="CW86" s="272"/>
      <c r="CX86" s="272"/>
      <c r="CY86" s="272"/>
      <c r="CZ86" s="272"/>
      <c r="DA86" s="272"/>
      <c r="DB86" s="272"/>
      <c r="DC86" s="272"/>
      <c r="DD86" s="272"/>
      <c r="DE86" s="272"/>
      <c r="DF86" s="272"/>
      <c r="DG86" s="272"/>
      <c r="DH86" s="272"/>
      <c r="DI86" s="272"/>
      <c r="DJ86" s="272"/>
      <c r="DK86" s="272"/>
      <c r="DL86" s="272"/>
      <c r="DM86" s="272"/>
      <c r="DN86" s="272"/>
      <c r="DO86" s="272"/>
      <c r="DP86" s="272"/>
      <c r="DQ86" s="272"/>
      <c r="DR86" s="272"/>
      <c r="DS86" s="272"/>
      <c r="DT86" s="272"/>
      <c r="DU86" s="272"/>
      <c r="DV86" s="272"/>
      <c r="DW86" s="272"/>
      <c r="DX86" s="272"/>
      <c r="DY86" s="272"/>
      <c r="DZ86" s="272"/>
      <c r="EA86" s="272"/>
      <c r="EB86" s="272"/>
      <c r="EC86" s="272"/>
      <c r="ED86" s="272"/>
      <c r="EE86" s="272"/>
      <c r="EF86" s="272"/>
      <c r="EG86" s="272"/>
      <c r="EH86" s="272"/>
      <c r="EI86" s="272"/>
      <c r="EJ86" s="272"/>
      <c r="EK86" s="272"/>
      <c r="EL86" s="272"/>
      <c r="EM86" s="272"/>
      <c r="EN86" s="272"/>
      <c r="EO86" s="272"/>
      <c r="EP86" s="272"/>
      <c r="EQ86" s="272"/>
      <c r="ER86" s="272"/>
      <c r="ES86" s="272"/>
      <c r="ET86" s="272"/>
      <c r="EU86" s="272"/>
      <c r="EV86" s="272"/>
      <c r="EW86" s="272"/>
      <c r="EX86" s="272"/>
      <c r="EY86" s="272"/>
      <c r="EZ86" s="272"/>
      <c r="FA86" s="272"/>
      <c r="FB86" s="272"/>
      <c r="FC86" s="272"/>
      <c r="FD86" s="272"/>
      <c r="FE86" s="272"/>
      <c r="FF86" s="272"/>
      <c r="FG86" s="272"/>
      <c r="FH86" s="272"/>
      <c r="FI86" s="272"/>
      <c r="FJ86" s="272"/>
      <c r="FK86" s="272"/>
      <c r="FL86" s="272"/>
      <c r="FM86" s="272"/>
      <c r="FN86" s="272"/>
      <c r="FO86" s="272"/>
      <c r="FP86" s="272"/>
      <c r="FQ86" s="272"/>
      <c r="FR86" s="272"/>
      <c r="FS86" s="272"/>
      <c r="FT86" s="272"/>
      <c r="FU86" s="272"/>
      <c r="FV86" s="272"/>
      <c r="FW86" s="272"/>
      <c r="FX86" s="272"/>
      <c r="FY86" s="272"/>
      <c r="FZ86" s="272"/>
      <c r="GA86" s="272"/>
      <c r="GB86" s="272"/>
      <c r="GC86" s="272"/>
      <c r="GD86" s="272"/>
      <c r="GE86" s="272"/>
      <c r="GF86" s="272"/>
      <c r="GG86" s="272"/>
      <c r="GH86" s="272"/>
      <c r="GI86" s="272"/>
      <c r="GJ86" s="272"/>
      <c r="GK86" s="272"/>
      <c r="GL86" s="272"/>
      <c r="GM86" s="272"/>
      <c r="GN86" s="272"/>
      <c r="GO86" s="272"/>
      <c r="GP86" s="272"/>
      <c r="GQ86" s="272"/>
      <c r="GR86" s="272"/>
      <c r="GS86" s="272"/>
      <c r="GT86" s="272"/>
      <c r="GU86" s="272"/>
      <c r="GV86" s="272"/>
      <c r="GW86" s="272"/>
      <c r="GX86" s="272"/>
      <c r="GY86" s="272"/>
      <c r="GZ86" s="272"/>
      <c r="HA86" s="272"/>
      <c r="HB86" s="272"/>
      <c r="HC86" s="272"/>
      <c r="HD86" s="272"/>
      <c r="HE86" s="272"/>
      <c r="HF86" s="272"/>
      <c r="HG86" s="272"/>
      <c r="HH86" s="272"/>
      <c r="HI86" s="272"/>
      <c r="HJ86" s="272"/>
      <c r="HK86" s="272"/>
      <c r="HL86" s="272"/>
      <c r="HM86" s="272"/>
      <c r="HN86" s="272"/>
      <c r="HO86" s="272"/>
      <c r="HP86" s="272"/>
      <c r="HQ86" s="272"/>
      <c r="HR86" s="272"/>
      <c r="HS86" s="272"/>
      <c r="HT86" s="272"/>
      <c r="HU86" s="272"/>
      <c r="HV86" s="272"/>
      <c r="HW86" s="272"/>
      <c r="HX86" s="272"/>
      <c r="HY86" s="272"/>
      <c r="HZ86" s="272"/>
      <c r="IA86" s="272"/>
      <c r="IB86" s="272"/>
      <c r="IC86" s="272"/>
      <c r="ID86" s="272"/>
      <c r="IE86" s="272"/>
      <c r="IF86" s="272"/>
      <c r="IG86" s="272"/>
      <c r="IH86" s="272"/>
      <c r="II86" s="272"/>
      <c r="IJ86" s="272"/>
      <c r="IK86" s="272"/>
      <c r="IL86" s="272"/>
      <c r="IM86" s="272"/>
      <c r="IN86" s="272"/>
      <c r="IO86" s="272"/>
      <c r="IP86" s="272"/>
      <c r="IQ86" s="272"/>
      <c r="IR86" s="272"/>
    </row>
    <row r="87" spans="1:252" s="264" customFormat="1" ht="16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2"/>
      <c r="CO87" s="272"/>
      <c r="CP87" s="272"/>
      <c r="CQ87" s="272"/>
      <c r="CR87" s="272"/>
      <c r="CS87" s="272"/>
      <c r="CT87" s="272"/>
      <c r="CU87" s="272"/>
      <c r="CV87" s="272"/>
      <c r="CW87" s="272"/>
      <c r="CX87" s="272"/>
      <c r="CY87" s="272"/>
      <c r="CZ87" s="272"/>
      <c r="DA87" s="272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P87" s="272"/>
      <c r="DQ87" s="272"/>
      <c r="DR87" s="272"/>
      <c r="DS87" s="272"/>
      <c r="DT87" s="272"/>
      <c r="DU87" s="272"/>
      <c r="DV87" s="272"/>
      <c r="DW87" s="272"/>
      <c r="DX87" s="272"/>
      <c r="DY87" s="272"/>
      <c r="DZ87" s="272"/>
      <c r="EA87" s="272"/>
      <c r="EB87" s="272"/>
      <c r="EC87" s="272"/>
      <c r="ED87" s="272"/>
      <c r="EE87" s="272"/>
      <c r="EF87" s="272"/>
      <c r="EG87" s="272"/>
      <c r="EH87" s="272"/>
      <c r="EI87" s="272"/>
      <c r="EJ87" s="272"/>
      <c r="EK87" s="272"/>
      <c r="EL87" s="272"/>
      <c r="EM87" s="272"/>
      <c r="EN87" s="272"/>
      <c r="EO87" s="272"/>
      <c r="EP87" s="272"/>
      <c r="EQ87" s="272"/>
      <c r="ER87" s="272"/>
      <c r="ES87" s="272"/>
      <c r="ET87" s="272"/>
      <c r="EU87" s="272"/>
      <c r="EV87" s="272"/>
      <c r="EW87" s="272"/>
      <c r="EX87" s="272"/>
      <c r="EY87" s="272"/>
      <c r="EZ87" s="272"/>
      <c r="FA87" s="272"/>
      <c r="FB87" s="272"/>
      <c r="FC87" s="272"/>
      <c r="FD87" s="272"/>
      <c r="FE87" s="272"/>
      <c r="FF87" s="272"/>
      <c r="FG87" s="272"/>
      <c r="FH87" s="272"/>
      <c r="FI87" s="272"/>
      <c r="FJ87" s="272"/>
      <c r="FK87" s="272"/>
      <c r="FL87" s="272"/>
      <c r="FM87" s="272"/>
      <c r="FN87" s="272"/>
      <c r="FO87" s="272"/>
      <c r="FP87" s="272"/>
      <c r="FQ87" s="272"/>
      <c r="FR87" s="272"/>
      <c r="FS87" s="272"/>
      <c r="FT87" s="272"/>
      <c r="FU87" s="272"/>
      <c r="FV87" s="272"/>
      <c r="FW87" s="272"/>
      <c r="FX87" s="272"/>
      <c r="FY87" s="272"/>
      <c r="FZ87" s="272"/>
      <c r="GA87" s="272"/>
      <c r="GB87" s="272"/>
      <c r="GC87" s="272"/>
      <c r="GD87" s="272"/>
      <c r="GE87" s="272"/>
      <c r="GF87" s="272"/>
      <c r="GG87" s="272"/>
      <c r="GH87" s="272"/>
      <c r="GI87" s="272"/>
      <c r="GJ87" s="272"/>
      <c r="GK87" s="272"/>
      <c r="GL87" s="272"/>
      <c r="GM87" s="272"/>
      <c r="GN87" s="272"/>
      <c r="GO87" s="272"/>
      <c r="GP87" s="272"/>
      <c r="GQ87" s="272"/>
      <c r="GR87" s="272"/>
      <c r="GS87" s="272"/>
      <c r="GT87" s="272"/>
      <c r="GU87" s="272"/>
      <c r="GV87" s="272"/>
      <c r="GW87" s="272"/>
      <c r="GX87" s="272"/>
      <c r="GY87" s="272"/>
      <c r="GZ87" s="272"/>
      <c r="HA87" s="272"/>
      <c r="HB87" s="272"/>
      <c r="HC87" s="272"/>
      <c r="HD87" s="272"/>
      <c r="HE87" s="272"/>
      <c r="HF87" s="272"/>
      <c r="HG87" s="272"/>
      <c r="HH87" s="272"/>
      <c r="HI87" s="272"/>
      <c r="HJ87" s="272"/>
      <c r="HK87" s="272"/>
      <c r="HL87" s="272"/>
      <c r="HM87" s="272"/>
      <c r="HN87" s="272"/>
      <c r="HO87" s="272"/>
      <c r="HP87" s="272"/>
      <c r="HQ87" s="272"/>
      <c r="HR87" s="272"/>
      <c r="HS87" s="272"/>
      <c r="HT87" s="272"/>
      <c r="HU87" s="272"/>
      <c r="HV87" s="272"/>
      <c r="HW87" s="272"/>
      <c r="HX87" s="272"/>
      <c r="HY87" s="272"/>
      <c r="HZ87" s="272"/>
      <c r="IA87" s="272"/>
      <c r="IB87" s="272"/>
      <c r="IC87" s="272"/>
      <c r="ID87" s="272"/>
      <c r="IE87" s="272"/>
      <c r="IF87" s="272"/>
      <c r="IG87" s="272"/>
      <c r="IH87" s="272"/>
      <c r="II87" s="272"/>
      <c r="IJ87" s="272"/>
      <c r="IK87" s="272"/>
      <c r="IL87" s="272"/>
      <c r="IM87" s="272"/>
      <c r="IN87" s="272"/>
      <c r="IO87" s="272"/>
      <c r="IP87" s="272"/>
      <c r="IQ87" s="272"/>
      <c r="IR87" s="272"/>
    </row>
    <row r="88" spans="1:252" s="264" customFormat="1" ht="16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2"/>
      <c r="DA88" s="272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2"/>
      <c r="DY88" s="272"/>
      <c r="DZ88" s="272"/>
      <c r="EA88" s="272"/>
      <c r="EB88" s="272"/>
      <c r="EC88" s="272"/>
      <c r="ED88" s="272"/>
      <c r="EE88" s="272"/>
      <c r="EF88" s="272"/>
      <c r="EG88" s="272"/>
      <c r="EH88" s="272"/>
      <c r="EI88" s="272"/>
      <c r="EJ88" s="272"/>
      <c r="EK88" s="272"/>
      <c r="EL88" s="272"/>
      <c r="EM88" s="272"/>
      <c r="EN88" s="272"/>
      <c r="EO88" s="272"/>
      <c r="EP88" s="272"/>
      <c r="EQ88" s="272"/>
      <c r="ER88" s="272"/>
      <c r="ES88" s="272"/>
      <c r="ET88" s="272"/>
      <c r="EU88" s="272"/>
      <c r="EV88" s="272"/>
      <c r="EW88" s="272"/>
      <c r="EX88" s="272"/>
      <c r="EY88" s="272"/>
      <c r="EZ88" s="272"/>
      <c r="FA88" s="272"/>
      <c r="FB88" s="272"/>
      <c r="FC88" s="272"/>
      <c r="FD88" s="272"/>
      <c r="FE88" s="272"/>
      <c r="FF88" s="272"/>
      <c r="FG88" s="272"/>
      <c r="FH88" s="272"/>
      <c r="FI88" s="272"/>
      <c r="FJ88" s="272"/>
      <c r="FK88" s="272"/>
      <c r="FL88" s="272"/>
      <c r="FM88" s="272"/>
      <c r="FN88" s="272"/>
      <c r="FO88" s="272"/>
      <c r="FP88" s="272"/>
      <c r="FQ88" s="272"/>
      <c r="FR88" s="272"/>
      <c r="FS88" s="272"/>
      <c r="FT88" s="272"/>
      <c r="FU88" s="272"/>
      <c r="FV88" s="272"/>
      <c r="FW88" s="272"/>
      <c r="FX88" s="272"/>
      <c r="FY88" s="272"/>
      <c r="FZ88" s="272"/>
      <c r="GA88" s="272"/>
      <c r="GB88" s="272"/>
      <c r="GC88" s="272"/>
      <c r="GD88" s="272"/>
      <c r="GE88" s="272"/>
      <c r="GF88" s="272"/>
      <c r="GG88" s="272"/>
      <c r="GH88" s="272"/>
      <c r="GI88" s="272"/>
      <c r="GJ88" s="272"/>
      <c r="GK88" s="272"/>
      <c r="GL88" s="272"/>
      <c r="GM88" s="272"/>
      <c r="GN88" s="272"/>
      <c r="GO88" s="272"/>
      <c r="GP88" s="272"/>
      <c r="GQ88" s="272"/>
      <c r="GR88" s="272"/>
      <c r="GS88" s="272"/>
      <c r="GT88" s="272"/>
      <c r="GU88" s="272"/>
      <c r="GV88" s="272"/>
      <c r="GW88" s="272"/>
      <c r="GX88" s="272"/>
      <c r="GY88" s="272"/>
      <c r="GZ88" s="272"/>
      <c r="HA88" s="272"/>
      <c r="HB88" s="272"/>
      <c r="HC88" s="272"/>
      <c r="HD88" s="272"/>
      <c r="HE88" s="272"/>
      <c r="HF88" s="272"/>
      <c r="HG88" s="272"/>
      <c r="HH88" s="272"/>
      <c r="HI88" s="272"/>
      <c r="HJ88" s="272"/>
      <c r="HK88" s="272"/>
      <c r="HL88" s="272"/>
      <c r="HM88" s="272"/>
      <c r="HN88" s="272"/>
      <c r="HO88" s="272"/>
      <c r="HP88" s="272"/>
      <c r="HQ88" s="272"/>
      <c r="HR88" s="272"/>
      <c r="HS88" s="272"/>
      <c r="HT88" s="272"/>
      <c r="HU88" s="272"/>
      <c r="HV88" s="272"/>
      <c r="HW88" s="272"/>
      <c r="HX88" s="272"/>
      <c r="HY88" s="272"/>
      <c r="HZ88" s="272"/>
      <c r="IA88" s="272"/>
      <c r="IB88" s="272"/>
      <c r="IC88" s="272"/>
      <c r="ID88" s="272"/>
      <c r="IE88" s="272"/>
      <c r="IF88" s="272"/>
      <c r="IG88" s="272"/>
      <c r="IH88" s="272"/>
      <c r="II88" s="272"/>
      <c r="IJ88" s="272"/>
      <c r="IK88" s="272"/>
      <c r="IL88" s="272"/>
      <c r="IM88" s="272"/>
      <c r="IN88" s="272"/>
      <c r="IO88" s="272"/>
      <c r="IP88" s="272"/>
      <c r="IQ88" s="272"/>
      <c r="IR88" s="272"/>
    </row>
    <row r="89" spans="1:252" s="264" customFormat="1" ht="16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2"/>
      <c r="EK89" s="272"/>
      <c r="EL89" s="272"/>
      <c r="EM89" s="272"/>
      <c r="EN89" s="272"/>
      <c r="EO89" s="272"/>
      <c r="EP89" s="272"/>
      <c r="EQ89" s="272"/>
      <c r="ER89" s="272"/>
      <c r="ES89" s="272"/>
      <c r="ET89" s="272"/>
      <c r="EU89" s="272"/>
      <c r="EV89" s="272"/>
      <c r="EW89" s="272"/>
      <c r="EX89" s="272"/>
      <c r="EY89" s="272"/>
      <c r="EZ89" s="272"/>
      <c r="FA89" s="272"/>
      <c r="FB89" s="272"/>
      <c r="FC89" s="272"/>
      <c r="FD89" s="272"/>
      <c r="FE89" s="272"/>
      <c r="FF89" s="272"/>
      <c r="FG89" s="272"/>
      <c r="FH89" s="272"/>
      <c r="FI89" s="272"/>
      <c r="FJ89" s="272"/>
      <c r="FK89" s="272"/>
      <c r="FL89" s="272"/>
      <c r="FM89" s="272"/>
      <c r="FN89" s="272"/>
      <c r="FO89" s="272"/>
      <c r="FP89" s="272"/>
      <c r="FQ89" s="272"/>
      <c r="FR89" s="272"/>
      <c r="FS89" s="272"/>
      <c r="FT89" s="272"/>
      <c r="FU89" s="272"/>
      <c r="FV89" s="272"/>
      <c r="FW89" s="272"/>
      <c r="FX89" s="272"/>
      <c r="FY89" s="272"/>
      <c r="FZ89" s="272"/>
      <c r="GA89" s="272"/>
      <c r="GB89" s="272"/>
      <c r="GC89" s="272"/>
      <c r="GD89" s="272"/>
      <c r="GE89" s="272"/>
      <c r="GF89" s="272"/>
      <c r="GG89" s="272"/>
      <c r="GH89" s="272"/>
      <c r="GI89" s="272"/>
      <c r="GJ89" s="272"/>
      <c r="GK89" s="272"/>
      <c r="GL89" s="272"/>
      <c r="GM89" s="272"/>
      <c r="GN89" s="272"/>
      <c r="GO89" s="272"/>
      <c r="GP89" s="272"/>
      <c r="GQ89" s="272"/>
      <c r="GR89" s="272"/>
      <c r="GS89" s="272"/>
      <c r="GT89" s="272"/>
      <c r="GU89" s="272"/>
      <c r="GV89" s="272"/>
      <c r="GW89" s="272"/>
      <c r="GX89" s="272"/>
      <c r="GY89" s="272"/>
      <c r="GZ89" s="272"/>
      <c r="HA89" s="272"/>
      <c r="HB89" s="272"/>
      <c r="HC89" s="272"/>
      <c r="HD89" s="272"/>
      <c r="HE89" s="272"/>
      <c r="HF89" s="272"/>
      <c r="HG89" s="272"/>
      <c r="HH89" s="272"/>
      <c r="HI89" s="272"/>
      <c r="HJ89" s="272"/>
      <c r="HK89" s="272"/>
      <c r="HL89" s="272"/>
      <c r="HM89" s="272"/>
      <c r="HN89" s="272"/>
      <c r="HO89" s="272"/>
      <c r="HP89" s="272"/>
      <c r="HQ89" s="272"/>
      <c r="HR89" s="272"/>
      <c r="HS89" s="272"/>
      <c r="HT89" s="272"/>
      <c r="HU89" s="272"/>
      <c r="HV89" s="272"/>
      <c r="HW89" s="272"/>
      <c r="HX89" s="272"/>
      <c r="HY89" s="272"/>
      <c r="HZ89" s="272"/>
      <c r="IA89" s="272"/>
      <c r="IB89" s="272"/>
      <c r="IC89" s="272"/>
      <c r="ID89" s="272"/>
      <c r="IE89" s="272"/>
      <c r="IF89" s="272"/>
      <c r="IG89" s="272"/>
      <c r="IH89" s="272"/>
      <c r="II89" s="272"/>
      <c r="IJ89" s="272"/>
      <c r="IK89" s="272"/>
      <c r="IL89" s="272"/>
      <c r="IM89" s="272"/>
      <c r="IN89" s="272"/>
      <c r="IO89" s="272"/>
      <c r="IP89" s="272"/>
      <c r="IQ89" s="272"/>
      <c r="IR89" s="272"/>
    </row>
    <row r="90" spans="1:252" s="264" customFormat="1" ht="16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2"/>
      <c r="EL90" s="272"/>
      <c r="EM90" s="272"/>
      <c r="EN90" s="272"/>
      <c r="EO90" s="272"/>
      <c r="EP90" s="272"/>
      <c r="EQ90" s="272"/>
      <c r="ER90" s="272"/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  <c r="FK90" s="272"/>
      <c r="FL90" s="272"/>
      <c r="FM90" s="272"/>
      <c r="FN90" s="272"/>
      <c r="FO90" s="272"/>
      <c r="FP90" s="272"/>
      <c r="FQ90" s="272"/>
      <c r="FR90" s="272"/>
      <c r="FS90" s="272"/>
      <c r="FT90" s="272"/>
      <c r="FU90" s="272"/>
      <c r="FV90" s="272"/>
      <c r="FW90" s="272"/>
      <c r="FX90" s="272"/>
      <c r="FY90" s="272"/>
      <c r="FZ90" s="272"/>
      <c r="GA90" s="272"/>
      <c r="GB90" s="272"/>
      <c r="GC90" s="272"/>
      <c r="GD90" s="272"/>
      <c r="GE90" s="272"/>
      <c r="GF90" s="272"/>
      <c r="GG90" s="272"/>
      <c r="GH90" s="272"/>
      <c r="GI90" s="272"/>
      <c r="GJ90" s="272"/>
      <c r="GK90" s="272"/>
      <c r="GL90" s="272"/>
      <c r="GM90" s="272"/>
      <c r="GN90" s="272"/>
      <c r="GO90" s="272"/>
      <c r="GP90" s="272"/>
      <c r="GQ90" s="272"/>
      <c r="GR90" s="272"/>
      <c r="GS90" s="272"/>
      <c r="GT90" s="272"/>
      <c r="GU90" s="272"/>
      <c r="GV90" s="272"/>
      <c r="GW90" s="272"/>
      <c r="GX90" s="272"/>
      <c r="GY90" s="272"/>
      <c r="GZ90" s="272"/>
      <c r="HA90" s="272"/>
      <c r="HB90" s="272"/>
      <c r="HC90" s="272"/>
      <c r="HD90" s="272"/>
      <c r="HE90" s="272"/>
      <c r="HF90" s="272"/>
      <c r="HG90" s="272"/>
      <c r="HH90" s="272"/>
      <c r="HI90" s="272"/>
      <c r="HJ90" s="272"/>
      <c r="HK90" s="272"/>
      <c r="HL90" s="272"/>
      <c r="HM90" s="272"/>
      <c r="HN90" s="272"/>
      <c r="HO90" s="272"/>
      <c r="HP90" s="272"/>
      <c r="HQ90" s="272"/>
      <c r="HR90" s="272"/>
      <c r="HS90" s="272"/>
      <c r="HT90" s="272"/>
      <c r="HU90" s="272"/>
      <c r="HV90" s="272"/>
      <c r="HW90" s="272"/>
      <c r="HX90" s="272"/>
      <c r="HY90" s="272"/>
      <c r="HZ90" s="272"/>
      <c r="IA90" s="272"/>
      <c r="IB90" s="272"/>
      <c r="IC90" s="272"/>
      <c r="ID90" s="272"/>
      <c r="IE90" s="272"/>
      <c r="IF90" s="272"/>
      <c r="IG90" s="272"/>
      <c r="IH90" s="272"/>
      <c r="II90" s="272"/>
      <c r="IJ90" s="272"/>
      <c r="IK90" s="272"/>
      <c r="IL90" s="272"/>
      <c r="IM90" s="272"/>
      <c r="IN90" s="272"/>
      <c r="IO90" s="272"/>
      <c r="IP90" s="272"/>
      <c r="IQ90" s="272"/>
      <c r="IR90" s="272"/>
    </row>
    <row r="91" spans="1:252" s="264" customFormat="1" ht="16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2"/>
      <c r="DT91" s="272"/>
      <c r="DU91" s="272"/>
      <c r="DV91" s="272"/>
      <c r="DW91" s="272"/>
      <c r="DX91" s="272"/>
      <c r="DY91" s="272"/>
      <c r="DZ91" s="272"/>
      <c r="EA91" s="272"/>
      <c r="EB91" s="272"/>
      <c r="EC91" s="272"/>
      <c r="ED91" s="272"/>
      <c r="EE91" s="272"/>
      <c r="EF91" s="272"/>
      <c r="EG91" s="272"/>
      <c r="EH91" s="272"/>
      <c r="EI91" s="272"/>
      <c r="EJ91" s="272"/>
      <c r="EK91" s="272"/>
      <c r="EL91" s="272"/>
      <c r="EM91" s="272"/>
      <c r="EN91" s="272"/>
      <c r="EO91" s="272"/>
      <c r="EP91" s="272"/>
      <c r="EQ91" s="272"/>
      <c r="ER91" s="272"/>
      <c r="ES91" s="272"/>
      <c r="ET91" s="272"/>
      <c r="EU91" s="272"/>
      <c r="EV91" s="272"/>
      <c r="EW91" s="272"/>
      <c r="EX91" s="272"/>
      <c r="EY91" s="272"/>
      <c r="EZ91" s="272"/>
      <c r="FA91" s="272"/>
      <c r="FB91" s="272"/>
      <c r="FC91" s="272"/>
      <c r="FD91" s="272"/>
      <c r="FE91" s="272"/>
      <c r="FF91" s="272"/>
      <c r="FG91" s="272"/>
      <c r="FH91" s="272"/>
      <c r="FI91" s="272"/>
      <c r="FJ91" s="272"/>
      <c r="FK91" s="272"/>
      <c r="FL91" s="272"/>
      <c r="FM91" s="272"/>
      <c r="FN91" s="272"/>
      <c r="FO91" s="272"/>
      <c r="FP91" s="272"/>
      <c r="FQ91" s="272"/>
      <c r="FR91" s="272"/>
      <c r="FS91" s="272"/>
      <c r="FT91" s="272"/>
      <c r="FU91" s="272"/>
      <c r="FV91" s="272"/>
      <c r="FW91" s="272"/>
      <c r="FX91" s="272"/>
      <c r="FY91" s="272"/>
      <c r="FZ91" s="272"/>
      <c r="GA91" s="272"/>
      <c r="GB91" s="272"/>
      <c r="GC91" s="272"/>
      <c r="GD91" s="272"/>
      <c r="GE91" s="272"/>
      <c r="GF91" s="272"/>
      <c r="GG91" s="272"/>
      <c r="GH91" s="272"/>
      <c r="GI91" s="272"/>
      <c r="GJ91" s="272"/>
      <c r="GK91" s="272"/>
      <c r="GL91" s="272"/>
      <c r="GM91" s="272"/>
      <c r="GN91" s="272"/>
      <c r="GO91" s="272"/>
      <c r="GP91" s="272"/>
      <c r="GQ91" s="272"/>
      <c r="GR91" s="272"/>
      <c r="GS91" s="272"/>
      <c r="GT91" s="272"/>
      <c r="GU91" s="272"/>
      <c r="GV91" s="272"/>
      <c r="GW91" s="272"/>
      <c r="GX91" s="272"/>
      <c r="GY91" s="272"/>
      <c r="GZ91" s="272"/>
      <c r="HA91" s="272"/>
      <c r="HB91" s="272"/>
      <c r="HC91" s="272"/>
      <c r="HD91" s="272"/>
      <c r="HE91" s="272"/>
      <c r="HF91" s="272"/>
      <c r="HG91" s="272"/>
      <c r="HH91" s="272"/>
      <c r="HI91" s="272"/>
      <c r="HJ91" s="272"/>
      <c r="HK91" s="272"/>
      <c r="HL91" s="272"/>
      <c r="HM91" s="272"/>
      <c r="HN91" s="272"/>
      <c r="HO91" s="272"/>
      <c r="HP91" s="272"/>
      <c r="HQ91" s="272"/>
      <c r="HR91" s="272"/>
      <c r="HS91" s="272"/>
      <c r="HT91" s="272"/>
      <c r="HU91" s="272"/>
      <c r="HV91" s="272"/>
      <c r="HW91" s="272"/>
      <c r="HX91" s="272"/>
      <c r="HY91" s="272"/>
      <c r="HZ91" s="272"/>
      <c r="IA91" s="272"/>
      <c r="IB91" s="272"/>
      <c r="IC91" s="272"/>
      <c r="ID91" s="272"/>
      <c r="IE91" s="272"/>
      <c r="IF91" s="272"/>
      <c r="IG91" s="272"/>
      <c r="IH91" s="272"/>
      <c r="II91" s="272"/>
      <c r="IJ91" s="272"/>
      <c r="IK91" s="272"/>
      <c r="IL91" s="272"/>
      <c r="IM91" s="272"/>
      <c r="IN91" s="272"/>
      <c r="IO91" s="272"/>
      <c r="IP91" s="272"/>
      <c r="IQ91" s="272"/>
      <c r="IR91" s="272"/>
    </row>
    <row r="92" spans="1:252" s="264" customFormat="1" ht="16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2"/>
      <c r="DT92" s="272"/>
      <c r="DU92" s="272"/>
      <c r="DV92" s="272"/>
      <c r="DW92" s="272"/>
      <c r="DX92" s="272"/>
      <c r="DY92" s="272"/>
      <c r="DZ92" s="272"/>
      <c r="EA92" s="272"/>
      <c r="EB92" s="272"/>
      <c r="EC92" s="272"/>
      <c r="ED92" s="272"/>
      <c r="EE92" s="272"/>
      <c r="EF92" s="272"/>
      <c r="EG92" s="272"/>
      <c r="EH92" s="272"/>
      <c r="EI92" s="272"/>
      <c r="EJ92" s="272"/>
      <c r="EK92" s="272"/>
      <c r="EL92" s="272"/>
      <c r="EM92" s="272"/>
      <c r="EN92" s="272"/>
      <c r="EO92" s="272"/>
      <c r="EP92" s="272"/>
      <c r="EQ92" s="272"/>
      <c r="ER92" s="272"/>
      <c r="ES92" s="272"/>
      <c r="ET92" s="272"/>
      <c r="EU92" s="272"/>
      <c r="EV92" s="272"/>
      <c r="EW92" s="272"/>
      <c r="EX92" s="272"/>
      <c r="EY92" s="272"/>
      <c r="EZ92" s="272"/>
      <c r="FA92" s="272"/>
      <c r="FB92" s="272"/>
      <c r="FC92" s="272"/>
      <c r="FD92" s="272"/>
      <c r="FE92" s="272"/>
      <c r="FF92" s="272"/>
      <c r="FG92" s="272"/>
      <c r="FH92" s="272"/>
      <c r="FI92" s="272"/>
      <c r="FJ92" s="272"/>
      <c r="FK92" s="272"/>
      <c r="FL92" s="272"/>
      <c r="FM92" s="272"/>
      <c r="FN92" s="272"/>
      <c r="FO92" s="272"/>
      <c r="FP92" s="272"/>
      <c r="FQ92" s="272"/>
      <c r="FR92" s="272"/>
      <c r="FS92" s="272"/>
      <c r="FT92" s="272"/>
      <c r="FU92" s="272"/>
      <c r="FV92" s="272"/>
      <c r="FW92" s="272"/>
      <c r="FX92" s="272"/>
      <c r="FY92" s="272"/>
      <c r="FZ92" s="272"/>
      <c r="GA92" s="272"/>
      <c r="GB92" s="272"/>
      <c r="GC92" s="272"/>
      <c r="GD92" s="272"/>
      <c r="GE92" s="272"/>
      <c r="GF92" s="272"/>
      <c r="GG92" s="272"/>
      <c r="GH92" s="272"/>
      <c r="GI92" s="272"/>
      <c r="GJ92" s="272"/>
      <c r="GK92" s="272"/>
      <c r="GL92" s="272"/>
      <c r="GM92" s="272"/>
      <c r="GN92" s="272"/>
      <c r="GO92" s="272"/>
      <c r="GP92" s="272"/>
      <c r="GQ92" s="272"/>
      <c r="GR92" s="272"/>
      <c r="GS92" s="272"/>
      <c r="GT92" s="272"/>
      <c r="GU92" s="272"/>
      <c r="GV92" s="272"/>
      <c r="GW92" s="272"/>
      <c r="GX92" s="272"/>
      <c r="GY92" s="272"/>
      <c r="GZ92" s="272"/>
      <c r="HA92" s="272"/>
      <c r="HB92" s="272"/>
      <c r="HC92" s="272"/>
      <c r="HD92" s="272"/>
      <c r="HE92" s="272"/>
      <c r="HF92" s="272"/>
      <c r="HG92" s="272"/>
      <c r="HH92" s="272"/>
      <c r="HI92" s="272"/>
      <c r="HJ92" s="272"/>
      <c r="HK92" s="272"/>
      <c r="HL92" s="272"/>
      <c r="HM92" s="272"/>
      <c r="HN92" s="272"/>
      <c r="HO92" s="272"/>
      <c r="HP92" s="272"/>
      <c r="HQ92" s="272"/>
      <c r="HR92" s="272"/>
      <c r="HS92" s="272"/>
      <c r="HT92" s="272"/>
      <c r="HU92" s="272"/>
      <c r="HV92" s="272"/>
      <c r="HW92" s="272"/>
      <c r="HX92" s="272"/>
      <c r="HY92" s="272"/>
      <c r="HZ92" s="272"/>
      <c r="IA92" s="272"/>
      <c r="IB92" s="272"/>
      <c r="IC92" s="272"/>
      <c r="ID92" s="272"/>
      <c r="IE92" s="272"/>
      <c r="IF92" s="272"/>
      <c r="IG92" s="272"/>
      <c r="IH92" s="272"/>
      <c r="II92" s="272"/>
      <c r="IJ92" s="272"/>
      <c r="IK92" s="272"/>
      <c r="IL92" s="272"/>
      <c r="IM92" s="272"/>
      <c r="IN92" s="272"/>
      <c r="IO92" s="272"/>
      <c r="IP92" s="272"/>
      <c r="IQ92" s="272"/>
      <c r="IR92" s="272"/>
    </row>
    <row r="93" spans="1:252" s="264" customFormat="1" ht="16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2"/>
      <c r="DT93" s="272"/>
      <c r="DU93" s="272"/>
      <c r="DV93" s="272"/>
      <c r="DW93" s="272"/>
      <c r="DX93" s="272"/>
      <c r="DY93" s="272"/>
      <c r="DZ93" s="272"/>
      <c r="EA93" s="272"/>
      <c r="EB93" s="272"/>
      <c r="EC93" s="272"/>
      <c r="ED93" s="272"/>
      <c r="EE93" s="272"/>
      <c r="EF93" s="272"/>
      <c r="EG93" s="272"/>
      <c r="EH93" s="272"/>
      <c r="EI93" s="272"/>
      <c r="EJ93" s="272"/>
      <c r="EK93" s="272"/>
      <c r="EL93" s="272"/>
      <c r="EM93" s="272"/>
      <c r="EN93" s="272"/>
      <c r="EO93" s="272"/>
      <c r="EP93" s="272"/>
      <c r="EQ93" s="272"/>
      <c r="ER93" s="272"/>
      <c r="ES93" s="272"/>
      <c r="ET93" s="272"/>
      <c r="EU93" s="272"/>
      <c r="EV93" s="272"/>
      <c r="EW93" s="272"/>
      <c r="EX93" s="272"/>
      <c r="EY93" s="272"/>
      <c r="EZ93" s="272"/>
      <c r="FA93" s="272"/>
      <c r="FB93" s="272"/>
      <c r="FC93" s="272"/>
      <c r="FD93" s="272"/>
      <c r="FE93" s="272"/>
      <c r="FF93" s="272"/>
      <c r="FG93" s="272"/>
      <c r="FH93" s="272"/>
      <c r="FI93" s="272"/>
      <c r="FJ93" s="272"/>
      <c r="FK93" s="272"/>
      <c r="FL93" s="272"/>
      <c r="FM93" s="272"/>
      <c r="FN93" s="272"/>
      <c r="FO93" s="272"/>
      <c r="FP93" s="272"/>
      <c r="FQ93" s="272"/>
      <c r="FR93" s="272"/>
      <c r="FS93" s="272"/>
      <c r="FT93" s="272"/>
      <c r="FU93" s="272"/>
      <c r="FV93" s="272"/>
      <c r="FW93" s="272"/>
      <c r="FX93" s="272"/>
      <c r="FY93" s="272"/>
      <c r="FZ93" s="272"/>
      <c r="GA93" s="272"/>
      <c r="GB93" s="272"/>
      <c r="GC93" s="272"/>
      <c r="GD93" s="272"/>
      <c r="GE93" s="272"/>
      <c r="GF93" s="272"/>
      <c r="GG93" s="272"/>
      <c r="GH93" s="272"/>
      <c r="GI93" s="272"/>
      <c r="GJ93" s="272"/>
      <c r="GK93" s="272"/>
      <c r="GL93" s="272"/>
      <c r="GM93" s="272"/>
      <c r="GN93" s="272"/>
      <c r="GO93" s="272"/>
      <c r="GP93" s="272"/>
      <c r="GQ93" s="272"/>
      <c r="GR93" s="272"/>
      <c r="GS93" s="272"/>
      <c r="GT93" s="272"/>
      <c r="GU93" s="272"/>
      <c r="GV93" s="272"/>
      <c r="GW93" s="272"/>
      <c r="GX93" s="272"/>
      <c r="GY93" s="272"/>
      <c r="GZ93" s="272"/>
      <c r="HA93" s="272"/>
      <c r="HB93" s="272"/>
      <c r="HC93" s="272"/>
      <c r="HD93" s="272"/>
      <c r="HE93" s="272"/>
      <c r="HF93" s="272"/>
      <c r="HG93" s="272"/>
      <c r="HH93" s="272"/>
      <c r="HI93" s="272"/>
      <c r="HJ93" s="272"/>
      <c r="HK93" s="272"/>
      <c r="HL93" s="272"/>
      <c r="HM93" s="272"/>
      <c r="HN93" s="272"/>
      <c r="HO93" s="272"/>
      <c r="HP93" s="272"/>
      <c r="HQ93" s="272"/>
      <c r="HR93" s="272"/>
      <c r="HS93" s="272"/>
      <c r="HT93" s="272"/>
      <c r="HU93" s="272"/>
      <c r="HV93" s="272"/>
      <c r="HW93" s="272"/>
      <c r="HX93" s="272"/>
      <c r="HY93" s="272"/>
      <c r="HZ93" s="272"/>
      <c r="IA93" s="272"/>
      <c r="IB93" s="272"/>
      <c r="IC93" s="272"/>
      <c r="ID93" s="272"/>
      <c r="IE93" s="272"/>
      <c r="IF93" s="272"/>
      <c r="IG93" s="272"/>
      <c r="IH93" s="272"/>
      <c r="II93" s="272"/>
      <c r="IJ93" s="272"/>
      <c r="IK93" s="272"/>
      <c r="IL93" s="272"/>
      <c r="IM93" s="272"/>
      <c r="IN93" s="272"/>
      <c r="IO93" s="272"/>
      <c r="IP93" s="272"/>
      <c r="IQ93" s="272"/>
      <c r="IR93" s="272"/>
    </row>
    <row r="94" spans="1:252" s="264" customFormat="1" ht="16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272"/>
      <c r="DU94" s="272"/>
      <c r="DV94" s="272"/>
      <c r="DW94" s="272"/>
      <c r="DX94" s="272"/>
      <c r="DY94" s="272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2"/>
      <c r="EL94" s="272"/>
      <c r="EM94" s="272"/>
      <c r="EN94" s="272"/>
      <c r="EO94" s="272"/>
      <c r="EP94" s="272"/>
      <c r="EQ94" s="272"/>
      <c r="ER94" s="272"/>
      <c r="ES94" s="272"/>
      <c r="ET94" s="272"/>
      <c r="EU94" s="272"/>
      <c r="EV94" s="272"/>
      <c r="EW94" s="272"/>
      <c r="EX94" s="272"/>
      <c r="EY94" s="272"/>
      <c r="EZ94" s="272"/>
      <c r="FA94" s="272"/>
      <c r="FB94" s="272"/>
      <c r="FC94" s="272"/>
      <c r="FD94" s="272"/>
      <c r="FE94" s="272"/>
      <c r="FF94" s="272"/>
      <c r="FG94" s="272"/>
      <c r="FH94" s="272"/>
      <c r="FI94" s="272"/>
      <c r="FJ94" s="272"/>
      <c r="FK94" s="272"/>
      <c r="FL94" s="272"/>
      <c r="FM94" s="272"/>
      <c r="FN94" s="272"/>
      <c r="FO94" s="272"/>
      <c r="FP94" s="272"/>
      <c r="FQ94" s="272"/>
      <c r="FR94" s="272"/>
      <c r="FS94" s="272"/>
      <c r="FT94" s="272"/>
      <c r="FU94" s="272"/>
      <c r="FV94" s="272"/>
      <c r="FW94" s="272"/>
      <c r="FX94" s="272"/>
      <c r="FY94" s="272"/>
      <c r="FZ94" s="272"/>
      <c r="GA94" s="272"/>
      <c r="GB94" s="272"/>
      <c r="GC94" s="272"/>
      <c r="GD94" s="272"/>
      <c r="GE94" s="272"/>
      <c r="GF94" s="272"/>
      <c r="GG94" s="272"/>
      <c r="GH94" s="272"/>
      <c r="GI94" s="272"/>
      <c r="GJ94" s="272"/>
      <c r="GK94" s="272"/>
      <c r="GL94" s="272"/>
      <c r="GM94" s="272"/>
      <c r="GN94" s="272"/>
      <c r="GO94" s="272"/>
      <c r="GP94" s="272"/>
      <c r="GQ94" s="272"/>
      <c r="GR94" s="272"/>
      <c r="GS94" s="272"/>
      <c r="GT94" s="272"/>
      <c r="GU94" s="272"/>
      <c r="GV94" s="272"/>
      <c r="GW94" s="272"/>
      <c r="GX94" s="272"/>
      <c r="GY94" s="272"/>
      <c r="GZ94" s="272"/>
      <c r="HA94" s="272"/>
      <c r="HB94" s="272"/>
      <c r="HC94" s="272"/>
      <c r="HD94" s="272"/>
      <c r="HE94" s="272"/>
      <c r="HF94" s="272"/>
      <c r="HG94" s="272"/>
      <c r="HH94" s="272"/>
      <c r="HI94" s="272"/>
      <c r="HJ94" s="272"/>
      <c r="HK94" s="272"/>
      <c r="HL94" s="272"/>
      <c r="HM94" s="272"/>
      <c r="HN94" s="272"/>
      <c r="HO94" s="272"/>
      <c r="HP94" s="272"/>
      <c r="HQ94" s="272"/>
      <c r="HR94" s="272"/>
      <c r="HS94" s="272"/>
      <c r="HT94" s="272"/>
      <c r="HU94" s="272"/>
      <c r="HV94" s="272"/>
      <c r="HW94" s="272"/>
      <c r="HX94" s="272"/>
      <c r="HY94" s="272"/>
      <c r="HZ94" s="272"/>
      <c r="IA94" s="272"/>
      <c r="IB94" s="272"/>
      <c r="IC94" s="272"/>
      <c r="ID94" s="272"/>
      <c r="IE94" s="272"/>
      <c r="IF94" s="272"/>
      <c r="IG94" s="272"/>
      <c r="IH94" s="272"/>
      <c r="II94" s="272"/>
      <c r="IJ94" s="272"/>
      <c r="IK94" s="272"/>
      <c r="IL94" s="272"/>
      <c r="IM94" s="272"/>
      <c r="IN94" s="272"/>
      <c r="IO94" s="272"/>
      <c r="IP94" s="272"/>
      <c r="IQ94" s="272"/>
      <c r="IR94" s="272"/>
    </row>
    <row r="95" spans="1:252" s="264" customFormat="1" ht="16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2"/>
      <c r="DT95" s="272"/>
      <c r="DU95" s="272"/>
      <c r="DV95" s="272"/>
      <c r="DW95" s="272"/>
      <c r="DX95" s="272"/>
      <c r="DY95" s="272"/>
      <c r="DZ95" s="272"/>
      <c r="EA95" s="272"/>
      <c r="EB95" s="272"/>
      <c r="EC95" s="272"/>
      <c r="ED95" s="272"/>
      <c r="EE95" s="272"/>
      <c r="EF95" s="272"/>
      <c r="EG95" s="272"/>
      <c r="EH95" s="272"/>
      <c r="EI95" s="272"/>
      <c r="EJ95" s="272"/>
      <c r="EK95" s="272"/>
      <c r="EL95" s="272"/>
      <c r="EM95" s="272"/>
      <c r="EN95" s="272"/>
      <c r="EO95" s="272"/>
      <c r="EP95" s="272"/>
      <c r="EQ95" s="272"/>
      <c r="ER95" s="272"/>
      <c r="ES95" s="272"/>
      <c r="ET95" s="272"/>
      <c r="EU95" s="272"/>
      <c r="EV95" s="272"/>
      <c r="EW95" s="272"/>
      <c r="EX95" s="272"/>
      <c r="EY95" s="272"/>
      <c r="EZ95" s="272"/>
      <c r="FA95" s="272"/>
      <c r="FB95" s="272"/>
      <c r="FC95" s="272"/>
      <c r="FD95" s="272"/>
      <c r="FE95" s="272"/>
      <c r="FF95" s="272"/>
      <c r="FG95" s="272"/>
      <c r="FH95" s="272"/>
      <c r="FI95" s="272"/>
      <c r="FJ95" s="272"/>
      <c r="FK95" s="272"/>
      <c r="FL95" s="272"/>
      <c r="FM95" s="272"/>
      <c r="FN95" s="272"/>
      <c r="FO95" s="272"/>
      <c r="FP95" s="272"/>
      <c r="FQ95" s="272"/>
      <c r="FR95" s="272"/>
      <c r="FS95" s="272"/>
      <c r="FT95" s="272"/>
      <c r="FU95" s="272"/>
      <c r="FV95" s="272"/>
      <c r="FW95" s="272"/>
      <c r="FX95" s="272"/>
      <c r="FY95" s="272"/>
      <c r="FZ95" s="272"/>
      <c r="GA95" s="272"/>
      <c r="GB95" s="272"/>
      <c r="GC95" s="272"/>
      <c r="GD95" s="272"/>
      <c r="GE95" s="272"/>
      <c r="GF95" s="272"/>
      <c r="GG95" s="272"/>
      <c r="GH95" s="272"/>
      <c r="GI95" s="272"/>
      <c r="GJ95" s="272"/>
      <c r="GK95" s="272"/>
      <c r="GL95" s="272"/>
      <c r="GM95" s="272"/>
      <c r="GN95" s="272"/>
      <c r="GO95" s="272"/>
      <c r="GP95" s="272"/>
      <c r="GQ95" s="272"/>
      <c r="GR95" s="272"/>
      <c r="GS95" s="272"/>
      <c r="GT95" s="272"/>
      <c r="GU95" s="272"/>
      <c r="GV95" s="272"/>
      <c r="GW95" s="272"/>
      <c r="GX95" s="272"/>
      <c r="GY95" s="272"/>
      <c r="GZ95" s="272"/>
      <c r="HA95" s="272"/>
      <c r="HB95" s="272"/>
      <c r="HC95" s="272"/>
      <c r="HD95" s="272"/>
      <c r="HE95" s="272"/>
      <c r="HF95" s="272"/>
      <c r="HG95" s="272"/>
      <c r="HH95" s="272"/>
      <c r="HI95" s="272"/>
      <c r="HJ95" s="272"/>
      <c r="HK95" s="272"/>
      <c r="HL95" s="272"/>
      <c r="HM95" s="272"/>
      <c r="HN95" s="272"/>
      <c r="HO95" s="272"/>
      <c r="HP95" s="272"/>
      <c r="HQ95" s="272"/>
      <c r="HR95" s="272"/>
      <c r="HS95" s="272"/>
      <c r="HT95" s="272"/>
      <c r="HU95" s="272"/>
      <c r="HV95" s="272"/>
      <c r="HW95" s="272"/>
      <c r="HX95" s="272"/>
      <c r="HY95" s="272"/>
      <c r="HZ95" s="272"/>
      <c r="IA95" s="272"/>
      <c r="IB95" s="272"/>
      <c r="IC95" s="272"/>
      <c r="ID95" s="272"/>
      <c r="IE95" s="272"/>
      <c r="IF95" s="272"/>
      <c r="IG95" s="272"/>
      <c r="IH95" s="272"/>
      <c r="II95" s="272"/>
      <c r="IJ95" s="272"/>
      <c r="IK95" s="272"/>
      <c r="IL95" s="272"/>
      <c r="IM95" s="272"/>
      <c r="IN95" s="272"/>
      <c r="IO95" s="272"/>
      <c r="IP95" s="272"/>
      <c r="IQ95" s="272"/>
      <c r="IR95" s="272"/>
    </row>
    <row r="96" spans="1:252" s="264" customFormat="1" ht="16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2"/>
      <c r="DT96" s="272"/>
      <c r="DU96" s="272"/>
      <c r="DV96" s="272"/>
      <c r="DW96" s="272"/>
      <c r="DX96" s="272"/>
      <c r="DY96" s="272"/>
      <c r="DZ96" s="272"/>
      <c r="EA96" s="272"/>
      <c r="EB96" s="272"/>
      <c r="EC96" s="272"/>
      <c r="ED96" s="272"/>
      <c r="EE96" s="272"/>
      <c r="EF96" s="272"/>
      <c r="EG96" s="272"/>
      <c r="EH96" s="272"/>
      <c r="EI96" s="272"/>
      <c r="EJ96" s="272"/>
      <c r="EK96" s="272"/>
      <c r="EL96" s="272"/>
      <c r="EM96" s="272"/>
      <c r="EN96" s="272"/>
      <c r="EO96" s="272"/>
      <c r="EP96" s="272"/>
      <c r="EQ96" s="272"/>
      <c r="ER96" s="272"/>
      <c r="ES96" s="272"/>
      <c r="ET96" s="272"/>
      <c r="EU96" s="272"/>
      <c r="EV96" s="272"/>
      <c r="EW96" s="272"/>
      <c r="EX96" s="272"/>
      <c r="EY96" s="272"/>
      <c r="EZ96" s="272"/>
      <c r="FA96" s="272"/>
      <c r="FB96" s="272"/>
      <c r="FC96" s="272"/>
      <c r="FD96" s="272"/>
      <c r="FE96" s="272"/>
      <c r="FF96" s="272"/>
      <c r="FG96" s="272"/>
      <c r="FH96" s="272"/>
      <c r="FI96" s="272"/>
      <c r="FJ96" s="272"/>
      <c r="FK96" s="272"/>
      <c r="FL96" s="272"/>
      <c r="FM96" s="272"/>
      <c r="FN96" s="272"/>
      <c r="FO96" s="272"/>
      <c r="FP96" s="272"/>
      <c r="FQ96" s="272"/>
      <c r="FR96" s="272"/>
      <c r="FS96" s="272"/>
      <c r="FT96" s="272"/>
      <c r="FU96" s="272"/>
      <c r="FV96" s="272"/>
      <c r="FW96" s="272"/>
      <c r="FX96" s="272"/>
      <c r="FY96" s="272"/>
      <c r="FZ96" s="272"/>
      <c r="GA96" s="272"/>
      <c r="GB96" s="272"/>
      <c r="GC96" s="272"/>
      <c r="GD96" s="272"/>
      <c r="GE96" s="272"/>
      <c r="GF96" s="272"/>
      <c r="GG96" s="272"/>
      <c r="GH96" s="272"/>
      <c r="GI96" s="272"/>
      <c r="GJ96" s="272"/>
      <c r="GK96" s="272"/>
      <c r="GL96" s="272"/>
      <c r="GM96" s="272"/>
      <c r="GN96" s="272"/>
      <c r="GO96" s="272"/>
      <c r="GP96" s="272"/>
      <c r="GQ96" s="272"/>
      <c r="GR96" s="272"/>
      <c r="GS96" s="272"/>
      <c r="GT96" s="272"/>
      <c r="GU96" s="272"/>
      <c r="GV96" s="272"/>
      <c r="GW96" s="272"/>
      <c r="GX96" s="272"/>
      <c r="GY96" s="272"/>
      <c r="GZ96" s="272"/>
      <c r="HA96" s="272"/>
      <c r="HB96" s="272"/>
      <c r="HC96" s="272"/>
      <c r="HD96" s="272"/>
      <c r="HE96" s="272"/>
      <c r="HF96" s="272"/>
      <c r="HG96" s="272"/>
      <c r="HH96" s="272"/>
      <c r="HI96" s="272"/>
      <c r="HJ96" s="272"/>
      <c r="HK96" s="272"/>
      <c r="HL96" s="272"/>
      <c r="HM96" s="272"/>
      <c r="HN96" s="272"/>
      <c r="HO96" s="272"/>
      <c r="HP96" s="272"/>
      <c r="HQ96" s="272"/>
      <c r="HR96" s="272"/>
      <c r="HS96" s="272"/>
      <c r="HT96" s="272"/>
      <c r="HU96" s="272"/>
      <c r="HV96" s="272"/>
      <c r="HW96" s="272"/>
      <c r="HX96" s="272"/>
      <c r="HY96" s="272"/>
      <c r="HZ96" s="272"/>
      <c r="IA96" s="272"/>
      <c r="IB96" s="272"/>
      <c r="IC96" s="272"/>
      <c r="ID96" s="272"/>
      <c r="IE96" s="272"/>
      <c r="IF96" s="272"/>
      <c r="IG96" s="272"/>
      <c r="IH96" s="272"/>
      <c r="II96" s="272"/>
      <c r="IJ96" s="272"/>
      <c r="IK96" s="272"/>
      <c r="IL96" s="272"/>
      <c r="IM96" s="272"/>
      <c r="IN96" s="272"/>
      <c r="IO96" s="272"/>
      <c r="IP96" s="272"/>
      <c r="IQ96" s="272"/>
      <c r="IR96" s="272"/>
    </row>
    <row r="97" spans="1:252" s="264" customFormat="1" ht="16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P97" s="272"/>
      <c r="DQ97" s="272"/>
      <c r="DR97" s="272"/>
      <c r="DS97" s="272"/>
      <c r="DT97" s="272"/>
      <c r="DU97" s="272"/>
      <c r="DV97" s="272"/>
      <c r="DW97" s="272"/>
      <c r="DX97" s="272"/>
      <c r="DY97" s="272"/>
      <c r="DZ97" s="272"/>
      <c r="EA97" s="272"/>
      <c r="EB97" s="272"/>
      <c r="EC97" s="272"/>
      <c r="ED97" s="272"/>
      <c r="EE97" s="272"/>
      <c r="EF97" s="272"/>
      <c r="EG97" s="272"/>
      <c r="EH97" s="272"/>
      <c r="EI97" s="272"/>
      <c r="EJ97" s="272"/>
      <c r="EK97" s="272"/>
      <c r="EL97" s="272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2"/>
      <c r="EX97" s="272"/>
      <c r="EY97" s="272"/>
      <c r="EZ97" s="272"/>
      <c r="FA97" s="272"/>
      <c r="FB97" s="272"/>
      <c r="FC97" s="272"/>
      <c r="FD97" s="272"/>
      <c r="FE97" s="272"/>
      <c r="FF97" s="272"/>
      <c r="FG97" s="272"/>
      <c r="FH97" s="272"/>
      <c r="FI97" s="272"/>
      <c r="FJ97" s="272"/>
      <c r="FK97" s="272"/>
      <c r="FL97" s="272"/>
      <c r="FM97" s="272"/>
      <c r="FN97" s="272"/>
      <c r="FO97" s="272"/>
      <c r="FP97" s="272"/>
      <c r="FQ97" s="272"/>
      <c r="FR97" s="272"/>
      <c r="FS97" s="272"/>
      <c r="FT97" s="272"/>
      <c r="FU97" s="272"/>
      <c r="FV97" s="272"/>
      <c r="FW97" s="272"/>
      <c r="FX97" s="272"/>
      <c r="FY97" s="272"/>
      <c r="FZ97" s="272"/>
      <c r="GA97" s="272"/>
      <c r="GB97" s="272"/>
      <c r="GC97" s="272"/>
      <c r="GD97" s="272"/>
      <c r="GE97" s="272"/>
      <c r="GF97" s="272"/>
      <c r="GG97" s="272"/>
      <c r="GH97" s="272"/>
      <c r="GI97" s="272"/>
      <c r="GJ97" s="272"/>
      <c r="GK97" s="272"/>
      <c r="GL97" s="272"/>
      <c r="GM97" s="272"/>
      <c r="GN97" s="272"/>
      <c r="GO97" s="272"/>
      <c r="GP97" s="272"/>
      <c r="GQ97" s="272"/>
      <c r="GR97" s="272"/>
      <c r="GS97" s="272"/>
      <c r="GT97" s="272"/>
      <c r="GU97" s="272"/>
      <c r="GV97" s="272"/>
      <c r="GW97" s="272"/>
      <c r="GX97" s="272"/>
      <c r="GY97" s="272"/>
      <c r="GZ97" s="272"/>
      <c r="HA97" s="272"/>
      <c r="HB97" s="272"/>
      <c r="HC97" s="272"/>
      <c r="HD97" s="272"/>
      <c r="HE97" s="272"/>
      <c r="HF97" s="272"/>
      <c r="HG97" s="272"/>
      <c r="HH97" s="272"/>
      <c r="HI97" s="272"/>
      <c r="HJ97" s="272"/>
      <c r="HK97" s="272"/>
      <c r="HL97" s="272"/>
      <c r="HM97" s="272"/>
      <c r="HN97" s="272"/>
      <c r="HO97" s="272"/>
      <c r="HP97" s="272"/>
      <c r="HQ97" s="272"/>
      <c r="HR97" s="272"/>
      <c r="HS97" s="272"/>
      <c r="HT97" s="272"/>
      <c r="HU97" s="272"/>
      <c r="HV97" s="272"/>
      <c r="HW97" s="272"/>
      <c r="HX97" s="272"/>
      <c r="HY97" s="272"/>
      <c r="HZ97" s="272"/>
      <c r="IA97" s="272"/>
      <c r="IB97" s="272"/>
      <c r="IC97" s="272"/>
      <c r="ID97" s="272"/>
      <c r="IE97" s="272"/>
      <c r="IF97" s="272"/>
      <c r="IG97" s="272"/>
      <c r="IH97" s="272"/>
      <c r="II97" s="272"/>
      <c r="IJ97" s="272"/>
      <c r="IK97" s="272"/>
      <c r="IL97" s="272"/>
      <c r="IM97" s="272"/>
      <c r="IN97" s="272"/>
      <c r="IO97" s="272"/>
      <c r="IP97" s="272"/>
      <c r="IQ97" s="272"/>
      <c r="IR97" s="272"/>
    </row>
    <row r="98" spans="1:252" s="264" customFormat="1" ht="16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2"/>
      <c r="DK98" s="272"/>
      <c r="DL98" s="272"/>
      <c r="DM98" s="272"/>
      <c r="DN98" s="272"/>
      <c r="DO98" s="272"/>
      <c r="DP98" s="272"/>
      <c r="DQ98" s="272"/>
      <c r="DR98" s="272"/>
      <c r="DS98" s="272"/>
      <c r="DT98" s="272"/>
      <c r="DU98" s="272"/>
      <c r="DV98" s="272"/>
      <c r="DW98" s="272"/>
      <c r="DX98" s="272"/>
      <c r="DY98" s="272"/>
      <c r="DZ98" s="272"/>
      <c r="EA98" s="272"/>
      <c r="EB98" s="272"/>
      <c r="EC98" s="272"/>
      <c r="ED98" s="272"/>
      <c r="EE98" s="272"/>
      <c r="EF98" s="272"/>
      <c r="EG98" s="272"/>
      <c r="EH98" s="272"/>
      <c r="EI98" s="272"/>
      <c r="EJ98" s="272"/>
      <c r="EK98" s="272"/>
      <c r="EL98" s="272"/>
      <c r="EM98" s="272"/>
      <c r="EN98" s="272"/>
      <c r="EO98" s="272"/>
      <c r="EP98" s="272"/>
      <c r="EQ98" s="272"/>
      <c r="ER98" s="272"/>
      <c r="ES98" s="272"/>
      <c r="ET98" s="272"/>
      <c r="EU98" s="272"/>
      <c r="EV98" s="272"/>
      <c r="EW98" s="272"/>
      <c r="EX98" s="272"/>
      <c r="EY98" s="272"/>
      <c r="EZ98" s="272"/>
      <c r="FA98" s="272"/>
      <c r="FB98" s="272"/>
      <c r="FC98" s="272"/>
      <c r="FD98" s="272"/>
      <c r="FE98" s="272"/>
      <c r="FF98" s="272"/>
      <c r="FG98" s="272"/>
      <c r="FH98" s="272"/>
      <c r="FI98" s="272"/>
      <c r="FJ98" s="272"/>
      <c r="FK98" s="272"/>
      <c r="FL98" s="272"/>
      <c r="FM98" s="272"/>
      <c r="FN98" s="272"/>
      <c r="FO98" s="272"/>
      <c r="FP98" s="272"/>
      <c r="FQ98" s="272"/>
      <c r="FR98" s="272"/>
      <c r="FS98" s="272"/>
      <c r="FT98" s="272"/>
      <c r="FU98" s="272"/>
      <c r="FV98" s="272"/>
      <c r="FW98" s="272"/>
      <c r="FX98" s="272"/>
      <c r="FY98" s="272"/>
      <c r="FZ98" s="272"/>
      <c r="GA98" s="272"/>
      <c r="GB98" s="272"/>
      <c r="GC98" s="272"/>
      <c r="GD98" s="272"/>
      <c r="GE98" s="272"/>
      <c r="GF98" s="272"/>
      <c r="GG98" s="272"/>
      <c r="GH98" s="272"/>
      <c r="GI98" s="272"/>
      <c r="GJ98" s="272"/>
      <c r="GK98" s="272"/>
      <c r="GL98" s="272"/>
      <c r="GM98" s="272"/>
      <c r="GN98" s="272"/>
      <c r="GO98" s="272"/>
      <c r="GP98" s="272"/>
      <c r="GQ98" s="272"/>
      <c r="GR98" s="272"/>
      <c r="GS98" s="272"/>
      <c r="GT98" s="272"/>
      <c r="GU98" s="272"/>
      <c r="GV98" s="272"/>
      <c r="GW98" s="272"/>
      <c r="GX98" s="272"/>
      <c r="GY98" s="272"/>
      <c r="GZ98" s="272"/>
      <c r="HA98" s="272"/>
      <c r="HB98" s="272"/>
      <c r="HC98" s="272"/>
      <c r="HD98" s="272"/>
      <c r="HE98" s="272"/>
      <c r="HF98" s="272"/>
      <c r="HG98" s="272"/>
      <c r="HH98" s="272"/>
      <c r="HI98" s="272"/>
      <c r="HJ98" s="272"/>
      <c r="HK98" s="272"/>
      <c r="HL98" s="272"/>
      <c r="HM98" s="272"/>
      <c r="HN98" s="272"/>
      <c r="HO98" s="272"/>
      <c r="HP98" s="272"/>
      <c r="HQ98" s="272"/>
      <c r="HR98" s="272"/>
      <c r="HS98" s="272"/>
      <c r="HT98" s="272"/>
      <c r="HU98" s="272"/>
      <c r="HV98" s="272"/>
      <c r="HW98" s="272"/>
      <c r="HX98" s="272"/>
      <c r="HY98" s="272"/>
      <c r="HZ98" s="272"/>
      <c r="IA98" s="272"/>
      <c r="IB98" s="272"/>
      <c r="IC98" s="272"/>
      <c r="ID98" s="272"/>
      <c r="IE98" s="272"/>
      <c r="IF98" s="272"/>
      <c r="IG98" s="272"/>
      <c r="IH98" s="272"/>
      <c r="II98" s="272"/>
      <c r="IJ98" s="272"/>
      <c r="IK98" s="272"/>
      <c r="IL98" s="272"/>
      <c r="IM98" s="272"/>
      <c r="IN98" s="272"/>
      <c r="IO98" s="272"/>
      <c r="IP98" s="272"/>
      <c r="IQ98" s="272"/>
      <c r="IR98" s="272"/>
    </row>
    <row r="99" spans="1:252" s="264" customFormat="1" ht="16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2"/>
      <c r="CD99" s="272"/>
      <c r="CE99" s="272"/>
      <c r="CF99" s="272"/>
      <c r="CG99" s="272"/>
      <c r="CH99" s="272"/>
      <c r="CI99" s="272"/>
      <c r="CJ99" s="272"/>
      <c r="CK99" s="272"/>
      <c r="CL99" s="272"/>
      <c r="CM99" s="272"/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2"/>
      <c r="DC99" s="272"/>
      <c r="DD99" s="272"/>
      <c r="DE99" s="272"/>
      <c r="DF99" s="272"/>
      <c r="DG99" s="272"/>
      <c r="DH99" s="272"/>
      <c r="DI99" s="272"/>
      <c r="DJ99" s="272"/>
      <c r="DK99" s="272"/>
      <c r="DL99" s="272"/>
      <c r="DM99" s="272"/>
      <c r="DN99" s="272"/>
      <c r="DO99" s="272"/>
      <c r="DP99" s="272"/>
      <c r="DQ99" s="272"/>
      <c r="DR99" s="272"/>
      <c r="DS99" s="272"/>
      <c r="DT99" s="272"/>
      <c r="DU99" s="272"/>
      <c r="DV99" s="272"/>
      <c r="DW99" s="272"/>
      <c r="DX99" s="272"/>
      <c r="DY99" s="272"/>
      <c r="DZ99" s="272"/>
      <c r="EA99" s="272"/>
      <c r="EB99" s="272"/>
      <c r="EC99" s="272"/>
      <c r="ED99" s="272"/>
      <c r="EE99" s="272"/>
      <c r="EF99" s="272"/>
      <c r="EG99" s="272"/>
      <c r="EH99" s="272"/>
      <c r="EI99" s="272"/>
      <c r="EJ99" s="272"/>
      <c r="EK99" s="272"/>
      <c r="EL99" s="272"/>
      <c r="EM99" s="272"/>
      <c r="EN99" s="272"/>
      <c r="EO99" s="272"/>
      <c r="EP99" s="272"/>
      <c r="EQ99" s="272"/>
      <c r="ER99" s="272"/>
      <c r="ES99" s="272"/>
      <c r="ET99" s="272"/>
      <c r="EU99" s="272"/>
      <c r="EV99" s="272"/>
      <c r="EW99" s="272"/>
      <c r="EX99" s="272"/>
      <c r="EY99" s="272"/>
      <c r="EZ99" s="272"/>
      <c r="FA99" s="272"/>
      <c r="FB99" s="272"/>
      <c r="FC99" s="272"/>
      <c r="FD99" s="272"/>
      <c r="FE99" s="272"/>
      <c r="FF99" s="272"/>
      <c r="FG99" s="272"/>
      <c r="FH99" s="272"/>
      <c r="FI99" s="272"/>
      <c r="FJ99" s="272"/>
      <c r="FK99" s="272"/>
      <c r="FL99" s="272"/>
      <c r="FM99" s="272"/>
      <c r="FN99" s="272"/>
      <c r="FO99" s="272"/>
      <c r="FP99" s="272"/>
      <c r="FQ99" s="272"/>
      <c r="FR99" s="272"/>
      <c r="FS99" s="272"/>
      <c r="FT99" s="272"/>
      <c r="FU99" s="272"/>
      <c r="FV99" s="272"/>
      <c r="FW99" s="272"/>
      <c r="FX99" s="272"/>
      <c r="FY99" s="272"/>
      <c r="FZ99" s="272"/>
      <c r="GA99" s="272"/>
      <c r="GB99" s="272"/>
      <c r="GC99" s="272"/>
      <c r="GD99" s="272"/>
      <c r="GE99" s="272"/>
      <c r="GF99" s="272"/>
      <c r="GG99" s="272"/>
      <c r="GH99" s="272"/>
      <c r="GI99" s="272"/>
      <c r="GJ99" s="272"/>
      <c r="GK99" s="272"/>
      <c r="GL99" s="272"/>
      <c r="GM99" s="272"/>
      <c r="GN99" s="272"/>
      <c r="GO99" s="272"/>
      <c r="GP99" s="272"/>
      <c r="GQ99" s="272"/>
      <c r="GR99" s="272"/>
      <c r="GS99" s="272"/>
      <c r="GT99" s="272"/>
      <c r="GU99" s="272"/>
      <c r="GV99" s="272"/>
      <c r="GW99" s="272"/>
      <c r="GX99" s="272"/>
      <c r="GY99" s="272"/>
      <c r="GZ99" s="272"/>
      <c r="HA99" s="272"/>
      <c r="HB99" s="272"/>
      <c r="HC99" s="272"/>
      <c r="HD99" s="272"/>
      <c r="HE99" s="272"/>
      <c r="HF99" s="272"/>
      <c r="HG99" s="272"/>
      <c r="HH99" s="272"/>
      <c r="HI99" s="272"/>
      <c r="HJ99" s="272"/>
      <c r="HK99" s="272"/>
      <c r="HL99" s="272"/>
      <c r="HM99" s="272"/>
      <c r="HN99" s="272"/>
      <c r="HO99" s="272"/>
      <c r="HP99" s="272"/>
      <c r="HQ99" s="272"/>
      <c r="HR99" s="272"/>
      <c r="HS99" s="272"/>
      <c r="HT99" s="272"/>
      <c r="HU99" s="272"/>
      <c r="HV99" s="272"/>
      <c r="HW99" s="272"/>
      <c r="HX99" s="272"/>
      <c r="HY99" s="272"/>
      <c r="HZ99" s="272"/>
      <c r="IA99" s="272"/>
      <c r="IB99" s="272"/>
      <c r="IC99" s="272"/>
      <c r="ID99" s="272"/>
      <c r="IE99" s="272"/>
      <c r="IF99" s="272"/>
      <c r="IG99" s="272"/>
      <c r="IH99" s="272"/>
      <c r="II99" s="272"/>
      <c r="IJ99" s="272"/>
      <c r="IK99" s="272"/>
      <c r="IL99" s="272"/>
      <c r="IM99" s="272"/>
      <c r="IN99" s="272"/>
      <c r="IO99" s="272"/>
      <c r="IP99" s="272"/>
      <c r="IQ99" s="272"/>
      <c r="IR99" s="272"/>
    </row>
    <row r="100" spans="1:252" s="264" customFormat="1" ht="16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2"/>
      <c r="DC100" s="272"/>
      <c r="DD100" s="272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/>
      <c r="EB100" s="272"/>
      <c r="EC100" s="272"/>
      <c r="ED100" s="272"/>
      <c r="EE100" s="272"/>
      <c r="EF100" s="272"/>
      <c r="EG100" s="272"/>
      <c r="EH100" s="272"/>
      <c r="EI100" s="272"/>
      <c r="EJ100" s="272"/>
      <c r="EK100" s="272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2"/>
      <c r="EV100" s="272"/>
      <c r="EW100" s="272"/>
      <c r="EX100" s="272"/>
      <c r="EY100" s="272"/>
      <c r="EZ100" s="272"/>
      <c r="FA100" s="272"/>
      <c r="FB100" s="272"/>
      <c r="FC100" s="272"/>
      <c r="FD100" s="272"/>
      <c r="FE100" s="272"/>
      <c r="FF100" s="272"/>
      <c r="FG100" s="272"/>
      <c r="FH100" s="272"/>
      <c r="FI100" s="272"/>
      <c r="FJ100" s="272"/>
      <c r="FK100" s="272"/>
      <c r="FL100" s="272"/>
      <c r="FM100" s="272"/>
      <c r="FN100" s="272"/>
      <c r="FO100" s="272"/>
      <c r="FP100" s="272"/>
      <c r="FQ100" s="272"/>
      <c r="FR100" s="272"/>
      <c r="FS100" s="272"/>
      <c r="FT100" s="272"/>
      <c r="FU100" s="272"/>
      <c r="FV100" s="272"/>
      <c r="FW100" s="272"/>
      <c r="FX100" s="272"/>
      <c r="FY100" s="272"/>
      <c r="FZ100" s="272"/>
      <c r="GA100" s="272"/>
      <c r="GB100" s="272"/>
      <c r="GC100" s="272"/>
      <c r="GD100" s="272"/>
      <c r="GE100" s="272"/>
      <c r="GF100" s="272"/>
      <c r="GG100" s="272"/>
      <c r="GH100" s="272"/>
      <c r="GI100" s="272"/>
      <c r="GJ100" s="272"/>
      <c r="GK100" s="272"/>
      <c r="GL100" s="272"/>
      <c r="GM100" s="272"/>
      <c r="GN100" s="272"/>
      <c r="GO100" s="272"/>
      <c r="GP100" s="272"/>
      <c r="GQ100" s="272"/>
      <c r="GR100" s="272"/>
      <c r="GS100" s="272"/>
      <c r="GT100" s="272"/>
      <c r="GU100" s="272"/>
      <c r="GV100" s="272"/>
      <c r="GW100" s="272"/>
      <c r="GX100" s="272"/>
      <c r="GY100" s="272"/>
      <c r="GZ100" s="272"/>
      <c r="HA100" s="272"/>
      <c r="HB100" s="272"/>
      <c r="HC100" s="272"/>
      <c r="HD100" s="272"/>
      <c r="HE100" s="272"/>
      <c r="HF100" s="272"/>
      <c r="HG100" s="272"/>
      <c r="HH100" s="272"/>
      <c r="HI100" s="272"/>
      <c r="HJ100" s="272"/>
      <c r="HK100" s="272"/>
      <c r="HL100" s="272"/>
      <c r="HM100" s="272"/>
      <c r="HN100" s="272"/>
      <c r="HO100" s="272"/>
      <c r="HP100" s="272"/>
      <c r="HQ100" s="272"/>
      <c r="HR100" s="272"/>
      <c r="HS100" s="272"/>
      <c r="HT100" s="272"/>
      <c r="HU100" s="272"/>
      <c r="HV100" s="272"/>
      <c r="HW100" s="272"/>
      <c r="HX100" s="272"/>
      <c r="HY100" s="272"/>
      <c r="HZ100" s="272"/>
      <c r="IA100" s="272"/>
      <c r="IB100" s="272"/>
      <c r="IC100" s="272"/>
      <c r="ID100" s="272"/>
      <c r="IE100" s="272"/>
      <c r="IF100" s="272"/>
      <c r="IG100" s="272"/>
      <c r="IH100" s="272"/>
      <c r="II100" s="272"/>
      <c r="IJ100" s="272"/>
      <c r="IK100" s="272"/>
      <c r="IL100" s="272"/>
      <c r="IM100" s="272"/>
      <c r="IN100" s="272"/>
      <c r="IO100" s="272"/>
      <c r="IP100" s="272"/>
      <c r="IQ100" s="272"/>
      <c r="IR100" s="272"/>
    </row>
    <row r="101" spans="1:252" s="264" customFormat="1" ht="16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272"/>
      <c r="CM101" s="272"/>
      <c r="CN101" s="272"/>
      <c r="CO101" s="272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2"/>
      <c r="DC101" s="272"/>
      <c r="DD101" s="272"/>
      <c r="DE101" s="272"/>
      <c r="DF101" s="272"/>
      <c r="DG101" s="272"/>
      <c r="DH101" s="272"/>
      <c r="DI101" s="272"/>
      <c r="DJ101" s="272"/>
      <c r="DK101" s="272"/>
      <c r="DL101" s="272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2"/>
      <c r="DZ101" s="272"/>
      <c r="EA101" s="272"/>
      <c r="EB101" s="272"/>
      <c r="EC101" s="272"/>
      <c r="ED101" s="272"/>
      <c r="EE101" s="272"/>
      <c r="EF101" s="272"/>
      <c r="EG101" s="272"/>
      <c r="EH101" s="272"/>
      <c r="EI101" s="272"/>
      <c r="EJ101" s="272"/>
      <c r="EK101" s="272"/>
      <c r="EL101" s="272"/>
      <c r="EM101" s="272"/>
      <c r="EN101" s="272"/>
      <c r="EO101" s="272"/>
      <c r="EP101" s="272"/>
      <c r="EQ101" s="272"/>
      <c r="ER101" s="272"/>
      <c r="ES101" s="272"/>
      <c r="ET101" s="272"/>
      <c r="EU101" s="272"/>
      <c r="EV101" s="272"/>
      <c r="EW101" s="272"/>
      <c r="EX101" s="272"/>
      <c r="EY101" s="272"/>
      <c r="EZ101" s="272"/>
      <c r="FA101" s="272"/>
      <c r="FB101" s="272"/>
      <c r="FC101" s="272"/>
      <c r="FD101" s="272"/>
      <c r="FE101" s="272"/>
      <c r="FF101" s="272"/>
      <c r="FG101" s="272"/>
      <c r="FH101" s="272"/>
      <c r="FI101" s="272"/>
      <c r="FJ101" s="272"/>
      <c r="FK101" s="272"/>
      <c r="FL101" s="272"/>
      <c r="FM101" s="272"/>
      <c r="FN101" s="272"/>
      <c r="FO101" s="272"/>
      <c r="FP101" s="272"/>
      <c r="FQ101" s="272"/>
      <c r="FR101" s="272"/>
      <c r="FS101" s="272"/>
      <c r="FT101" s="272"/>
      <c r="FU101" s="272"/>
      <c r="FV101" s="272"/>
      <c r="FW101" s="272"/>
      <c r="FX101" s="272"/>
      <c r="FY101" s="272"/>
      <c r="FZ101" s="272"/>
      <c r="GA101" s="272"/>
      <c r="GB101" s="272"/>
      <c r="GC101" s="272"/>
      <c r="GD101" s="272"/>
      <c r="GE101" s="272"/>
      <c r="GF101" s="272"/>
      <c r="GG101" s="272"/>
      <c r="GH101" s="272"/>
      <c r="GI101" s="272"/>
      <c r="GJ101" s="272"/>
      <c r="GK101" s="272"/>
      <c r="GL101" s="272"/>
      <c r="GM101" s="272"/>
      <c r="GN101" s="272"/>
      <c r="GO101" s="272"/>
      <c r="GP101" s="272"/>
      <c r="GQ101" s="272"/>
      <c r="GR101" s="272"/>
      <c r="GS101" s="272"/>
      <c r="GT101" s="272"/>
      <c r="GU101" s="272"/>
      <c r="GV101" s="272"/>
      <c r="GW101" s="272"/>
      <c r="GX101" s="272"/>
      <c r="GY101" s="272"/>
      <c r="GZ101" s="272"/>
      <c r="HA101" s="272"/>
      <c r="HB101" s="272"/>
      <c r="HC101" s="272"/>
      <c r="HD101" s="272"/>
      <c r="HE101" s="272"/>
      <c r="HF101" s="272"/>
      <c r="HG101" s="272"/>
      <c r="HH101" s="272"/>
      <c r="HI101" s="272"/>
      <c r="HJ101" s="272"/>
      <c r="HK101" s="272"/>
      <c r="HL101" s="272"/>
      <c r="HM101" s="272"/>
      <c r="HN101" s="272"/>
      <c r="HO101" s="272"/>
      <c r="HP101" s="272"/>
      <c r="HQ101" s="272"/>
      <c r="HR101" s="272"/>
      <c r="HS101" s="272"/>
      <c r="HT101" s="272"/>
      <c r="HU101" s="272"/>
      <c r="HV101" s="272"/>
      <c r="HW101" s="272"/>
      <c r="HX101" s="272"/>
      <c r="HY101" s="272"/>
      <c r="HZ101" s="272"/>
      <c r="IA101" s="272"/>
      <c r="IB101" s="272"/>
      <c r="IC101" s="272"/>
      <c r="ID101" s="272"/>
      <c r="IE101" s="272"/>
      <c r="IF101" s="272"/>
      <c r="IG101" s="272"/>
      <c r="IH101" s="272"/>
      <c r="II101" s="272"/>
      <c r="IJ101" s="272"/>
      <c r="IK101" s="272"/>
      <c r="IL101" s="272"/>
      <c r="IM101" s="272"/>
      <c r="IN101" s="272"/>
      <c r="IO101" s="272"/>
      <c r="IP101" s="272"/>
      <c r="IQ101" s="272"/>
      <c r="IR101" s="272"/>
    </row>
    <row r="102" spans="1:252" s="264" customFormat="1" ht="16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2"/>
      <c r="DA102" s="272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2"/>
      <c r="ER102" s="272"/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2"/>
      <c r="FL102" s="272"/>
      <c r="FM102" s="272"/>
      <c r="FN102" s="272"/>
      <c r="FO102" s="272"/>
      <c r="FP102" s="272"/>
      <c r="FQ102" s="272"/>
      <c r="FR102" s="272"/>
      <c r="FS102" s="272"/>
      <c r="FT102" s="272"/>
      <c r="FU102" s="272"/>
      <c r="FV102" s="272"/>
      <c r="FW102" s="272"/>
      <c r="FX102" s="272"/>
      <c r="FY102" s="272"/>
      <c r="FZ102" s="272"/>
      <c r="GA102" s="272"/>
      <c r="GB102" s="272"/>
      <c r="GC102" s="272"/>
      <c r="GD102" s="272"/>
      <c r="GE102" s="272"/>
      <c r="GF102" s="272"/>
      <c r="GG102" s="272"/>
      <c r="GH102" s="272"/>
      <c r="GI102" s="272"/>
      <c r="GJ102" s="272"/>
      <c r="GK102" s="272"/>
      <c r="GL102" s="272"/>
      <c r="GM102" s="272"/>
      <c r="GN102" s="272"/>
      <c r="GO102" s="272"/>
      <c r="GP102" s="272"/>
      <c r="GQ102" s="272"/>
      <c r="GR102" s="272"/>
      <c r="GS102" s="272"/>
      <c r="GT102" s="272"/>
      <c r="GU102" s="272"/>
      <c r="GV102" s="272"/>
      <c r="GW102" s="272"/>
      <c r="GX102" s="272"/>
      <c r="GY102" s="272"/>
      <c r="GZ102" s="272"/>
      <c r="HA102" s="272"/>
      <c r="HB102" s="272"/>
      <c r="HC102" s="272"/>
      <c r="HD102" s="272"/>
      <c r="HE102" s="272"/>
      <c r="HF102" s="272"/>
      <c r="HG102" s="272"/>
      <c r="HH102" s="272"/>
      <c r="HI102" s="272"/>
      <c r="HJ102" s="272"/>
      <c r="HK102" s="272"/>
      <c r="HL102" s="272"/>
      <c r="HM102" s="272"/>
      <c r="HN102" s="272"/>
      <c r="HO102" s="272"/>
      <c r="HP102" s="272"/>
      <c r="HQ102" s="272"/>
      <c r="HR102" s="272"/>
      <c r="HS102" s="272"/>
      <c r="HT102" s="272"/>
      <c r="HU102" s="272"/>
      <c r="HV102" s="272"/>
      <c r="HW102" s="272"/>
      <c r="HX102" s="272"/>
      <c r="HY102" s="272"/>
      <c r="HZ102" s="272"/>
      <c r="IA102" s="272"/>
      <c r="IB102" s="272"/>
      <c r="IC102" s="272"/>
      <c r="ID102" s="272"/>
      <c r="IE102" s="272"/>
      <c r="IF102" s="272"/>
      <c r="IG102" s="272"/>
      <c r="IH102" s="272"/>
      <c r="II102" s="272"/>
      <c r="IJ102" s="272"/>
      <c r="IK102" s="272"/>
      <c r="IL102" s="272"/>
      <c r="IM102" s="272"/>
      <c r="IN102" s="272"/>
      <c r="IO102" s="272"/>
      <c r="IP102" s="272"/>
      <c r="IQ102" s="272"/>
      <c r="IR102" s="272"/>
    </row>
    <row r="103" spans="1:252" s="264" customFormat="1" ht="16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2"/>
      <c r="CJ103" s="272"/>
      <c r="CK103" s="272"/>
      <c r="CL103" s="272"/>
      <c r="CM103" s="272"/>
      <c r="CN103" s="272"/>
      <c r="CO103" s="272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72"/>
      <c r="DA103" s="272"/>
      <c r="DB103" s="272"/>
      <c r="DC103" s="272"/>
      <c r="DD103" s="272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2"/>
      <c r="DY103" s="272"/>
      <c r="DZ103" s="272"/>
      <c r="EA103" s="272"/>
      <c r="EB103" s="272"/>
      <c r="EC103" s="272"/>
      <c r="ED103" s="272"/>
      <c r="EE103" s="272"/>
      <c r="EF103" s="272"/>
      <c r="EG103" s="272"/>
      <c r="EH103" s="272"/>
      <c r="EI103" s="272"/>
      <c r="EJ103" s="272"/>
      <c r="EK103" s="272"/>
      <c r="EL103" s="272"/>
      <c r="EM103" s="272"/>
      <c r="EN103" s="272"/>
      <c r="EO103" s="272"/>
      <c r="EP103" s="272"/>
      <c r="EQ103" s="272"/>
      <c r="ER103" s="272"/>
      <c r="ES103" s="272"/>
      <c r="ET103" s="272"/>
      <c r="EU103" s="272"/>
      <c r="EV103" s="272"/>
      <c r="EW103" s="272"/>
      <c r="EX103" s="272"/>
      <c r="EY103" s="272"/>
      <c r="EZ103" s="272"/>
      <c r="FA103" s="272"/>
      <c r="FB103" s="272"/>
      <c r="FC103" s="272"/>
      <c r="FD103" s="272"/>
      <c r="FE103" s="272"/>
      <c r="FF103" s="272"/>
      <c r="FG103" s="272"/>
      <c r="FH103" s="272"/>
      <c r="FI103" s="272"/>
      <c r="FJ103" s="272"/>
      <c r="FK103" s="272"/>
      <c r="FL103" s="272"/>
      <c r="FM103" s="272"/>
      <c r="FN103" s="272"/>
      <c r="FO103" s="272"/>
      <c r="FP103" s="272"/>
      <c r="FQ103" s="272"/>
      <c r="FR103" s="272"/>
      <c r="FS103" s="272"/>
      <c r="FT103" s="272"/>
      <c r="FU103" s="272"/>
      <c r="FV103" s="272"/>
      <c r="FW103" s="272"/>
      <c r="FX103" s="272"/>
      <c r="FY103" s="272"/>
      <c r="FZ103" s="272"/>
      <c r="GA103" s="272"/>
      <c r="GB103" s="272"/>
      <c r="GC103" s="272"/>
      <c r="GD103" s="272"/>
      <c r="GE103" s="272"/>
      <c r="GF103" s="272"/>
      <c r="GG103" s="272"/>
      <c r="GH103" s="272"/>
      <c r="GI103" s="272"/>
      <c r="GJ103" s="272"/>
      <c r="GK103" s="272"/>
      <c r="GL103" s="272"/>
      <c r="GM103" s="272"/>
      <c r="GN103" s="272"/>
      <c r="GO103" s="272"/>
      <c r="GP103" s="272"/>
      <c r="GQ103" s="272"/>
      <c r="GR103" s="272"/>
      <c r="GS103" s="272"/>
      <c r="GT103" s="272"/>
      <c r="GU103" s="272"/>
      <c r="GV103" s="272"/>
      <c r="GW103" s="272"/>
      <c r="GX103" s="272"/>
      <c r="GY103" s="272"/>
      <c r="GZ103" s="272"/>
      <c r="HA103" s="272"/>
      <c r="HB103" s="272"/>
      <c r="HC103" s="272"/>
      <c r="HD103" s="272"/>
      <c r="HE103" s="272"/>
      <c r="HF103" s="272"/>
      <c r="HG103" s="272"/>
      <c r="HH103" s="272"/>
      <c r="HI103" s="272"/>
      <c r="HJ103" s="272"/>
      <c r="HK103" s="272"/>
      <c r="HL103" s="272"/>
      <c r="HM103" s="272"/>
      <c r="HN103" s="272"/>
      <c r="HO103" s="272"/>
      <c r="HP103" s="272"/>
      <c r="HQ103" s="272"/>
      <c r="HR103" s="272"/>
      <c r="HS103" s="272"/>
      <c r="HT103" s="272"/>
      <c r="HU103" s="272"/>
      <c r="HV103" s="272"/>
      <c r="HW103" s="272"/>
      <c r="HX103" s="272"/>
      <c r="HY103" s="272"/>
      <c r="HZ103" s="272"/>
      <c r="IA103" s="272"/>
      <c r="IB103" s="272"/>
      <c r="IC103" s="272"/>
      <c r="ID103" s="272"/>
      <c r="IE103" s="272"/>
      <c r="IF103" s="272"/>
      <c r="IG103" s="272"/>
      <c r="IH103" s="272"/>
      <c r="II103" s="272"/>
      <c r="IJ103" s="272"/>
      <c r="IK103" s="272"/>
      <c r="IL103" s="272"/>
      <c r="IM103" s="272"/>
      <c r="IN103" s="272"/>
      <c r="IO103" s="272"/>
      <c r="IP103" s="272"/>
      <c r="IQ103" s="272"/>
      <c r="IR103" s="272"/>
    </row>
    <row r="104" spans="1:252" s="264" customFormat="1" ht="16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272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2"/>
      <c r="DA104" s="272"/>
      <c r="DB104" s="272"/>
      <c r="DC104" s="272"/>
      <c r="DD104" s="272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2"/>
      <c r="ER104" s="272"/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72"/>
      <c r="FG104" s="272"/>
      <c r="FH104" s="272"/>
      <c r="FI104" s="272"/>
      <c r="FJ104" s="272"/>
      <c r="FK104" s="272"/>
      <c r="FL104" s="272"/>
      <c r="FM104" s="272"/>
      <c r="FN104" s="272"/>
      <c r="FO104" s="272"/>
      <c r="FP104" s="272"/>
      <c r="FQ104" s="272"/>
      <c r="FR104" s="272"/>
      <c r="FS104" s="272"/>
      <c r="FT104" s="272"/>
      <c r="FU104" s="272"/>
      <c r="FV104" s="272"/>
      <c r="FW104" s="272"/>
      <c r="FX104" s="272"/>
      <c r="FY104" s="272"/>
      <c r="FZ104" s="272"/>
      <c r="GA104" s="272"/>
      <c r="GB104" s="272"/>
      <c r="GC104" s="272"/>
      <c r="GD104" s="272"/>
      <c r="GE104" s="272"/>
      <c r="GF104" s="272"/>
      <c r="GG104" s="272"/>
      <c r="GH104" s="272"/>
      <c r="GI104" s="272"/>
      <c r="GJ104" s="272"/>
      <c r="GK104" s="272"/>
      <c r="GL104" s="272"/>
      <c r="GM104" s="272"/>
      <c r="GN104" s="272"/>
      <c r="GO104" s="272"/>
      <c r="GP104" s="272"/>
      <c r="GQ104" s="272"/>
      <c r="GR104" s="272"/>
      <c r="GS104" s="272"/>
      <c r="GT104" s="272"/>
      <c r="GU104" s="272"/>
      <c r="GV104" s="272"/>
      <c r="GW104" s="272"/>
      <c r="GX104" s="272"/>
      <c r="GY104" s="272"/>
      <c r="GZ104" s="272"/>
      <c r="HA104" s="272"/>
      <c r="HB104" s="272"/>
      <c r="HC104" s="272"/>
      <c r="HD104" s="272"/>
      <c r="HE104" s="272"/>
      <c r="HF104" s="272"/>
      <c r="HG104" s="272"/>
      <c r="HH104" s="272"/>
      <c r="HI104" s="272"/>
      <c r="HJ104" s="272"/>
      <c r="HK104" s="272"/>
      <c r="HL104" s="272"/>
      <c r="HM104" s="272"/>
      <c r="HN104" s="272"/>
      <c r="HO104" s="272"/>
      <c r="HP104" s="272"/>
      <c r="HQ104" s="272"/>
      <c r="HR104" s="272"/>
      <c r="HS104" s="272"/>
      <c r="HT104" s="272"/>
      <c r="HU104" s="272"/>
      <c r="HV104" s="272"/>
      <c r="HW104" s="272"/>
      <c r="HX104" s="272"/>
      <c r="HY104" s="272"/>
      <c r="HZ104" s="272"/>
      <c r="IA104" s="272"/>
      <c r="IB104" s="272"/>
      <c r="IC104" s="272"/>
      <c r="ID104" s="272"/>
      <c r="IE104" s="272"/>
      <c r="IF104" s="272"/>
      <c r="IG104" s="272"/>
      <c r="IH104" s="272"/>
      <c r="II104" s="272"/>
      <c r="IJ104" s="272"/>
      <c r="IK104" s="272"/>
      <c r="IL104" s="272"/>
      <c r="IM104" s="272"/>
      <c r="IN104" s="272"/>
      <c r="IO104" s="272"/>
      <c r="IP104" s="272"/>
      <c r="IQ104" s="272"/>
      <c r="IR104" s="272"/>
    </row>
    <row r="105" spans="1:252" s="264" customFormat="1" ht="16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272"/>
      <c r="CE105" s="272"/>
      <c r="CF105" s="272"/>
      <c r="CG105" s="272"/>
      <c r="CH105" s="272"/>
      <c r="CI105" s="272"/>
      <c r="CJ105" s="272"/>
      <c r="CK105" s="272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72"/>
      <c r="DA105" s="272"/>
      <c r="DB105" s="272"/>
      <c r="DC105" s="272"/>
      <c r="DD105" s="272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2"/>
      <c r="ER105" s="272"/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72"/>
      <c r="FG105" s="272"/>
      <c r="FH105" s="272"/>
      <c r="FI105" s="272"/>
      <c r="FJ105" s="272"/>
      <c r="FK105" s="272"/>
      <c r="FL105" s="272"/>
      <c r="FM105" s="272"/>
      <c r="FN105" s="272"/>
      <c r="FO105" s="272"/>
      <c r="FP105" s="272"/>
      <c r="FQ105" s="272"/>
      <c r="FR105" s="272"/>
      <c r="FS105" s="272"/>
      <c r="FT105" s="272"/>
      <c r="FU105" s="272"/>
      <c r="FV105" s="272"/>
      <c r="FW105" s="272"/>
      <c r="FX105" s="272"/>
      <c r="FY105" s="272"/>
      <c r="FZ105" s="272"/>
      <c r="GA105" s="272"/>
      <c r="GB105" s="272"/>
      <c r="GC105" s="272"/>
      <c r="GD105" s="272"/>
      <c r="GE105" s="272"/>
      <c r="GF105" s="272"/>
      <c r="GG105" s="272"/>
      <c r="GH105" s="272"/>
      <c r="GI105" s="272"/>
      <c r="GJ105" s="272"/>
      <c r="GK105" s="272"/>
      <c r="GL105" s="272"/>
      <c r="GM105" s="272"/>
      <c r="GN105" s="272"/>
      <c r="GO105" s="272"/>
      <c r="GP105" s="272"/>
      <c r="GQ105" s="272"/>
      <c r="GR105" s="272"/>
      <c r="GS105" s="272"/>
      <c r="GT105" s="272"/>
      <c r="GU105" s="272"/>
      <c r="GV105" s="272"/>
      <c r="GW105" s="272"/>
      <c r="GX105" s="272"/>
      <c r="GY105" s="272"/>
      <c r="GZ105" s="272"/>
      <c r="HA105" s="272"/>
      <c r="HB105" s="272"/>
      <c r="HC105" s="272"/>
      <c r="HD105" s="272"/>
      <c r="HE105" s="272"/>
      <c r="HF105" s="272"/>
      <c r="HG105" s="272"/>
      <c r="HH105" s="272"/>
      <c r="HI105" s="272"/>
      <c r="HJ105" s="272"/>
      <c r="HK105" s="272"/>
      <c r="HL105" s="272"/>
      <c r="HM105" s="272"/>
      <c r="HN105" s="272"/>
      <c r="HO105" s="272"/>
      <c r="HP105" s="272"/>
      <c r="HQ105" s="272"/>
      <c r="HR105" s="272"/>
      <c r="HS105" s="272"/>
      <c r="HT105" s="272"/>
      <c r="HU105" s="272"/>
      <c r="HV105" s="272"/>
      <c r="HW105" s="272"/>
      <c r="HX105" s="272"/>
      <c r="HY105" s="272"/>
      <c r="HZ105" s="272"/>
      <c r="IA105" s="272"/>
      <c r="IB105" s="272"/>
      <c r="IC105" s="272"/>
      <c r="ID105" s="272"/>
      <c r="IE105" s="272"/>
      <c r="IF105" s="272"/>
      <c r="IG105" s="272"/>
      <c r="IH105" s="272"/>
      <c r="II105" s="272"/>
      <c r="IJ105" s="272"/>
      <c r="IK105" s="272"/>
      <c r="IL105" s="272"/>
      <c r="IM105" s="272"/>
      <c r="IN105" s="272"/>
      <c r="IO105" s="272"/>
      <c r="IP105" s="272"/>
      <c r="IQ105" s="272"/>
      <c r="IR105" s="272"/>
    </row>
    <row r="106" spans="1:252" s="264" customFormat="1" ht="16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2"/>
      <c r="ER106" s="272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2"/>
      <c r="FK106" s="272"/>
      <c r="FL106" s="272"/>
      <c r="FM106" s="272"/>
      <c r="FN106" s="272"/>
      <c r="FO106" s="272"/>
      <c r="FP106" s="272"/>
      <c r="FQ106" s="272"/>
      <c r="FR106" s="272"/>
      <c r="FS106" s="272"/>
      <c r="FT106" s="272"/>
      <c r="FU106" s="272"/>
      <c r="FV106" s="272"/>
      <c r="FW106" s="272"/>
      <c r="FX106" s="272"/>
      <c r="FY106" s="272"/>
      <c r="FZ106" s="272"/>
      <c r="GA106" s="272"/>
      <c r="GB106" s="272"/>
      <c r="GC106" s="272"/>
      <c r="GD106" s="272"/>
      <c r="GE106" s="272"/>
      <c r="GF106" s="272"/>
      <c r="GG106" s="272"/>
      <c r="GH106" s="272"/>
      <c r="GI106" s="272"/>
      <c r="GJ106" s="272"/>
      <c r="GK106" s="272"/>
      <c r="GL106" s="272"/>
      <c r="GM106" s="272"/>
      <c r="GN106" s="272"/>
      <c r="GO106" s="272"/>
      <c r="GP106" s="272"/>
      <c r="GQ106" s="272"/>
      <c r="GR106" s="272"/>
      <c r="GS106" s="272"/>
      <c r="GT106" s="272"/>
      <c r="GU106" s="272"/>
      <c r="GV106" s="272"/>
      <c r="GW106" s="272"/>
      <c r="GX106" s="272"/>
      <c r="GY106" s="272"/>
      <c r="GZ106" s="272"/>
      <c r="HA106" s="272"/>
      <c r="HB106" s="272"/>
      <c r="HC106" s="272"/>
      <c r="HD106" s="272"/>
      <c r="HE106" s="272"/>
      <c r="HF106" s="272"/>
      <c r="HG106" s="272"/>
      <c r="HH106" s="272"/>
      <c r="HI106" s="272"/>
      <c r="HJ106" s="272"/>
      <c r="HK106" s="272"/>
      <c r="HL106" s="272"/>
      <c r="HM106" s="272"/>
      <c r="HN106" s="272"/>
      <c r="HO106" s="272"/>
      <c r="HP106" s="272"/>
      <c r="HQ106" s="272"/>
      <c r="HR106" s="272"/>
      <c r="HS106" s="272"/>
      <c r="HT106" s="272"/>
      <c r="HU106" s="272"/>
      <c r="HV106" s="272"/>
      <c r="HW106" s="272"/>
      <c r="HX106" s="272"/>
      <c r="HY106" s="272"/>
      <c r="HZ106" s="272"/>
      <c r="IA106" s="272"/>
      <c r="IB106" s="272"/>
      <c r="IC106" s="272"/>
      <c r="ID106" s="272"/>
      <c r="IE106" s="272"/>
      <c r="IF106" s="272"/>
      <c r="IG106" s="272"/>
      <c r="IH106" s="272"/>
      <c r="II106" s="272"/>
      <c r="IJ106" s="272"/>
      <c r="IK106" s="272"/>
      <c r="IL106" s="272"/>
      <c r="IM106" s="272"/>
      <c r="IN106" s="272"/>
      <c r="IO106" s="272"/>
      <c r="IP106" s="272"/>
      <c r="IQ106" s="272"/>
      <c r="IR106" s="272"/>
    </row>
    <row r="107" spans="1:252" s="264" customFormat="1" ht="16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2"/>
      <c r="ER107" s="272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2"/>
      <c r="FK107" s="272"/>
      <c r="FL107" s="272"/>
      <c r="FM107" s="272"/>
      <c r="FN107" s="272"/>
      <c r="FO107" s="272"/>
      <c r="FP107" s="272"/>
      <c r="FQ107" s="272"/>
      <c r="FR107" s="272"/>
      <c r="FS107" s="272"/>
      <c r="FT107" s="272"/>
      <c r="FU107" s="272"/>
      <c r="FV107" s="272"/>
      <c r="FW107" s="272"/>
      <c r="FX107" s="272"/>
      <c r="FY107" s="272"/>
      <c r="FZ107" s="272"/>
      <c r="GA107" s="272"/>
      <c r="GB107" s="272"/>
      <c r="GC107" s="272"/>
      <c r="GD107" s="272"/>
      <c r="GE107" s="272"/>
      <c r="GF107" s="272"/>
      <c r="GG107" s="272"/>
      <c r="GH107" s="272"/>
      <c r="GI107" s="272"/>
      <c r="GJ107" s="272"/>
      <c r="GK107" s="272"/>
      <c r="GL107" s="272"/>
      <c r="GM107" s="272"/>
      <c r="GN107" s="272"/>
      <c r="GO107" s="272"/>
      <c r="GP107" s="272"/>
      <c r="GQ107" s="272"/>
      <c r="GR107" s="272"/>
      <c r="GS107" s="272"/>
      <c r="GT107" s="272"/>
      <c r="GU107" s="272"/>
      <c r="GV107" s="272"/>
      <c r="GW107" s="272"/>
      <c r="GX107" s="272"/>
      <c r="GY107" s="272"/>
      <c r="GZ107" s="272"/>
      <c r="HA107" s="272"/>
      <c r="HB107" s="272"/>
      <c r="HC107" s="272"/>
      <c r="HD107" s="272"/>
      <c r="HE107" s="272"/>
      <c r="HF107" s="272"/>
      <c r="HG107" s="272"/>
      <c r="HH107" s="272"/>
      <c r="HI107" s="272"/>
      <c r="HJ107" s="272"/>
      <c r="HK107" s="272"/>
      <c r="HL107" s="272"/>
      <c r="HM107" s="272"/>
      <c r="HN107" s="272"/>
      <c r="HO107" s="272"/>
      <c r="HP107" s="272"/>
      <c r="HQ107" s="272"/>
      <c r="HR107" s="272"/>
      <c r="HS107" s="272"/>
      <c r="HT107" s="272"/>
      <c r="HU107" s="272"/>
      <c r="HV107" s="272"/>
      <c r="HW107" s="272"/>
      <c r="HX107" s="272"/>
      <c r="HY107" s="272"/>
      <c r="HZ107" s="272"/>
      <c r="IA107" s="272"/>
      <c r="IB107" s="272"/>
      <c r="IC107" s="272"/>
      <c r="ID107" s="272"/>
      <c r="IE107" s="272"/>
      <c r="IF107" s="272"/>
      <c r="IG107" s="272"/>
      <c r="IH107" s="272"/>
      <c r="II107" s="272"/>
      <c r="IJ107" s="272"/>
      <c r="IK107" s="272"/>
      <c r="IL107" s="272"/>
      <c r="IM107" s="272"/>
      <c r="IN107" s="272"/>
      <c r="IO107" s="272"/>
      <c r="IP107" s="272"/>
      <c r="IQ107" s="272"/>
      <c r="IR107" s="272"/>
    </row>
    <row r="108" spans="1:252" s="264" customFormat="1" ht="16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2"/>
      <c r="ER108" s="272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2"/>
      <c r="FK108" s="272"/>
      <c r="FL108" s="272"/>
      <c r="FM108" s="272"/>
      <c r="FN108" s="272"/>
      <c r="FO108" s="272"/>
      <c r="FP108" s="272"/>
      <c r="FQ108" s="272"/>
      <c r="FR108" s="272"/>
      <c r="FS108" s="272"/>
      <c r="FT108" s="272"/>
      <c r="FU108" s="272"/>
      <c r="FV108" s="272"/>
      <c r="FW108" s="272"/>
      <c r="FX108" s="272"/>
      <c r="FY108" s="272"/>
      <c r="FZ108" s="272"/>
      <c r="GA108" s="272"/>
      <c r="GB108" s="272"/>
      <c r="GC108" s="272"/>
      <c r="GD108" s="272"/>
      <c r="GE108" s="272"/>
      <c r="GF108" s="272"/>
      <c r="GG108" s="272"/>
      <c r="GH108" s="272"/>
      <c r="GI108" s="272"/>
      <c r="GJ108" s="272"/>
      <c r="GK108" s="272"/>
      <c r="GL108" s="272"/>
      <c r="GM108" s="272"/>
      <c r="GN108" s="272"/>
      <c r="GO108" s="272"/>
      <c r="GP108" s="272"/>
      <c r="GQ108" s="272"/>
      <c r="GR108" s="272"/>
      <c r="GS108" s="272"/>
      <c r="GT108" s="272"/>
      <c r="GU108" s="272"/>
      <c r="GV108" s="272"/>
      <c r="GW108" s="272"/>
      <c r="GX108" s="272"/>
      <c r="GY108" s="272"/>
      <c r="GZ108" s="272"/>
      <c r="HA108" s="272"/>
      <c r="HB108" s="272"/>
      <c r="HC108" s="272"/>
      <c r="HD108" s="272"/>
      <c r="HE108" s="272"/>
      <c r="HF108" s="272"/>
      <c r="HG108" s="272"/>
      <c r="HH108" s="272"/>
      <c r="HI108" s="272"/>
      <c r="HJ108" s="272"/>
      <c r="HK108" s="272"/>
      <c r="HL108" s="272"/>
      <c r="HM108" s="272"/>
      <c r="HN108" s="272"/>
      <c r="HO108" s="272"/>
      <c r="HP108" s="272"/>
      <c r="HQ108" s="272"/>
      <c r="HR108" s="272"/>
      <c r="HS108" s="272"/>
      <c r="HT108" s="272"/>
      <c r="HU108" s="272"/>
      <c r="HV108" s="272"/>
      <c r="HW108" s="272"/>
      <c r="HX108" s="272"/>
      <c r="HY108" s="272"/>
      <c r="HZ108" s="272"/>
      <c r="IA108" s="272"/>
      <c r="IB108" s="272"/>
      <c r="IC108" s="272"/>
      <c r="ID108" s="272"/>
      <c r="IE108" s="272"/>
      <c r="IF108" s="272"/>
      <c r="IG108" s="272"/>
      <c r="IH108" s="272"/>
      <c r="II108" s="272"/>
      <c r="IJ108" s="272"/>
      <c r="IK108" s="272"/>
      <c r="IL108" s="272"/>
      <c r="IM108" s="272"/>
      <c r="IN108" s="272"/>
      <c r="IO108" s="272"/>
      <c r="IP108" s="272"/>
      <c r="IQ108" s="272"/>
      <c r="IR108" s="272"/>
    </row>
    <row r="109" spans="1:252" s="264" customFormat="1" ht="16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272"/>
      <c r="CC109" s="272"/>
      <c r="CD109" s="272"/>
      <c r="CE109" s="272"/>
      <c r="CF109" s="272"/>
      <c r="CG109" s="272"/>
      <c r="CH109" s="272"/>
      <c r="CI109" s="272"/>
      <c r="CJ109" s="272"/>
      <c r="CK109" s="272"/>
      <c r="CL109" s="272"/>
      <c r="CM109" s="272"/>
      <c r="CN109" s="272"/>
      <c r="CO109" s="272"/>
      <c r="CP109" s="272"/>
      <c r="CQ109" s="272"/>
      <c r="CR109" s="272"/>
      <c r="CS109" s="272"/>
      <c r="CT109" s="272"/>
      <c r="CU109" s="272"/>
      <c r="CV109" s="272"/>
      <c r="CW109" s="272"/>
      <c r="CX109" s="272"/>
      <c r="CY109" s="272"/>
      <c r="CZ109" s="272"/>
      <c r="DA109" s="272"/>
      <c r="DB109" s="272"/>
      <c r="DC109" s="272"/>
      <c r="DD109" s="272"/>
      <c r="DE109" s="272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2"/>
      <c r="DT109" s="272"/>
      <c r="DU109" s="272"/>
      <c r="DV109" s="272"/>
      <c r="DW109" s="272"/>
      <c r="DX109" s="272"/>
      <c r="DY109" s="272"/>
      <c r="DZ109" s="272"/>
      <c r="EA109" s="272"/>
      <c r="EB109" s="272"/>
      <c r="EC109" s="272"/>
      <c r="ED109" s="272"/>
      <c r="EE109" s="272"/>
      <c r="EF109" s="272"/>
      <c r="EG109" s="272"/>
      <c r="EH109" s="272"/>
      <c r="EI109" s="272"/>
      <c r="EJ109" s="272"/>
      <c r="EK109" s="272"/>
      <c r="EL109" s="272"/>
      <c r="EM109" s="272"/>
      <c r="EN109" s="272"/>
      <c r="EO109" s="272"/>
      <c r="EP109" s="272"/>
      <c r="EQ109" s="272"/>
      <c r="ER109" s="272"/>
      <c r="ES109" s="272"/>
      <c r="ET109" s="272"/>
      <c r="EU109" s="272"/>
      <c r="EV109" s="272"/>
      <c r="EW109" s="272"/>
      <c r="EX109" s="272"/>
      <c r="EY109" s="272"/>
      <c r="EZ109" s="272"/>
      <c r="FA109" s="272"/>
      <c r="FB109" s="272"/>
      <c r="FC109" s="272"/>
      <c r="FD109" s="272"/>
      <c r="FE109" s="272"/>
      <c r="FF109" s="272"/>
      <c r="FG109" s="272"/>
      <c r="FH109" s="272"/>
      <c r="FI109" s="272"/>
      <c r="FJ109" s="272"/>
      <c r="FK109" s="272"/>
      <c r="FL109" s="272"/>
      <c r="FM109" s="272"/>
      <c r="FN109" s="272"/>
      <c r="FO109" s="272"/>
      <c r="FP109" s="272"/>
      <c r="FQ109" s="272"/>
      <c r="FR109" s="272"/>
      <c r="FS109" s="272"/>
      <c r="FT109" s="272"/>
      <c r="FU109" s="272"/>
      <c r="FV109" s="272"/>
      <c r="FW109" s="272"/>
      <c r="FX109" s="272"/>
      <c r="FY109" s="272"/>
      <c r="FZ109" s="272"/>
      <c r="GA109" s="272"/>
      <c r="GB109" s="272"/>
      <c r="GC109" s="272"/>
      <c r="GD109" s="272"/>
      <c r="GE109" s="272"/>
      <c r="GF109" s="272"/>
      <c r="GG109" s="272"/>
      <c r="GH109" s="272"/>
      <c r="GI109" s="272"/>
      <c r="GJ109" s="272"/>
      <c r="GK109" s="272"/>
      <c r="GL109" s="272"/>
      <c r="GM109" s="272"/>
      <c r="GN109" s="272"/>
      <c r="GO109" s="272"/>
      <c r="GP109" s="272"/>
      <c r="GQ109" s="272"/>
      <c r="GR109" s="272"/>
      <c r="GS109" s="272"/>
      <c r="GT109" s="272"/>
      <c r="GU109" s="272"/>
      <c r="GV109" s="272"/>
      <c r="GW109" s="272"/>
      <c r="GX109" s="272"/>
      <c r="GY109" s="272"/>
      <c r="GZ109" s="272"/>
      <c r="HA109" s="272"/>
      <c r="HB109" s="272"/>
      <c r="HC109" s="272"/>
      <c r="HD109" s="272"/>
      <c r="HE109" s="272"/>
      <c r="HF109" s="272"/>
      <c r="HG109" s="272"/>
      <c r="HH109" s="272"/>
      <c r="HI109" s="272"/>
      <c r="HJ109" s="272"/>
      <c r="HK109" s="272"/>
      <c r="HL109" s="272"/>
      <c r="HM109" s="272"/>
      <c r="HN109" s="272"/>
      <c r="HO109" s="272"/>
      <c r="HP109" s="272"/>
      <c r="HQ109" s="272"/>
      <c r="HR109" s="272"/>
      <c r="HS109" s="272"/>
      <c r="HT109" s="272"/>
      <c r="HU109" s="272"/>
      <c r="HV109" s="272"/>
      <c r="HW109" s="272"/>
      <c r="HX109" s="272"/>
      <c r="HY109" s="272"/>
      <c r="HZ109" s="272"/>
      <c r="IA109" s="272"/>
      <c r="IB109" s="272"/>
      <c r="IC109" s="272"/>
      <c r="ID109" s="272"/>
      <c r="IE109" s="272"/>
      <c r="IF109" s="272"/>
      <c r="IG109" s="272"/>
      <c r="IH109" s="272"/>
      <c r="II109" s="272"/>
      <c r="IJ109" s="272"/>
      <c r="IK109" s="272"/>
      <c r="IL109" s="272"/>
      <c r="IM109" s="272"/>
      <c r="IN109" s="272"/>
      <c r="IO109" s="272"/>
      <c r="IP109" s="272"/>
      <c r="IQ109" s="272"/>
      <c r="IR109" s="272"/>
    </row>
    <row r="110" spans="1:252" s="264" customFormat="1" ht="16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2"/>
      <c r="DR110" s="272"/>
      <c r="DS110" s="272"/>
      <c r="DT110" s="272"/>
      <c r="DU110" s="272"/>
      <c r="DV110" s="272"/>
      <c r="DW110" s="272"/>
      <c r="DX110" s="272"/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272"/>
      <c r="EI110" s="272"/>
      <c r="EJ110" s="272"/>
      <c r="EK110" s="272"/>
      <c r="EL110" s="272"/>
      <c r="EM110" s="272"/>
      <c r="EN110" s="272"/>
      <c r="EO110" s="272"/>
      <c r="EP110" s="272"/>
      <c r="EQ110" s="272"/>
      <c r="ER110" s="272"/>
      <c r="ES110" s="272"/>
      <c r="ET110" s="272"/>
      <c r="EU110" s="272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2"/>
      <c r="FF110" s="272"/>
      <c r="FG110" s="272"/>
      <c r="FH110" s="272"/>
      <c r="FI110" s="272"/>
      <c r="FJ110" s="272"/>
      <c r="FK110" s="272"/>
      <c r="FL110" s="272"/>
      <c r="FM110" s="272"/>
      <c r="FN110" s="272"/>
      <c r="FO110" s="272"/>
      <c r="FP110" s="272"/>
      <c r="FQ110" s="272"/>
      <c r="FR110" s="272"/>
      <c r="FS110" s="272"/>
      <c r="FT110" s="272"/>
      <c r="FU110" s="272"/>
      <c r="FV110" s="272"/>
      <c r="FW110" s="272"/>
      <c r="FX110" s="272"/>
      <c r="FY110" s="272"/>
      <c r="FZ110" s="272"/>
      <c r="GA110" s="272"/>
      <c r="GB110" s="272"/>
      <c r="GC110" s="272"/>
      <c r="GD110" s="272"/>
      <c r="GE110" s="272"/>
      <c r="GF110" s="272"/>
      <c r="GG110" s="272"/>
      <c r="GH110" s="272"/>
      <c r="GI110" s="272"/>
      <c r="GJ110" s="272"/>
      <c r="GK110" s="272"/>
      <c r="GL110" s="272"/>
      <c r="GM110" s="272"/>
      <c r="GN110" s="272"/>
      <c r="GO110" s="272"/>
      <c r="GP110" s="272"/>
      <c r="GQ110" s="272"/>
      <c r="GR110" s="272"/>
      <c r="GS110" s="272"/>
      <c r="GT110" s="272"/>
      <c r="GU110" s="272"/>
      <c r="GV110" s="272"/>
      <c r="GW110" s="272"/>
      <c r="GX110" s="272"/>
      <c r="GY110" s="272"/>
      <c r="GZ110" s="272"/>
      <c r="HA110" s="272"/>
      <c r="HB110" s="272"/>
      <c r="HC110" s="272"/>
      <c r="HD110" s="272"/>
      <c r="HE110" s="272"/>
      <c r="HF110" s="272"/>
      <c r="HG110" s="272"/>
      <c r="HH110" s="272"/>
      <c r="HI110" s="272"/>
      <c r="HJ110" s="272"/>
      <c r="HK110" s="272"/>
      <c r="HL110" s="272"/>
      <c r="HM110" s="272"/>
      <c r="HN110" s="272"/>
      <c r="HO110" s="272"/>
      <c r="HP110" s="272"/>
      <c r="HQ110" s="272"/>
      <c r="HR110" s="272"/>
      <c r="HS110" s="272"/>
      <c r="HT110" s="272"/>
      <c r="HU110" s="272"/>
      <c r="HV110" s="272"/>
      <c r="HW110" s="272"/>
      <c r="HX110" s="272"/>
      <c r="HY110" s="272"/>
      <c r="HZ110" s="272"/>
      <c r="IA110" s="272"/>
      <c r="IB110" s="272"/>
      <c r="IC110" s="272"/>
      <c r="ID110" s="272"/>
      <c r="IE110" s="272"/>
      <c r="IF110" s="272"/>
      <c r="IG110" s="272"/>
      <c r="IH110" s="272"/>
      <c r="II110" s="272"/>
      <c r="IJ110" s="272"/>
      <c r="IK110" s="272"/>
      <c r="IL110" s="272"/>
      <c r="IM110" s="272"/>
      <c r="IN110" s="272"/>
      <c r="IO110" s="272"/>
      <c r="IP110" s="272"/>
      <c r="IQ110" s="272"/>
      <c r="IR110" s="272"/>
    </row>
    <row r="111" spans="1:252" s="264" customFormat="1" ht="16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  <c r="DP111" s="272"/>
      <c r="DQ111" s="272"/>
      <c r="DR111" s="272"/>
      <c r="DS111" s="272"/>
      <c r="DT111" s="272"/>
      <c r="DU111" s="272"/>
      <c r="DV111" s="272"/>
      <c r="DW111" s="272"/>
      <c r="DX111" s="272"/>
      <c r="DY111" s="272"/>
      <c r="DZ111" s="272"/>
      <c r="EA111" s="272"/>
      <c r="EB111" s="272"/>
      <c r="EC111" s="272"/>
      <c r="ED111" s="272"/>
      <c r="EE111" s="272"/>
      <c r="EF111" s="272"/>
      <c r="EG111" s="272"/>
      <c r="EH111" s="272"/>
      <c r="EI111" s="272"/>
      <c r="EJ111" s="272"/>
      <c r="EK111" s="272"/>
      <c r="EL111" s="272"/>
      <c r="EM111" s="272"/>
      <c r="EN111" s="272"/>
      <c r="EO111" s="272"/>
      <c r="EP111" s="272"/>
      <c r="EQ111" s="272"/>
      <c r="ER111" s="272"/>
      <c r="ES111" s="272"/>
      <c r="ET111" s="272"/>
      <c r="EU111" s="272"/>
      <c r="EV111" s="272"/>
      <c r="EW111" s="272"/>
      <c r="EX111" s="272"/>
      <c r="EY111" s="272"/>
      <c r="EZ111" s="272"/>
      <c r="FA111" s="272"/>
      <c r="FB111" s="272"/>
      <c r="FC111" s="272"/>
      <c r="FD111" s="272"/>
      <c r="FE111" s="272"/>
      <c r="FF111" s="272"/>
      <c r="FG111" s="272"/>
      <c r="FH111" s="272"/>
      <c r="FI111" s="272"/>
      <c r="FJ111" s="272"/>
      <c r="FK111" s="272"/>
      <c r="FL111" s="272"/>
      <c r="FM111" s="272"/>
      <c r="FN111" s="272"/>
      <c r="FO111" s="272"/>
      <c r="FP111" s="272"/>
      <c r="FQ111" s="272"/>
      <c r="FR111" s="272"/>
      <c r="FS111" s="272"/>
      <c r="FT111" s="272"/>
      <c r="FU111" s="272"/>
      <c r="FV111" s="272"/>
      <c r="FW111" s="272"/>
      <c r="FX111" s="272"/>
      <c r="FY111" s="272"/>
      <c r="FZ111" s="272"/>
      <c r="GA111" s="272"/>
      <c r="GB111" s="272"/>
      <c r="GC111" s="272"/>
      <c r="GD111" s="272"/>
      <c r="GE111" s="272"/>
      <c r="GF111" s="272"/>
      <c r="GG111" s="272"/>
      <c r="GH111" s="272"/>
      <c r="GI111" s="272"/>
      <c r="GJ111" s="272"/>
      <c r="GK111" s="272"/>
      <c r="GL111" s="272"/>
      <c r="GM111" s="272"/>
      <c r="GN111" s="272"/>
      <c r="GO111" s="272"/>
      <c r="GP111" s="272"/>
      <c r="GQ111" s="272"/>
      <c r="GR111" s="272"/>
      <c r="GS111" s="272"/>
      <c r="GT111" s="272"/>
      <c r="GU111" s="272"/>
      <c r="GV111" s="272"/>
      <c r="GW111" s="272"/>
      <c r="GX111" s="272"/>
      <c r="GY111" s="272"/>
      <c r="GZ111" s="272"/>
      <c r="HA111" s="272"/>
      <c r="HB111" s="272"/>
      <c r="HC111" s="272"/>
      <c r="HD111" s="272"/>
      <c r="HE111" s="272"/>
      <c r="HF111" s="272"/>
      <c r="HG111" s="272"/>
      <c r="HH111" s="272"/>
      <c r="HI111" s="272"/>
      <c r="HJ111" s="272"/>
      <c r="HK111" s="272"/>
      <c r="HL111" s="272"/>
      <c r="HM111" s="272"/>
      <c r="HN111" s="272"/>
      <c r="HO111" s="272"/>
      <c r="HP111" s="272"/>
      <c r="HQ111" s="272"/>
      <c r="HR111" s="272"/>
      <c r="HS111" s="272"/>
      <c r="HT111" s="272"/>
      <c r="HU111" s="272"/>
      <c r="HV111" s="272"/>
      <c r="HW111" s="272"/>
      <c r="HX111" s="272"/>
      <c r="HY111" s="272"/>
      <c r="HZ111" s="272"/>
      <c r="IA111" s="272"/>
      <c r="IB111" s="272"/>
      <c r="IC111" s="272"/>
      <c r="ID111" s="272"/>
      <c r="IE111" s="272"/>
      <c r="IF111" s="272"/>
      <c r="IG111" s="272"/>
      <c r="IH111" s="272"/>
      <c r="II111" s="272"/>
      <c r="IJ111" s="272"/>
      <c r="IK111" s="272"/>
      <c r="IL111" s="272"/>
      <c r="IM111" s="272"/>
      <c r="IN111" s="272"/>
      <c r="IO111" s="272"/>
      <c r="IP111" s="272"/>
      <c r="IQ111" s="272"/>
      <c r="IR111" s="272"/>
    </row>
    <row r="112" spans="1:252" s="264" customFormat="1" ht="16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2"/>
      <c r="DT112" s="272"/>
      <c r="DU112" s="272"/>
      <c r="DV112" s="272"/>
      <c r="DW112" s="272"/>
      <c r="DX112" s="272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2"/>
      <c r="ER112" s="272"/>
      <c r="ES112" s="272"/>
      <c r="ET112" s="272"/>
      <c r="EU112" s="272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2"/>
      <c r="FF112" s="272"/>
      <c r="FG112" s="272"/>
      <c r="FH112" s="272"/>
      <c r="FI112" s="272"/>
      <c r="FJ112" s="272"/>
      <c r="FK112" s="272"/>
      <c r="FL112" s="272"/>
      <c r="FM112" s="272"/>
      <c r="FN112" s="272"/>
      <c r="FO112" s="272"/>
      <c r="FP112" s="272"/>
      <c r="FQ112" s="272"/>
      <c r="FR112" s="272"/>
      <c r="FS112" s="272"/>
      <c r="FT112" s="272"/>
      <c r="FU112" s="272"/>
      <c r="FV112" s="272"/>
      <c r="FW112" s="272"/>
      <c r="FX112" s="272"/>
      <c r="FY112" s="272"/>
      <c r="FZ112" s="272"/>
      <c r="GA112" s="272"/>
      <c r="GB112" s="272"/>
      <c r="GC112" s="272"/>
      <c r="GD112" s="272"/>
      <c r="GE112" s="272"/>
      <c r="GF112" s="272"/>
      <c r="GG112" s="272"/>
      <c r="GH112" s="272"/>
      <c r="GI112" s="272"/>
      <c r="GJ112" s="272"/>
      <c r="GK112" s="272"/>
      <c r="GL112" s="272"/>
      <c r="GM112" s="272"/>
      <c r="GN112" s="272"/>
      <c r="GO112" s="272"/>
      <c r="GP112" s="272"/>
      <c r="GQ112" s="272"/>
      <c r="GR112" s="272"/>
      <c r="GS112" s="272"/>
      <c r="GT112" s="272"/>
      <c r="GU112" s="272"/>
      <c r="GV112" s="272"/>
      <c r="GW112" s="272"/>
      <c r="GX112" s="272"/>
      <c r="GY112" s="272"/>
      <c r="GZ112" s="272"/>
      <c r="HA112" s="272"/>
      <c r="HB112" s="272"/>
      <c r="HC112" s="272"/>
      <c r="HD112" s="272"/>
      <c r="HE112" s="272"/>
      <c r="HF112" s="272"/>
      <c r="HG112" s="272"/>
      <c r="HH112" s="272"/>
      <c r="HI112" s="272"/>
      <c r="HJ112" s="272"/>
      <c r="HK112" s="272"/>
      <c r="HL112" s="272"/>
      <c r="HM112" s="272"/>
      <c r="HN112" s="272"/>
      <c r="HO112" s="272"/>
      <c r="HP112" s="272"/>
      <c r="HQ112" s="272"/>
      <c r="HR112" s="272"/>
      <c r="HS112" s="272"/>
      <c r="HT112" s="272"/>
      <c r="HU112" s="272"/>
      <c r="HV112" s="272"/>
      <c r="HW112" s="272"/>
      <c r="HX112" s="272"/>
      <c r="HY112" s="272"/>
      <c r="HZ112" s="272"/>
      <c r="IA112" s="272"/>
      <c r="IB112" s="272"/>
      <c r="IC112" s="272"/>
      <c r="ID112" s="272"/>
      <c r="IE112" s="272"/>
      <c r="IF112" s="272"/>
      <c r="IG112" s="272"/>
      <c r="IH112" s="272"/>
      <c r="II112" s="272"/>
      <c r="IJ112" s="272"/>
      <c r="IK112" s="272"/>
      <c r="IL112" s="272"/>
      <c r="IM112" s="272"/>
      <c r="IN112" s="272"/>
      <c r="IO112" s="272"/>
      <c r="IP112" s="272"/>
      <c r="IQ112" s="272"/>
      <c r="IR112" s="272"/>
    </row>
    <row r="113" spans="1:252" s="264" customFormat="1" ht="16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  <c r="BT113" s="272"/>
      <c r="BU113" s="272"/>
      <c r="BV113" s="272"/>
      <c r="BW113" s="272"/>
      <c r="BX113" s="272"/>
      <c r="BY113" s="272"/>
      <c r="BZ113" s="272"/>
      <c r="CA113" s="272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2"/>
      <c r="DX113" s="272"/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2"/>
      <c r="EK113" s="272"/>
      <c r="EL113" s="272"/>
      <c r="EM113" s="272"/>
      <c r="EN113" s="272"/>
      <c r="EO113" s="272"/>
      <c r="EP113" s="272"/>
      <c r="EQ113" s="272"/>
      <c r="ER113" s="272"/>
      <c r="ES113" s="272"/>
      <c r="ET113" s="272"/>
      <c r="EU113" s="272"/>
      <c r="EV113" s="272"/>
      <c r="EW113" s="272"/>
      <c r="EX113" s="272"/>
      <c r="EY113" s="272"/>
      <c r="EZ113" s="272"/>
      <c r="FA113" s="272"/>
      <c r="FB113" s="272"/>
      <c r="FC113" s="272"/>
      <c r="FD113" s="272"/>
      <c r="FE113" s="272"/>
      <c r="FF113" s="272"/>
      <c r="FG113" s="272"/>
      <c r="FH113" s="272"/>
      <c r="FI113" s="272"/>
      <c r="FJ113" s="272"/>
      <c r="FK113" s="272"/>
      <c r="FL113" s="272"/>
      <c r="FM113" s="272"/>
      <c r="FN113" s="272"/>
      <c r="FO113" s="272"/>
      <c r="FP113" s="272"/>
      <c r="FQ113" s="272"/>
      <c r="FR113" s="272"/>
      <c r="FS113" s="272"/>
      <c r="FT113" s="272"/>
      <c r="FU113" s="272"/>
      <c r="FV113" s="272"/>
      <c r="FW113" s="272"/>
      <c r="FX113" s="272"/>
      <c r="FY113" s="272"/>
      <c r="FZ113" s="272"/>
      <c r="GA113" s="272"/>
      <c r="GB113" s="272"/>
      <c r="GC113" s="272"/>
      <c r="GD113" s="272"/>
      <c r="GE113" s="272"/>
      <c r="GF113" s="272"/>
      <c r="GG113" s="272"/>
      <c r="GH113" s="272"/>
      <c r="GI113" s="272"/>
      <c r="GJ113" s="272"/>
      <c r="GK113" s="272"/>
      <c r="GL113" s="272"/>
      <c r="GM113" s="272"/>
      <c r="GN113" s="272"/>
      <c r="GO113" s="272"/>
      <c r="GP113" s="272"/>
      <c r="GQ113" s="272"/>
      <c r="GR113" s="272"/>
      <c r="GS113" s="272"/>
      <c r="GT113" s="272"/>
      <c r="GU113" s="272"/>
      <c r="GV113" s="272"/>
      <c r="GW113" s="272"/>
      <c r="GX113" s="272"/>
      <c r="GY113" s="272"/>
      <c r="GZ113" s="272"/>
      <c r="HA113" s="272"/>
      <c r="HB113" s="272"/>
      <c r="HC113" s="272"/>
      <c r="HD113" s="272"/>
      <c r="HE113" s="272"/>
      <c r="HF113" s="272"/>
      <c r="HG113" s="272"/>
      <c r="HH113" s="272"/>
      <c r="HI113" s="272"/>
      <c r="HJ113" s="272"/>
      <c r="HK113" s="272"/>
      <c r="HL113" s="272"/>
      <c r="HM113" s="272"/>
      <c r="HN113" s="272"/>
      <c r="HO113" s="272"/>
      <c r="HP113" s="272"/>
      <c r="HQ113" s="272"/>
      <c r="HR113" s="272"/>
      <c r="HS113" s="272"/>
      <c r="HT113" s="272"/>
      <c r="HU113" s="272"/>
      <c r="HV113" s="272"/>
      <c r="HW113" s="272"/>
      <c r="HX113" s="272"/>
      <c r="HY113" s="272"/>
      <c r="HZ113" s="272"/>
      <c r="IA113" s="272"/>
      <c r="IB113" s="272"/>
      <c r="IC113" s="272"/>
      <c r="ID113" s="272"/>
      <c r="IE113" s="272"/>
      <c r="IF113" s="272"/>
      <c r="IG113" s="272"/>
      <c r="IH113" s="272"/>
      <c r="II113" s="272"/>
      <c r="IJ113" s="272"/>
      <c r="IK113" s="272"/>
      <c r="IL113" s="272"/>
      <c r="IM113" s="272"/>
      <c r="IN113" s="272"/>
      <c r="IO113" s="272"/>
      <c r="IP113" s="272"/>
      <c r="IQ113" s="272"/>
      <c r="IR113" s="272"/>
    </row>
    <row r="114" spans="1:252" s="264" customFormat="1" ht="16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2"/>
      <c r="BS114" s="272"/>
      <c r="BT114" s="272"/>
      <c r="BU114" s="272"/>
      <c r="BV114" s="272"/>
      <c r="BW114" s="272"/>
      <c r="BX114" s="272"/>
      <c r="BY114" s="272"/>
      <c r="BZ114" s="272"/>
      <c r="CA114" s="272"/>
      <c r="CB114" s="272"/>
      <c r="CC114" s="272"/>
      <c r="CD114" s="272"/>
      <c r="CE114" s="272"/>
      <c r="CF114" s="272"/>
      <c r="CG114" s="272"/>
      <c r="CH114" s="272"/>
      <c r="CI114" s="272"/>
      <c r="CJ114" s="272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2"/>
      <c r="DX114" s="272"/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2"/>
      <c r="EK114" s="272"/>
      <c r="EL114" s="272"/>
      <c r="EM114" s="272"/>
      <c r="EN114" s="272"/>
      <c r="EO114" s="272"/>
      <c r="EP114" s="272"/>
      <c r="EQ114" s="272"/>
      <c r="ER114" s="272"/>
      <c r="ES114" s="272"/>
      <c r="ET114" s="272"/>
      <c r="EU114" s="272"/>
      <c r="EV114" s="272"/>
      <c r="EW114" s="272"/>
      <c r="EX114" s="272"/>
      <c r="EY114" s="272"/>
      <c r="EZ114" s="272"/>
      <c r="FA114" s="272"/>
      <c r="FB114" s="272"/>
      <c r="FC114" s="272"/>
      <c r="FD114" s="272"/>
      <c r="FE114" s="272"/>
      <c r="FF114" s="272"/>
      <c r="FG114" s="272"/>
      <c r="FH114" s="272"/>
      <c r="FI114" s="272"/>
      <c r="FJ114" s="272"/>
      <c r="FK114" s="272"/>
      <c r="FL114" s="272"/>
      <c r="FM114" s="272"/>
      <c r="FN114" s="272"/>
      <c r="FO114" s="272"/>
      <c r="FP114" s="272"/>
      <c r="FQ114" s="272"/>
      <c r="FR114" s="272"/>
      <c r="FS114" s="272"/>
      <c r="FT114" s="272"/>
      <c r="FU114" s="272"/>
      <c r="FV114" s="272"/>
      <c r="FW114" s="272"/>
      <c r="FX114" s="272"/>
      <c r="FY114" s="272"/>
      <c r="FZ114" s="272"/>
      <c r="GA114" s="272"/>
      <c r="GB114" s="272"/>
      <c r="GC114" s="272"/>
      <c r="GD114" s="272"/>
      <c r="GE114" s="272"/>
      <c r="GF114" s="272"/>
      <c r="GG114" s="272"/>
      <c r="GH114" s="272"/>
      <c r="GI114" s="272"/>
      <c r="GJ114" s="272"/>
      <c r="GK114" s="272"/>
      <c r="GL114" s="272"/>
      <c r="GM114" s="272"/>
      <c r="GN114" s="272"/>
      <c r="GO114" s="272"/>
      <c r="GP114" s="272"/>
      <c r="GQ114" s="272"/>
      <c r="GR114" s="272"/>
      <c r="GS114" s="272"/>
      <c r="GT114" s="272"/>
      <c r="GU114" s="272"/>
      <c r="GV114" s="272"/>
      <c r="GW114" s="272"/>
      <c r="GX114" s="272"/>
      <c r="GY114" s="272"/>
      <c r="GZ114" s="272"/>
      <c r="HA114" s="272"/>
      <c r="HB114" s="272"/>
      <c r="HC114" s="272"/>
      <c r="HD114" s="272"/>
      <c r="HE114" s="272"/>
      <c r="HF114" s="272"/>
      <c r="HG114" s="272"/>
      <c r="HH114" s="272"/>
      <c r="HI114" s="272"/>
      <c r="HJ114" s="272"/>
      <c r="HK114" s="272"/>
      <c r="HL114" s="272"/>
      <c r="HM114" s="272"/>
      <c r="HN114" s="272"/>
      <c r="HO114" s="272"/>
      <c r="HP114" s="272"/>
      <c r="HQ114" s="272"/>
      <c r="HR114" s="272"/>
      <c r="HS114" s="272"/>
      <c r="HT114" s="272"/>
      <c r="HU114" s="272"/>
      <c r="HV114" s="272"/>
      <c r="HW114" s="272"/>
      <c r="HX114" s="272"/>
      <c r="HY114" s="272"/>
      <c r="HZ114" s="272"/>
      <c r="IA114" s="272"/>
      <c r="IB114" s="272"/>
      <c r="IC114" s="272"/>
      <c r="ID114" s="272"/>
      <c r="IE114" s="272"/>
      <c r="IF114" s="272"/>
      <c r="IG114" s="272"/>
      <c r="IH114" s="272"/>
      <c r="II114" s="272"/>
      <c r="IJ114" s="272"/>
      <c r="IK114" s="272"/>
      <c r="IL114" s="272"/>
      <c r="IM114" s="272"/>
      <c r="IN114" s="272"/>
      <c r="IO114" s="272"/>
      <c r="IP114" s="272"/>
      <c r="IQ114" s="272"/>
      <c r="IR114" s="272"/>
    </row>
    <row r="115" spans="1:252" s="264" customFormat="1" ht="16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2"/>
      <c r="BZ115" s="272"/>
      <c r="CA115" s="272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2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2"/>
      <c r="DX115" s="272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2"/>
      <c r="ER115" s="272"/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2"/>
      <c r="FK115" s="272"/>
      <c r="FL115" s="272"/>
      <c r="FM115" s="272"/>
      <c r="FN115" s="272"/>
      <c r="FO115" s="272"/>
      <c r="FP115" s="272"/>
      <c r="FQ115" s="272"/>
      <c r="FR115" s="272"/>
      <c r="FS115" s="272"/>
      <c r="FT115" s="272"/>
      <c r="FU115" s="272"/>
      <c r="FV115" s="272"/>
      <c r="FW115" s="272"/>
      <c r="FX115" s="272"/>
      <c r="FY115" s="272"/>
      <c r="FZ115" s="272"/>
      <c r="GA115" s="272"/>
      <c r="GB115" s="272"/>
      <c r="GC115" s="272"/>
      <c r="GD115" s="272"/>
      <c r="GE115" s="272"/>
      <c r="GF115" s="272"/>
      <c r="GG115" s="272"/>
      <c r="GH115" s="272"/>
      <c r="GI115" s="272"/>
      <c r="GJ115" s="272"/>
      <c r="GK115" s="272"/>
      <c r="GL115" s="272"/>
      <c r="GM115" s="272"/>
      <c r="GN115" s="272"/>
      <c r="GO115" s="272"/>
      <c r="GP115" s="272"/>
      <c r="GQ115" s="272"/>
      <c r="GR115" s="272"/>
      <c r="GS115" s="272"/>
      <c r="GT115" s="272"/>
      <c r="GU115" s="272"/>
      <c r="GV115" s="272"/>
      <c r="GW115" s="272"/>
      <c r="GX115" s="272"/>
      <c r="GY115" s="272"/>
      <c r="GZ115" s="272"/>
      <c r="HA115" s="272"/>
      <c r="HB115" s="272"/>
      <c r="HC115" s="272"/>
      <c r="HD115" s="272"/>
      <c r="HE115" s="272"/>
      <c r="HF115" s="272"/>
      <c r="HG115" s="272"/>
      <c r="HH115" s="272"/>
      <c r="HI115" s="272"/>
      <c r="HJ115" s="272"/>
      <c r="HK115" s="272"/>
      <c r="HL115" s="272"/>
      <c r="HM115" s="272"/>
      <c r="HN115" s="272"/>
      <c r="HO115" s="272"/>
      <c r="HP115" s="272"/>
      <c r="HQ115" s="272"/>
      <c r="HR115" s="272"/>
      <c r="HS115" s="272"/>
      <c r="HT115" s="272"/>
      <c r="HU115" s="272"/>
      <c r="HV115" s="272"/>
      <c r="HW115" s="272"/>
      <c r="HX115" s="272"/>
      <c r="HY115" s="272"/>
      <c r="HZ115" s="272"/>
      <c r="IA115" s="272"/>
      <c r="IB115" s="272"/>
      <c r="IC115" s="272"/>
      <c r="ID115" s="272"/>
      <c r="IE115" s="272"/>
      <c r="IF115" s="272"/>
      <c r="IG115" s="272"/>
      <c r="IH115" s="272"/>
      <c r="II115" s="272"/>
      <c r="IJ115" s="272"/>
      <c r="IK115" s="272"/>
      <c r="IL115" s="272"/>
      <c r="IM115" s="272"/>
      <c r="IN115" s="272"/>
      <c r="IO115" s="272"/>
      <c r="IP115" s="272"/>
      <c r="IQ115" s="272"/>
      <c r="IR115" s="272"/>
    </row>
    <row r="116" spans="1:252" s="264" customFormat="1" ht="16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272"/>
      <c r="BL116" s="272"/>
      <c r="BM116" s="272"/>
      <c r="BN116" s="272"/>
      <c r="BO116" s="272"/>
      <c r="BP116" s="272"/>
      <c r="BQ116" s="272"/>
      <c r="BR116" s="272"/>
      <c r="BS116" s="272"/>
      <c r="BT116" s="272"/>
      <c r="BU116" s="272"/>
      <c r="BV116" s="272"/>
      <c r="BW116" s="272"/>
      <c r="BX116" s="272"/>
      <c r="BY116" s="272"/>
      <c r="BZ116" s="272"/>
      <c r="CA116" s="272"/>
      <c r="CB116" s="272"/>
      <c r="CC116" s="272"/>
      <c r="CD116" s="272"/>
      <c r="CE116" s="272"/>
      <c r="CF116" s="272"/>
      <c r="CG116" s="272"/>
      <c r="CH116" s="272"/>
      <c r="CI116" s="272"/>
      <c r="CJ116" s="272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72"/>
      <c r="CV116" s="272"/>
      <c r="CW116" s="272"/>
      <c r="CX116" s="272"/>
      <c r="CY116" s="272"/>
      <c r="CZ116" s="272"/>
      <c r="DA116" s="272"/>
      <c r="DB116" s="272"/>
      <c r="DC116" s="272"/>
      <c r="DD116" s="272"/>
      <c r="DE116" s="272"/>
      <c r="DF116" s="272"/>
      <c r="DG116" s="272"/>
      <c r="DH116" s="272"/>
      <c r="DI116" s="272"/>
      <c r="DJ116" s="272"/>
      <c r="DK116" s="272"/>
      <c r="DL116" s="272"/>
      <c r="DM116" s="272"/>
      <c r="DN116" s="272"/>
      <c r="DO116" s="272"/>
      <c r="DP116" s="272"/>
      <c r="DQ116" s="272"/>
      <c r="DR116" s="272"/>
      <c r="DS116" s="272"/>
      <c r="DT116" s="272"/>
      <c r="DU116" s="272"/>
      <c r="DV116" s="272"/>
      <c r="DW116" s="272"/>
      <c r="DX116" s="272"/>
      <c r="DY116" s="272"/>
      <c r="DZ116" s="272"/>
      <c r="EA116" s="272"/>
      <c r="EB116" s="272"/>
      <c r="EC116" s="272"/>
      <c r="ED116" s="272"/>
      <c r="EE116" s="272"/>
      <c r="EF116" s="272"/>
      <c r="EG116" s="272"/>
      <c r="EH116" s="272"/>
      <c r="EI116" s="272"/>
      <c r="EJ116" s="272"/>
      <c r="EK116" s="272"/>
      <c r="EL116" s="272"/>
      <c r="EM116" s="272"/>
      <c r="EN116" s="272"/>
      <c r="EO116" s="272"/>
      <c r="EP116" s="272"/>
      <c r="EQ116" s="272"/>
      <c r="ER116" s="272"/>
      <c r="ES116" s="272"/>
      <c r="ET116" s="272"/>
      <c r="EU116" s="272"/>
      <c r="EV116" s="272"/>
      <c r="EW116" s="272"/>
      <c r="EX116" s="272"/>
      <c r="EY116" s="272"/>
      <c r="EZ116" s="272"/>
      <c r="FA116" s="272"/>
      <c r="FB116" s="272"/>
      <c r="FC116" s="272"/>
      <c r="FD116" s="272"/>
      <c r="FE116" s="272"/>
      <c r="FF116" s="272"/>
      <c r="FG116" s="272"/>
      <c r="FH116" s="272"/>
      <c r="FI116" s="272"/>
      <c r="FJ116" s="272"/>
      <c r="FK116" s="272"/>
      <c r="FL116" s="272"/>
      <c r="FM116" s="272"/>
      <c r="FN116" s="272"/>
      <c r="FO116" s="272"/>
      <c r="FP116" s="272"/>
      <c r="FQ116" s="272"/>
      <c r="FR116" s="272"/>
      <c r="FS116" s="272"/>
      <c r="FT116" s="272"/>
      <c r="FU116" s="272"/>
      <c r="FV116" s="272"/>
      <c r="FW116" s="272"/>
      <c r="FX116" s="272"/>
      <c r="FY116" s="272"/>
      <c r="FZ116" s="272"/>
      <c r="GA116" s="272"/>
      <c r="GB116" s="272"/>
      <c r="GC116" s="272"/>
      <c r="GD116" s="272"/>
      <c r="GE116" s="272"/>
      <c r="GF116" s="272"/>
      <c r="GG116" s="272"/>
      <c r="GH116" s="272"/>
      <c r="GI116" s="272"/>
      <c r="GJ116" s="272"/>
      <c r="GK116" s="272"/>
      <c r="GL116" s="272"/>
      <c r="GM116" s="272"/>
      <c r="GN116" s="272"/>
      <c r="GO116" s="272"/>
      <c r="GP116" s="272"/>
      <c r="GQ116" s="272"/>
      <c r="GR116" s="272"/>
      <c r="GS116" s="272"/>
      <c r="GT116" s="272"/>
      <c r="GU116" s="272"/>
      <c r="GV116" s="272"/>
      <c r="GW116" s="272"/>
      <c r="GX116" s="272"/>
      <c r="GY116" s="272"/>
      <c r="GZ116" s="272"/>
      <c r="HA116" s="272"/>
      <c r="HB116" s="272"/>
      <c r="HC116" s="272"/>
      <c r="HD116" s="272"/>
      <c r="HE116" s="272"/>
      <c r="HF116" s="272"/>
      <c r="HG116" s="272"/>
      <c r="HH116" s="272"/>
      <c r="HI116" s="272"/>
      <c r="HJ116" s="272"/>
      <c r="HK116" s="272"/>
      <c r="HL116" s="272"/>
      <c r="HM116" s="272"/>
      <c r="HN116" s="272"/>
      <c r="HO116" s="272"/>
      <c r="HP116" s="272"/>
      <c r="HQ116" s="272"/>
      <c r="HR116" s="272"/>
      <c r="HS116" s="272"/>
      <c r="HT116" s="272"/>
      <c r="HU116" s="272"/>
      <c r="HV116" s="272"/>
      <c r="HW116" s="272"/>
      <c r="HX116" s="272"/>
      <c r="HY116" s="272"/>
      <c r="HZ116" s="272"/>
      <c r="IA116" s="272"/>
      <c r="IB116" s="272"/>
      <c r="IC116" s="272"/>
      <c r="ID116" s="272"/>
      <c r="IE116" s="272"/>
      <c r="IF116" s="272"/>
      <c r="IG116" s="272"/>
      <c r="IH116" s="272"/>
      <c r="II116" s="272"/>
      <c r="IJ116" s="272"/>
      <c r="IK116" s="272"/>
      <c r="IL116" s="272"/>
      <c r="IM116" s="272"/>
      <c r="IN116" s="272"/>
      <c r="IO116" s="272"/>
      <c r="IP116" s="272"/>
      <c r="IQ116" s="272"/>
      <c r="IR116" s="272"/>
    </row>
    <row r="117" spans="1:252" s="264" customFormat="1" ht="16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272"/>
      <c r="BL117" s="272"/>
      <c r="BM117" s="272"/>
      <c r="BN117" s="272"/>
      <c r="BO117" s="272"/>
      <c r="BP117" s="272"/>
      <c r="BQ117" s="272"/>
      <c r="BR117" s="272"/>
      <c r="BS117" s="272"/>
      <c r="BT117" s="272"/>
      <c r="BU117" s="272"/>
      <c r="BV117" s="272"/>
      <c r="BW117" s="272"/>
      <c r="BX117" s="272"/>
      <c r="BY117" s="272"/>
      <c r="BZ117" s="272"/>
      <c r="CA117" s="272"/>
      <c r="CB117" s="272"/>
      <c r="CC117" s="272"/>
      <c r="CD117" s="272"/>
      <c r="CE117" s="272"/>
      <c r="CF117" s="272"/>
      <c r="CG117" s="272"/>
      <c r="CH117" s="272"/>
      <c r="CI117" s="272"/>
      <c r="CJ117" s="272"/>
      <c r="CK117" s="272"/>
      <c r="CL117" s="272"/>
      <c r="CM117" s="272"/>
      <c r="CN117" s="272"/>
      <c r="CO117" s="272"/>
      <c r="CP117" s="272"/>
      <c r="CQ117" s="272"/>
      <c r="CR117" s="272"/>
      <c r="CS117" s="272"/>
      <c r="CT117" s="272"/>
      <c r="CU117" s="272"/>
      <c r="CV117" s="272"/>
      <c r="CW117" s="272"/>
      <c r="CX117" s="272"/>
      <c r="CY117" s="272"/>
      <c r="CZ117" s="272"/>
      <c r="DA117" s="272"/>
      <c r="DB117" s="272"/>
      <c r="DC117" s="272"/>
      <c r="DD117" s="272"/>
      <c r="DE117" s="272"/>
      <c r="DF117" s="272"/>
      <c r="DG117" s="272"/>
      <c r="DH117" s="272"/>
      <c r="DI117" s="272"/>
      <c r="DJ117" s="272"/>
      <c r="DK117" s="272"/>
      <c r="DL117" s="272"/>
      <c r="DM117" s="272"/>
      <c r="DN117" s="272"/>
      <c r="DO117" s="272"/>
      <c r="DP117" s="272"/>
      <c r="DQ117" s="272"/>
      <c r="DR117" s="272"/>
      <c r="DS117" s="272"/>
      <c r="DT117" s="272"/>
      <c r="DU117" s="272"/>
      <c r="DV117" s="272"/>
      <c r="DW117" s="272"/>
      <c r="DX117" s="272"/>
      <c r="DY117" s="272"/>
      <c r="DZ117" s="272"/>
      <c r="EA117" s="272"/>
      <c r="EB117" s="272"/>
      <c r="EC117" s="272"/>
      <c r="ED117" s="272"/>
      <c r="EE117" s="272"/>
      <c r="EF117" s="272"/>
      <c r="EG117" s="272"/>
      <c r="EH117" s="272"/>
      <c r="EI117" s="272"/>
      <c r="EJ117" s="272"/>
      <c r="EK117" s="272"/>
      <c r="EL117" s="272"/>
      <c r="EM117" s="272"/>
      <c r="EN117" s="272"/>
      <c r="EO117" s="272"/>
      <c r="EP117" s="272"/>
      <c r="EQ117" s="272"/>
      <c r="ER117" s="272"/>
      <c r="ES117" s="272"/>
      <c r="ET117" s="272"/>
      <c r="EU117" s="272"/>
      <c r="EV117" s="272"/>
      <c r="EW117" s="272"/>
      <c r="EX117" s="272"/>
      <c r="EY117" s="272"/>
      <c r="EZ117" s="272"/>
      <c r="FA117" s="272"/>
      <c r="FB117" s="272"/>
      <c r="FC117" s="272"/>
      <c r="FD117" s="272"/>
      <c r="FE117" s="272"/>
      <c r="FF117" s="272"/>
      <c r="FG117" s="272"/>
      <c r="FH117" s="272"/>
      <c r="FI117" s="272"/>
      <c r="FJ117" s="272"/>
      <c r="FK117" s="272"/>
      <c r="FL117" s="272"/>
      <c r="FM117" s="272"/>
      <c r="FN117" s="272"/>
      <c r="FO117" s="272"/>
      <c r="FP117" s="272"/>
      <c r="FQ117" s="272"/>
      <c r="FR117" s="272"/>
      <c r="FS117" s="272"/>
      <c r="FT117" s="272"/>
      <c r="FU117" s="272"/>
      <c r="FV117" s="272"/>
      <c r="FW117" s="272"/>
      <c r="FX117" s="272"/>
      <c r="FY117" s="272"/>
      <c r="FZ117" s="272"/>
      <c r="GA117" s="272"/>
      <c r="GB117" s="272"/>
      <c r="GC117" s="272"/>
      <c r="GD117" s="272"/>
      <c r="GE117" s="272"/>
      <c r="GF117" s="272"/>
      <c r="GG117" s="272"/>
      <c r="GH117" s="272"/>
      <c r="GI117" s="272"/>
      <c r="GJ117" s="272"/>
      <c r="GK117" s="272"/>
      <c r="GL117" s="272"/>
      <c r="GM117" s="272"/>
      <c r="GN117" s="272"/>
      <c r="GO117" s="272"/>
      <c r="GP117" s="272"/>
      <c r="GQ117" s="272"/>
      <c r="GR117" s="272"/>
      <c r="GS117" s="272"/>
      <c r="GT117" s="272"/>
      <c r="GU117" s="272"/>
      <c r="GV117" s="272"/>
      <c r="GW117" s="272"/>
      <c r="GX117" s="272"/>
      <c r="GY117" s="272"/>
      <c r="GZ117" s="272"/>
      <c r="HA117" s="272"/>
      <c r="HB117" s="272"/>
      <c r="HC117" s="272"/>
      <c r="HD117" s="272"/>
      <c r="HE117" s="272"/>
      <c r="HF117" s="272"/>
      <c r="HG117" s="272"/>
      <c r="HH117" s="272"/>
      <c r="HI117" s="272"/>
      <c r="HJ117" s="272"/>
      <c r="HK117" s="272"/>
      <c r="HL117" s="272"/>
      <c r="HM117" s="272"/>
      <c r="HN117" s="272"/>
      <c r="HO117" s="272"/>
      <c r="HP117" s="272"/>
      <c r="HQ117" s="272"/>
      <c r="HR117" s="272"/>
      <c r="HS117" s="272"/>
      <c r="HT117" s="272"/>
      <c r="HU117" s="272"/>
      <c r="HV117" s="272"/>
      <c r="HW117" s="272"/>
      <c r="HX117" s="272"/>
      <c r="HY117" s="272"/>
      <c r="HZ117" s="272"/>
      <c r="IA117" s="272"/>
      <c r="IB117" s="272"/>
      <c r="IC117" s="272"/>
      <c r="ID117" s="272"/>
      <c r="IE117" s="272"/>
      <c r="IF117" s="272"/>
      <c r="IG117" s="272"/>
      <c r="IH117" s="272"/>
      <c r="II117" s="272"/>
      <c r="IJ117" s="272"/>
      <c r="IK117" s="272"/>
      <c r="IL117" s="272"/>
      <c r="IM117" s="272"/>
      <c r="IN117" s="272"/>
      <c r="IO117" s="272"/>
      <c r="IP117" s="272"/>
      <c r="IQ117" s="272"/>
      <c r="IR117" s="272"/>
    </row>
    <row r="118" spans="1:252" s="264" customFormat="1" ht="16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272"/>
      <c r="BL118" s="272"/>
      <c r="BM118" s="272"/>
      <c r="BN118" s="272"/>
      <c r="BO118" s="272"/>
      <c r="BP118" s="272"/>
      <c r="BQ118" s="272"/>
      <c r="BR118" s="272"/>
      <c r="BS118" s="272"/>
      <c r="BT118" s="272"/>
      <c r="BU118" s="272"/>
      <c r="BV118" s="272"/>
      <c r="BW118" s="272"/>
      <c r="BX118" s="272"/>
      <c r="BY118" s="272"/>
      <c r="BZ118" s="272"/>
      <c r="CA118" s="272"/>
      <c r="CB118" s="272"/>
      <c r="CC118" s="272"/>
      <c r="CD118" s="272"/>
      <c r="CE118" s="272"/>
      <c r="CF118" s="272"/>
      <c r="CG118" s="272"/>
      <c r="CH118" s="272"/>
      <c r="CI118" s="272"/>
      <c r="CJ118" s="272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  <c r="DE118" s="272"/>
      <c r="DF118" s="272"/>
      <c r="DG118" s="272"/>
      <c r="DH118" s="272"/>
      <c r="DI118" s="272"/>
      <c r="DJ118" s="272"/>
      <c r="DK118" s="272"/>
      <c r="DL118" s="272"/>
      <c r="DM118" s="272"/>
      <c r="DN118" s="272"/>
      <c r="DO118" s="272"/>
      <c r="DP118" s="272"/>
      <c r="DQ118" s="272"/>
      <c r="DR118" s="272"/>
      <c r="DS118" s="272"/>
      <c r="DT118" s="272"/>
      <c r="DU118" s="272"/>
      <c r="DV118" s="272"/>
      <c r="DW118" s="272"/>
      <c r="DX118" s="272"/>
      <c r="DY118" s="272"/>
      <c r="DZ118" s="272"/>
      <c r="EA118" s="272"/>
      <c r="EB118" s="272"/>
      <c r="EC118" s="272"/>
      <c r="ED118" s="272"/>
      <c r="EE118" s="272"/>
      <c r="EF118" s="272"/>
      <c r="EG118" s="272"/>
      <c r="EH118" s="272"/>
      <c r="EI118" s="272"/>
      <c r="EJ118" s="272"/>
      <c r="EK118" s="272"/>
      <c r="EL118" s="272"/>
      <c r="EM118" s="272"/>
      <c r="EN118" s="272"/>
      <c r="EO118" s="272"/>
      <c r="EP118" s="272"/>
      <c r="EQ118" s="272"/>
      <c r="ER118" s="272"/>
      <c r="ES118" s="272"/>
      <c r="ET118" s="272"/>
      <c r="EU118" s="272"/>
      <c r="EV118" s="272"/>
      <c r="EW118" s="272"/>
      <c r="EX118" s="272"/>
      <c r="EY118" s="272"/>
      <c r="EZ118" s="272"/>
      <c r="FA118" s="272"/>
      <c r="FB118" s="272"/>
      <c r="FC118" s="272"/>
      <c r="FD118" s="272"/>
      <c r="FE118" s="272"/>
      <c r="FF118" s="272"/>
      <c r="FG118" s="272"/>
      <c r="FH118" s="272"/>
      <c r="FI118" s="272"/>
      <c r="FJ118" s="272"/>
      <c r="FK118" s="272"/>
      <c r="FL118" s="272"/>
      <c r="FM118" s="272"/>
      <c r="FN118" s="272"/>
      <c r="FO118" s="272"/>
      <c r="FP118" s="272"/>
      <c r="FQ118" s="272"/>
      <c r="FR118" s="272"/>
      <c r="FS118" s="272"/>
      <c r="FT118" s="272"/>
      <c r="FU118" s="272"/>
      <c r="FV118" s="272"/>
      <c r="FW118" s="272"/>
      <c r="FX118" s="272"/>
      <c r="FY118" s="272"/>
      <c r="FZ118" s="272"/>
      <c r="GA118" s="272"/>
      <c r="GB118" s="272"/>
      <c r="GC118" s="272"/>
      <c r="GD118" s="272"/>
      <c r="GE118" s="272"/>
      <c r="GF118" s="272"/>
      <c r="GG118" s="272"/>
      <c r="GH118" s="272"/>
      <c r="GI118" s="272"/>
      <c r="GJ118" s="272"/>
      <c r="GK118" s="272"/>
      <c r="GL118" s="272"/>
      <c r="GM118" s="272"/>
      <c r="GN118" s="272"/>
      <c r="GO118" s="272"/>
      <c r="GP118" s="272"/>
      <c r="GQ118" s="272"/>
      <c r="GR118" s="272"/>
      <c r="GS118" s="272"/>
      <c r="GT118" s="272"/>
      <c r="GU118" s="272"/>
      <c r="GV118" s="272"/>
      <c r="GW118" s="272"/>
      <c r="GX118" s="272"/>
      <c r="GY118" s="272"/>
      <c r="GZ118" s="272"/>
      <c r="HA118" s="272"/>
      <c r="HB118" s="272"/>
      <c r="HC118" s="272"/>
      <c r="HD118" s="272"/>
      <c r="HE118" s="272"/>
      <c r="HF118" s="272"/>
      <c r="HG118" s="272"/>
      <c r="HH118" s="272"/>
      <c r="HI118" s="272"/>
      <c r="HJ118" s="272"/>
      <c r="HK118" s="272"/>
      <c r="HL118" s="272"/>
      <c r="HM118" s="272"/>
      <c r="HN118" s="272"/>
      <c r="HO118" s="272"/>
      <c r="HP118" s="272"/>
      <c r="HQ118" s="272"/>
      <c r="HR118" s="272"/>
      <c r="HS118" s="272"/>
      <c r="HT118" s="272"/>
      <c r="HU118" s="272"/>
      <c r="HV118" s="272"/>
      <c r="HW118" s="272"/>
      <c r="HX118" s="272"/>
      <c r="HY118" s="272"/>
      <c r="HZ118" s="272"/>
      <c r="IA118" s="272"/>
      <c r="IB118" s="272"/>
      <c r="IC118" s="272"/>
      <c r="ID118" s="272"/>
      <c r="IE118" s="272"/>
      <c r="IF118" s="272"/>
      <c r="IG118" s="272"/>
      <c r="IH118" s="272"/>
      <c r="II118" s="272"/>
      <c r="IJ118" s="272"/>
      <c r="IK118" s="272"/>
      <c r="IL118" s="272"/>
      <c r="IM118" s="272"/>
      <c r="IN118" s="272"/>
      <c r="IO118" s="272"/>
      <c r="IP118" s="272"/>
      <c r="IQ118" s="272"/>
      <c r="IR118" s="272"/>
    </row>
    <row r="119" spans="1:252" s="264" customFormat="1" ht="16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72"/>
      <c r="BK119" s="272"/>
      <c r="BL119" s="272"/>
      <c r="BM119" s="272"/>
      <c r="BN119" s="272"/>
      <c r="BO119" s="272"/>
      <c r="BP119" s="272"/>
      <c r="BQ119" s="272"/>
      <c r="BR119" s="272"/>
      <c r="BS119" s="272"/>
      <c r="BT119" s="272"/>
      <c r="BU119" s="272"/>
      <c r="BV119" s="272"/>
      <c r="BW119" s="272"/>
      <c r="BX119" s="272"/>
      <c r="BY119" s="272"/>
      <c r="BZ119" s="272"/>
      <c r="CA119" s="272"/>
      <c r="CB119" s="272"/>
      <c r="CC119" s="272"/>
      <c r="CD119" s="272"/>
      <c r="CE119" s="272"/>
      <c r="CF119" s="272"/>
      <c r="CG119" s="272"/>
      <c r="CH119" s="272"/>
      <c r="CI119" s="272"/>
      <c r="CJ119" s="272"/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  <c r="DE119" s="272"/>
      <c r="DF119" s="272"/>
      <c r="DG119" s="272"/>
      <c r="DH119" s="272"/>
      <c r="DI119" s="272"/>
      <c r="DJ119" s="272"/>
      <c r="DK119" s="272"/>
      <c r="DL119" s="272"/>
      <c r="DM119" s="272"/>
      <c r="DN119" s="272"/>
      <c r="DO119" s="272"/>
      <c r="DP119" s="272"/>
      <c r="DQ119" s="272"/>
      <c r="DR119" s="272"/>
      <c r="DS119" s="272"/>
      <c r="DT119" s="272"/>
      <c r="DU119" s="272"/>
      <c r="DV119" s="272"/>
      <c r="DW119" s="272"/>
      <c r="DX119" s="272"/>
      <c r="DY119" s="272"/>
      <c r="DZ119" s="272"/>
      <c r="EA119" s="272"/>
      <c r="EB119" s="272"/>
      <c r="EC119" s="272"/>
      <c r="ED119" s="272"/>
      <c r="EE119" s="272"/>
      <c r="EF119" s="272"/>
      <c r="EG119" s="272"/>
      <c r="EH119" s="272"/>
      <c r="EI119" s="272"/>
      <c r="EJ119" s="272"/>
      <c r="EK119" s="272"/>
      <c r="EL119" s="272"/>
      <c r="EM119" s="272"/>
      <c r="EN119" s="272"/>
      <c r="EO119" s="272"/>
      <c r="EP119" s="272"/>
      <c r="EQ119" s="272"/>
      <c r="ER119" s="272"/>
      <c r="ES119" s="272"/>
      <c r="ET119" s="272"/>
      <c r="EU119" s="272"/>
      <c r="EV119" s="272"/>
      <c r="EW119" s="272"/>
      <c r="EX119" s="272"/>
      <c r="EY119" s="272"/>
      <c r="EZ119" s="272"/>
      <c r="FA119" s="272"/>
      <c r="FB119" s="272"/>
      <c r="FC119" s="272"/>
      <c r="FD119" s="272"/>
      <c r="FE119" s="272"/>
      <c r="FF119" s="272"/>
      <c r="FG119" s="272"/>
      <c r="FH119" s="272"/>
      <c r="FI119" s="272"/>
      <c r="FJ119" s="272"/>
      <c r="FK119" s="272"/>
      <c r="FL119" s="272"/>
      <c r="FM119" s="272"/>
      <c r="FN119" s="272"/>
      <c r="FO119" s="272"/>
      <c r="FP119" s="272"/>
      <c r="FQ119" s="272"/>
      <c r="FR119" s="272"/>
      <c r="FS119" s="272"/>
      <c r="FT119" s="272"/>
      <c r="FU119" s="272"/>
      <c r="FV119" s="272"/>
      <c r="FW119" s="272"/>
      <c r="FX119" s="272"/>
      <c r="FY119" s="272"/>
      <c r="FZ119" s="272"/>
      <c r="GA119" s="272"/>
      <c r="GB119" s="272"/>
      <c r="GC119" s="272"/>
      <c r="GD119" s="272"/>
      <c r="GE119" s="272"/>
      <c r="GF119" s="272"/>
      <c r="GG119" s="272"/>
      <c r="GH119" s="272"/>
      <c r="GI119" s="272"/>
      <c r="GJ119" s="272"/>
      <c r="GK119" s="272"/>
      <c r="GL119" s="272"/>
      <c r="GM119" s="272"/>
      <c r="GN119" s="272"/>
      <c r="GO119" s="272"/>
      <c r="GP119" s="272"/>
      <c r="GQ119" s="272"/>
      <c r="GR119" s="272"/>
      <c r="GS119" s="272"/>
      <c r="GT119" s="272"/>
      <c r="GU119" s="272"/>
      <c r="GV119" s="272"/>
      <c r="GW119" s="272"/>
      <c r="GX119" s="272"/>
      <c r="GY119" s="272"/>
      <c r="GZ119" s="272"/>
      <c r="HA119" s="272"/>
      <c r="HB119" s="272"/>
      <c r="HC119" s="272"/>
      <c r="HD119" s="272"/>
      <c r="HE119" s="272"/>
      <c r="HF119" s="272"/>
      <c r="HG119" s="272"/>
      <c r="HH119" s="272"/>
      <c r="HI119" s="272"/>
      <c r="HJ119" s="272"/>
      <c r="HK119" s="272"/>
      <c r="HL119" s="272"/>
      <c r="HM119" s="272"/>
      <c r="HN119" s="272"/>
      <c r="HO119" s="272"/>
      <c r="HP119" s="272"/>
      <c r="HQ119" s="272"/>
      <c r="HR119" s="272"/>
      <c r="HS119" s="272"/>
      <c r="HT119" s="272"/>
      <c r="HU119" s="272"/>
      <c r="HV119" s="272"/>
      <c r="HW119" s="272"/>
      <c r="HX119" s="272"/>
      <c r="HY119" s="272"/>
      <c r="HZ119" s="272"/>
      <c r="IA119" s="272"/>
      <c r="IB119" s="272"/>
      <c r="IC119" s="272"/>
      <c r="ID119" s="272"/>
      <c r="IE119" s="272"/>
      <c r="IF119" s="272"/>
      <c r="IG119" s="272"/>
      <c r="IH119" s="272"/>
      <c r="II119" s="272"/>
      <c r="IJ119" s="272"/>
      <c r="IK119" s="272"/>
      <c r="IL119" s="272"/>
      <c r="IM119" s="272"/>
      <c r="IN119" s="272"/>
      <c r="IO119" s="272"/>
      <c r="IP119" s="272"/>
      <c r="IQ119" s="272"/>
      <c r="IR119" s="272"/>
    </row>
    <row r="120" spans="1:252" s="264" customFormat="1" ht="16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272"/>
      <c r="BH120" s="272"/>
      <c r="BI120" s="272"/>
      <c r="BJ120" s="272"/>
      <c r="BK120" s="272"/>
      <c r="BL120" s="272"/>
      <c r="BM120" s="272"/>
      <c r="BN120" s="272"/>
      <c r="BO120" s="272"/>
      <c r="BP120" s="272"/>
      <c r="BQ120" s="272"/>
      <c r="BR120" s="272"/>
      <c r="BS120" s="272"/>
      <c r="BT120" s="272"/>
      <c r="BU120" s="272"/>
      <c r="BV120" s="272"/>
      <c r="BW120" s="272"/>
      <c r="BX120" s="272"/>
      <c r="BY120" s="272"/>
      <c r="BZ120" s="272"/>
      <c r="CA120" s="272"/>
      <c r="CB120" s="272"/>
      <c r="CC120" s="272"/>
      <c r="CD120" s="272"/>
      <c r="CE120" s="272"/>
      <c r="CF120" s="272"/>
      <c r="CG120" s="272"/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2"/>
      <c r="DO120" s="272"/>
      <c r="DP120" s="272"/>
      <c r="DQ120" s="272"/>
      <c r="DR120" s="272"/>
      <c r="DS120" s="272"/>
      <c r="DT120" s="272"/>
      <c r="DU120" s="272"/>
      <c r="DV120" s="272"/>
      <c r="DW120" s="272"/>
      <c r="DX120" s="272"/>
      <c r="DY120" s="272"/>
      <c r="DZ120" s="272"/>
      <c r="EA120" s="272"/>
      <c r="EB120" s="272"/>
      <c r="EC120" s="272"/>
      <c r="ED120" s="272"/>
      <c r="EE120" s="272"/>
      <c r="EF120" s="272"/>
      <c r="EG120" s="272"/>
      <c r="EH120" s="272"/>
      <c r="EI120" s="272"/>
      <c r="EJ120" s="272"/>
      <c r="EK120" s="272"/>
      <c r="EL120" s="272"/>
      <c r="EM120" s="272"/>
      <c r="EN120" s="272"/>
      <c r="EO120" s="272"/>
      <c r="EP120" s="272"/>
      <c r="EQ120" s="272"/>
      <c r="ER120" s="272"/>
      <c r="ES120" s="272"/>
      <c r="ET120" s="272"/>
      <c r="EU120" s="272"/>
      <c r="EV120" s="272"/>
      <c r="EW120" s="272"/>
      <c r="EX120" s="272"/>
      <c r="EY120" s="272"/>
      <c r="EZ120" s="272"/>
      <c r="FA120" s="272"/>
      <c r="FB120" s="272"/>
      <c r="FC120" s="272"/>
      <c r="FD120" s="272"/>
      <c r="FE120" s="272"/>
      <c r="FF120" s="272"/>
      <c r="FG120" s="272"/>
      <c r="FH120" s="272"/>
      <c r="FI120" s="272"/>
      <c r="FJ120" s="272"/>
      <c r="FK120" s="272"/>
      <c r="FL120" s="272"/>
      <c r="FM120" s="272"/>
      <c r="FN120" s="272"/>
      <c r="FO120" s="272"/>
      <c r="FP120" s="272"/>
      <c r="FQ120" s="272"/>
      <c r="FR120" s="272"/>
      <c r="FS120" s="272"/>
      <c r="FT120" s="272"/>
      <c r="FU120" s="272"/>
      <c r="FV120" s="272"/>
      <c r="FW120" s="272"/>
      <c r="FX120" s="272"/>
      <c r="FY120" s="272"/>
      <c r="FZ120" s="272"/>
      <c r="GA120" s="272"/>
      <c r="GB120" s="272"/>
      <c r="GC120" s="272"/>
      <c r="GD120" s="272"/>
      <c r="GE120" s="272"/>
      <c r="GF120" s="272"/>
      <c r="GG120" s="272"/>
      <c r="GH120" s="272"/>
      <c r="GI120" s="272"/>
      <c r="GJ120" s="272"/>
      <c r="GK120" s="272"/>
      <c r="GL120" s="272"/>
      <c r="GM120" s="272"/>
      <c r="GN120" s="272"/>
      <c r="GO120" s="272"/>
      <c r="GP120" s="272"/>
      <c r="GQ120" s="272"/>
      <c r="GR120" s="272"/>
      <c r="GS120" s="272"/>
      <c r="GT120" s="272"/>
      <c r="GU120" s="272"/>
      <c r="GV120" s="272"/>
      <c r="GW120" s="272"/>
      <c r="GX120" s="272"/>
      <c r="GY120" s="272"/>
      <c r="GZ120" s="272"/>
      <c r="HA120" s="272"/>
      <c r="HB120" s="272"/>
      <c r="HC120" s="272"/>
      <c r="HD120" s="272"/>
      <c r="HE120" s="272"/>
      <c r="HF120" s="272"/>
      <c r="HG120" s="272"/>
      <c r="HH120" s="272"/>
      <c r="HI120" s="272"/>
      <c r="HJ120" s="272"/>
      <c r="HK120" s="272"/>
      <c r="HL120" s="272"/>
      <c r="HM120" s="272"/>
      <c r="HN120" s="272"/>
      <c r="HO120" s="272"/>
      <c r="HP120" s="272"/>
      <c r="HQ120" s="272"/>
      <c r="HR120" s="272"/>
      <c r="HS120" s="272"/>
      <c r="HT120" s="272"/>
      <c r="HU120" s="272"/>
      <c r="HV120" s="272"/>
      <c r="HW120" s="272"/>
      <c r="HX120" s="272"/>
      <c r="HY120" s="272"/>
      <c r="HZ120" s="272"/>
      <c r="IA120" s="272"/>
      <c r="IB120" s="272"/>
      <c r="IC120" s="272"/>
      <c r="ID120" s="272"/>
      <c r="IE120" s="272"/>
      <c r="IF120" s="272"/>
      <c r="IG120" s="272"/>
      <c r="IH120" s="272"/>
      <c r="II120" s="272"/>
      <c r="IJ120" s="272"/>
      <c r="IK120" s="272"/>
      <c r="IL120" s="272"/>
      <c r="IM120" s="272"/>
      <c r="IN120" s="272"/>
      <c r="IO120" s="272"/>
      <c r="IP120" s="272"/>
      <c r="IQ120" s="272"/>
      <c r="IR120" s="272"/>
    </row>
    <row r="121" spans="1:252" s="264" customFormat="1" ht="16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2"/>
      <c r="AW121" s="272"/>
      <c r="AX121" s="272"/>
      <c r="AY121" s="272"/>
      <c r="AZ121" s="272"/>
      <c r="BA121" s="272"/>
      <c r="BB121" s="272"/>
      <c r="BC121" s="272"/>
      <c r="BD121" s="272"/>
      <c r="BE121" s="272"/>
      <c r="BF121" s="272"/>
      <c r="BG121" s="272"/>
      <c r="BH121" s="272"/>
      <c r="BI121" s="272"/>
      <c r="BJ121" s="272"/>
      <c r="BK121" s="272"/>
      <c r="BL121" s="272"/>
      <c r="BM121" s="272"/>
      <c r="BN121" s="272"/>
      <c r="BO121" s="272"/>
      <c r="BP121" s="272"/>
      <c r="BQ121" s="272"/>
      <c r="BR121" s="272"/>
      <c r="BS121" s="272"/>
      <c r="BT121" s="272"/>
      <c r="BU121" s="272"/>
      <c r="BV121" s="272"/>
      <c r="BW121" s="272"/>
      <c r="BX121" s="272"/>
      <c r="BY121" s="272"/>
      <c r="BZ121" s="272"/>
      <c r="CA121" s="272"/>
      <c r="CB121" s="272"/>
      <c r="CC121" s="272"/>
      <c r="CD121" s="272"/>
      <c r="CE121" s="272"/>
      <c r="CF121" s="272"/>
      <c r="CG121" s="272"/>
      <c r="CH121" s="272"/>
      <c r="CI121" s="272"/>
      <c r="CJ121" s="272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  <c r="DE121" s="272"/>
      <c r="DF121" s="272"/>
      <c r="DG121" s="272"/>
      <c r="DH121" s="272"/>
      <c r="DI121" s="272"/>
      <c r="DJ121" s="272"/>
      <c r="DK121" s="272"/>
      <c r="DL121" s="272"/>
      <c r="DM121" s="272"/>
      <c r="DN121" s="272"/>
      <c r="DO121" s="272"/>
      <c r="DP121" s="272"/>
      <c r="DQ121" s="272"/>
      <c r="DR121" s="272"/>
      <c r="DS121" s="272"/>
      <c r="DT121" s="272"/>
      <c r="DU121" s="272"/>
      <c r="DV121" s="272"/>
      <c r="DW121" s="272"/>
      <c r="DX121" s="272"/>
      <c r="DY121" s="272"/>
      <c r="DZ121" s="272"/>
      <c r="EA121" s="272"/>
      <c r="EB121" s="272"/>
      <c r="EC121" s="272"/>
      <c r="ED121" s="272"/>
      <c r="EE121" s="272"/>
      <c r="EF121" s="272"/>
      <c r="EG121" s="272"/>
      <c r="EH121" s="272"/>
      <c r="EI121" s="272"/>
      <c r="EJ121" s="272"/>
      <c r="EK121" s="272"/>
      <c r="EL121" s="272"/>
      <c r="EM121" s="272"/>
      <c r="EN121" s="272"/>
      <c r="EO121" s="272"/>
      <c r="EP121" s="272"/>
      <c r="EQ121" s="272"/>
      <c r="ER121" s="272"/>
      <c r="ES121" s="272"/>
      <c r="ET121" s="272"/>
      <c r="EU121" s="272"/>
      <c r="EV121" s="272"/>
      <c r="EW121" s="272"/>
      <c r="EX121" s="272"/>
      <c r="EY121" s="272"/>
      <c r="EZ121" s="272"/>
      <c r="FA121" s="272"/>
      <c r="FB121" s="272"/>
      <c r="FC121" s="272"/>
      <c r="FD121" s="272"/>
      <c r="FE121" s="272"/>
      <c r="FF121" s="272"/>
      <c r="FG121" s="272"/>
      <c r="FH121" s="272"/>
      <c r="FI121" s="272"/>
      <c r="FJ121" s="272"/>
      <c r="FK121" s="272"/>
      <c r="FL121" s="272"/>
      <c r="FM121" s="272"/>
      <c r="FN121" s="272"/>
      <c r="FO121" s="272"/>
      <c r="FP121" s="272"/>
      <c r="FQ121" s="272"/>
      <c r="FR121" s="272"/>
      <c r="FS121" s="272"/>
      <c r="FT121" s="272"/>
      <c r="FU121" s="272"/>
      <c r="FV121" s="272"/>
      <c r="FW121" s="272"/>
      <c r="FX121" s="272"/>
      <c r="FY121" s="272"/>
      <c r="FZ121" s="272"/>
      <c r="GA121" s="272"/>
      <c r="GB121" s="272"/>
      <c r="GC121" s="272"/>
      <c r="GD121" s="272"/>
      <c r="GE121" s="272"/>
      <c r="GF121" s="272"/>
      <c r="GG121" s="272"/>
      <c r="GH121" s="272"/>
      <c r="GI121" s="272"/>
      <c r="GJ121" s="272"/>
      <c r="GK121" s="272"/>
      <c r="GL121" s="272"/>
      <c r="GM121" s="272"/>
      <c r="GN121" s="272"/>
      <c r="GO121" s="272"/>
      <c r="GP121" s="272"/>
      <c r="GQ121" s="272"/>
      <c r="GR121" s="272"/>
      <c r="GS121" s="272"/>
      <c r="GT121" s="272"/>
      <c r="GU121" s="272"/>
      <c r="GV121" s="272"/>
      <c r="GW121" s="272"/>
      <c r="GX121" s="272"/>
      <c r="GY121" s="272"/>
      <c r="GZ121" s="272"/>
      <c r="HA121" s="272"/>
      <c r="HB121" s="272"/>
      <c r="HC121" s="272"/>
      <c r="HD121" s="272"/>
      <c r="HE121" s="272"/>
      <c r="HF121" s="272"/>
      <c r="HG121" s="272"/>
      <c r="HH121" s="272"/>
      <c r="HI121" s="272"/>
      <c r="HJ121" s="272"/>
      <c r="HK121" s="272"/>
      <c r="HL121" s="272"/>
      <c r="HM121" s="272"/>
      <c r="HN121" s="272"/>
      <c r="HO121" s="272"/>
      <c r="HP121" s="272"/>
      <c r="HQ121" s="272"/>
      <c r="HR121" s="272"/>
      <c r="HS121" s="272"/>
      <c r="HT121" s="272"/>
      <c r="HU121" s="272"/>
      <c r="HV121" s="272"/>
      <c r="HW121" s="272"/>
      <c r="HX121" s="272"/>
      <c r="HY121" s="272"/>
      <c r="HZ121" s="272"/>
      <c r="IA121" s="272"/>
      <c r="IB121" s="272"/>
      <c r="IC121" s="272"/>
      <c r="ID121" s="272"/>
      <c r="IE121" s="272"/>
      <c r="IF121" s="272"/>
      <c r="IG121" s="272"/>
      <c r="IH121" s="272"/>
      <c r="II121" s="272"/>
      <c r="IJ121" s="272"/>
      <c r="IK121" s="272"/>
      <c r="IL121" s="272"/>
      <c r="IM121" s="272"/>
      <c r="IN121" s="272"/>
      <c r="IO121" s="272"/>
      <c r="IP121" s="272"/>
      <c r="IQ121" s="272"/>
      <c r="IR121" s="272"/>
    </row>
    <row r="122" spans="1:252" s="264" customFormat="1" ht="16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272"/>
      <c r="AT122" s="272"/>
      <c r="AU122" s="272"/>
      <c r="AV122" s="272"/>
      <c r="AW122" s="272"/>
      <c r="AX122" s="272"/>
      <c r="AY122" s="272"/>
      <c r="AZ122" s="272"/>
      <c r="BA122" s="272"/>
      <c r="BB122" s="272"/>
      <c r="BC122" s="272"/>
      <c r="BD122" s="272"/>
      <c r="BE122" s="272"/>
      <c r="BF122" s="272"/>
      <c r="BG122" s="272"/>
      <c r="BH122" s="272"/>
      <c r="BI122" s="272"/>
      <c r="BJ122" s="272"/>
      <c r="BK122" s="272"/>
      <c r="BL122" s="272"/>
      <c r="BM122" s="272"/>
      <c r="BN122" s="272"/>
      <c r="BO122" s="272"/>
      <c r="BP122" s="272"/>
      <c r="BQ122" s="272"/>
      <c r="BR122" s="272"/>
      <c r="BS122" s="272"/>
      <c r="BT122" s="272"/>
      <c r="BU122" s="272"/>
      <c r="BV122" s="272"/>
      <c r="BW122" s="272"/>
      <c r="BX122" s="272"/>
      <c r="BY122" s="272"/>
      <c r="BZ122" s="272"/>
      <c r="CA122" s="272"/>
      <c r="CB122" s="272"/>
      <c r="CC122" s="272"/>
      <c r="CD122" s="272"/>
      <c r="CE122" s="272"/>
      <c r="CF122" s="272"/>
      <c r="CG122" s="272"/>
      <c r="CH122" s="272"/>
      <c r="CI122" s="272"/>
      <c r="CJ122" s="272"/>
      <c r="CK122" s="272"/>
      <c r="CL122" s="272"/>
      <c r="CM122" s="272"/>
      <c r="CN122" s="272"/>
      <c r="CO122" s="272"/>
      <c r="CP122" s="272"/>
      <c r="CQ122" s="272"/>
      <c r="CR122" s="272"/>
      <c r="CS122" s="272"/>
      <c r="CT122" s="272"/>
      <c r="CU122" s="272"/>
      <c r="CV122" s="272"/>
      <c r="CW122" s="272"/>
      <c r="CX122" s="272"/>
      <c r="CY122" s="272"/>
      <c r="CZ122" s="272"/>
      <c r="DA122" s="272"/>
      <c r="DB122" s="272"/>
      <c r="DC122" s="272"/>
      <c r="DD122" s="272"/>
      <c r="DE122" s="272"/>
      <c r="DF122" s="272"/>
      <c r="DG122" s="272"/>
      <c r="DH122" s="272"/>
      <c r="DI122" s="272"/>
      <c r="DJ122" s="272"/>
      <c r="DK122" s="272"/>
      <c r="DL122" s="272"/>
      <c r="DM122" s="272"/>
      <c r="DN122" s="272"/>
      <c r="DO122" s="272"/>
      <c r="DP122" s="272"/>
      <c r="DQ122" s="272"/>
      <c r="DR122" s="272"/>
      <c r="DS122" s="272"/>
      <c r="DT122" s="272"/>
      <c r="DU122" s="272"/>
      <c r="DV122" s="272"/>
      <c r="DW122" s="272"/>
      <c r="DX122" s="272"/>
      <c r="DY122" s="272"/>
      <c r="DZ122" s="272"/>
      <c r="EA122" s="272"/>
      <c r="EB122" s="272"/>
      <c r="EC122" s="272"/>
      <c r="ED122" s="272"/>
      <c r="EE122" s="272"/>
      <c r="EF122" s="272"/>
      <c r="EG122" s="272"/>
      <c r="EH122" s="272"/>
      <c r="EI122" s="272"/>
      <c r="EJ122" s="272"/>
      <c r="EK122" s="272"/>
      <c r="EL122" s="272"/>
      <c r="EM122" s="272"/>
      <c r="EN122" s="272"/>
      <c r="EO122" s="272"/>
      <c r="EP122" s="272"/>
      <c r="EQ122" s="272"/>
      <c r="ER122" s="272"/>
      <c r="ES122" s="272"/>
      <c r="ET122" s="272"/>
      <c r="EU122" s="272"/>
      <c r="EV122" s="272"/>
      <c r="EW122" s="272"/>
      <c r="EX122" s="272"/>
      <c r="EY122" s="272"/>
      <c r="EZ122" s="272"/>
      <c r="FA122" s="272"/>
      <c r="FB122" s="272"/>
      <c r="FC122" s="272"/>
      <c r="FD122" s="272"/>
      <c r="FE122" s="272"/>
      <c r="FF122" s="272"/>
      <c r="FG122" s="272"/>
      <c r="FH122" s="272"/>
      <c r="FI122" s="272"/>
      <c r="FJ122" s="272"/>
      <c r="FK122" s="272"/>
      <c r="FL122" s="272"/>
      <c r="FM122" s="272"/>
      <c r="FN122" s="272"/>
      <c r="FO122" s="272"/>
      <c r="FP122" s="272"/>
      <c r="FQ122" s="272"/>
      <c r="FR122" s="272"/>
      <c r="FS122" s="272"/>
      <c r="FT122" s="272"/>
      <c r="FU122" s="272"/>
      <c r="FV122" s="272"/>
      <c r="FW122" s="272"/>
      <c r="FX122" s="272"/>
      <c r="FY122" s="272"/>
      <c r="FZ122" s="272"/>
      <c r="GA122" s="272"/>
      <c r="GB122" s="272"/>
      <c r="GC122" s="272"/>
      <c r="GD122" s="272"/>
      <c r="GE122" s="272"/>
      <c r="GF122" s="272"/>
      <c r="GG122" s="272"/>
      <c r="GH122" s="272"/>
      <c r="GI122" s="272"/>
      <c r="GJ122" s="272"/>
      <c r="GK122" s="272"/>
      <c r="GL122" s="272"/>
      <c r="GM122" s="272"/>
      <c r="GN122" s="272"/>
      <c r="GO122" s="272"/>
      <c r="GP122" s="272"/>
      <c r="GQ122" s="272"/>
      <c r="GR122" s="272"/>
      <c r="GS122" s="272"/>
      <c r="GT122" s="272"/>
      <c r="GU122" s="272"/>
      <c r="GV122" s="272"/>
      <c r="GW122" s="272"/>
      <c r="GX122" s="272"/>
      <c r="GY122" s="272"/>
      <c r="GZ122" s="272"/>
      <c r="HA122" s="272"/>
      <c r="HB122" s="272"/>
      <c r="HC122" s="272"/>
      <c r="HD122" s="272"/>
      <c r="HE122" s="272"/>
      <c r="HF122" s="272"/>
      <c r="HG122" s="272"/>
      <c r="HH122" s="272"/>
      <c r="HI122" s="272"/>
      <c r="HJ122" s="272"/>
      <c r="HK122" s="272"/>
      <c r="HL122" s="272"/>
      <c r="HM122" s="272"/>
      <c r="HN122" s="272"/>
      <c r="HO122" s="272"/>
      <c r="HP122" s="272"/>
      <c r="HQ122" s="272"/>
      <c r="HR122" s="272"/>
      <c r="HS122" s="272"/>
      <c r="HT122" s="272"/>
      <c r="HU122" s="272"/>
      <c r="HV122" s="272"/>
      <c r="HW122" s="272"/>
      <c r="HX122" s="272"/>
      <c r="HY122" s="272"/>
      <c r="HZ122" s="272"/>
      <c r="IA122" s="272"/>
      <c r="IB122" s="272"/>
      <c r="IC122" s="272"/>
      <c r="ID122" s="272"/>
      <c r="IE122" s="272"/>
      <c r="IF122" s="272"/>
      <c r="IG122" s="272"/>
      <c r="IH122" s="272"/>
      <c r="II122" s="272"/>
      <c r="IJ122" s="272"/>
      <c r="IK122" s="272"/>
      <c r="IL122" s="272"/>
      <c r="IM122" s="272"/>
      <c r="IN122" s="272"/>
      <c r="IO122" s="272"/>
      <c r="IP122" s="272"/>
      <c r="IQ122" s="272"/>
      <c r="IR122" s="272"/>
    </row>
    <row r="123" spans="1:252" s="264" customFormat="1" ht="16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272"/>
      <c r="AW123" s="272"/>
      <c r="AX123" s="272"/>
      <c r="AY123" s="272"/>
      <c r="AZ123" s="272"/>
      <c r="BA123" s="272"/>
      <c r="BB123" s="272"/>
      <c r="BC123" s="272"/>
      <c r="BD123" s="272"/>
      <c r="BE123" s="272"/>
      <c r="BF123" s="272"/>
      <c r="BG123" s="272"/>
      <c r="BH123" s="272"/>
      <c r="BI123" s="272"/>
      <c r="BJ123" s="272"/>
      <c r="BK123" s="272"/>
      <c r="BL123" s="272"/>
      <c r="BM123" s="272"/>
      <c r="BN123" s="272"/>
      <c r="BO123" s="272"/>
      <c r="BP123" s="272"/>
      <c r="BQ123" s="272"/>
      <c r="BR123" s="272"/>
      <c r="BS123" s="272"/>
      <c r="BT123" s="272"/>
      <c r="BU123" s="272"/>
      <c r="BV123" s="272"/>
      <c r="BW123" s="272"/>
      <c r="BX123" s="272"/>
      <c r="BY123" s="272"/>
      <c r="BZ123" s="272"/>
      <c r="CA123" s="272"/>
      <c r="CB123" s="272"/>
      <c r="CC123" s="272"/>
      <c r="CD123" s="272"/>
      <c r="CE123" s="272"/>
      <c r="CF123" s="272"/>
      <c r="CG123" s="272"/>
      <c r="CH123" s="272"/>
      <c r="CI123" s="272"/>
      <c r="CJ123" s="272"/>
      <c r="CK123" s="272"/>
      <c r="CL123" s="272"/>
      <c r="CM123" s="272"/>
      <c r="CN123" s="272"/>
      <c r="CO123" s="272"/>
      <c r="CP123" s="272"/>
      <c r="CQ123" s="272"/>
      <c r="CR123" s="272"/>
      <c r="CS123" s="272"/>
      <c r="CT123" s="272"/>
      <c r="CU123" s="272"/>
      <c r="CV123" s="272"/>
      <c r="CW123" s="272"/>
      <c r="CX123" s="272"/>
      <c r="CY123" s="272"/>
      <c r="CZ123" s="272"/>
      <c r="DA123" s="272"/>
      <c r="DB123" s="272"/>
      <c r="DC123" s="272"/>
      <c r="DD123" s="272"/>
      <c r="DE123" s="272"/>
      <c r="DF123" s="272"/>
      <c r="DG123" s="272"/>
      <c r="DH123" s="272"/>
      <c r="DI123" s="272"/>
      <c r="DJ123" s="272"/>
      <c r="DK123" s="272"/>
      <c r="DL123" s="272"/>
      <c r="DM123" s="272"/>
      <c r="DN123" s="272"/>
      <c r="DO123" s="272"/>
      <c r="DP123" s="272"/>
      <c r="DQ123" s="272"/>
      <c r="DR123" s="272"/>
      <c r="DS123" s="272"/>
      <c r="DT123" s="272"/>
      <c r="DU123" s="272"/>
      <c r="DV123" s="272"/>
      <c r="DW123" s="272"/>
      <c r="DX123" s="272"/>
      <c r="DY123" s="272"/>
      <c r="DZ123" s="272"/>
      <c r="EA123" s="272"/>
      <c r="EB123" s="272"/>
      <c r="EC123" s="272"/>
      <c r="ED123" s="272"/>
      <c r="EE123" s="272"/>
      <c r="EF123" s="272"/>
      <c r="EG123" s="272"/>
      <c r="EH123" s="272"/>
      <c r="EI123" s="272"/>
      <c r="EJ123" s="272"/>
      <c r="EK123" s="272"/>
      <c r="EL123" s="272"/>
      <c r="EM123" s="272"/>
      <c r="EN123" s="272"/>
      <c r="EO123" s="272"/>
      <c r="EP123" s="272"/>
      <c r="EQ123" s="272"/>
      <c r="ER123" s="272"/>
      <c r="ES123" s="272"/>
      <c r="ET123" s="272"/>
      <c r="EU123" s="272"/>
      <c r="EV123" s="272"/>
      <c r="EW123" s="272"/>
      <c r="EX123" s="272"/>
      <c r="EY123" s="272"/>
      <c r="EZ123" s="272"/>
      <c r="FA123" s="272"/>
      <c r="FB123" s="272"/>
      <c r="FC123" s="272"/>
      <c r="FD123" s="272"/>
      <c r="FE123" s="272"/>
      <c r="FF123" s="272"/>
      <c r="FG123" s="272"/>
      <c r="FH123" s="272"/>
      <c r="FI123" s="272"/>
      <c r="FJ123" s="272"/>
      <c r="FK123" s="272"/>
      <c r="FL123" s="272"/>
      <c r="FM123" s="272"/>
      <c r="FN123" s="272"/>
      <c r="FO123" s="272"/>
      <c r="FP123" s="272"/>
      <c r="FQ123" s="272"/>
      <c r="FR123" s="272"/>
      <c r="FS123" s="272"/>
      <c r="FT123" s="272"/>
      <c r="FU123" s="272"/>
      <c r="FV123" s="272"/>
      <c r="FW123" s="272"/>
      <c r="FX123" s="272"/>
      <c r="FY123" s="272"/>
      <c r="FZ123" s="272"/>
      <c r="GA123" s="272"/>
      <c r="GB123" s="272"/>
      <c r="GC123" s="272"/>
      <c r="GD123" s="272"/>
      <c r="GE123" s="272"/>
      <c r="GF123" s="272"/>
      <c r="GG123" s="272"/>
      <c r="GH123" s="272"/>
      <c r="GI123" s="272"/>
      <c r="GJ123" s="272"/>
      <c r="GK123" s="272"/>
      <c r="GL123" s="272"/>
      <c r="GM123" s="272"/>
      <c r="GN123" s="272"/>
      <c r="GO123" s="272"/>
      <c r="GP123" s="272"/>
      <c r="GQ123" s="272"/>
      <c r="GR123" s="272"/>
      <c r="GS123" s="272"/>
      <c r="GT123" s="272"/>
      <c r="GU123" s="272"/>
      <c r="GV123" s="272"/>
      <c r="GW123" s="272"/>
      <c r="GX123" s="272"/>
      <c r="GY123" s="272"/>
      <c r="GZ123" s="272"/>
      <c r="HA123" s="272"/>
      <c r="HB123" s="272"/>
      <c r="HC123" s="272"/>
      <c r="HD123" s="272"/>
      <c r="HE123" s="272"/>
      <c r="HF123" s="272"/>
      <c r="HG123" s="272"/>
      <c r="HH123" s="272"/>
      <c r="HI123" s="272"/>
      <c r="HJ123" s="272"/>
      <c r="HK123" s="272"/>
      <c r="HL123" s="272"/>
      <c r="HM123" s="272"/>
      <c r="HN123" s="272"/>
      <c r="HO123" s="272"/>
      <c r="HP123" s="272"/>
      <c r="HQ123" s="272"/>
      <c r="HR123" s="272"/>
      <c r="HS123" s="272"/>
      <c r="HT123" s="272"/>
      <c r="HU123" s="272"/>
      <c r="HV123" s="272"/>
      <c r="HW123" s="272"/>
      <c r="HX123" s="272"/>
      <c r="HY123" s="272"/>
      <c r="HZ123" s="272"/>
      <c r="IA123" s="272"/>
      <c r="IB123" s="272"/>
      <c r="IC123" s="272"/>
      <c r="ID123" s="272"/>
      <c r="IE123" s="272"/>
      <c r="IF123" s="272"/>
      <c r="IG123" s="272"/>
      <c r="IH123" s="272"/>
      <c r="II123" s="272"/>
      <c r="IJ123" s="272"/>
      <c r="IK123" s="272"/>
      <c r="IL123" s="272"/>
      <c r="IM123" s="272"/>
      <c r="IN123" s="272"/>
      <c r="IO123" s="272"/>
      <c r="IP123" s="272"/>
      <c r="IQ123" s="272"/>
      <c r="IR123" s="272"/>
    </row>
    <row r="124" spans="1:252" s="264" customFormat="1" ht="16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272"/>
      <c r="BF124" s="272"/>
      <c r="BG124" s="272"/>
      <c r="BH124" s="272"/>
      <c r="BI124" s="272"/>
      <c r="BJ124" s="272"/>
      <c r="BK124" s="272"/>
      <c r="BL124" s="272"/>
      <c r="BM124" s="272"/>
      <c r="BN124" s="272"/>
      <c r="BO124" s="272"/>
      <c r="BP124" s="272"/>
      <c r="BQ124" s="272"/>
      <c r="BR124" s="272"/>
      <c r="BS124" s="272"/>
      <c r="BT124" s="272"/>
      <c r="BU124" s="272"/>
      <c r="BV124" s="272"/>
      <c r="BW124" s="272"/>
      <c r="BX124" s="272"/>
      <c r="BY124" s="272"/>
      <c r="BZ124" s="272"/>
      <c r="CA124" s="272"/>
      <c r="CB124" s="272"/>
      <c r="CC124" s="272"/>
      <c r="CD124" s="272"/>
      <c r="CE124" s="272"/>
      <c r="CF124" s="272"/>
      <c r="CG124" s="272"/>
      <c r="CH124" s="272"/>
      <c r="CI124" s="272"/>
      <c r="CJ124" s="272"/>
      <c r="CK124" s="272"/>
      <c r="CL124" s="272"/>
      <c r="CM124" s="272"/>
      <c r="CN124" s="272"/>
      <c r="CO124" s="272"/>
      <c r="CP124" s="272"/>
      <c r="CQ124" s="272"/>
      <c r="CR124" s="272"/>
      <c r="CS124" s="272"/>
      <c r="CT124" s="272"/>
      <c r="CU124" s="272"/>
      <c r="CV124" s="272"/>
      <c r="CW124" s="272"/>
      <c r="CX124" s="272"/>
      <c r="CY124" s="272"/>
      <c r="CZ124" s="272"/>
      <c r="DA124" s="272"/>
      <c r="DB124" s="272"/>
      <c r="DC124" s="272"/>
      <c r="DD124" s="272"/>
      <c r="DE124" s="272"/>
      <c r="DF124" s="272"/>
      <c r="DG124" s="272"/>
      <c r="DH124" s="272"/>
      <c r="DI124" s="272"/>
      <c r="DJ124" s="272"/>
      <c r="DK124" s="272"/>
      <c r="DL124" s="272"/>
      <c r="DM124" s="272"/>
      <c r="DN124" s="272"/>
      <c r="DO124" s="272"/>
      <c r="DP124" s="272"/>
      <c r="DQ124" s="272"/>
      <c r="DR124" s="272"/>
      <c r="DS124" s="272"/>
      <c r="DT124" s="272"/>
      <c r="DU124" s="272"/>
      <c r="DV124" s="272"/>
      <c r="DW124" s="272"/>
      <c r="DX124" s="272"/>
      <c r="DY124" s="272"/>
      <c r="DZ124" s="272"/>
      <c r="EA124" s="272"/>
      <c r="EB124" s="272"/>
      <c r="EC124" s="272"/>
      <c r="ED124" s="272"/>
      <c r="EE124" s="272"/>
      <c r="EF124" s="272"/>
      <c r="EG124" s="272"/>
      <c r="EH124" s="272"/>
      <c r="EI124" s="272"/>
      <c r="EJ124" s="272"/>
      <c r="EK124" s="272"/>
      <c r="EL124" s="272"/>
      <c r="EM124" s="272"/>
      <c r="EN124" s="272"/>
      <c r="EO124" s="272"/>
      <c r="EP124" s="272"/>
      <c r="EQ124" s="272"/>
      <c r="ER124" s="272"/>
      <c r="ES124" s="272"/>
      <c r="ET124" s="272"/>
      <c r="EU124" s="272"/>
      <c r="EV124" s="272"/>
      <c r="EW124" s="272"/>
      <c r="EX124" s="272"/>
      <c r="EY124" s="272"/>
      <c r="EZ124" s="272"/>
      <c r="FA124" s="272"/>
      <c r="FB124" s="272"/>
      <c r="FC124" s="272"/>
      <c r="FD124" s="272"/>
      <c r="FE124" s="272"/>
      <c r="FF124" s="272"/>
      <c r="FG124" s="272"/>
      <c r="FH124" s="272"/>
      <c r="FI124" s="272"/>
      <c r="FJ124" s="272"/>
      <c r="FK124" s="272"/>
      <c r="FL124" s="272"/>
      <c r="FM124" s="272"/>
      <c r="FN124" s="272"/>
      <c r="FO124" s="272"/>
      <c r="FP124" s="272"/>
      <c r="FQ124" s="272"/>
      <c r="FR124" s="272"/>
      <c r="FS124" s="272"/>
      <c r="FT124" s="272"/>
      <c r="FU124" s="272"/>
      <c r="FV124" s="272"/>
      <c r="FW124" s="272"/>
      <c r="FX124" s="272"/>
      <c r="FY124" s="272"/>
      <c r="FZ124" s="272"/>
      <c r="GA124" s="272"/>
      <c r="GB124" s="272"/>
      <c r="GC124" s="272"/>
      <c r="GD124" s="272"/>
      <c r="GE124" s="272"/>
      <c r="GF124" s="272"/>
      <c r="GG124" s="272"/>
      <c r="GH124" s="272"/>
      <c r="GI124" s="272"/>
      <c r="GJ124" s="272"/>
      <c r="GK124" s="272"/>
      <c r="GL124" s="272"/>
      <c r="GM124" s="272"/>
      <c r="GN124" s="272"/>
      <c r="GO124" s="272"/>
      <c r="GP124" s="272"/>
      <c r="GQ124" s="272"/>
      <c r="GR124" s="272"/>
      <c r="GS124" s="272"/>
      <c r="GT124" s="272"/>
      <c r="GU124" s="272"/>
      <c r="GV124" s="272"/>
      <c r="GW124" s="272"/>
      <c r="GX124" s="272"/>
      <c r="GY124" s="272"/>
      <c r="GZ124" s="272"/>
      <c r="HA124" s="272"/>
      <c r="HB124" s="272"/>
      <c r="HC124" s="272"/>
      <c r="HD124" s="272"/>
      <c r="HE124" s="272"/>
      <c r="HF124" s="272"/>
      <c r="HG124" s="272"/>
      <c r="HH124" s="272"/>
      <c r="HI124" s="272"/>
      <c r="HJ124" s="272"/>
      <c r="HK124" s="272"/>
      <c r="HL124" s="272"/>
      <c r="HM124" s="272"/>
      <c r="HN124" s="272"/>
      <c r="HO124" s="272"/>
      <c r="HP124" s="272"/>
      <c r="HQ124" s="272"/>
      <c r="HR124" s="272"/>
      <c r="HS124" s="272"/>
      <c r="HT124" s="272"/>
      <c r="HU124" s="272"/>
      <c r="HV124" s="272"/>
      <c r="HW124" s="272"/>
      <c r="HX124" s="272"/>
      <c r="HY124" s="272"/>
      <c r="HZ124" s="272"/>
      <c r="IA124" s="272"/>
      <c r="IB124" s="272"/>
      <c r="IC124" s="272"/>
      <c r="ID124" s="272"/>
      <c r="IE124" s="272"/>
      <c r="IF124" s="272"/>
      <c r="IG124" s="272"/>
      <c r="IH124" s="272"/>
      <c r="II124" s="272"/>
      <c r="IJ124" s="272"/>
      <c r="IK124" s="272"/>
      <c r="IL124" s="272"/>
      <c r="IM124" s="272"/>
      <c r="IN124" s="272"/>
      <c r="IO124" s="272"/>
      <c r="IP124" s="272"/>
      <c r="IQ124" s="272"/>
      <c r="IR124" s="272"/>
    </row>
    <row r="125" spans="1:252" s="264" customFormat="1" ht="16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/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72"/>
      <c r="BX125" s="272"/>
      <c r="BY125" s="272"/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2"/>
      <c r="CN125" s="272"/>
      <c r="CO125" s="272"/>
      <c r="CP125" s="272"/>
      <c r="CQ125" s="272"/>
      <c r="CR125" s="272"/>
      <c r="CS125" s="272"/>
      <c r="CT125" s="272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  <c r="DE125" s="272"/>
      <c r="DF125" s="272"/>
      <c r="DG125" s="272"/>
      <c r="DH125" s="272"/>
      <c r="DI125" s="272"/>
      <c r="DJ125" s="272"/>
      <c r="DK125" s="272"/>
      <c r="DL125" s="272"/>
      <c r="DM125" s="272"/>
      <c r="DN125" s="272"/>
      <c r="DO125" s="272"/>
      <c r="DP125" s="272"/>
      <c r="DQ125" s="272"/>
      <c r="DR125" s="272"/>
      <c r="DS125" s="272"/>
      <c r="DT125" s="272"/>
      <c r="DU125" s="272"/>
      <c r="DV125" s="272"/>
      <c r="DW125" s="272"/>
      <c r="DX125" s="272"/>
      <c r="DY125" s="272"/>
      <c r="DZ125" s="272"/>
      <c r="EA125" s="272"/>
      <c r="EB125" s="272"/>
      <c r="EC125" s="272"/>
      <c r="ED125" s="272"/>
      <c r="EE125" s="272"/>
      <c r="EF125" s="272"/>
      <c r="EG125" s="272"/>
      <c r="EH125" s="272"/>
      <c r="EI125" s="272"/>
      <c r="EJ125" s="272"/>
      <c r="EK125" s="272"/>
      <c r="EL125" s="272"/>
      <c r="EM125" s="272"/>
      <c r="EN125" s="272"/>
      <c r="EO125" s="272"/>
      <c r="EP125" s="272"/>
      <c r="EQ125" s="272"/>
      <c r="ER125" s="272"/>
      <c r="ES125" s="272"/>
      <c r="ET125" s="272"/>
      <c r="EU125" s="272"/>
      <c r="EV125" s="272"/>
      <c r="EW125" s="272"/>
      <c r="EX125" s="272"/>
      <c r="EY125" s="272"/>
      <c r="EZ125" s="272"/>
      <c r="FA125" s="272"/>
      <c r="FB125" s="272"/>
      <c r="FC125" s="272"/>
      <c r="FD125" s="272"/>
      <c r="FE125" s="272"/>
      <c r="FF125" s="272"/>
      <c r="FG125" s="272"/>
      <c r="FH125" s="272"/>
      <c r="FI125" s="272"/>
      <c r="FJ125" s="272"/>
      <c r="FK125" s="272"/>
      <c r="FL125" s="272"/>
      <c r="FM125" s="272"/>
      <c r="FN125" s="272"/>
      <c r="FO125" s="272"/>
      <c r="FP125" s="272"/>
      <c r="FQ125" s="272"/>
      <c r="FR125" s="272"/>
      <c r="FS125" s="272"/>
      <c r="FT125" s="272"/>
      <c r="FU125" s="272"/>
      <c r="FV125" s="272"/>
      <c r="FW125" s="272"/>
      <c r="FX125" s="272"/>
      <c r="FY125" s="272"/>
      <c r="FZ125" s="272"/>
      <c r="GA125" s="272"/>
      <c r="GB125" s="272"/>
      <c r="GC125" s="272"/>
      <c r="GD125" s="272"/>
      <c r="GE125" s="272"/>
      <c r="GF125" s="272"/>
      <c r="GG125" s="272"/>
      <c r="GH125" s="272"/>
      <c r="GI125" s="272"/>
      <c r="GJ125" s="272"/>
      <c r="GK125" s="272"/>
      <c r="GL125" s="272"/>
      <c r="GM125" s="272"/>
      <c r="GN125" s="272"/>
      <c r="GO125" s="272"/>
      <c r="GP125" s="272"/>
      <c r="GQ125" s="272"/>
      <c r="GR125" s="272"/>
      <c r="GS125" s="272"/>
      <c r="GT125" s="272"/>
      <c r="GU125" s="272"/>
      <c r="GV125" s="272"/>
      <c r="GW125" s="272"/>
      <c r="GX125" s="272"/>
      <c r="GY125" s="272"/>
      <c r="GZ125" s="272"/>
      <c r="HA125" s="272"/>
      <c r="HB125" s="272"/>
      <c r="HC125" s="272"/>
      <c r="HD125" s="272"/>
      <c r="HE125" s="272"/>
      <c r="HF125" s="272"/>
      <c r="HG125" s="272"/>
      <c r="HH125" s="272"/>
      <c r="HI125" s="272"/>
      <c r="HJ125" s="272"/>
      <c r="HK125" s="272"/>
      <c r="HL125" s="272"/>
      <c r="HM125" s="272"/>
      <c r="HN125" s="272"/>
      <c r="HO125" s="272"/>
      <c r="HP125" s="272"/>
      <c r="HQ125" s="272"/>
      <c r="HR125" s="272"/>
      <c r="HS125" s="272"/>
      <c r="HT125" s="272"/>
      <c r="HU125" s="272"/>
      <c r="HV125" s="272"/>
      <c r="HW125" s="272"/>
      <c r="HX125" s="272"/>
      <c r="HY125" s="272"/>
      <c r="HZ125" s="272"/>
      <c r="IA125" s="272"/>
      <c r="IB125" s="272"/>
      <c r="IC125" s="272"/>
      <c r="ID125" s="272"/>
      <c r="IE125" s="272"/>
      <c r="IF125" s="272"/>
      <c r="IG125" s="272"/>
      <c r="IH125" s="272"/>
      <c r="II125" s="272"/>
      <c r="IJ125" s="272"/>
      <c r="IK125" s="272"/>
      <c r="IL125" s="272"/>
      <c r="IM125" s="272"/>
      <c r="IN125" s="272"/>
      <c r="IO125" s="272"/>
      <c r="IP125" s="272"/>
      <c r="IQ125" s="272"/>
      <c r="IR125" s="272"/>
    </row>
    <row r="126" spans="1:252" s="264" customFormat="1" ht="16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72"/>
      <c r="BH126" s="272"/>
      <c r="BI126" s="272"/>
      <c r="BJ126" s="272"/>
      <c r="BK126" s="272"/>
      <c r="BL126" s="272"/>
      <c r="BM126" s="272"/>
      <c r="BN126" s="272"/>
      <c r="BO126" s="272"/>
      <c r="BP126" s="272"/>
      <c r="BQ126" s="272"/>
      <c r="BR126" s="272"/>
      <c r="BS126" s="272"/>
      <c r="BT126" s="272"/>
      <c r="BU126" s="272"/>
      <c r="BV126" s="272"/>
      <c r="BW126" s="272"/>
      <c r="BX126" s="272"/>
      <c r="BY126" s="272"/>
      <c r="BZ126" s="272"/>
      <c r="CA126" s="272"/>
      <c r="CB126" s="272"/>
      <c r="CC126" s="272"/>
      <c r="CD126" s="272"/>
      <c r="CE126" s="272"/>
      <c r="CF126" s="272"/>
      <c r="CG126" s="272"/>
      <c r="CH126" s="272"/>
      <c r="CI126" s="272"/>
      <c r="CJ126" s="272"/>
      <c r="CK126" s="272"/>
      <c r="CL126" s="272"/>
      <c r="CM126" s="272"/>
      <c r="CN126" s="272"/>
      <c r="CO126" s="272"/>
      <c r="CP126" s="272"/>
      <c r="CQ126" s="272"/>
      <c r="CR126" s="272"/>
      <c r="CS126" s="272"/>
      <c r="CT126" s="272"/>
      <c r="CU126" s="272"/>
      <c r="CV126" s="272"/>
      <c r="CW126" s="272"/>
      <c r="CX126" s="272"/>
      <c r="CY126" s="272"/>
      <c r="CZ126" s="272"/>
      <c r="DA126" s="272"/>
      <c r="DB126" s="272"/>
      <c r="DC126" s="272"/>
      <c r="DD126" s="272"/>
      <c r="DE126" s="272"/>
      <c r="DF126" s="272"/>
      <c r="DG126" s="272"/>
      <c r="DH126" s="272"/>
      <c r="DI126" s="272"/>
      <c r="DJ126" s="272"/>
      <c r="DK126" s="272"/>
      <c r="DL126" s="272"/>
      <c r="DM126" s="272"/>
      <c r="DN126" s="272"/>
      <c r="DO126" s="272"/>
      <c r="DP126" s="272"/>
      <c r="DQ126" s="272"/>
      <c r="DR126" s="272"/>
      <c r="DS126" s="272"/>
      <c r="DT126" s="272"/>
      <c r="DU126" s="272"/>
      <c r="DV126" s="272"/>
      <c r="DW126" s="272"/>
      <c r="DX126" s="272"/>
      <c r="DY126" s="272"/>
      <c r="DZ126" s="272"/>
      <c r="EA126" s="272"/>
      <c r="EB126" s="272"/>
      <c r="EC126" s="272"/>
      <c r="ED126" s="272"/>
      <c r="EE126" s="272"/>
      <c r="EF126" s="272"/>
      <c r="EG126" s="272"/>
      <c r="EH126" s="272"/>
      <c r="EI126" s="272"/>
      <c r="EJ126" s="272"/>
      <c r="EK126" s="272"/>
      <c r="EL126" s="272"/>
      <c r="EM126" s="272"/>
      <c r="EN126" s="272"/>
      <c r="EO126" s="272"/>
      <c r="EP126" s="272"/>
      <c r="EQ126" s="272"/>
      <c r="ER126" s="272"/>
      <c r="ES126" s="272"/>
      <c r="ET126" s="272"/>
      <c r="EU126" s="272"/>
      <c r="EV126" s="272"/>
      <c r="EW126" s="272"/>
      <c r="EX126" s="272"/>
      <c r="EY126" s="272"/>
      <c r="EZ126" s="272"/>
      <c r="FA126" s="272"/>
      <c r="FB126" s="272"/>
      <c r="FC126" s="272"/>
      <c r="FD126" s="272"/>
      <c r="FE126" s="272"/>
      <c r="FF126" s="272"/>
      <c r="FG126" s="272"/>
      <c r="FH126" s="272"/>
      <c r="FI126" s="272"/>
      <c r="FJ126" s="272"/>
      <c r="FK126" s="272"/>
      <c r="FL126" s="272"/>
      <c r="FM126" s="272"/>
      <c r="FN126" s="272"/>
      <c r="FO126" s="272"/>
      <c r="FP126" s="272"/>
      <c r="FQ126" s="272"/>
      <c r="FR126" s="272"/>
      <c r="FS126" s="272"/>
      <c r="FT126" s="272"/>
      <c r="FU126" s="272"/>
      <c r="FV126" s="272"/>
      <c r="FW126" s="272"/>
      <c r="FX126" s="272"/>
      <c r="FY126" s="272"/>
      <c r="FZ126" s="272"/>
      <c r="GA126" s="272"/>
      <c r="GB126" s="272"/>
      <c r="GC126" s="272"/>
      <c r="GD126" s="272"/>
      <c r="GE126" s="272"/>
      <c r="GF126" s="272"/>
      <c r="GG126" s="272"/>
      <c r="GH126" s="272"/>
      <c r="GI126" s="272"/>
      <c r="GJ126" s="272"/>
      <c r="GK126" s="272"/>
      <c r="GL126" s="272"/>
      <c r="GM126" s="272"/>
      <c r="GN126" s="272"/>
      <c r="GO126" s="272"/>
      <c r="GP126" s="272"/>
      <c r="GQ126" s="272"/>
      <c r="GR126" s="272"/>
      <c r="GS126" s="272"/>
      <c r="GT126" s="272"/>
      <c r="GU126" s="272"/>
      <c r="GV126" s="272"/>
      <c r="GW126" s="272"/>
      <c r="GX126" s="272"/>
      <c r="GY126" s="272"/>
      <c r="GZ126" s="272"/>
      <c r="HA126" s="272"/>
      <c r="HB126" s="272"/>
      <c r="HC126" s="272"/>
      <c r="HD126" s="272"/>
      <c r="HE126" s="272"/>
      <c r="HF126" s="272"/>
      <c r="HG126" s="272"/>
      <c r="HH126" s="272"/>
      <c r="HI126" s="272"/>
      <c r="HJ126" s="272"/>
      <c r="HK126" s="272"/>
      <c r="HL126" s="272"/>
      <c r="HM126" s="272"/>
      <c r="HN126" s="272"/>
      <c r="HO126" s="272"/>
      <c r="HP126" s="272"/>
      <c r="HQ126" s="272"/>
      <c r="HR126" s="272"/>
      <c r="HS126" s="272"/>
      <c r="HT126" s="272"/>
      <c r="HU126" s="272"/>
      <c r="HV126" s="272"/>
      <c r="HW126" s="272"/>
      <c r="HX126" s="272"/>
      <c r="HY126" s="272"/>
      <c r="HZ126" s="272"/>
      <c r="IA126" s="272"/>
      <c r="IB126" s="272"/>
      <c r="IC126" s="272"/>
      <c r="ID126" s="272"/>
      <c r="IE126" s="272"/>
      <c r="IF126" s="272"/>
      <c r="IG126" s="272"/>
      <c r="IH126" s="272"/>
      <c r="II126" s="272"/>
      <c r="IJ126" s="272"/>
      <c r="IK126" s="272"/>
      <c r="IL126" s="272"/>
      <c r="IM126" s="272"/>
      <c r="IN126" s="272"/>
      <c r="IO126" s="272"/>
      <c r="IP126" s="272"/>
      <c r="IQ126" s="272"/>
      <c r="IR126" s="272"/>
    </row>
  </sheetData>
  <sheetProtection/>
  <mergeCells count="37">
    <mergeCell ref="E11:G11"/>
    <mergeCell ref="A1:B1"/>
    <mergeCell ref="A2:G2"/>
    <mergeCell ref="A3:G3"/>
    <mergeCell ref="C4:D4"/>
    <mergeCell ref="E4:G4"/>
    <mergeCell ref="E1:G1"/>
    <mergeCell ref="F18:G18"/>
    <mergeCell ref="E12:G12"/>
    <mergeCell ref="E13:G13"/>
    <mergeCell ref="E5:G5"/>
    <mergeCell ref="E14:G14"/>
    <mergeCell ref="C10:D10"/>
    <mergeCell ref="C11:D11"/>
    <mergeCell ref="C12:D12"/>
    <mergeCell ref="C13:D13"/>
    <mergeCell ref="E6:G6"/>
    <mergeCell ref="C5:D5"/>
    <mergeCell ref="C6:D6"/>
    <mergeCell ref="C7:D7"/>
    <mergeCell ref="C8:D8"/>
    <mergeCell ref="C9:D9"/>
    <mergeCell ref="A15:E15"/>
    <mergeCell ref="E7:G7"/>
    <mergeCell ref="E8:G8"/>
    <mergeCell ref="E9:G9"/>
    <mergeCell ref="E10:G10"/>
    <mergeCell ref="A14:D14"/>
    <mergeCell ref="A21:C21"/>
    <mergeCell ref="E21:G21"/>
    <mergeCell ref="A23:C23"/>
    <mergeCell ref="B24:G24"/>
    <mergeCell ref="B25:G25"/>
    <mergeCell ref="A16:E16"/>
    <mergeCell ref="F16:G16"/>
    <mergeCell ref="A17:E17"/>
    <mergeCell ref="A18:E18"/>
  </mergeCells>
  <printOptions/>
  <pageMargins left="0.7" right="0.59" top="0.31" bottom="0.35433070866141736" header="0.2362204724409449" footer="0.15748031496062992"/>
  <pageSetup horizontalDpi="1200" verticalDpi="12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00"/>
  </sheetPr>
  <dimension ref="A1:BY164"/>
  <sheetViews>
    <sheetView view="pageBreakPreview" zoomScale="110" zoomScaleNormal="85" zoomScaleSheetLayoutView="110" workbookViewId="0" topLeftCell="A1">
      <pane xSplit="1" ySplit="6" topLeftCell="B61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B2" sqref="B2:M2"/>
    </sheetView>
  </sheetViews>
  <sheetFormatPr defaultColWidth="9.140625" defaultRowHeight="12.75"/>
  <cols>
    <col min="1" max="1" width="3.28125" style="5" customWidth="1"/>
    <col min="2" max="2" width="39.421875" style="5" customWidth="1"/>
    <col min="3" max="3" width="8.57421875" style="300" customWidth="1"/>
    <col min="4" max="4" width="8.28125" style="5" customWidth="1"/>
    <col min="5" max="5" width="8.421875" style="5" customWidth="1"/>
    <col min="6" max="6" width="9.7109375" style="5" customWidth="1"/>
    <col min="7" max="7" width="8.7109375" style="5" customWidth="1"/>
    <col min="8" max="8" width="10.8515625" style="5" bestFit="1" customWidth="1"/>
    <col min="9" max="9" width="8.57421875" style="5" customWidth="1"/>
    <col min="10" max="10" width="10.8515625" style="5" bestFit="1" customWidth="1"/>
    <col min="11" max="11" width="7.7109375" style="5" customWidth="1"/>
    <col min="12" max="12" width="10.7109375" style="5" customWidth="1"/>
    <col min="13" max="13" width="12.28125" style="5" customWidth="1"/>
    <col min="14" max="14" width="16.00390625" style="5" bestFit="1" customWidth="1"/>
    <col min="15" max="16384" width="9.140625" style="5" customWidth="1"/>
  </cols>
  <sheetData>
    <row r="1" spans="1:13" s="21" customFormat="1" ht="19.5" customHeight="1">
      <c r="A1" s="439"/>
      <c r="B1" s="439"/>
      <c r="C1" s="440"/>
      <c r="D1" s="439"/>
      <c r="E1" s="439"/>
      <c r="F1" s="439"/>
      <c r="G1" s="439"/>
      <c r="H1" s="439"/>
      <c r="I1" s="439"/>
      <c r="J1" s="562" t="s">
        <v>480</v>
      </c>
      <c r="K1" s="562"/>
      <c r="L1" s="562"/>
      <c r="M1" s="562"/>
    </row>
    <row r="2" spans="1:13" s="21" customFormat="1" ht="21" customHeight="1">
      <c r="A2" s="20"/>
      <c r="B2" s="550" t="s">
        <v>478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3" s="21" customFormat="1" ht="16.5" thickBot="1">
      <c r="A3" s="563" t="s">
        <v>481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4" spans="1:13" s="21" customFormat="1" ht="11.25">
      <c r="A4" s="570" t="s">
        <v>1</v>
      </c>
      <c r="B4" s="564" t="s">
        <v>3</v>
      </c>
      <c r="C4" s="564" t="s">
        <v>2</v>
      </c>
      <c r="D4" s="564" t="s">
        <v>4</v>
      </c>
      <c r="E4" s="564" t="s">
        <v>13</v>
      </c>
      <c r="F4" s="564" t="s">
        <v>5</v>
      </c>
      <c r="G4" s="569" t="s">
        <v>19</v>
      </c>
      <c r="H4" s="569"/>
      <c r="I4" s="569" t="s">
        <v>6</v>
      </c>
      <c r="J4" s="569"/>
      <c r="K4" s="564" t="s">
        <v>7</v>
      </c>
      <c r="L4" s="564"/>
      <c r="M4" s="428" t="s">
        <v>8</v>
      </c>
    </row>
    <row r="5" spans="1:13" s="21" customFormat="1" ht="11.25">
      <c r="A5" s="571"/>
      <c r="B5" s="565"/>
      <c r="C5" s="565"/>
      <c r="D5" s="565"/>
      <c r="E5" s="565"/>
      <c r="F5" s="565"/>
      <c r="G5" s="17" t="s">
        <v>9</v>
      </c>
      <c r="H5" s="22" t="s">
        <v>10</v>
      </c>
      <c r="I5" s="17" t="s">
        <v>9</v>
      </c>
      <c r="J5" s="22" t="s">
        <v>10</v>
      </c>
      <c r="K5" s="17" t="s">
        <v>9</v>
      </c>
      <c r="L5" s="22" t="s">
        <v>11</v>
      </c>
      <c r="M5" s="429" t="s">
        <v>12</v>
      </c>
    </row>
    <row r="6" spans="1:13" s="21" customFormat="1" ht="12" thickBot="1">
      <c r="A6" s="430">
        <v>1</v>
      </c>
      <c r="B6" s="431">
        <v>2</v>
      </c>
      <c r="C6" s="431">
        <v>3</v>
      </c>
      <c r="D6" s="431">
        <v>4</v>
      </c>
      <c r="E6" s="431">
        <v>5</v>
      </c>
      <c r="F6" s="431">
        <v>6</v>
      </c>
      <c r="G6" s="432">
        <v>7</v>
      </c>
      <c r="H6" s="433">
        <v>8</v>
      </c>
      <c r="I6" s="432">
        <v>9</v>
      </c>
      <c r="J6" s="433">
        <v>10</v>
      </c>
      <c r="K6" s="432">
        <v>11</v>
      </c>
      <c r="L6" s="433">
        <v>12</v>
      </c>
      <c r="M6" s="434">
        <v>13</v>
      </c>
    </row>
    <row r="7" spans="1:14" s="2" customFormat="1" ht="15.75" customHeight="1">
      <c r="A7" s="566" t="s">
        <v>178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8"/>
      <c r="N7" s="13"/>
    </row>
    <row r="8" spans="1:14" s="33" customFormat="1" ht="40.5">
      <c r="A8" s="27">
        <v>1</v>
      </c>
      <c r="B8" s="143" t="s">
        <v>54</v>
      </c>
      <c r="C8" s="294" t="s">
        <v>53</v>
      </c>
      <c r="D8" s="27" t="s">
        <v>23</v>
      </c>
      <c r="E8" s="27"/>
      <c r="F8" s="27">
        <v>1468</v>
      </c>
      <c r="G8" s="27"/>
      <c r="H8" s="27"/>
      <c r="I8" s="27"/>
      <c r="J8" s="27"/>
      <c r="K8" s="27"/>
      <c r="L8" s="27"/>
      <c r="M8" s="27"/>
      <c r="N8" s="32"/>
    </row>
    <row r="9" spans="1:13" s="24" customFormat="1" ht="13.5">
      <c r="A9" s="78"/>
      <c r="B9" s="79" t="s">
        <v>14</v>
      </c>
      <c r="C9" s="80"/>
      <c r="D9" s="81" t="s">
        <v>15</v>
      </c>
      <c r="E9" s="46">
        <f>27/1000</f>
        <v>0.027</v>
      </c>
      <c r="F9" s="82">
        <f>E9*F8</f>
        <v>39.636</v>
      </c>
      <c r="G9" s="81"/>
      <c r="H9" s="76"/>
      <c r="I9" s="81"/>
      <c r="J9" s="47"/>
      <c r="K9" s="81"/>
      <c r="L9" s="53"/>
      <c r="M9" s="47"/>
    </row>
    <row r="10" spans="1:13" s="24" customFormat="1" ht="13.5">
      <c r="A10" s="78"/>
      <c r="B10" s="79" t="s">
        <v>33</v>
      </c>
      <c r="C10" s="83"/>
      <c r="D10" s="49" t="s">
        <v>32</v>
      </c>
      <c r="E10" s="46">
        <f>60.5/1000</f>
        <v>0.0605</v>
      </c>
      <c r="F10" s="47">
        <f>E10*F8</f>
        <v>88.814</v>
      </c>
      <c r="G10" s="46"/>
      <c r="H10" s="47"/>
      <c r="I10" s="46"/>
      <c r="J10" s="47"/>
      <c r="K10" s="11"/>
      <c r="L10" s="53"/>
      <c r="M10" s="47"/>
    </row>
    <row r="11" spans="1:14" s="33" customFormat="1" ht="27">
      <c r="A11" s="27">
        <v>2</v>
      </c>
      <c r="B11" s="143" t="s">
        <v>55</v>
      </c>
      <c r="C11" s="294" t="s">
        <v>56</v>
      </c>
      <c r="D11" s="27" t="s">
        <v>23</v>
      </c>
      <c r="E11" s="27"/>
      <c r="F11" s="27">
        <v>164</v>
      </c>
      <c r="G11" s="27"/>
      <c r="H11" s="27"/>
      <c r="I11" s="27"/>
      <c r="J11" s="27"/>
      <c r="K11" s="27"/>
      <c r="L11" s="27"/>
      <c r="M11" s="27"/>
      <c r="N11" s="32"/>
    </row>
    <row r="12" spans="1:13" s="13" customFormat="1" ht="13.5">
      <c r="A12" s="49"/>
      <c r="B12" s="44" t="s">
        <v>14</v>
      </c>
      <c r="C12" s="45"/>
      <c r="D12" s="46" t="s">
        <v>15</v>
      </c>
      <c r="E12" s="46">
        <f>299/100</f>
        <v>2.99</v>
      </c>
      <c r="F12" s="47">
        <f>F11*E12</f>
        <v>490.36</v>
      </c>
      <c r="G12" s="46"/>
      <c r="H12" s="47"/>
      <c r="I12" s="46"/>
      <c r="J12" s="47"/>
      <c r="K12" s="46"/>
      <c r="L12" s="47"/>
      <c r="M12" s="47"/>
    </row>
    <row r="13" spans="1:14" s="232" customFormat="1" ht="33.75">
      <c r="A13" s="27">
        <v>3</v>
      </c>
      <c r="B13" s="144" t="s">
        <v>123</v>
      </c>
      <c r="C13" s="294" t="s">
        <v>122</v>
      </c>
      <c r="D13" s="28" t="s">
        <v>48</v>
      </c>
      <c r="E13" s="29"/>
      <c r="F13" s="27">
        <f>F11*1.95</f>
        <v>319.8</v>
      </c>
      <c r="G13" s="28"/>
      <c r="H13" s="230"/>
      <c r="I13" s="28"/>
      <c r="J13" s="231"/>
      <c r="K13" s="28"/>
      <c r="L13" s="230"/>
      <c r="M13" s="231"/>
      <c r="N13" s="96"/>
    </row>
    <row r="14" spans="1:13" s="233" customFormat="1" ht="13.5">
      <c r="A14" s="18"/>
      <c r="B14" s="150" t="s">
        <v>62</v>
      </c>
      <c r="C14" s="69"/>
      <c r="D14" s="38" t="s">
        <v>15</v>
      </c>
      <c r="E14" s="70">
        <v>0.67</v>
      </c>
      <c r="F14" s="70">
        <f>F13*E14</f>
        <v>214.26600000000002</v>
      </c>
      <c r="G14" s="69"/>
      <c r="H14" s="102"/>
      <c r="I14" s="69"/>
      <c r="J14" s="102"/>
      <c r="K14" s="69"/>
      <c r="L14" s="69"/>
      <c r="M14" s="102"/>
    </row>
    <row r="15" spans="1:24" s="23" customFormat="1" ht="27">
      <c r="A15" s="92">
        <v>4</v>
      </c>
      <c r="B15" s="143" t="s">
        <v>83</v>
      </c>
      <c r="C15" s="294" t="s">
        <v>63</v>
      </c>
      <c r="D15" s="27" t="s">
        <v>48</v>
      </c>
      <c r="E15" s="27"/>
      <c r="F15" s="27">
        <f>1563*1.95</f>
        <v>3047.85</v>
      </c>
      <c r="G15" s="27"/>
      <c r="H15" s="27"/>
      <c r="I15" s="27"/>
      <c r="J15" s="27"/>
      <c r="K15" s="27"/>
      <c r="L15" s="151"/>
      <c r="M15" s="151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13" s="13" customFormat="1" ht="27">
      <c r="A16" s="92">
        <v>5</v>
      </c>
      <c r="B16" s="143" t="s">
        <v>85</v>
      </c>
      <c r="C16" s="294" t="s">
        <v>60</v>
      </c>
      <c r="D16" s="27" t="s">
        <v>23</v>
      </c>
      <c r="E16" s="27"/>
      <c r="F16" s="27">
        <v>3</v>
      </c>
      <c r="G16" s="243"/>
      <c r="H16" s="27"/>
      <c r="I16" s="27"/>
      <c r="J16" s="27"/>
      <c r="K16" s="27"/>
      <c r="L16" s="27"/>
      <c r="M16" s="27"/>
    </row>
    <row r="17" spans="1:14" s="33" customFormat="1" ht="13.5">
      <c r="A17" s="43"/>
      <c r="B17" s="44" t="s">
        <v>14</v>
      </c>
      <c r="C17" s="49"/>
      <c r="D17" s="89" t="s">
        <v>15</v>
      </c>
      <c r="E17" s="89">
        <v>0.89</v>
      </c>
      <c r="F17" s="149">
        <f>F16*E17</f>
        <v>2.67</v>
      </c>
      <c r="G17" s="89"/>
      <c r="H17" s="89"/>
      <c r="I17" s="46"/>
      <c r="J17" s="47"/>
      <c r="K17" s="46"/>
      <c r="L17" s="47"/>
      <c r="M17" s="47"/>
      <c r="N17" s="32"/>
    </row>
    <row r="18" spans="1:13" s="13" customFormat="1" ht="13.5">
      <c r="A18" s="43"/>
      <c r="B18" s="44" t="s">
        <v>25</v>
      </c>
      <c r="C18" s="49"/>
      <c r="D18" s="89" t="s">
        <v>0</v>
      </c>
      <c r="E18" s="89">
        <v>0.37</v>
      </c>
      <c r="F18" s="149">
        <f>E18*F16</f>
        <v>1.1099999999999999</v>
      </c>
      <c r="G18" s="89"/>
      <c r="H18" s="89"/>
      <c r="I18" s="46"/>
      <c r="J18" s="47"/>
      <c r="K18" s="46"/>
      <c r="L18" s="47"/>
      <c r="M18" s="47"/>
    </row>
    <row r="19" spans="1:13" s="13" customFormat="1" ht="13.5">
      <c r="A19" s="51"/>
      <c r="B19" s="49" t="s">
        <v>16</v>
      </c>
      <c r="C19" s="87"/>
      <c r="D19" s="89"/>
      <c r="E19" s="89"/>
      <c r="F19" s="149"/>
      <c r="G19" s="89"/>
      <c r="H19" s="89"/>
      <c r="I19" s="46"/>
      <c r="J19" s="53"/>
      <c r="K19" s="54"/>
      <c r="L19" s="53"/>
      <c r="M19" s="53"/>
    </row>
    <row r="20" spans="1:13" s="13" customFormat="1" ht="13.5">
      <c r="A20" s="51"/>
      <c r="B20" s="56" t="s">
        <v>61</v>
      </c>
      <c r="C20" s="87"/>
      <c r="D20" s="89" t="s">
        <v>23</v>
      </c>
      <c r="E20" s="89">
        <v>1.15</v>
      </c>
      <c r="F20" s="149">
        <f>E20*F16</f>
        <v>3.4499999999999997</v>
      </c>
      <c r="G20" s="147"/>
      <c r="H20" s="149"/>
      <c r="I20" s="46"/>
      <c r="J20" s="53"/>
      <c r="K20" s="54"/>
      <c r="L20" s="53"/>
      <c r="M20" s="53"/>
    </row>
    <row r="21" spans="1:13" s="13" customFormat="1" ht="13.5">
      <c r="A21" s="51"/>
      <c r="B21" s="44" t="s">
        <v>20</v>
      </c>
      <c r="C21" s="87"/>
      <c r="D21" s="89" t="s">
        <v>0</v>
      </c>
      <c r="E21" s="89">
        <v>0.02</v>
      </c>
      <c r="F21" s="149">
        <f>E21*F16</f>
        <v>0.06</v>
      </c>
      <c r="G21" s="89"/>
      <c r="H21" s="149"/>
      <c r="I21" s="46"/>
      <c r="J21" s="53"/>
      <c r="K21" s="54"/>
      <c r="L21" s="53"/>
      <c r="M21" s="53"/>
    </row>
    <row r="22" spans="1:14" s="33" customFormat="1" ht="27">
      <c r="A22" s="27">
        <v>6</v>
      </c>
      <c r="B22" s="143" t="s">
        <v>133</v>
      </c>
      <c r="C22" s="294" t="s">
        <v>29</v>
      </c>
      <c r="D22" s="27" t="s">
        <v>23</v>
      </c>
      <c r="E22" s="27"/>
      <c r="F22" s="27">
        <v>580</v>
      </c>
      <c r="G22" s="27"/>
      <c r="H22" s="27"/>
      <c r="I22" s="27"/>
      <c r="J22" s="27"/>
      <c r="K22" s="27"/>
      <c r="L22" s="27"/>
      <c r="M22" s="27"/>
      <c r="N22" s="66"/>
    </row>
    <row r="23" spans="1:14" s="33" customFormat="1" ht="14.25" customHeight="1">
      <c r="A23" s="84"/>
      <c r="B23" s="85" t="s">
        <v>24</v>
      </c>
      <c r="C23" s="49"/>
      <c r="D23" s="46" t="s">
        <v>15</v>
      </c>
      <c r="E23" s="49">
        <f>18/10</f>
        <v>1.8</v>
      </c>
      <c r="F23" s="53">
        <f>E23*F22</f>
        <v>1044</v>
      </c>
      <c r="G23" s="49"/>
      <c r="H23" s="53"/>
      <c r="I23" s="61"/>
      <c r="J23" s="53"/>
      <c r="K23" s="49"/>
      <c r="L23" s="49"/>
      <c r="M23" s="53"/>
      <c r="N23" s="32"/>
    </row>
    <row r="24" spans="1:14" s="33" customFormat="1" ht="14.25" customHeight="1">
      <c r="A24" s="86"/>
      <c r="B24" s="49" t="s">
        <v>16</v>
      </c>
      <c r="C24" s="87"/>
      <c r="D24" s="49"/>
      <c r="E24" s="49"/>
      <c r="F24" s="53"/>
      <c r="G24" s="49"/>
      <c r="H24" s="53"/>
      <c r="I24" s="54"/>
      <c r="J24" s="53"/>
      <c r="K24" s="54"/>
      <c r="L24" s="53"/>
      <c r="M24" s="53"/>
      <c r="N24" s="32"/>
    </row>
    <row r="25" spans="1:14" s="33" customFormat="1" ht="14.25" customHeight="1">
      <c r="A25" s="86"/>
      <c r="B25" s="85" t="s">
        <v>30</v>
      </c>
      <c r="C25" s="88"/>
      <c r="D25" s="46" t="s">
        <v>35</v>
      </c>
      <c r="E25" s="61">
        <v>1.1</v>
      </c>
      <c r="F25" s="49">
        <f>E25*F22</f>
        <v>638</v>
      </c>
      <c r="G25" s="147"/>
      <c r="H25" s="89"/>
      <c r="I25" s="90"/>
      <c r="J25" s="91"/>
      <c r="K25" s="89"/>
      <c r="L25" s="89"/>
      <c r="M25" s="53"/>
      <c r="N25" s="32"/>
    </row>
    <row r="26" spans="1:13" s="48" customFormat="1" ht="27">
      <c r="A26" s="92">
        <v>7</v>
      </c>
      <c r="B26" s="144" t="s">
        <v>57</v>
      </c>
      <c r="C26" s="294" t="s">
        <v>46</v>
      </c>
      <c r="D26" s="27" t="s">
        <v>23</v>
      </c>
      <c r="E26" s="27"/>
      <c r="F26" s="27">
        <v>970</v>
      </c>
      <c r="G26" s="27"/>
      <c r="H26" s="27"/>
      <c r="I26" s="27"/>
      <c r="J26" s="27"/>
      <c r="K26" s="27"/>
      <c r="L26" s="27"/>
      <c r="M26" s="27"/>
    </row>
    <row r="27" spans="1:13" s="48" customFormat="1" ht="13.5">
      <c r="A27" s="121"/>
      <c r="B27" s="16" t="s">
        <v>58</v>
      </c>
      <c r="C27" s="121"/>
      <c r="D27" s="8" t="s">
        <v>47</v>
      </c>
      <c r="E27" s="11">
        <f>9.21/1000</f>
        <v>0.009210000000000001</v>
      </c>
      <c r="F27" s="122">
        <f>E27*F26</f>
        <v>8.933700000000002</v>
      </c>
      <c r="G27" s="8"/>
      <c r="H27" s="8"/>
      <c r="I27" s="8"/>
      <c r="J27" s="8"/>
      <c r="K27" s="8"/>
      <c r="L27" s="14"/>
      <c r="M27" s="14"/>
    </row>
    <row r="28" spans="1:13" s="55" customFormat="1" ht="15.75">
      <c r="A28" s="19"/>
      <c r="B28" s="8" t="s">
        <v>16</v>
      </c>
      <c r="C28" s="146"/>
      <c r="D28" s="8"/>
      <c r="E28" s="8"/>
      <c r="F28" s="14"/>
      <c r="G28" s="8"/>
      <c r="H28" s="14"/>
      <c r="I28" s="11"/>
      <c r="J28" s="14"/>
      <c r="K28" s="15"/>
      <c r="L28" s="14"/>
      <c r="M28" s="14"/>
    </row>
    <row r="29" spans="1:13" s="55" customFormat="1" ht="15.75">
      <c r="A29" s="18"/>
      <c r="B29" s="16" t="s">
        <v>59</v>
      </c>
      <c r="C29" s="121"/>
      <c r="D29" s="11" t="s">
        <v>35</v>
      </c>
      <c r="E29" s="8">
        <v>1.1</v>
      </c>
      <c r="F29" s="8">
        <f>E29*F26</f>
        <v>1067</v>
      </c>
      <c r="G29" s="147"/>
      <c r="H29" s="147"/>
      <c r="I29" s="148"/>
      <c r="J29" s="38"/>
      <c r="K29" s="147"/>
      <c r="L29" s="147"/>
      <c r="M29" s="14"/>
    </row>
    <row r="30" spans="1:13" s="48" customFormat="1" ht="54">
      <c r="A30" s="92">
        <v>8</v>
      </c>
      <c r="B30" s="144" t="s">
        <v>180</v>
      </c>
      <c r="C30" s="294" t="s">
        <v>46</v>
      </c>
      <c r="D30" s="27" t="s">
        <v>23</v>
      </c>
      <c r="E30" s="27"/>
      <c r="F30" s="27">
        <v>68</v>
      </c>
      <c r="G30" s="27"/>
      <c r="H30" s="27"/>
      <c r="I30" s="27"/>
      <c r="J30" s="27"/>
      <c r="K30" s="27"/>
      <c r="L30" s="27"/>
      <c r="M30" s="27"/>
    </row>
    <row r="31" spans="1:13" s="48" customFormat="1" ht="13.5">
      <c r="A31" s="121"/>
      <c r="B31" s="16" t="s">
        <v>58</v>
      </c>
      <c r="C31" s="121"/>
      <c r="D31" s="8" t="s">
        <v>47</v>
      </c>
      <c r="E31" s="11">
        <f>9.21/1000</f>
        <v>0.009210000000000001</v>
      </c>
      <c r="F31" s="122">
        <f>E31*F30</f>
        <v>0.6262800000000001</v>
      </c>
      <c r="G31" s="8"/>
      <c r="H31" s="8"/>
      <c r="I31" s="8"/>
      <c r="J31" s="8"/>
      <c r="K31" s="8"/>
      <c r="L31" s="14"/>
      <c r="M31" s="14"/>
    </row>
    <row r="32" spans="1:13" s="55" customFormat="1" ht="15.75">
      <c r="A32" s="19"/>
      <c r="B32" s="8" t="s">
        <v>16</v>
      </c>
      <c r="C32" s="146"/>
      <c r="D32" s="8"/>
      <c r="E32" s="8"/>
      <c r="F32" s="14"/>
      <c r="G32" s="8"/>
      <c r="H32" s="14"/>
      <c r="I32" s="11"/>
      <c r="J32" s="14"/>
      <c r="K32" s="15"/>
      <c r="L32" s="14"/>
      <c r="M32" s="14"/>
    </row>
    <row r="33" spans="1:13" s="55" customFormat="1" ht="15.75">
      <c r="A33" s="18"/>
      <c r="B33" s="16" t="s">
        <v>179</v>
      </c>
      <c r="C33" s="121"/>
      <c r="D33" s="11" t="s">
        <v>35</v>
      </c>
      <c r="E33" s="8">
        <v>1.1</v>
      </c>
      <c r="F33" s="8">
        <f>E33*F30</f>
        <v>74.80000000000001</v>
      </c>
      <c r="G33" s="147"/>
      <c r="H33" s="147"/>
      <c r="I33" s="148"/>
      <c r="J33" s="38"/>
      <c r="K33" s="147"/>
      <c r="L33" s="147"/>
      <c r="M33" s="14"/>
    </row>
    <row r="34" spans="1:13" s="55" customFormat="1" ht="39.75" customHeight="1">
      <c r="A34" s="27">
        <v>9</v>
      </c>
      <c r="B34" s="143" t="s">
        <v>207</v>
      </c>
      <c r="C34" s="294" t="s">
        <v>92</v>
      </c>
      <c r="D34" s="27" t="s">
        <v>17</v>
      </c>
      <c r="E34" s="27"/>
      <c r="F34" s="27">
        <v>2700</v>
      </c>
      <c r="G34" s="27"/>
      <c r="H34" s="27"/>
      <c r="I34" s="27"/>
      <c r="J34" s="27"/>
      <c r="K34" s="27"/>
      <c r="L34" s="27"/>
      <c r="M34" s="27"/>
    </row>
    <row r="35" spans="1:13" s="55" customFormat="1" ht="15.75">
      <c r="A35" s="43"/>
      <c r="B35" s="44" t="s">
        <v>14</v>
      </c>
      <c r="C35" s="182"/>
      <c r="D35" s="46" t="s">
        <v>15</v>
      </c>
      <c r="E35" s="46">
        <f>105/1000</f>
        <v>0.105</v>
      </c>
      <c r="F35" s="47">
        <f>F34*E35</f>
        <v>283.5</v>
      </c>
      <c r="G35" s="46"/>
      <c r="H35" s="47"/>
      <c r="I35" s="46"/>
      <c r="J35" s="47"/>
      <c r="K35" s="46"/>
      <c r="L35" s="47"/>
      <c r="M35" s="47"/>
    </row>
    <row r="36" spans="1:13" s="55" customFormat="1" ht="15.75">
      <c r="A36" s="43"/>
      <c r="B36" s="44" t="s">
        <v>25</v>
      </c>
      <c r="C36" s="57"/>
      <c r="D36" s="49" t="s">
        <v>0</v>
      </c>
      <c r="E36" s="46">
        <f>53.8/1000</f>
        <v>0.0538</v>
      </c>
      <c r="F36" s="50">
        <f>E36*F34</f>
        <v>145.26</v>
      </c>
      <c r="G36" s="46"/>
      <c r="H36" s="47"/>
      <c r="I36" s="46"/>
      <c r="J36" s="47"/>
      <c r="K36" s="46"/>
      <c r="L36" s="47"/>
      <c r="M36" s="47"/>
    </row>
    <row r="37" spans="1:13" s="55" customFormat="1" ht="15.75">
      <c r="A37" s="51"/>
      <c r="B37" s="49" t="s">
        <v>16</v>
      </c>
      <c r="C37" s="58"/>
      <c r="D37" s="49"/>
      <c r="E37" s="49"/>
      <c r="F37" s="53"/>
      <c r="G37" s="49"/>
      <c r="H37" s="53"/>
      <c r="I37" s="46"/>
      <c r="J37" s="53"/>
      <c r="K37" s="54"/>
      <c r="L37" s="53"/>
      <c r="M37" s="53"/>
    </row>
    <row r="38" spans="1:13" s="55" customFormat="1" ht="15.75">
      <c r="A38" s="51"/>
      <c r="B38" s="56" t="s">
        <v>177</v>
      </c>
      <c r="C38" s="58"/>
      <c r="D38" s="49" t="s">
        <v>17</v>
      </c>
      <c r="E38" s="49">
        <v>1.01</v>
      </c>
      <c r="F38" s="53">
        <f>E38*F34</f>
        <v>2727</v>
      </c>
      <c r="G38" s="14"/>
      <c r="H38" s="53"/>
      <c r="I38" s="46"/>
      <c r="J38" s="53"/>
      <c r="K38" s="54"/>
      <c r="L38" s="53"/>
      <c r="M38" s="53"/>
    </row>
    <row r="39" spans="1:13" s="55" customFormat="1" ht="15.75">
      <c r="A39" s="51"/>
      <c r="B39" s="44" t="s">
        <v>20</v>
      </c>
      <c r="C39" s="58"/>
      <c r="D39" s="49" t="s">
        <v>0</v>
      </c>
      <c r="E39" s="49">
        <f>1.2/1000</f>
        <v>0.0012</v>
      </c>
      <c r="F39" s="59">
        <f>E39*F34</f>
        <v>3.2399999999999998</v>
      </c>
      <c r="G39" s="8"/>
      <c r="H39" s="59"/>
      <c r="I39" s="46"/>
      <c r="J39" s="53"/>
      <c r="K39" s="54"/>
      <c r="L39" s="53"/>
      <c r="M39" s="59"/>
    </row>
    <row r="40" spans="1:13" s="55" customFormat="1" ht="39.75" customHeight="1">
      <c r="A40" s="27">
        <v>10</v>
      </c>
      <c r="B40" s="143" t="s">
        <v>90</v>
      </c>
      <c r="C40" s="294" t="s">
        <v>66</v>
      </c>
      <c r="D40" s="27" t="s">
        <v>17</v>
      </c>
      <c r="E40" s="27"/>
      <c r="F40" s="27">
        <v>30</v>
      </c>
      <c r="G40" s="27"/>
      <c r="H40" s="27"/>
      <c r="I40" s="27"/>
      <c r="J40" s="27"/>
      <c r="K40" s="27"/>
      <c r="L40" s="27"/>
      <c r="M40" s="27"/>
    </row>
    <row r="41" spans="1:13" s="55" customFormat="1" ht="15.75">
      <c r="A41" s="43"/>
      <c r="B41" s="44" t="s">
        <v>14</v>
      </c>
      <c r="C41" s="57"/>
      <c r="D41" s="46" t="s">
        <v>15</v>
      </c>
      <c r="E41" s="46">
        <f>95.9/1000</f>
        <v>0.0959</v>
      </c>
      <c r="F41" s="47">
        <f>F40*E41</f>
        <v>2.877</v>
      </c>
      <c r="G41" s="46"/>
      <c r="H41" s="47"/>
      <c r="I41" s="46"/>
      <c r="J41" s="47"/>
      <c r="K41" s="46"/>
      <c r="L41" s="47"/>
      <c r="M41" s="47"/>
    </row>
    <row r="42" spans="1:13" s="55" customFormat="1" ht="15.75">
      <c r="A42" s="43"/>
      <c r="B42" s="44" t="s">
        <v>25</v>
      </c>
      <c r="C42" s="57"/>
      <c r="D42" s="49" t="s">
        <v>0</v>
      </c>
      <c r="E42" s="46">
        <f>45.2/1000</f>
        <v>0.045200000000000004</v>
      </c>
      <c r="F42" s="50">
        <f>E42*F40</f>
        <v>1.356</v>
      </c>
      <c r="G42" s="46"/>
      <c r="H42" s="47"/>
      <c r="I42" s="46"/>
      <c r="J42" s="47"/>
      <c r="K42" s="46"/>
      <c r="L42" s="47"/>
      <c r="M42" s="47"/>
    </row>
    <row r="43" spans="1:13" s="55" customFormat="1" ht="15.75">
      <c r="A43" s="51"/>
      <c r="B43" s="49" t="s">
        <v>16</v>
      </c>
      <c r="C43" s="58"/>
      <c r="D43" s="49"/>
      <c r="E43" s="49"/>
      <c r="F43" s="53"/>
      <c r="G43" s="49"/>
      <c r="H43" s="53"/>
      <c r="I43" s="46"/>
      <c r="J43" s="53"/>
      <c r="K43" s="54"/>
      <c r="L43" s="53"/>
      <c r="M43" s="53"/>
    </row>
    <row r="44" spans="1:13" s="55" customFormat="1" ht="15.75">
      <c r="A44" s="51"/>
      <c r="B44" s="56" t="s">
        <v>91</v>
      </c>
      <c r="C44" s="58"/>
      <c r="D44" s="49" t="s">
        <v>17</v>
      </c>
      <c r="E44" s="49">
        <v>1.01</v>
      </c>
      <c r="F44" s="53">
        <f>E44*F40</f>
        <v>30.3</v>
      </c>
      <c r="G44" s="14"/>
      <c r="H44" s="53"/>
      <c r="I44" s="46"/>
      <c r="J44" s="53"/>
      <c r="K44" s="54"/>
      <c r="L44" s="53"/>
      <c r="M44" s="53"/>
    </row>
    <row r="45" spans="1:13" s="55" customFormat="1" ht="15.75">
      <c r="A45" s="51"/>
      <c r="B45" s="44" t="s">
        <v>20</v>
      </c>
      <c r="C45" s="58"/>
      <c r="D45" s="49" t="s">
        <v>0</v>
      </c>
      <c r="E45" s="49">
        <f>0.6/1000</f>
        <v>0.0006</v>
      </c>
      <c r="F45" s="59">
        <f>E45*F40</f>
        <v>0.018</v>
      </c>
      <c r="G45" s="8"/>
      <c r="H45" s="59"/>
      <c r="I45" s="46"/>
      <c r="J45" s="53"/>
      <c r="K45" s="54"/>
      <c r="L45" s="53"/>
      <c r="M45" s="59"/>
    </row>
    <row r="46" spans="1:14" s="33" customFormat="1" ht="27">
      <c r="A46" s="27">
        <v>11</v>
      </c>
      <c r="B46" s="143" t="s">
        <v>93</v>
      </c>
      <c r="C46" s="294" t="s">
        <v>181</v>
      </c>
      <c r="D46" s="27" t="s">
        <v>17</v>
      </c>
      <c r="E46" s="27"/>
      <c r="F46" s="27">
        <f>(F34+F40)</f>
        <v>2730</v>
      </c>
      <c r="G46" s="27"/>
      <c r="H46" s="27"/>
      <c r="I46" s="27"/>
      <c r="J46" s="27"/>
      <c r="K46" s="27"/>
      <c r="L46" s="27"/>
      <c r="M46" s="27"/>
      <c r="N46" s="32"/>
    </row>
    <row r="47" spans="1:18" s="25" customFormat="1" ht="13.5">
      <c r="A47" s="43"/>
      <c r="B47" s="44" t="s">
        <v>14</v>
      </c>
      <c r="C47" s="45"/>
      <c r="D47" s="46" t="s">
        <v>15</v>
      </c>
      <c r="E47" s="46">
        <f>56.7/1000</f>
        <v>0.0567</v>
      </c>
      <c r="F47" s="47">
        <f>F46*E47</f>
        <v>154.791</v>
      </c>
      <c r="G47" s="46"/>
      <c r="H47" s="47"/>
      <c r="I47" s="46"/>
      <c r="J47" s="47"/>
      <c r="K47" s="46"/>
      <c r="L47" s="47"/>
      <c r="M47" s="47"/>
      <c r="N47" s="114"/>
      <c r="O47" s="113"/>
      <c r="P47" s="113"/>
      <c r="Q47" s="113"/>
      <c r="R47" s="114"/>
    </row>
    <row r="48" spans="1:18" s="25" customFormat="1" ht="13.5">
      <c r="A48" s="51"/>
      <c r="B48" s="49" t="s">
        <v>16</v>
      </c>
      <c r="C48" s="52"/>
      <c r="D48" s="49"/>
      <c r="E48" s="49"/>
      <c r="F48" s="53"/>
      <c r="G48" s="49"/>
      <c r="H48" s="53"/>
      <c r="I48" s="46"/>
      <c r="J48" s="53"/>
      <c r="K48" s="54"/>
      <c r="L48" s="53"/>
      <c r="M48" s="53"/>
      <c r="N48" s="114"/>
      <c r="O48" s="113"/>
      <c r="P48" s="113"/>
      <c r="Q48" s="113"/>
      <c r="R48" s="114"/>
    </row>
    <row r="49" spans="1:77" s="39" customFormat="1" ht="15.75">
      <c r="A49" s="51"/>
      <c r="B49" s="56" t="s">
        <v>37</v>
      </c>
      <c r="C49" s="52"/>
      <c r="D49" s="49" t="s">
        <v>23</v>
      </c>
      <c r="E49" s="49">
        <f>31.1/1000</f>
        <v>0.031100000000000003</v>
      </c>
      <c r="F49" s="53">
        <f>E49*F46</f>
        <v>84.903</v>
      </c>
      <c r="G49" s="14"/>
      <c r="H49" s="53"/>
      <c r="I49" s="46"/>
      <c r="J49" s="53"/>
      <c r="K49" s="54"/>
      <c r="L49" s="53"/>
      <c r="M49" s="53"/>
      <c r="N49" s="73"/>
      <c r="O49" s="40"/>
      <c r="P49" s="41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</row>
    <row r="50" spans="1:18" s="25" customFormat="1" ht="13.5">
      <c r="A50" s="51"/>
      <c r="B50" s="44" t="s">
        <v>20</v>
      </c>
      <c r="C50" s="52"/>
      <c r="D50" s="49" t="s">
        <v>0</v>
      </c>
      <c r="E50" s="49">
        <f>0.06/1000</f>
        <v>5.9999999999999995E-05</v>
      </c>
      <c r="F50" s="53">
        <f>E50*F46</f>
        <v>0.16379999999999997</v>
      </c>
      <c r="G50" s="49"/>
      <c r="H50" s="53"/>
      <c r="I50" s="46"/>
      <c r="J50" s="53"/>
      <c r="K50" s="54"/>
      <c r="L50" s="53"/>
      <c r="M50" s="53"/>
      <c r="N50" s="114"/>
      <c r="O50" s="113"/>
      <c r="P50" s="113"/>
      <c r="Q50" s="113"/>
      <c r="R50" s="114"/>
    </row>
    <row r="51" spans="1:13" s="55" customFormat="1" ht="36.75" customHeight="1">
      <c r="A51" s="27">
        <v>12</v>
      </c>
      <c r="B51" s="143" t="s">
        <v>38</v>
      </c>
      <c r="C51" s="294" t="s">
        <v>39</v>
      </c>
      <c r="D51" s="27" t="s">
        <v>40</v>
      </c>
      <c r="E51" s="27"/>
      <c r="F51" s="27">
        <f>F46/100</f>
        <v>27.3</v>
      </c>
      <c r="G51" s="27"/>
      <c r="H51" s="27"/>
      <c r="I51" s="27"/>
      <c r="J51" s="27"/>
      <c r="K51" s="27"/>
      <c r="L51" s="27"/>
      <c r="M51" s="27"/>
    </row>
    <row r="52" spans="1:14" s="33" customFormat="1" ht="13.5">
      <c r="A52" s="67"/>
      <c r="B52" s="68" t="s">
        <v>41</v>
      </c>
      <c r="C52" s="69"/>
      <c r="D52" s="38" t="s">
        <v>15</v>
      </c>
      <c r="E52" s="70">
        <v>2</v>
      </c>
      <c r="F52" s="70">
        <f>F51*E52</f>
        <v>54.6</v>
      </c>
      <c r="G52" s="70"/>
      <c r="H52" s="70"/>
      <c r="I52" s="148"/>
      <c r="J52" s="70"/>
      <c r="K52" s="70"/>
      <c r="L52" s="70"/>
      <c r="M52" s="70"/>
      <c r="N52" s="32"/>
    </row>
    <row r="53" spans="1:24" s="39" customFormat="1" ht="15.75">
      <c r="A53" s="67"/>
      <c r="B53" s="38" t="s">
        <v>42</v>
      </c>
      <c r="C53" s="69"/>
      <c r="D53" s="38"/>
      <c r="E53" s="70"/>
      <c r="F53" s="70"/>
      <c r="G53" s="70"/>
      <c r="H53" s="70"/>
      <c r="I53" s="70"/>
      <c r="J53" s="70"/>
      <c r="K53" s="70"/>
      <c r="L53" s="70"/>
      <c r="M53" s="70"/>
      <c r="N53" s="73"/>
      <c r="O53" s="40"/>
      <c r="P53" s="41"/>
      <c r="Q53" s="42"/>
      <c r="R53" s="42"/>
      <c r="S53" s="42"/>
      <c r="T53" s="42"/>
      <c r="U53" s="42"/>
      <c r="V53" s="42"/>
      <c r="W53" s="42"/>
      <c r="X53" s="74"/>
    </row>
    <row r="54" spans="1:24" s="62" customFormat="1" ht="15.75">
      <c r="A54" s="71"/>
      <c r="B54" s="9" t="s">
        <v>43</v>
      </c>
      <c r="C54" s="60"/>
      <c r="D54" s="11" t="s">
        <v>17</v>
      </c>
      <c r="E54" s="70">
        <v>100</v>
      </c>
      <c r="F54" s="12">
        <f>E54*F51</f>
        <v>2730</v>
      </c>
      <c r="G54" s="11"/>
      <c r="H54" s="12"/>
      <c r="I54" s="11"/>
      <c r="J54" s="11"/>
      <c r="K54" s="11"/>
      <c r="L54" s="11"/>
      <c r="M54" s="11"/>
      <c r="N54" s="73"/>
      <c r="O54" s="63"/>
      <c r="P54" s="64"/>
      <c r="Q54" s="65"/>
      <c r="R54" s="65"/>
      <c r="S54" s="65"/>
      <c r="T54" s="65"/>
      <c r="U54" s="65"/>
      <c r="V54" s="65"/>
      <c r="W54" s="65"/>
      <c r="X54" s="75"/>
    </row>
    <row r="55" spans="1:24" s="39" customFormat="1" ht="15.75">
      <c r="A55" s="67"/>
      <c r="B55" s="68" t="s">
        <v>44</v>
      </c>
      <c r="C55" s="69"/>
      <c r="D55" s="38" t="s">
        <v>0</v>
      </c>
      <c r="E55" s="70">
        <v>0.12</v>
      </c>
      <c r="F55" s="70">
        <f>E55*F51</f>
        <v>3.276</v>
      </c>
      <c r="G55" s="70"/>
      <c r="H55" s="70"/>
      <c r="I55" s="70"/>
      <c r="J55" s="70"/>
      <c r="K55" s="70"/>
      <c r="L55" s="70"/>
      <c r="M55" s="70"/>
      <c r="N55" s="73"/>
      <c r="O55" s="40"/>
      <c r="P55" s="41"/>
      <c r="Q55" s="42"/>
      <c r="R55" s="42"/>
      <c r="S55" s="42"/>
      <c r="T55" s="42"/>
      <c r="U55" s="42"/>
      <c r="V55" s="42"/>
      <c r="W55" s="42"/>
      <c r="X55" s="74"/>
    </row>
    <row r="56" spans="1:13" s="55" customFormat="1" ht="39.75" customHeight="1">
      <c r="A56" s="27">
        <v>13</v>
      </c>
      <c r="B56" s="143" t="s">
        <v>187</v>
      </c>
      <c r="C56" s="294" t="s">
        <v>143</v>
      </c>
      <c r="D56" s="27" t="s">
        <v>17</v>
      </c>
      <c r="E56" s="27"/>
      <c r="F56" s="27">
        <v>14</v>
      </c>
      <c r="G56" s="27"/>
      <c r="H56" s="27"/>
      <c r="I56" s="27"/>
      <c r="J56" s="27"/>
      <c r="K56" s="27"/>
      <c r="L56" s="27"/>
      <c r="M56" s="27"/>
    </row>
    <row r="57" spans="1:13" s="55" customFormat="1" ht="15.75">
      <c r="A57" s="43"/>
      <c r="B57" s="44" t="s">
        <v>14</v>
      </c>
      <c r="C57" s="57"/>
      <c r="D57" s="46" t="s">
        <v>15</v>
      </c>
      <c r="E57" s="46">
        <f>426/1000</f>
        <v>0.426</v>
      </c>
      <c r="F57" s="47">
        <f>F56*E57</f>
        <v>5.9639999999999995</v>
      </c>
      <c r="G57" s="46"/>
      <c r="H57" s="47"/>
      <c r="I57" s="46"/>
      <c r="J57" s="47"/>
      <c r="K57" s="46"/>
      <c r="L57" s="47"/>
      <c r="M57" s="47"/>
    </row>
    <row r="58" spans="1:13" s="55" customFormat="1" ht="15.75">
      <c r="A58" s="43"/>
      <c r="B58" s="44" t="s">
        <v>25</v>
      </c>
      <c r="C58" s="57"/>
      <c r="D58" s="49" t="s">
        <v>0</v>
      </c>
      <c r="E58" s="46">
        <f>217/1000</f>
        <v>0.217</v>
      </c>
      <c r="F58" s="50">
        <f>E58*F56</f>
        <v>3.038</v>
      </c>
      <c r="G58" s="46"/>
      <c r="H58" s="47"/>
      <c r="I58" s="46"/>
      <c r="J58" s="47"/>
      <c r="K58" s="46"/>
      <c r="L58" s="47"/>
      <c r="M58" s="47"/>
    </row>
    <row r="59" spans="1:13" s="55" customFormat="1" ht="15.75">
      <c r="A59" s="51"/>
      <c r="B59" s="49" t="s">
        <v>16</v>
      </c>
      <c r="C59" s="58"/>
      <c r="D59" s="49"/>
      <c r="E59" s="49"/>
      <c r="F59" s="53"/>
      <c r="G59" s="49"/>
      <c r="H59" s="53"/>
      <c r="I59" s="46"/>
      <c r="J59" s="53"/>
      <c r="K59" s="54"/>
      <c r="L59" s="53"/>
      <c r="M59" s="53"/>
    </row>
    <row r="60" spans="1:13" s="55" customFormat="1" ht="15.75">
      <c r="A60" s="51"/>
      <c r="B60" s="56" t="s">
        <v>142</v>
      </c>
      <c r="C60" s="58"/>
      <c r="D60" s="49" t="s">
        <v>17</v>
      </c>
      <c r="E60" s="49">
        <f>999/1000</f>
        <v>0.999</v>
      </c>
      <c r="F60" s="53">
        <f>E60*F56</f>
        <v>13.986</v>
      </c>
      <c r="G60" s="14"/>
      <c r="H60" s="53"/>
      <c r="I60" s="46"/>
      <c r="J60" s="53"/>
      <c r="K60" s="54"/>
      <c r="L60" s="53"/>
      <c r="M60" s="53"/>
    </row>
    <row r="61" spans="1:13" s="55" customFormat="1" ht="15.75">
      <c r="A61" s="51"/>
      <c r="B61" s="44" t="s">
        <v>20</v>
      </c>
      <c r="C61" s="58"/>
      <c r="D61" s="49" t="s">
        <v>0</v>
      </c>
      <c r="E61" s="49">
        <f>108/1000</f>
        <v>0.108</v>
      </c>
      <c r="F61" s="59">
        <f>E61*F56</f>
        <v>1.512</v>
      </c>
      <c r="G61" s="8"/>
      <c r="H61" s="59"/>
      <c r="I61" s="46"/>
      <c r="J61" s="53"/>
      <c r="K61" s="54"/>
      <c r="L61" s="53"/>
      <c r="M61" s="59"/>
    </row>
    <row r="62" spans="1:13" s="32" customFormat="1" ht="27">
      <c r="A62" s="258">
        <v>14</v>
      </c>
      <c r="B62" s="143" t="s">
        <v>188</v>
      </c>
      <c r="C62" s="294" t="s">
        <v>148</v>
      </c>
      <c r="D62" s="129" t="s">
        <v>17</v>
      </c>
      <c r="E62" s="129"/>
      <c r="F62" s="266">
        <v>14</v>
      </c>
      <c r="G62" s="130"/>
      <c r="H62" s="131"/>
      <c r="I62" s="129"/>
      <c r="J62" s="131"/>
      <c r="K62" s="129"/>
      <c r="L62" s="131"/>
      <c r="M62" s="131"/>
    </row>
    <row r="63" spans="1:13" s="48" customFormat="1" ht="13.5">
      <c r="A63" s="43"/>
      <c r="B63" s="44" t="s">
        <v>14</v>
      </c>
      <c r="C63" s="60"/>
      <c r="D63" s="46" t="s">
        <v>15</v>
      </c>
      <c r="E63" s="46">
        <f>97/100</f>
        <v>0.97</v>
      </c>
      <c r="F63" s="47">
        <f>F62*E63</f>
        <v>13.58</v>
      </c>
      <c r="G63" s="46"/>
      <c r="H63" s="47"/>
      <c r="I63" s="46"/>
      <c r="J63" s="47"/>
      <c r="K63" s="46"/>
      <c r="L63" s="47"/>
      <c r="M63" s="47"/>
    </row>
    <row r="64" spans="1:13" s="48" customFormat="1" ht="13.5">
      <c r="A64" s="43"/>
      <c r="B64" s="44" t="s">
        <v>25</v>
      </c>
      <c r="C64" s="60"/>
      <c r="D64" s="49" t="s">
        <v>0</v>
      </c>
      <c r="E64" s="46">
        <f>0.09/100</f>
        <v>0.0009</v>
      </c>
      <c r="F64" s="50">
        <f>E64*F62</f>
        <v>0.0126</v>
      </c>
      <c r="G64" s="46"/>
      <c r="H64" s="47"/>
      <c r="I64" s="46"/>
      <c r="J64" s="47"/>
      <c r="K64" s="46"/>
      <c r="L64" s="47"/>
      <c r="M64" s="47"/>
    </row>
    <row r="65" spans="1:13" s="55" customFormat="1" ht="15.75">
      <c r="A65" s="51"/>
      <c r="B65" s="49" t="s">
        <v>16</v>
      </c>
      <c r="C65" s="60"/>
      <c r="D65" s="49"/>
      <c r="E65" s="49"/>
      <c r="F65" s="53"/>
      <c r="G65" s="49"/>
      <c r="H65" s="53"/>
      <c r="I65" s="46"/>
      <c r="J65" s="53"/>
      <c r="K65" s="54"/>
      <c r="L65" s="53"/>
      <c r="M65" s="53"/>
    </row>
    <row r="66" spans="1:13" s="55" customFormat="1" ht="15.75">
      <c r="A66" s="51"/>
      <c r="B66" s="56" t="s">
        <v>146</v>
      </c>
      <c r="C66" s="60"/>
      <c r="D66" s="49" t="s">
        <v>52</v>
      </c>
      <c r="E66" s="49">
        <f>53.8/100</f>
        <v>0.5379999999999999</v>
      </c>
      <c r="F66" s="53">
        <f>E66*F62</f>
        <v>7.531999999999999</v>
      </c>
      <c r="G66" s="128"/>
      <c r="H66" s="61"/>
      <c r="I66" s="46"/>
      <c r="J66" s="53"/>
      <c r="K66" s="54"/>
      <c r="L66" s="53"/>
      <c r="M66" s="53"/>
    </row>
    <row r="67" spans="1:13" s="55" customFormat="1" ht="15.75">
      <c r="A67" s="51"/>
      <c r="B67" s="56" t="s">
        <v>147</v>
      </c>
      <c r="C67" s="60"/>
      <c r="D67" s="49" t="s">
        <v>26</v>
      </c>
      <c r="E67" s="49">
        <f>22.6/100</f>
        <v>0.226</v>
      </c>
      <c r="F67" s="53">
        <f>E67*F62</f>
        <v>3.164</v>
      </c>
      <c r="G67" s="128"/>
      <c r="H67" s="61"/>
      <c r="I67" s="46"/>
      <c r="J67" s="53"/>
      <c r="K67" s="54"/>
      <c r="L67" s="53"/>
      <c r="M67" s="53"/>
    </row>
    <row r="68" spans="1:13" s="55" customFormat="1" ht="15.75">
      <c r="A68" s="51"/>
      <c r="B68" s="44" t="s">
        <v>20</v>
      </c>
      <c r="C68" s="60"/>
      <c r="D68" s="49" t="s">
        <v>0</v>
      </c>
      <c r="E68" s="49">
        <f>1.01/100</f>
        <v>0.0101</v>
      </c>
      <c r="F68" s="59">
        <f>E68*F62</f>
        <v>0.1414</v>
      </c>
      <c r="G68" s="49"/>
      <c r="H68" s="59"/>
      <c r="I68" s="46"/>
      <c r="J68" s="53"/>
      <c r="K68" s="54"/>
      <c r="L68" s="53"/>
      <c r="M68" s="59"/>
    </row>
    <row r="69" spans="1:14" s="33" customFormat="1" ht="27">
      <c r="A69" s="27">
        <v>15</v>
      </c>
      <c r="B69" s="143" t="s">
        <v>182</v>
      </c>
      <c r="C69" s="294" t="s">
        <v>183</v>
      </c>
      <c r="D69" s="27" t="s">
        <v>184</v>
      </c>
      <c r="E69" s="27"/>
      <c r="F69" s="27">
        <v>1</v>
      </c>
      <c r="G69" s="27"/>
      <c r="H69" s="27"/>
      <c r="I69" s="27"/>
      <c r="J69" s="27"/>
      <c r="K69" s="27"/>
      <c r="L69" s="27"/>
      <c r="M69" s="27"/>
      <c r="N69" s="32"/>
    </row>
    <row r="70" spans="1:18" s="25" customFormat="1" ht="13.5">
      <c r="A70" s="43"/>
      <c r="B70" s="44" t="s">
        <v>14</v>
      </c>
      <c r="C70" s="45"/>
      <c r="D70" s="46" t="s">
        <v>15</v>
      </c>
      <c r="E70" s="46">
        <v>3.45</v>
      </c>
      <c r="F70" s="47">
        <f>F69*E70</f>
        <v>3.45</v>
      </c>
      <c r="G70" s="46"/>
      <c r="H70" s="47"/>
      <c r="I70" s="46"/>
      <c r="J70" s="47"/>
      <c r="K70" s="46"/>
      <c r="L70" s="47"/>
      <c r="M70" s="47"/>
      <c r="N70" s="114"/>
      <c r="O70" s="113"/>
      <c r="P70" s="113"/>
      <c r="Q70" s="113"/>
      <c r="R70" s="114"/>
    </row>
    <row r="71" spans="1:13" s="104" customFormat="1" ht="13.5">
      <c r="A71" s="155"/>
      <c r="B71" s="150" t="s">
        <v>70</v>
      </c>
      <c r="C71" s="69"/>
      <c r="D71" s="38" t="s">
        <v>0</v>
      </c>
      <c r="E71" s="69">
        <v>1.3</v>
      </c>
      <c r="F71" s="102">
        <f>E71*F69</f>
        <v>1.3</v>
      </c>
      <c r="G71" s="69"/>
      <c r="H71" s="69"/>
      <c r="I71" s="69"/>
      <c r="J71" s="69"/>
      <c r="K71" s="69"/>
      <c r="L71" s="102"/>
      <c r="M71" s="102"/>
    </row>
    <row r="72" spans="1:18" s="25" customFormat="1" ht="13.5">
      <c r="A72" s="51"/>
      <c r="B72" s="49" t="s">
        <v>16</v>
      </c>
      <c r="C72" s="52"/>
      <c r="D72" s="49"/>
      <c r="E72" s="49"/>
      <c r="F72" s="53"/>
      <c r="G72" s="49"/>
      <c r="H72" s="53"/>
      <c r="I72" s="46"/>
      <c r="J72" s="53"/>
      <c r="K72" s="54"/>
      <c r="L72" s="53"/>
      <c r="M72" s="53"/>
      <c r="N72" s="114"/>
      <c r="O72" s="113"/>
      <c r="P72" s="113"/>
      <c r="Q72" s="113"/>
      <c r="R72" s="114"/>
    </row>
    <row r="73" spans="1:77" s="39" customFormat="1" ht="15.75">
      <c r="A73" s="51"/>
      <c r="B73" s="56" t="s">
        <v>185</v>
      </c>
      <c r="C73" s="52"/>
      <c r="D73" s="49" t="s">
        <v>17</v>
      </c>
      <c r="E73" s="49"/>
      <c r="F73" s="53">
        <v>3</v>
      </c>
      <c r="G73" s="14"/>
      <c r="H73" s="53"/>
      <c r="I73" s="46"/>
      <c r="J73" s="53"/>
      <c r="K73" s="54"/>
      <c r="L73" s="53"/>
      <c r="M73" s="53"/>
      <c r="N73" s="73"/>
      <c r="O73" s="40"/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</row>
    <row r="74" spans="1:18" s="25" customFormat="1" ht="13.5">
      <c r="A74" s="51"/>
      <c r="B74" s="44" t="s">
        <v>20</v>
      </c>
      <c r="C74" s="52"/>
      <c r="D74" s="49" t="s">
        <v>0</v>
      </c>
      <c r="E74" s="49">
        <v>0.71</v>
      </c>
      <c r="F74" s="53">
        <f>E74*F69</f>
        <v>0.71</v>
      </c>
      <c r="G74" s="49"/>
      <c r="H74" s="53"/>
      <c r="I74" s="46"/>
      <c r="J74" s="53"/>
      <c r="K74" s="54"/>
      <c r="L74" s="53"/>
      <c r="M74" s="53"/>
      <c r="N74" s="114"/>
      <c r="O74" s="113"/>
      <c r="P74" s="113"/>
      <c r="Q74" s="113"/>
      <c r="R74" s="114"/>
    </row>
    <row r="75" spans="1:13" s="104" customFormat="1" ht="54">
      <c r="A75" s="92">
        <v>16</v>
      </c>
      <c r="B75" s="144" t="s">
        <v>186</v>
      </c>
      <c r="C75" s="294" t="s">
        <v>68</v>
      </c>
      <c r="D75" s="27" t="s">
        <v>69</v>
      </c>
      <c r="E75" s="27"/>
      <c r="F75" s="139">
        <f>(0.35*1*1.5+0.24+0.24)/10*3</f>
        <v>0.3015</v>
      </c>
      <c r="G75" s="27"/>
      <c r="H75" s="27"/>
      <c r="I75" s="27"/>
      <c r="J75" s="27"/>
      <c r="K75" s="27"/>
      <c r="L75" s="27"/>
      <c r="M75" s="27"/>
    </row>
    <row r="76" spans="1:13" s="104" customFormat="1" ht="13.5">
      <c r="A76" s="18"/>
      <c r="B76" s="150" t="s">
        <v>24</v>
      </c>
      <c r="C76" s="69"/>
      <c r="D76" s="38" t="s">
        <v>15</v>
      </c>
      <c r="E76" s="70">
        <v>106</v>
      </c>
      <c r="F76" s="70">
        <f>F75*E76</f>
        <v>31.959</v>
      </c>
      <c r="G76" s="69"/>
      <c r="H76" s="102"/>
      <c r="I76" s="69"/>
      <c r="J76" s="102"/>
      <c r="K76" s="69"/>
      <c r="L76" s="69"/>
      <c r="M76" s="102"/>
    </row>
    <row r="77" spans="1:13" s="104" customFormat="1" ht="13.5">
      <c r="A77" s="155"/>
      <c r="B77" s="150" t="s">
        <v>70</v>
      </c>
      <c r="C77" s="69"/>
      <c r="D77" s="38" t="s">
        <v>0</v>
      </c>
      <c r="E77" s="69">
        <v>71.4</v>
      </c>
      <c r="F77" s="102">
        <f>E77*F75</f>
        <v>21.5271</v>
      </c>
      <c r="G77" s="69"/>
      <c r="H77" s="69"/>
      <c r="I77" s="69"/>
      <c r="J77" s="69"/>
      <c r="K77" s="69"/>
      <c r="L77" s="102"/>
      <c r="M77" s="102"/>
    </row>
    <row r="78" spans="1:16" s="96" customFormat="1" ht="15" customHeight="1">
      <c r="A78" s="69"/>
      <c r="B78" s="69" t="s">
        <v>50</v>
      </c>
      <c r="C78" s="69"/>
      <c r="D78" s="69"/>
      <c r="E78" s="156"/>
      <c r="F78" s="102"/>
      <c r="G78" s="38"/>
      <c r="H78" s="157"/>
      <c r="I78" s="38"/>
      <c r="J78" s="70"/>
      <c r="K78" s="38"/>
      <c r="L78" s="157"/>
      <c r="M78" s="102"/>
      <c r="N78" s="140"/>
      <c r="O78" s="158"/>
      <c r="P78" s="140"/>
    </row>
    <row r="79" spans="1:16" s="99" customFormat="1" ht="15" customHeight="1">
      <c r="A79" s="18"/>
      <c r="B79" s="150" t="s">
        <v>73</v>
      </c>
      <c r="C79" s="38"/>
      <c r="D79" s="38" t="s">
        <v>26</v>
      </c>
      <c r="E79" s="70"/>
      <c r="F79" s="70">
        <f>1.5*3</f>
        <v>4.5</v>
      </c>
      <c r="G79" s="147"/>
      <c r="H79" s="159"/>
      <c r="I79" s="148"/>
      <c r="J79" s="38"/>
      <c r="K79" s="147"/>
      <c r="L79" s="147"/>
      <c r="M79" s="102"/>
      <c r="N79" s="160"/>
      <c r="O79" s="141"/>
      <c r="P79" s="141"/>
    </row>
    <row r="80" spans="1:16" s="99" customFormat="1" ht="15" customHeight="1">
      <c r="A80" s="18"/>
      <c r="B80" s="150" t="s">
        <v>71</v>
      </c>
      <c r="C80" s="38"/>
      <c r="D80" s="38" t="s">
        <v>26</v>
      </c>
      <c r="E80" s="70"/>
      <c r="F80" s="70">
        <v>3</v>
      </c>
      <c r="G80" s="147"/>
      <c r="H80" s="159"/>
      <c r="I80" s="148"/>
      <c r="J80" s="38"/>
      <c r="K80" s="147"/>
      <c r="L80" s="147"/>
      <c r="M80" s="102"/>
      <c r="N80" s="160"/>
      <c r="O80" s="141"/>
      <c r="P80" s="141"/>
    </row>
    <row r="81" spans="1:16" s="104" customFormat="1" ht="15" customHeight="1">
      <c r="A81" s="18"/>
      <c r="B81" s="150" t="s">
        <v>72</v>
      </c>
      <c r="C81" s="38"/>
      <c r="D81" s="38" t="s">
        <v>26</v>
      </c>
      <c r="E81" s="70"/>
      <c r="F81" s="70">
        <v>3</v>
      </c>
      <c r="G81" s="147"/>
      <c r="H81" s="159"/>
      <c r="I81" s="148"/>
      <c r="J81" s="38"/>
      <c r="K81" s="147"/>
      <c r="L81" s="147"/>
      <c r="M81" s="102"/>
      <c r="N81" s="161"/>
      <c r="O81" s="141"/>
      <c r="P81" s="141"/>
    </row>
    <row r="82" spans="1:16" s="104" customFormat="1" ht="15" customHeight="1">
      <c r="A82" s="18"/>
      <c r="B82" s="98" t="s">
        <v>20</v>
      </c>
      <c r="C82" s="38"/>
      <c r="D82" s="38" t="s">
        <v>0</v>
      </c>
      <c r="E82" s="70">
        <v>66.1</v>
      </c>
      <c r="F82" s="70">
        <f>F75*E82</f>
        <v>19.929149999999996</v>
      </c>
      <c r="G82" s="147"/>
      <c r="H82" s="159"/>
      <c r="I82" s="148"/>
      <c r="J82" s="38"/>
      <c r="K82" s="147"/>
      <c r="L82" s="147"/>
      <c r="M82" s="102"/>
      <c r="N82" s="161"/>
      <c r="O82" s="141"/>
      <c r="P82" s="141"/>
    </row>
    <row r="83" spans="1:13" s="13" customFormat="1" ht="27">
      <c r="A83" s="92">
        <v>17</v>
      </c>
      <c r="B83" s="144" t="s">
        <v>74</v>
      </c>
      <c r="C83" s="294" t="s">
        <v>75</v>
      </c>
      <c r="D83" s="28" t="s">
        <v>76</v>
      </c>
      <c r="E83" s="29"/>
      <c r="F83" s="27">
        <v>18</v>
      </c>
      <c r="G83" s="28"/>
      <c r="H83" s="30"/>
      <c r="I83" s="28"/>
      <c r="J83" s="31"/>
      <c r="K83" s="28"/>
      <c r="L83" s="30"/>
      <c r="M83" s="31"/>
    </row>
    <row r="84" spans="1:13" s="32" customFormat="1" ht="13.5">
      <c r="A84" s="7"/>
      <c r="B84" s="9" t="s">
        <v>14</v>
      </c>
      <c r="C84" s="8"/>
      <c r="D84" s="147" t="s">
        <v>15</v>
      </c>
      <c r="E84" s="147">
        <v>0.336</v>
      </c>
      <c r="F84" s="163">
        <f>F83*E84</f>
        <v>6.048</v>
      </c>
      <c r="G84" s="147"/>
      <c r="H84" s="147"/>
      <c r="I84" s="11"/>
      <c r="J84" s="12"/>
      <c r="K84" s="11"/>
      <c r="L84" s="12"/>
      <c r="M84" s="12"/>
    </row>
    <row r="85" spans="1:77" s="39" customFormat="1" ht="15.75">
      <c r="A85" s="7"/>
      <c r="B85" s="9" t="s">
        <v>25</v>
      </c>
      <c r="C85" s="8"/>
      <c r="D85" s="147" t="s">
        <v>0</v>
      </c>
      <c r="E85" s="147">
        <v>0.015</v>
      </c>
      <c r="F85" s="163">
        <f>E85*F83</f>
        <v>0.27</v>
      </c>
      <c r="G85" s="147"/>
      <c r="H85" s="147"/>
      <c r="I85" s="11"/>
      <c r="J85" s="12"/>
      <c r="K85" s="11"/>
      <c r="L85" s="12"/>
      <c r="M85" s="12"/>
      <c r="N85" s="73"/>
      <c r="O85" s="40"/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</row>
    <row r="86" spans="1:77" s="62" customFormat="1" ht="15.75">
      <c r="A86" s="19"/>
      <c r="B86" s="8" t="s">
        <v>16</v>
      </c>
      <c r="C86" s="126"/>
      <c r="D86" s="147"/>
      <c r="E86" s="147"/>
      <c r="F86" s="163"/>
      <c r="G86" s="147"/>
      <c r="H86" s="147"/>
      <c r="I86" s="11"/>
      <c r="J86" s="14"/>
      <c r="K86" s="15"/>
      <c r="L86" s="14"/>
      <c r="M86" s="14"/>
      <c r="N86" s="73"/>
      <c r="O86" s="63"/>
      <c r="P86" s="64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</row>
    <row r="87" spans="1:77" s="39" customFormat="1" ht="15.75">
      <c r="A87" s="19"/>
      <c r="B87" s="164" t="s">
        <v>77</v>
      </c>
      <c r="C87" s="126"/>
      <c r="D87" s="147" t="s">
        <v>48</v>
      </c>
      <c r="E87" s="147">
        <f>0.24/100</f>
        <v>0.0024</v>
      </c>
      <c r="F87" s="163">
        <f>E87*F83</f>
        <v>0.043199999999999995</v>
      </c>
      <c r="G87" s="147"/>
      <c r="H87" s="163"/>
      <c r="I87" s="11"/>
      <c r="J87" s="14"/>
      <c r="K87" s="15"/>
      <c r="L87" s="14"/>
      <c r="M87" s="14"/>
      <c r="N87" s="73"/>
      <c r="O87" s="40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</row>
    <row r="88" spans="1:77" s="39" customFormat="1" ht="15.75">
      <c r="A88" s="19"/>
      <c r="B88" s="9" t="s">
        <v>20</v>
      </c>
      <c r="C88" s="126"/>
      <c r="D88" s="147" t="s">
        <v>0</v>
      </c>
      <c r="E88" s="147">
        <f>2.28/100</f>
        <v>0.022799999999999997</v>
      </c>
      <c r="F88" s="163">
        <f>E88*F83</f>
        <v>0.41039999999999993</v>
      </c>
      <c r="G88" s="147"/>
      <c r="H88" s="163"/>
      <c r="I88" s="11"/>
      <c r="J88" s="14"/>
      <c r="K88" s="15"/>
      <c r="L88" s="14"/>
      <c r="M88" s="14"/>
      <c r="N88" s="73"/>
      <c r="O88" s="40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</row>
    <row r="89" spans="1:13" s="32" customFormat="1" ht="54">
      <c r="A89" s="92">
        <v>18</v>
      </c>
      <c r="B89" s="259" t="s">
        <v>189</v>
      </c>
      <c r="C89" s="294" t="s">
        <v>141</v>
      </c>
      <c r="D89" s="129" t="s">
        <v>49</v>
      </c>
      <c r="E89" s="129"/>
      <c r="F89" s="265">
        <f>0.36/100*2</f>
        <v>0.0072</v>
      </c>
      <c r="G89" s="130"/>
      <c r="H89" s="131"/>
      <c r="I89" s="129"/>
      <c r="J89" s="131"/>
      <c r="K89" s="129"/>
      <c r="L89" s="131"/>
      <c r="M89" s="131"/>
    </row>
    <row r="90" spans="1:13" s="261" customFormat="1" ht="13.5">
      <c r="A90" s="97"/>
      <c r="B90" s="98" t="s">
        <v>14</v>
      </c>
      <c r="C90" s="260"/>
      <c r="D90" s="38" t="s">
        <v>15</v>
      </c>
      <c r="E90" s="38">
        <v>137</v>
      </c>
      <c r="F90" s="70">
        <f>F89*E90</f>
        <v>0.9863999999999999</v>
      </c>
      <c r="G90" s="38"/>
      <c r="H90" s="70"/>
      <c r="I90" s="38"/>
      <c r="J90" s="70"/>
      <c r="K90" s="38"/>
      <c r="L90" s="70"/>
      <c r="M90" s="70"/>
    </row>
    <row r="91" spans="1:13" s="99" customFormat="1" ht="13.5">
      <c r="A91" s="97"/>
      <c r="B91" s="98" t="s">
        <v>25</v>
      </c>
      <c r="C91" s="260"/>
      <c r="D91" s="69" t="s">
        <v>0</v>
      </c>
      <c r="E91" s="38">
        <v>28.3</v>
      </c>
      <c r="F91" s="100">
        <f>E91*F89</f>
        <v>0.20376</v>
      </c>
      <c r="G91" s="38"/>
      <c r="H91" s="70"/>
      <c r="I91" s="38"/>
      <c r="J91" s="70"/>
      <c r="K91" s="38"/>
      <c r="L91" s="70"/>
      <c r="M91" s="70"/>
    </row>
    <row r="92" spans="1:13" s="261" customFormat="1" ht="13.5">
      <c r="A92" s="97"/>
      <c r="B92" s="69" t="s">
        <v>50</v>
      </c>
      <c r="C92" s="260"/>
      <c r="D92" s="38"/>
      <c r="E92" s="38"/>
      <c r="F92" s="70"/>
      <c r="G92" s="38"/>
      <c r="H92" s="70"/>
      <c r="I92" s="38"/>
      <c r="J92" s="70"/>
      <c r="K92" s="38"/>
      <c r="L92" s="70"/>
      <c r="M92" s="70"/>
    </row>
    <row r="93" spans="1:13" s="261" customFormat="1" ht="13.5">
      <c r="A93" s="97"/>
      <c r="B93" s="98" t="s">
        <v>140</v>
      </c>
      <c r="C93" s="260"/>
      <c r="D93" s="38" t="s">
        <v>23</v>
      </c>
      <c r="E93" s="38">
        <v>102</v>
      </c>
      <c r="F93" s="70">
        <f>F89*E93</f>
        <v>0.7343999999999999</v>
      </c>
      <c r="G93" s="262"/>
      <c r="H93" s="102"/>
      <c r="I93" s="38"/>
      <c r="J93" s="102"/>
      <c r="K93" s="103"/>
      <c r="L93" s="102"/>
      <c r="M93" s="102"/>
    </row>
    <row r="94" spans="1:13" s="264" customFormat="1" ht="15.75">
      <c r="A94" s="19"/>
      <c r="B94" s="98" t="s">
        <v>20</v>
      </c>
      <c r="C94" s="260"/>
      <c r="D94" s="69" t="s">
        <v>0</v>
      </c>
      <c r="E94" s="263">
        <v>62</v>
      </c>
      <c r="F94" s="102">
        <f>E94*F89</f>
        <v>0.44639999999999996</v>
      </c>
      <c r="G94" s="262"/>
      <c r="H94" s="102"/>
      <c r="I94" s="38"/>
      <c r="J94" s="102"/>
      <c r="K94" s="103"/>
      <c r="L94" s="102"/>
      <c r="M94" s="102"/>
    </row>
    <row r="95" spans="1:17" s="132" customFormat="1" ht="27">
      <c r="A95" s="92">
        <v>19</v>
      </c>
      <c r="B95" s="143" t="s">
        <v>191</v>
      </c>
      <c r="C95" s="294" t="s">
        <v>45</v>
      </c>
      <c r="D95" s="27" t="s">
        <v>26</v>
      </c>
      <c r="E95" s="27"/>
      <c r="F95" s="151">
        <f>SUM(F99:F102)</f>
        <v>15</v>
      </c>
      <c r="G95" s="27"/>
      <c r="H95" s="27"/>
      <c r="I95" s="27"/>
      <c r="J95" s="27"/>
      <c r="K95" s="27"/>
      <c r="L95" s="27"/>
      <c r="M95" s="27"/>
      <c r="O95" s="133"/>
      <c r="P95" s="133"/>
      <c r="Q95" s="133"/>
    </row>
    <row r="96" spans="1:17" s="132" customFormat="1" ht="13.5">
      <c r="A96" s="106"/>
      <c r="B96" s="107" t="s">
        <v>34</v>
      </c>
      <c r="C96" s="134"/>
      <c r="D96" s="108" t="s">
        <v>15</v>
      </c>
      <c r="E96" s="69">
        <f>3.89/10</f>
        <v>0.389</v>
      </c>
      <c r="F96" s="109">
        <f>F95*E96</f>
        <v>5.835</v>
      </c>
      <c r="G96" s="110"/>
      <c r="H96" s="111"/>
      <c r="I96" s="112"/>
      <c r="J96" s="109"/>
      <c r="K96" s="112"/>
      <c r="L96" s="109"/>
      <c r="M96" s="109"/>
      <c r="O96" s="133"/>
      <c r="P96" s="133"/>
      <c r="Q96" s="133"/>
    </row>
    <row r="97" spans="1:13" s="104" customFormat="1" ht="13.5">
      <c r="A97" s="106"/>
      <c r="B97" s="107" t="s">
        <v>31</v>
      </c>
      <c r="C97" s="135"/>
      <c r="D97" s="108" t="s">
        <v>0</v>
      </c>
      <c r="E97" s="69">
        <f>1.51/10</f>
        <v>0.151</v>
      </c>
      <c r="F97" s="109">
        <f>F95*E97</f>
        <v>2.265</v>
      </c>
      <c r="G97" s="108"/>
      <c r="H97" s="109"/>
      <c r="I97" s="112"/>
      <c r="J97" s="109"/>
      <c r="K97" s="112"/>
      <c r="L97" s="109"/>
      <c r="M97" s="109"/>
    </row>
    <row r="98" spans="1:13" s="104" customFormat="1" ht="13.5">
      <c r="A98" s="106"/>
      <c r="B98" s="69" t="s">
        <v>16</v>
      </c>
      <c r="C98" s="135"/>
      <c r="D98" s="108"/>
      <c r="E98" s="69"/>
      <c r="F98" s="108"/>
      <c r="G98" s="108"/>
      <c r="H98" s="109"/>
      <c r="I98" s="112"/>
      <c r="J98" s="109"/>
      <c r="K98" s="112"/>
      <c r="L98" s="109"/>
      <c r="M98" s="109"/>
    </row>
    <row r="99" spans="1:13" s="137" customFormat="1" ht="15.75">
      <c r="A99" s="19"/>
      <c r="B99" s="105" t="s">
        <v>190</v>
      </c>
      <c r="C99" s="136"/>
      <c r="D99" s="69" t="s">
        <v>26</v>
      </c>
      <c r="E99" s="69"/>
      <c r="F99" s="102">
        <v>4</v>
      </c>
      <c r="G99" s="102"/>
      <c r="H99" s="102"/>
      <c r="I99" s="38"/>
      <c r="J99" s="102"/>
      <c r="K99" s="103"/>
      <c r="L99" s="102"/>
      <c r="M99" s="102"/>
    </row>
    <row r="100" spans="1:13" s="137" customFormat="1" ht="15.75">
      <c r="A100" s="19"/>
      <c r="B100" s="105" t="s">
        <v>193</v>
      </c>
      <c r="C100" s="136"/>
      <c r="D100" s="69" t="s">
        <v>26</v>
      </c>
      <c r="E100" s="69"/>
      <c r="F100" s="102">
        <v>5</v>
      </c>
      <c r="G100" s="102"/>
      <c r="H100" s="102"/>
      <c r="I100" s="38"/>
      <c r="J100" s="102"/>
      <c r="K100" s="103"/>
      <c r="L100" s="102"/>
      <c r="M100" s="102"/>
    </row>
    <row r="101" spans="1:13" s="137" customFormat="1" ht="15.75">
      <c r="A101" s="19"/>
      <c r="B101" s="105" t="s">
        <v>194</v>
      </c>
      <c r="C101" s="136"/>
      <c r="D101" s="69" t="s">
        <v>26</v>
      </c>
      <c r="E101" s="69"/>
      <c r="F101" s="102">
        <v>4</v>
      </c>
      <c r="G101" s="102"/>
      <c r="H101" s="102"/>
      <c r="I101" s="38"/>
      <c r="J101" s="102"/>
      <c r="K101" s="103"/>
      <c r="L101" s="102"/>
      <c r="M101" s="102"/>
    </row>
    <row r="102" spans="1:13" s="137" customFormat="1" ht="13.5">
      <c r="A102" s="19"/>
      <c r="B102" s="105" t="s">
        <v>192</v>
      </c>
      <c r="C102" s="136"/>
      <c r="D102" s="69" t="s">
        <v>26</v>
      </c>
      <c r="E102" s="69"/>
      <c r="F102" s="102">
        <v>2</v>
      </c>
      <c r="G102" s="102"/>
      <c r="H102" s="102"/>
      <c r="I102" s="38"/>
      <c r="J102" s="102"/>
      <c r="K102" s="103"/>
      <c r="L102" s="102"/>
      <c r="M102" s="102"/>
    </row>
    <row r="103" spans="1:13" s="104" customFormat="1" ht="13.5">
      <c r="A103" s="106"/>
      <c r="B103" s="107" t="s">
        <v>20</v>
      </c>
      <c r="C103" s="135"/>
      <c r="D103" s="108" t="s">
        <v>0</v>
      </c>
      <c r="E103" s="69">
        <f>0.24/10</f>
        <v>0.024</v>
      </c>
      <c r="F103" s="108">
        <f>F95*E103</f>
        <v>0.36</v>
      </c>
      <c r="G103" s="108"/>
      <c r="H103" s="109"/>
      <c r="I103" s="112"/>
      <c r="J103" s="109"/>
      <c r="K103" s="112"/>
      <c r="L103" s="109"/>
      <c r="M103" s="109"/>
    </row>
    <row r="104" spans="1:14" s="33" customFormat="1" ht="27">
      <c r="A104" s="27">
        <v>20</v>
      </c>
      <c r="B104" s="144" t="s">
        <v>89</v>
      </c>
      <c r="C104" s="294" t="s">
        <v>67</v>
      </c>
      <c r="D104" s="28" t="s">
        <v>26</v>
      </c>
      <c r="E104" s="29"/>
      <c r="F104" s="154">
        <v>2</v>
      </c>
      <c r="G104" s="28"/>
      <c r="H104" s="30"/>
      <c r="I104" s="28"/>
      <c r="J104" s="31"/>
      <c r="K104" s="28"/>
      <c r="L104" s="30"/>
      <c r="M104" s="31"/>
      <c r="N104" s="32"/>
    </row>
    <row r="105" spans="1:13" s="24" customFormat="1" ht="13.5">
      <c r="A105" s="7"/>
      <c r="B105" s="9" t="s">
        <v>14</v>
      </c>
      <c r="C105" s="10"/>
      <c r="D105" s="11" t="s">
        <v>15</v>
      </c>
      <c r="E105" s="11">
        <f>5.84/10</f>
        <v>0.584</v>
      </c>
      <c r="F105" s="12">
        <f>F104*E105</f>
        <v>1.168</v>
      </c>
      <c r="G105" s="11"/>
      <c r="H105" s="12"/>
      <c r="I105" s="11"/>
      <c r="J105" s="12"/>
      <c r="K105" s="11"/>
      <c r="L105" s="12"/>
      <c r="M105" s="12"/>
    </row>
    <row r="106" spans="1:13" s="48" customFormat="1" ht="13.5">
      <c r="A106" s="43"/>
      <c r="B106" s="44" t="s">
        <v>25</v>
      </c>
      <c r="C106" s="57"/>
      <c r="D106" s="49" t="s">
        <v>0</v>
      </c>
      <c r="E106" s="46">
        <f>2.27/10</f>
        <v>0.227</v>
      </c>
      <c r="F106" s="50">
        <f>E106*F104</f>
        <v>0.454</v>
      </c>
      <c r="G106" s="46"/>
      <c r="H106" s="47"/>
      <c r="I106" s="46"/>
      <c r="J106" s="47"/>
      <c r="K106" s="46"/>
      <c r="L106" s="47"/>
      <c r="M106" s="47"/>
    </row>
    <row r="107" spans="1:13" s="2" customFormat="1" ht="15.75">
      <c r="A107" s="19"/>
      <c r="B107" s="8" t="s">
        <v>16</v>
      </c>
      <c r="C107" s="153"/>
      <c r="D107" s="8"/>
      <c r="E107" s="8"/>
      <c r="F107" s="14"/>
      <c r="G107" s="8"/>
      <c r="H107" s="14"/>
      <c r="I107" s="11"/>
      <c r="J107" s="14"/>
      <c r="K107" s="15"/>
      <c r="L107" s="14"/>
      <c r="M107" s="14"/>
    </row>
    <row r="108" spans="1:13" s="2" customFormat="1" ht="15.75">
      <c r="A108" s="19"/>
      <c r="B108" s="9" t="s">
        <v>88</v>
      </c>
      <c r="C108" s="153"/>
      <c r="D108" s="8" t="s">
        <v>26</v>
      </c>
      <c r="E108" s="8">
        <v>1</v>
      </c>
      <c r="F108" s="14">
        <f>E108*F104</f>
        <v>2</v>
      </c>
      <c r="G108" s="122"/>
      <c r="H108" s="14"/>
      <c r="I108" s="11"/>
      <c r="J108" s="14"/>
      <c r="K108" s="15"/>
      <c r="L108" s="14"/>
      <c r="M108" s="14"/>
    </row>
    <row r="109" spans="1:13" s="2" customFormat="1" ht="15.75">
      <c r="A109" s="19"/>
      <c r="B109" s="9" t="s">
        <v>20</v>
      </c>
      <c r="C109" s="153"/>
      <c r="D109" s="8" t="s">
        <v>0</v>
      </c>
      <c r="E109" s="8">
        <f>0.24/10</f>
        <v>0.024</v>
      </c>
      <c r="F109" s="14">
        <f>E109*F104</f>
        <v>0.048</v>
      </c>
      <c r="G109" s="8"/>
      <c r="H109" s="14"/>
      <c r="I109" s="11"/>
      <c r="J109" s="14"/>
      <c r="K109" s="15"/>
      <c r="L109" s="14"/>
      <c r="M109" s="14"/>
    </row>
    <row r="110" spans="1:15" s="96" customFormat="1" ht="27">
      <c r="A110" s="138">
        <v>21</v>
      </c>
      <c r="B110" s="143" t="s">
        <v>86</v>
      </c>
      <c r="C110" s="294" t="s">
        <v>84</v>
      </c>
      <c r="D110" s="93" t="s">
        <v>26</v>
      </c>
      <c r="E110" s="93"/>
      <c r="F110" s="167">
        <v>1</v>
      </c>
      <c r="G110" s="94"/>
      <c r="H110" s="95"/>
      <c r="I110" s="93"/>
      <c r="J110" s="95"/>
      <c r="K110" s="93"/>
      <c r="L110" s="95"/>
      <c r="M110" s="95"/>
      <c r="N110" s="140"/>
      <c r="O110" s="140"/>
    </row>
    <row r="111" spans="1:15" s="99" customFormat="1" ht="13.5">
      <c r="A111" s="97"/>
      <c r="B111" s="98" t="s">
        <v>14</v>
      </c>
      <c r="C111" s="69"/>
      <c r="D111" s="38" t="s">
        <v>15</v>
      </c>
      <c r="E111" s="38">
        <v>0.35</v>
      </c>
      <c r="F111" s="70">
        <f>F110*E111</f>
        <v>0.35</v>
      </c>
      <c r="G111" s="38"/>
      <c r="H111" s="70"/>
      <c r="I111" s="38"/>
      <c r="J111" s="70"/>
      <c r="K111" s="38"/>
      <c r="L111" s="70"/>
      <c r="M111" s="70"/>
      <c r="N111" s="141"/>
      <c r="O111" s="141"/>
    </row>
    <row r="112" spans="1:15" s="99" customFormat="1" ht="13.5">
      <c r="A112" s="97"/>
      <c r="B112" s="98" t="s">
        <v>25</v>
      </c>
      <c r="C112" s="69"/>
      <c r="D112" s="69" t="s">
        <v>0</v>
      </c>
      <c r="E112" s="38">
        <v>0.22</v>
      </c>
      <c r="F112" s="100">
        <f>E112*F110</f>
        <v>0.22</v>
      </c>
      <c r="G112" s="38"/>
      <c r="H112" s="70"/>
      <c r="I112" s="38"/>
      <c r="J112" s="70"/>
      <c r="K112" s="38"/>
      <c r="L112" s="70"/>
      <c r="M112" s="70"/>
      <c r="N112" s="141"/>
      <c r="O112" s="141"/>
    </row>
    <row r="113" spans="1:15" s="104" customFormat="1" ht="13.5">
      <c r="A113" s="19"/>
      <c r="B113" s="69" t="s">
        <v>16</v>
      </c>
      <c r="C113" s="101"/>
      <c r="D113" s="69"/>
      <c r="E113" s="69"/>
      <c r="F113" s="102"/>
      <c r="G113" s="69"/>
      <c r="H113" s="102"/>
      <c r="I113" s="38"/>
      <c r="J113" s="102"/>
      <c r="K113" s="103"/>
      <c r="L113" s="102"/>
      <c r="M113" s="102"/>
      <c r="N113" s="141"/>
      <c r="O113" s="141"/>
    </row>
    <row r="114" spans="1:15" s="104" customFormat="1" ht="13.5">
      <c r="A114" s="19"/>
      <c r="B114" s="105" t="s">
        <v>51</v>
      </c>
      <c r="C114" s="101"/>
      <c r="D114" s="69" t="s">
        <v>26</v>
      </c>
      <c r="E114" s="69">
        <v>1</v>
      </c>
      <c r="F114" s="102">
        <f>E114*F110</f>
        <v>1</v>
      </c>
      <c r="G114" s="102"/>
      <c r="H114" s="102"/>
      <c r="I114" s="38"/>
      <c r="J114" s="102"/>
      <c r="K114" s="103"/>
      <c r="L114" s="102"/>
      <c r="M114" s="102"/>
      <c r="N114" s="141"/>
      <c r="O114" s="141"/>
    </row>
    <row r="115" spans="1:15" s="104" customFormat="1" ht="16.5" customHeight="1">
      <c r="A115" s="19"/>
      <c r="B115" s="98" t="s">
        <v>20</v>
      </c>
      <c r="C115" s="101"/>
      <c r="D115" s="69" t="s">
        <v>0</v>
      </c>
      <c r="E115" s="69">
        <v>0.01</v>
      </c>
      <c r="F115" s="102">
        <f>E115*F110</f>
        <v>0.01</v>
      </c>
      <c r="G115" s="69"/>
      <c r="H115" s="102"/>
      <c r="I115" s="38"/>
      <c r="J115" s="102"/>
      <c r="K115" s="103"/>
      <c r="L115" s="102"/>
      <c r="M115" s="102"/>
      <c r="N115" s="141"/>
      <c r="O115" s="141"/>
    </row>
    <row r="116" spans="1:15" s="96" customFormat="1" ht="27">
      <c r="A116" s="138">
        <v>22</v>
      </c>
      <c r="B116" s="143" t="s">
        <v>195</v>
      </c>
      <c r="C116" s="294" t="s">
        <v>84</v>
      </c>
      <c r="D116" s="93" t="s">
        <v>26</v>
      </c>
      <c r="E116" s="93"/>
      <c r="F116" s="167">
        <v>1</v>
      </c>
      <c r="G116" s="94"/>
      <c r="H116" s="95"/>
      <c r="I116" s="93"/>
      <c r="J116" s="95"/>
      <c r="K116" s="93"/>
      <c r="L116" s="95"/>
      <c r="M116" s="95"/>
      <c r="N116" s="140"/>
      <c r="O116" s="140"/>
    </row>
    <row r="117" spans="1:15" s="99" customFormat="1" ht="13.5">
      <c r="A117" s="97"/>
      <c r="B117" s="98" t="s">
        <v>14</v>
      </c>
      <c r="C117" s="69"/>
      <c r="D117" s="38" t="s">
        <v>15</v>
      </c>
      <c r="E117" s="38">
        <v>0.35</v>
      </c>
      <c r="F117" s="70">
        <f>F116*E117</f>
        <v>0.35</v>
      </c>
      <c r="G117" s="38"/>
      <c r="H117" s="70"/>
      <c r="I117" s="38"/>
      <c r="J117" s="70"/>
      <c r="K117" s="38"/>
      <c r="L117" s="70"/>
      <c r="M117" s="70"/>
      <c r="N117" s="141"/>
      <c r="O117" s="141"/>
    </row>
    <row r="118" spans="1:15" s="99" customFormat="1" ht="13.5">
      <c r="A118" s="97"/>
      <c r="B118" s="98" t="s">
        <v>25</v>
      </c>
      <c r="C118" s="69"/>
      <c r="D118" s="69" t="s">
        <v>0</v>
      </c>
      <c r="E118" s="38">
        <v>0.22</v>
      </c>
      <c r="F118" s="100">
        <f>E118*F116</f>
        <v>0.22</v>
      </c>
      <c r="G118" s="38"/>
      <c r="H118" s="70"/>
      <c r="I118" s="38"/>
      <c r="J118" s="70"/>
      <c r="K118" s="38"/>
      <c r="L118" s="70"/>
      <c r="M118" s="70"/>
      <c r="N118" s="141"/>
      <c r="O118" s="141"/>
    </row>
    <row r="119" spans="1:15" s="104" customFormat="1" ht="13.5">
      <c r="A119" s="19"/>
      <c r="B119" s="69" t="s">
        <v>16</v>
      </c>
      <c r="C119" s="101"/>
      <c r="D119" s="69"/>
      <c r="E119" s="69"/>
      <c r="F119" s="102"/>
      <c r="G119" s="69"/>
      <c r="H119" s="102"/>
      <c r="I119" s="38"/>
      <c r="J119" s="102"/>
      <c r="K119" s="103"/>
      <c r="L119" s="102"/>
      <c r="M119" s="102"/>
      <c r="N119" s="141"/>
      <c r="O119" s="141"/>
    </row>
    <row r="120" spans="1:15" s="104" customFormat="1" ht="13.5">
      <c r="A120" s="19"/>
      <c r="B120" s="105" t="s">
        <v>139</v>
      </c>
      <c r="C120" s="101"/>
      <c r="D120" s="69" t="s">
        <v>26</v>
      </c>
      <c r="E120" s="69">
        <v>1</v>
      </c>
      <c r="F120" s="102">
        <f>E120*F116</f>
        <v>1</v>
      </c>
      <c r="G120" s="102"/>
      <c r="H120" s="102"/>
      <c r="I120" s="38"/>
      <c r="J120" s="102"/>
      <c r="K120" s="103"/>
      <c r="L120" s="102"/>
      <c r="M120" s="102"/>
      <c r="N120" s="141"/>
      <c r="O120" s="141"/>
    </row>
    <row r="121" spans="1:15" s="104" customFormat="1" ht="16.5" customHeight="1">
      <c r="A121" s="19"/>
      <c r="B121" s="98" t="s">
        <v>20</v>
      </c>
      <c r="C121" s="101"/>
      <c r="D121" s="69" t="s">
        <v>0</v>
      </c>
      <c r="E121" s="69">
        <v>0.01</v>
      </c>
      <c r="F121" s="102">
        <f>E121*F116</f>
        <v>0.01</v>
      </c>
      <c r="G121" s="69"/>
      <c r="H121" s="102"/>
      <c r="I121" s="38"/>
      <c r="J121" s="102"/>
      <c r="K121" s="103"/>
      <c r="L121" s="102"/>
      <c r="M121" s="102"/>
      <c r="N121" s="141"/>
      <c r="O121" s="141"/>
    </row>
    <row r="122" spans="1:16" s="32" customFormat="1" ht="27">
      <c r="A122" s="92">
        <v>23</v>
      </c>
      <c r="B122" s="143" t="s">
        <v>196</v>
      </c>
      <c r="C122" s="294" t="s">
        <v>134</v>
      </c>
      <c r="D122" s="27" t="s">
        <v>48</v>
      </c>
      <c r="E122" s="27"/>
      <c r="F122" s="27">
        <f>0.6/1000</f>
        <v>0.0006</v>
      </c>
      <c r="G122" s="27"/>
      <c r="H122" s="27"/>
      <c r="I122" s="27"/>
      <c r="J122" s="27"/>
      <c r="K122" s="27"/>
      <c r="L122" s="27"/>
      <c r="M122" s="27"/>
      <c r="N122" s="123"/>
      <c r="O122" s="244"/>
      <c r="P122" s="123"/>
    </row>
    <row r="123" spans="1:16" s="24" customFormat="1" ht="15" customHeight="1">
      <c r="A123" s="7"/>
      <c r="B123" s="9" t="s">
        <v>14</v>
      </c>
      <c r="C123" s="8"/>
      <c r="D123" s="11" t="s">
        <v>15</v>
      </c>
      <c r="E123" s="11">
        <v>305</v>
      </c>
      <c r="F123" s="12">
        <f>F122*E123</f>
        <v>0.183</v>
      </c>
      <c r="G123" s="11"/>
      <c r="H123" s="12"/>
      <c r="I123" s="11"/>
      <c r="J123" s="12"/>
      <c r="K123" s="11"/>
      <c r="L123" s="12"/>
      <c r="M123" s="12"/>
      <c r="N123" s="245"/>
      <c r="O123" s="246"/>
      <c r="P123" s="246"/>
    </row>
    <row r="124" spans="1:16" s="24" customFormat="1" ht="15" customHeight="1">
      <c r="A124" s="7"/>
      <c r="B124" s="9" t="s">
        <v>25</v>
      </c>
      <c r="C124" s="8"/>
      <c r="D124" s="8" t="s">
        <v>0</v>
      </c>
      <c r="E124" s="11">
        <v>162</v>
      </c>
      <c r="F124" s="125">
        <f>E124*F122</f>
        <v>0.0972</v>
      </c>
      <c r="G124" s="11"/>
      <c r="H124" s="12"/>
      <c r="I124" s="11"/>
      <c r="J124" s="12"/>
      <c r="K124" s="11"/>
      <c r="L124" s="12"/>
      <c r="M124" s="12"/>
      <c r="N124" s="245"/>
      <c r="O124" s="246"/>
      <c r="P124" s="246"/>
    </row>
    <row r="125" spans="1:16" s="13" customFormat="1" ht="15" customHeight="1">
      <c r="A125" s="19"/>
      <c r="B125" s="8" t="s">
        <v>16</v>
      </c>
      <c r="C125" s="126"/>
      <c r="D125" s="8"/>
      <c r="E125" s="8"/>
      <c r="F125" s="14"/>
      <c r="G125" s="8"/>
      <c r="H125" s="14"/>
      <c r="I125" s="11"/>
      <c r="J125" s="14"/>
      <c r="K125" s="15"/>
      <c r="L125" s="14"/>
      <c r="M125" s="14"/>
      <c r="N125" s="73"/>
      <c r="O125" s="246"/>
      <c r="P125" s="246"/>
    </row>
    <row r="126" spans="1:16" s="13" customFormat="1" ht="15" customHeight="1">
      <c r="A126" s="247"/>
      <c r="B126" s="248" t="s">
        <v>87</v>
      </c>
      <c r="C126" s="249"/>
      <c r="D126" s="250" t="s">
        <v>48</v>
      </c>
      <c r="E126" s="250">
        <v>1</v>
      </c>
      <c r="F126" s="251">
        <f>E126*F122</f>
        <v>0.0006</v>
      </c>
      <c r="G126" s="128"/>
      <c r="H126" s="128"/>
      <c r="I126" s="252"/>
      <c r="J126" s="128"/>
      <c r="K126" s="253"/>
      <c r="L126" s="128"/>
      <c r="M126" s="128"/>
      <c r="N126" s="73"/>
      <c r="O126" s="246"/>
      <c r="P126" s="246"/>
    </row>
    <row r="127" spans="1:16" s="13" customFormat="1" ht="15" customHeight="1">
      <c r="A127" s="19"/>
      <c r="B127" s="9" t="s">
        <v>20</v>
      </c>
      <c r="C127" s="126"/>
      <c r="D127" s="8" t="s">
        <v>0</v>
      </c>
      <c r="E127" s="8">
        <v>49.2</v>
      </c>
      <c r="F127" s="14">
        <f>E127*F122</f>
        <v>0.029519999999999998</v>
      </c>
      <c r="G127" s="8"/>
      <c r="H127" s="14"/>
      <c r="I127" s="11"/>
      <c r="J127" s="14"/>
      <c r="K127" s="15"/>
      <c r="L127" s="14"/>
      <c r="M127" s="14"/>
      <c r="N127" s="73"/>
      <c r="O127" s="246"/>
      <c r="P127" s="246"/>
    </row>
    <row r="128" spans="1:15" s="172" customFormat="1" ht="27">
      <c r="A128" s="165">
        <v>24</v>
      </c>
      <c r="B128" s="166" t="s">
        <v>197</v>
      </c>
      <c r="C128" s="294" t="s">
        <v>80</v>
      </c>
      <c r="D128" s="165" t="s">
        <v>26</v>
      </c>
      <c r="E128" s="165"/>
      <c r="F128" s="167">
        <v>1</v>
      </c>
      <c r="G128" s="168"/>
      <c r="H128" s="169"/>
      <c r="I128" s="170"/>
      <c r="J128" s="169"/>
      <c r="K128" s="170"/>
      <c r="L128" s="169"/>
      <c r="M128" s="169"/>
      <c r="N128" s="140" t="s">
        <v>78</v>
      </c>
      <c r="O128" s="171"/>
    </row>
    <row r="129" spans="1:15" s="176" customFormat="1" ht="13.5">
      <c r="A129" s="106"/>
      <c r="B129" s="107" t="s">
        <v>62</v>
      </c>
      <c r="C129" s="173"/>
      <c r="D129" s="108" t="s">
        <v>15</v>
      </c>
      <c r="E129" s="69">
        <v>1.01</v>
      </c>
      <c r="F129" s="109">
        <f>F128*E129</f>
        <v>1.01</v>
      </c>
      <c r="G129" s="110"/>
      <c r="H129" s="111"/>
      <c r="I129" s="112"/>
      <c r="J129" s="109"/>
      <c r="K129" s="112"/>
      <c r="L129" s="109"/>
      <c r="M129" s="109"/>
      <c r="N129" s="174"/>
      <c r="O129" s="175"/>
    </row>
    <row r="130" spans="1:15" s="180" customFormat="1" ht="13.5">
      <c r="A130" s="106"/>
      <c r="B130" s="107" t="s">
        <v>31</v>
      </c>
      <c r="C130" s="177"/>
      <c r="D130" s="108" t="s">
        <v>0</v>
      </c>
      <c r="E130" s="69">
        <v>0.02</v>
      </c>
      <c r="F130" s="109">
        <f>F128*E130</f>
        <v>0.02</v>
      </c>
      <c r="G130" s="108"/>
      <c r="H130" s="109"/>
      <c r="I130" s="112"/>
      <c r="J130" s="109"/>
      <c r="K130" s="112"/>
      <c r="L130" s="109"/>
      <c r="M130" s="109"/>
      <c r="N130" s="178"/>
      <c r="O130" s="179"/>
    </row>
    <row r="131" spans="1:15" s="176" customFormat="1" ht="13.5">
      <c r="A131" s="106"/>
      <c r="B131" s="69" t="s">
        <v>16</v>
      </c>
      <c r="C131" s="177"/>
      <c r="D131" s="108"/>
      <c r="E131" s="69"/>
      <c r="F131" s="108"/>
      <c r="G131" s="108"/>
      <c r="H131" s="109"/>
      <c r="I131" s="112"/>
      <c r="J131" s="109"/>
      <c r="K131" s="112"/>
      <c r="L131" s="109"/>
      <c r="M131" s="109"/>
      <c r="N131" s="174"/>
      <c r="O131" s="175"/>
    </row>
    <row r="132" spans="1:15" s="176" customFormat="1" ht="13.5">
      <c r="A132" s="106"/>
      <c r="B132" s="107" t="s">
        <v>79</v>
      </c>
      <c r="C132" s="177"/>
      <c r="D132" s="108" t="s">
        <v>26</v>
      </c>
      <c r="E132" s="69">
        <v>1</v>
      </c>
      <c r="F132" s="108">
        <f>F128*E132</f>
        <v>1</v>
      </c>
      <c r="G132" s="108"/>
      <c r="H132" s="109"/>
      <c r="I132" s="112"/>
      <c r="J132" s="109"/>
      <c r="K132" s="112"/>
      <c r="L132" s="109"/>
      <c r="M132" s="109"/>
      <c r="N132" s="174"/>
      <c r="O132" s="175"/>
    </row>
    <row r="133" spans="1:15" s="176" customFormat="1" ht="13.5">
      <c r="A133" s="106"/>
      <c r="B133" s="107" t="s">
        <v>20</v>
      </c>
      <c r="C133" s="177"/>
      <c r="D133" s="108" t="s">
        <v>0</v>
      </c>
      <c r="E133" s="69">
        <v>0.49</v>
      </c>
      <c r="F133" s="108">
        <f>F128*E133</f>
        <v>0.49</v>
      </c>
      <c r="G133" s="108"/>
      <c r="H133" s="109"/>
      <c r="I133" s="112"/>
      <c r="J133" s="109"/>
      <c r="K133" s="112"/>
      <c r="L133" s="109"/>
      <c r="M133" s="109"/>
      <c r="N133" s="174"/>
      <c r="O133" s="175"/>
    </row>
    <row r="134" spans="1:13" s="104" customFormat="1" ht="27">
      <c r="A134" s="254">
        <v>25</v>
      </c>
      <c r="B134" s="166" t="s">
        <v>200</v>
      </c>
      <c r="C134" s="295" t="s">
        <v>198</v>
      </c>
      <c r="D134" s="165" t="s">
        <v>113</v>
      </c>
      <c r="E134" s="165"/>
      <c r="F134" s="167">
        <v>2</v>
      </c>
      <c r="G134" s="168"/>
      <c r="H134" s="169"/>
      <c r="I134" s="170"/>
      <c r="J134" s="169"/>
      <c r="K134" s="170"/>
      <c r="L134" s="169"/>
      <c r="M134" s="169"/>
    </row>
    <row r="135" spans="1:13" s="104" customFormat="1" ht="13.5">
      <c r="A135" s="106"/>
      <c r="B135" s="107" t="s">
        <v>62</v>
      </c>
      <c r="C135" s="155"/>
      <c r="D135" s="108" t="s">
        <v>15</v>
      </c>
      <c r="E135" s="69">
        <v>2.08</v>
      </c>
      <c r="F135" s="109">
        <f>F134*E135</f>
        <v>4.16</v>
      </c>
      <c r="G135" s="110"/>
      <c r="H135" s="111"/>
      <c r="I135" s="112"/>
      <c r="J135" s="109"/>
      <c r="K135" s="112"/>
      <c r="L135" s="109"/>
      <c r="M135" s="109"/>
    </row>
    <row r="136" spans="1:13" s="104" customFormat="1" ht="13.5">
      <c r="A136" s="106"/>
      <c r="B136" s="107" t="s">
        <v>31</v>
      </c>
      <c r="C136" s="177"/>
      <c r="D136" s="108" t="s">
        <v>0</v>
      </c>
      <c r="E136" s="69">
        <v>0.2</v>
      </c>
      <c r="F136" s="109">
        <f>F134*E136</f>
        <v>0.4</v>
      </c>
      <c r="G136" s="108"/>
      <c r="H136" s="109"/>
      <c r="I136" s="112"/>
      <c r="J136" s="109"/>
      <c r="K136" s="112"/>
      <c r="L136" s="109"/>
      <c r="M136" s="109"/>
    </row>
    <row r="137" spans="1:13" s="104" customFormat="1" ht="13.5">
      <c r="A137" s="106"/>
      <c r="B137" s="69" t="s">
        <v>16</v>
      </c>
      <c r="C137" s="177"/>
      <c r="D137" s="108"/>
      <c r="E137" s="69"/>
      <c r="F137" s="108"/>
      <c r="G137" s="108"/>
      <c r="H137" s="109"/>
      <c r="I137" s="112"/>
      <c r="J137" s="109"/>
      <c r="K137" s="112"/>
      <c r="L137" s="109"/>
      <c r="M137" s="109"/>
    </row>
    <row r="138" spans="1:13" s="104" customFormat="1" ht="13.5">
      <c r="A138" s="106"/>
      <c r="B138" s="107" t="s">
        <v>199</v>
      </c>
      <c r="C138" s="177"/>
      <c r="D138" s="108" t="s">
        <v>113</v>
      </c>
      <c r="E138" s="69">
        <v>1</v>
      </c>
      <c r="F138" s="108">
        <f>F134*E138</f>
        <v>2</v>
      </c>
      <c r="G138" s="108"/>
      <c r="H138" s="109"/>
      <c r="I138" s="112"/>
      <c r="J138" s="109"/>
      <c r="K138" s="112"/>
      <c r="L138" s="109"/>
      <c r="M138" s="109"/>
    </row>
    <row r="139" spans="1:13" s="104" customFormat="1" ht="13.5">
      <c r="A139" s="106"/>
      <c r="B139" s="107" t="s">
        <v>20</v>
      </c>
      <c r="C139" s="177"/>
      <c r="D139" s="108" t="s">
        <v>0</v>
      </c>
      <c r="E139" s="69">
        <v>0.44</v>
      </c>
      <c r="F139" s="108">
        <f>F134*E139</f>
        <v>0.88</v>
      </c>
      <c r="G139" s="108"/>
      <c r="H139" s="109"/>
      <c r="I139" s="112"/>
      <c r="J139" s="109"/>
      <c r="K139" s="112"/>
      <c r="L139" s="109"/>
      <c r="M139" s="109"/>
    </row>
    <row r="140" spans="1:15" s="96" customFormat="1" ht="33.75">
      <c r="A140" s="165">
        <v>26</v>
      </c>
      <c r="B140" s="166" t="s">
        <v>201</v>
      </c>
      <c r="C140" s="294" t="s">
        <v>169</v>
      </c>
      <c r="D140" s="93" t="s">
        <v>170</v>
      </c>
      <c r="E140" s="93"/>
      <c r="F140" s="139">
        <v>2</v>
      </c>
      <c r="G140" s="94"/>
      <c r="H140" s="95"/>
      <c r="I140" s="93"/>
      <c r="J140" s="95"/>
      <c r="K140" s="93"/>
      <c r="L140" s="95"/>
      <c r="M140" s="95"/>
      <c r="N140" s="140"/>
      <c r="O140" s="140"/>
    </row>
    <row r="141" spans="1:15" s="99" customFormat="1" ht="13.5">
      <c r="A141" s="97"/>
      <c r="B141" s="98" t="s">
        <v>171</v>
      </c>
      <c r="C141" s="69"/>
      <c r="D141" s="38" t="s">
        <v>15</v>
      </c>
      <c r="E141" s="38">
        <v>5.68</v>
      </c>
      <c r="F141" s="70">
        <f>F140*E141</f>
        <v>11.36</v>
      </c>
      <c r="G141" s="38"/>
      <c r="H141" s="70"/>
      <c r="I141" s="38"/>
      <c r="J141" s="70"/>
      <c r="K141" s="38"/>
      <c r="L141" s="70"/>
      <c r="M141" s="70"/>
      <c r="N141" s="141"/>
      <c r="O141" s="141"/>
    </row>
    <row r="142" spans="1:15" s="99" customFormat="1" ht="13.5">
      <c r="A142" s="97"/>
      <c r="B142" s="98" t="s">
        <v>172</v>
      </c>
      <c r="C142" s="69"/>
      <c r="D142" s="69" t="s">
        <v>0</v>
      </c>
      <c r="E142" s="38">
        <v>0.33</v>
      </c>
      <c r="F142" s="100">
        <f>F140*E142</f>
        <v>0.66</v>
      </c>
      <c r="G142" s="38"/>
      <c r="H142" s="70"/>
      <c r="I142" s="38"/>
      <c r="J142" s="70"/>
      <c r="K142" s="38"/>
      <c r="L142" s="70"/>
      <c r="M142" s="70"/>
      <c r="N142" s="141"/>
      <c r="O142" s="141"/>
    </row>
    <row r="143" spans="1:15" s="104" customFormat="1" ht="13.5">
      <c r="A143" s="19"/>
      <c r="B143" s="69" t="s">
        <v>16</v>
      </c>
      <c r="C143" s="101"/>
      <c r="D143" s="69"/>
      <c r="E143" s="69"/>
      <c r="F143" s="102"/>
      <c r="G143" s="69"/>
      <c r="H143" s="102"/>
      <c r="I143" s="38"/>
      <c r="J143" s="102"/>
      <c r="K143" s="103"/>
      <c r="L143" s="102"/>
      <c r="M143" s="102"/>
      <c r="N143" s="141"/>
      <c r="O143" s="141"/>
    </row>
    <row r="144" spans="1:15" s="104" customFormat="1" ht="13.5">
      <c r="A144" s="19"/>
      <c r="B144" s="105" t="s">
        <v>202</v>
      </c>
      <c r="C144" s="101"/>
      <c r="D144" s="69" t="s">
        <v>173</v>
      </c>
      <c r="E144" s="69">
        <v>1</v>
      </c>
      <c r="F144" s="102">
        <f>E144*F140</f>
        <v>2</v>
      </c>
      <c r="G144" s="102"/>
      <c r="H144" s="102"/>
      <c r="I144" s="38"/>
      <c r="J144" s="102"/>
      <c r="K144" s="103"/>
      <c r="L144" s="102"/>
      <c r="M144" s="102"/>
      <c r="N144" s="141"/>
      <c r="O144" s="141"/>
    </row>
    <row r="145" spans="1:15" s="104" customFormat="1" ht="13.5">
      <c r="A145" s="19"/>
      <c r="B145" s="105" t="s">
        <v>203</v>
      </c>
      <c r="C145" s="101"/>
      <c r="D145" s="69" t="s">
        <v>173</v>
      </c>
      <c r="E145" s="69">
        <v>1</v>
      </c>
      <c r="F145" s="102">
        <f>E145*F140</f>
        <v>2</v>
      </c>
      <c r="G145" s="102"/>
      <c r="H145" s="102"/>
      <c r="I145" s="38"/>
      <c r="J145" s="102"/>
      <c r="K145" s="103"/>
      <c r="L145" s="102"/>
      <c r="M145" s="102"/>
      <c r="N145" s="141"/>
      <c r="O145" s="141"/>
    </row>
    <row r="146" spans="1:15" s="104" customFormat="1" ht="13.5">
      <c r="A146" s="19"/>
      <c r="B146" s="105" t="s">
        <v>204</v>
      </c>
      <c r="C146" s="101"/>
      <c r="D146" s="69" t="s">
        <v>174</v>
      </c>
      <c r="E146" s="69">
        <v>1</v>
      </c>
      <c r="F146" s="102">
        <f>E146*F140</f>
        <v>2</v>
      </c>
      <c r="G146" s="102"/>
      <c r="H146" s="102"/>
      <c r="I146" s="38"/>
      <c r="J146" s="102"/>
      <c r="K146" s="103"/>
      <c r="L146" s="102"/>
      <c r="M146" s="102"/>
      <c r="N146" s="141"/>
      <c r="O146" s="141"/>
    </row>
    <row r="147" spans="1:15" s="104" customFormat="1" ht="13.5">
      <c r="A147" s="19"/>
      <c r="B147" s="105" t="s">
        <v>176</v>
      </c>
      <c r="C147" s="101"/>
      <c r="D147" s="69" t="s">
        <v>174</v>
      </c>
      <c r="E147" s="69">
        <v>2</v>
      </c>
      <c r="F147" s="102">
        <f>E147*F140</f>
        <v>4</v>
      </c>
      <c r="G147" s="102"/>
      <c r="H147" s="102"/>
      <c r="I147" s="38"/>
      <c r="J147" s="102"/>
      <c r="K147" s="103"/>
      <c r="L147" s="102"/>
      <c r="M147" s="102"/>
      <c r="N147" s="141"/>
      <c r="O147" s="141"/>
    </row>
    <row r="148" spans="1:15" s="104" customFormat="1" ht="13.5">
      <c r="A148" s="19"/>
      <c r="B148" s="105" t="s">
        <v>205</v>
      </c>
      <c r="C148" s="101"/>
      <c r="D148" s="69" t="s">
        <v>174</v>
      </c>
      <c r="E148" s="69">
        <v>1</v>
      </c>
      <c r="F148" s="102">
        <f>E148*F140</f>
        <v>2</v>
      </c>
      <c r="G148" s="102"/>
      <c r="H148" s="102"/>
      <c r="I148" s="38"/>
      <c r="J148" s="102"/>
      <c r="K148" s="103"/>
      <c r="L148" s="102"/>
      <c r="M148" s="102"/>
      <c r="N148" s="141"/>
      <c r="O148" s="141"/>
    </row>
    <row r="149" spans="1:15" s="104" customFormat="1" ht="13.5">
      <c r="A149" s="19"/>
      <c r="B149" s="105" t="s">
        <v>87</v>
      </c>
      <c r="C149" s="101"/>
      <c r="D149" s="69" t="s">
        <v>174</v>
      </c>
      <c r="E149" s="69">
        <v>2</v>
      </c>
      <c r="F149" s="102">
        <f>E149*F140</f>
        <v>4</v>
      </c>
      <c r="G149" s="102"/>
      <c r="H149" s="102"/>
      <c r="I149" s="38"/>
      <c r="J149" s="102"/>
      <c r="K149" s="103"/>
      <c r="L149" s="102"/>
      <c r="M149" s="102"/>
      <c r="N149" s="141"/>
      <c r="O149" s="141"/>
    </row>
    <row r="150" spans="1:15" s="104" customFormat="1" ht="13.5">
      <c r="A150" s="19"/>
      <c r="B150" s="105" t="s">
        <v>206</v>
      </c>
      <c r="C150" s="101"/>
      <c r="D150" s="69" t="s">
        <v>174</v>
      </c>
      <c r="E150" s="69">
        <v>2</v>
      </c>
      <c r="F150" s="102">
        <f>E150*F140</f>
        <v>4</v>
      </c>
      <c r="G150" s="102"/>
      <c r="H150" s="102"/>
      <c r="I150" s="38"/>
      <c r="J150" s="102"/>
      <c r="K150" s="103"/>
      <c r="L150" s="102"/>
      <c r="M150" s="102"/>
      <c r="N150" s="141"/>
      <c r="O150" s="141"/>
    </row>
    <row r="151" spans="1:15" s="104" customFormat="1" ht="13.5">
      <c r="A151" s="19"/>
      <c r="B151" s="105" t="s">
        <v>20</v>
      </c>
      <c r="C151" s="101"/>
      <c r="D151" s="69" t="s">
        <v>0</v>
      </c>
      <c r="E151" s="69">
        <v>1.3</v>
      </c>
      <c r="F151" s="102">
        <f>E151*F140</f>
        <v>2.6</v>
      </c>
      <c r="G151" s="102"/>
      <c r="H151" s="102"/>
      <c r="I151" s="38"/>
      <c r="J151" s="102"/>
      <c r="K151" s="103"/>
      <c r="L151" s="102"/>
      <c r="M151" s="102"/>
      <c r="N151" s="141"/>
      <c r="O151" s="141"/>
    </row>
    <row r="152" spans="1:14" ht="18" customHeight="1">
      <c r="A152" s="558" t="s">
        <v>10</v>
      </c>
      <c r="B152" s="559"/>
      <c r="C152" s="559"/>
      <c r="D152" s="559"/>
      <c r="E152" s="559"/>
      <c r="F152" s="559"/>
      <c r="G152" s="560"/>
      <c r="H152" s="435"/>
      <c r="I152" s="436"/>
      <c r="J152" s="436">
        <f>SUM(J7:J151)</f>
        <v>0</v>
      </c>
      <c r="K152" s="436"/>
      <c r="L152" s="436">
        <f>SUM(L7:L151)</f>
        <v>0</v>
      </c>
      <c r="M152" s="35"/>
      <c r="N152" s="290"/>
    </row>
    <row r="153" spans="1:14" ht="17.25" customHeight="1">
      <c r="A153" s="555" t="s">
        <v>475</v>
      </c>
      <c r="B153" s="556"/>
      <c r="C153" s="556"/>
      <c r="D153" s="556"/>
      <c r="E153" s="556"/>
      <c r="F153" s="556"/>
      <c r="G153" s="556"/>
      <c r="H153" s="556"/>
      <c r="I153" s="556"/>
      <c r="J153" s="556"/>
      <c r="K153" s="557"/>
      <c r="L153" s="14" t="s">
        <v>476</v>
      </c>
      <c r="M153" s="26"/>
      <c r="N153" s="290"/>
    </row>
    <row r="154" spans="1:13" ht="19.5" customHeight="1">
      <c r="A154" s="558" t="s">
        <v>10</v>
      </c>
      <c r="B154" s="559"/>
      <c r="C154" s="559"/>
      <c r="D154" s="559"/>
      <c r="E154" s="559"/>
      <c r="F154" s="559"/>
      <c r="G154" s="559"/>
      <c r="H154" s="559"/>
      <c r="I154" s="559"/>
      <c r="J154" s="559"/>
      <c r="K154" s="559"/>
      <c r="L154" s="560"/>
      <c r="M154" s="36"/>
    </row>
    <row r="155" spans="1:14" ht="18.75" customHeight="1">
      <c r="A155" s="555" t="s">
        <v>22</v>
      </c>
      <c r="B155" s="556"/>
      <c r="C155" s="556"/>
      <c r="D155" s="556"/>
      <c r="E155" s="556"/>
      <c r="F155" s="556"/>
      <c r="G155" s="556"/>
      <c r="H155" s="556"/>
      <c r="I155" s="556"/>
      <c r="J155" s="556"/>
      <c r="K155" s="557"/>
      <c r="L155" s="14" t="s">
        <v>476</v>
      </c>
      <c r="M155" s="26"/>
      <c r="N155" s="290"/>
    </row>
    <row r="156" spans="1:13" ht="17.25" customHeight="1">
      <c r="A156" s="558" t="s">
        <v>10</v>
      </c>
      <c r="B156" s="559"/>
      <c r="C156" s="559"/>
      <c r="D156" s="559"/>
      <c r="E156" s="559"/>
      <c r="F156" s="559"/>
      <c r="G156" s="559"/>
      <c r="H156" s="559"/>
      <c r="I156" s="559"/>
      <c r="J156" s="559"/>
      <c r="K156" s="559"/>
      <c r="L156" s="560"/>
      <c r="M156" s="36"/>
    </row>
    <row r="157" spans="1:14" ht="18.75" customHeight="1" thickBot="1">
      <c r="A157" s="555" t="s">
        <v>21</v>
      </c>
      <c r="B157" s="556"/>
      <c r="C157" s="556"/>
      <c r="D157" s="556"/>
      <c r="E157" s="556"/>
      <c r="F157" s="556"/>
      <c r="G157" s="556"/>
      <c r="H157" s="556"/>
      <c r="I157" s="556"/>
      <c r="J157" s="556"/>
      <c r="K157" s="557"/>
      <c r="L157" s="14" t="s">
        <v>476</v>
      </c>
      <c r="M157" s="437"/>
      <c r="N157" s="290"/>
    </row>
    <row r="158" spans="1:13" ht="21.75" customHeight="1" thickBot="1">
      <c r="A158" s="561" t="s">
        <v>36</v>
      </c>
      <c r="B158" s="561"/>
      <c r="C158" s="561"/>
      <c r="D158" s="561"/>
      <c r="E158" s="561"/>
      <c r="F158" s="561"/>
      <c r="G158" s="561"/>
      <c r="H158" s="561"/>
      <c r="I158" s="561"/>
      <c r="J158" s="561"/>
      <c r="K158" s="561"/>
      <c r="L158" s="558"/>
      <c r="M158" s="438"/>
    </row>
    <row r="159" spans="1:13" ht="13.5">
      <c r="A159" s="13"/>
      <c r="B159" s="13"/>
      <c r="C159" s="21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3.5">
      <c r="A160" s="13"/>
      <c r="B160" s="13"/>
      <c r="C160" s="21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5.75">
      <c r="A161" s="2"/>
      <c r="B161" s="299"/>
      <c r="C161" s="299"/>
      <c r="D161" s="2"/>
      <c r="E161" s="299"/>
      <c r="F161" s="2"/>
      <c r="G161" s="2"/>
      <c r="H161" s="6"/>
      <c r="I161" s="2"/>
      <c r="J161" s="2"/>
      <c r="K161" s="2"/>
      <c r="L161" s="2"/>
      <c r="M161" s="2"/>
    </row>
    <row r="162" spans="1:13" ht="13.5">
      <c r="A162" s="13"/>
      <c r="B162" s="299"/>
      <c r="C162" s="299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3.5">
      <c r="A163" s="13"/>
      <c r="B163" s="13"/>
      <c r="C163" s="21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3.5">
      <c r="A164" s="13"/>
      <c r="B164" s="13"/>
      <c r="C164" s="21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</sheetData>
  <sheetProtection/>
  <autoFilter ref="A1:A163"/>
  <mergeCells count="20">
    <mergeCell ref="A153:K153"/>
    <mergeCell ref="A154:L154"/>
    <mergeCell ref="G4:H4"/>
    <mergeCell ref="I4:J4"/>
    <mergeCell ref="K4:L4"/>
    <mergeCell ref="A4:A5"/>
    <mergeCell ref="B4:B5"/>
    <mergeCell ref="C4:C5"/>
    <mergeCell ref="D4:D5"/>
    <mergeCell ref="E4:E5"/>
    <mergeCell ref="A155:K155"/>
    <mergeCell ref="A156:L156"/>
    <mergeCell ref="A157:K157"/>
    <mergeCell ref="A158:L158"/>
    <mergeCell ref="J1:M1"/>
    <mergeCell ref="B2:M2"/>
    <mergeCell ref="A3:M3"/>
    <mergeCell ref="F4:F5"/>
    <mergeCell ref="A7:M7"/>
    <mergeCell ref="A152:G152"/>
  </mergeCells>
  <printOptions/>
  <pageMargins left="0.4" right="0.36" top="0.27" bottom="0.36" header="0.2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00"/>
  </sheetPr>
  <dimension ref="A1:BY179"/>
  <sheetViews>
    <sheetView view="pageBreakPreview" zoomScale="110" zoomScaleNormal="85" zoomScaleSheetLayoutView="110" workbookViewId="0" topLeftCell="A1">
      <pane xSplit="1" ySplit="6" topLeftCell="B145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A7" sqref="A7:IV7"/>
    </sheetView>
  </sheetViews>
  <sheetFormatPr defaultColWidth="9.140625" defaultRowHeight="12.75"/>
  <cols>
    <col min="1" max="1" width="3.28125" style="3" customWidth="1"/>
    <col min="2" max="2" width="44.140625" style="3" customWidth="1"/>
    <col min="3" max="3" width="8.57421875" style="4" customWidth="1"/>
    <col min="4" max="4" width="8.28125" style="3" customWidth="1"/>
    <col min="5" max="5" width="8.421875" style="3" customWidth="1"/>
    <col min="6" max="6" width="9.7109375" style="3" customWidth="1"/>
    <col min="7" max="7" width="8.7109375" style="3" customWidth="1"/>
    <col min="8" max="8" width="10.8515625" style="3" bestFit="1" customWidth="1"/>
    <col min="9" max="9" width="8.57421875" style="3" customWidth="1"/>
    <col min="10" max="10" width="10.8515625" style="3" bestFit="1" customWidth="1"/>
    <col min="11" max="11" width="7.7109375" style="3" customWidth="1"/>
    <col min="12" max="12" width="10.7109375" style="3" customWidth="1"/>
    <col min="13" max="13" width="12.28125" style="3" customWidth="1"/>
    <col min="14" max="14" width="16.00390625" style="5" bestFit="1" customWidth="1"/>
    <col min="15" max="16384" width="9.140625" style="5" customWidth="1"/>
  </cols>
  <sheetData>
    <row r="1" spans="1:13" ht="24" customHeight="1">
      <c r="A1" s="439"/>
      <c r="B1" s="439"/>
      <c r="C1" s="440"/>
      <c r="D1" s="439"/>
      <c r="E1" s="439"/>
      <c r="F1" s="439"/>
      <c r="G1" s="439"/>
      <c r="H1" s="439"/>
      <c r="I1" s="439"/>
      <c r="J1" s="562" t="s">
        <v>479</v>
      </c>
      <c r="K1" s="562"/>
      <c r="L1" s="562"/>
      <c r="M1" s="562"/>
    </row>
    <row r="2" spans="1:13" s="21" customFormat="1" ht="33.75" customHeight="1">
      <c r="A2" s="20"/>
      <c r="B2" s="550" t="s">
        <v>478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3" s="21" customFormat="1" ht="16.5" thickBot="1">
      <c r="A3" s="572" t="s">
        <v>477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s="21" customFormat="1" ht="11.25">
      <c r="A4" s="570" t="s">
        <v>1</v>
      </c>
      <c r="B4" s="564" t="s">
        <v>3</v>
      </c>
      <c r="C4" s="564" t="s">
        <v>2</v>
      </c>
      <c r="D4" s="564" t="s">
        <v>4</v>
      </c>
      <c r="E4" s="564" t="s">
        <v>13</v>
      </c>
      <c r="F4" s="564" t="s">
        <v>5</v>
      </c>
      <c r="G4" s="569" t="s">
        <v>19</v>
      </c>
      <c r="H4" s="569"/>
      <c r="I4" s="569" t="s">
        <v>6</v>
      </c>
      <c r="J4" s="569"/>
      <c r="K4" s="564" t="s">
        <v>7</v>
      </c>
      <c r="L4" s="564"/>
      <c r="M4" s="428" t="s">
        <v>8</v>
      </c>
    </row>
    <row r="5" spans="1:13" s="21" customFormat="1" ht="11.25">
      <c r="A5" s="571"/>
      <c r="B5" s="565"/>
      <c r="C5" s="565"/>
      <c r="D5" s="565"/>
      <c r="E5" s="565"/>
      <c r="F5" s="565"/>
      <c r="G5" s="17" t="s">
        <v>9</v>
      </c>
      <c r="H5" s="22" t="s">
        <v>10</v>
      </c>
      <c r="I5" s="17" t="s">
        <v>9</v>
      </c>
      <c r="J5" s="22" t="s">
        <v>10</v>
      </c>
      <c r="K5" s="17" t="s">
        <v>9</v>
      </c>
      <c r="L5" s="22" t="s">
        <v>11</v>
      </c>
      <c r="M5" s="429" t="s">
        <v>12</v>
      </c>
    </row>
    <row r="6" spans="1:13" s="21" customFormat="1" ht="12" thickBot="1">
      <c r="A6" s="430">
        <v>1</v>
      </c>
      <c r="B6" s="431">
        <v>2</v>
      </c>
      <c r="C6" s="431">
        <v>3</v>
      </c>
      <c r="D6" s="431">
        <v>4</v>
      </c>
      <c r="E6" s="431">
        <v>5</v>
      </c>
      <c r="F6" s="431">
        <v>6</v>
      </c>
      <c r="G6" s="432">
        <v>7</v>
      </c>
      <c r="H6" s="433">
        <v>8</v>
      </c>
      <c r="I6" s="432">
        <v>9</v>
      </c>
      <c r="J6" s="433">
        <v>10</v>
      </c>
      <c r="K6" s="432">
        <v>11</v>
      </c>
      <c r="L6" s="433">
        <v>12</v>
      </c>
      <c r="M6" s="434">
        <v>13</v>
      </c>
    </row>
    <row r="7" spans="1:13" s="2" customFormat="1" ht="15.75">
      <c r="A7" s="566" t="s">
        <v>212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8"/>
    </row>
    <row r="8" spans="1:14" s="33" customFormat="1" ht="40.5">
      <c r="A8" s="27">
        <v>1</v>
      </c>
      <c r="B8" s="143" t="s">
        <v>54</v>
      </c>
      <c r="C8" s="294" t="s">
        <v>53</v>
      </c>
      <c r="D8" s="27" t="s">
        <v>23</v>
      </c>
      <c r="E8" s="27"/>
      <c r="F8" s="27">
        <v>1855</v>
      </c>
      <c r="G8" s="27"/>
      <c r="H8" s="27"/>
      <c r="I8" s="27"/>
      <c r="J8" s="27"/>
      <c r="K8" s="27"/>
      <c r="L8" s="27"/>
      <c r="M8" s="27"/>
      <c r="N8" s="32"/>
    </row>
    <row r="9" spans="1:13" s="24" customFormat="1" ht="13.5">
      <c r="A9" s="78"/>
      <c r="B9" s="79" t="s">
        <v>14</v>
      </c>
      <c r="C9" s="80"/>
      <c r="D9" s="81" t="s">
        <v>15</v>
      </c>
      <c r="E9" s="46">
        <f>27/1000</f>
        <v>0.027</v>
      </c>
      <c r="F9" s="82">
        <f>E9*F8</f>
        <v>50.085</v>
      </c>
      <c r="G9" s="81"/>
      <c r="H9" s="76"/>
      <c r="I9" s="81"/>
      <c r="J9" s="77"/>
      <c r="K9" s="81"/>
      <c r="L9" s="76"/>
      <c r="M9" s="77"/>
    </row>
    <row r="10" spans="1:13" s="24" customFormat="1" ht="13.5">
      <c r="A10" s="78"/>
      <c r="B10" s="79" t="s">
        <v>33</v>
      </c>
      <c r="C10" s="83"/>
      <c r="D10" s="49" t="s">
        <v>32</v>
      </c>
      <c r="E10" s="46">
        <f>60.5/1000</f>
        <v>0.0605</v>
      </c>
      <c r="F10" s="47">
        <f>E10*F8</f>
        <v>112.22749999999999</v>
      </c>
      <c r="G10" s="46"/>
      <c r="H10" s="47"/>
      <c r="I10" s="46"/>
      <c r="J10" s="47"/>
      <c r="K10" s="11"/>
      <c r="L10" s="76"/>
      <c r="M10" s="77"/>
    </row>
    <row r="11" spans="1:14" s="33" customFormat="1" ht="27">
      <c r="A11" s="27">
        <v>2</v>
      </c>
      <c r="B11" s="143" t="s">
        <v>55</v>
      </c>
      <c r="C11" s="294" t="s">
        <v>56</v>
      </c>
      <c r="D11" s="27" t="s">
        <v>23</v>
      </c>
      <c r="E11" s="27"/>
      <c r="F11" s="27">
        <v>206</v>
      </c>
      <c r="G11" s="27"/>
      <c r="H11" s="27"/>
      <c r="I11" s="27"/>
      <c r="J11" s="27"/>
      <c r="K11" s="27"/>
      <c r="L11" s="27"/>
      <c r="M11" s="27"/>
      <c r="N11" s="32"/>
    </row>
    <row r="12" spans="1:13" s="13" customFormat="1" ht="13.5">
      <c r="A12" s="49"/>
      <c r="B12" s="44" t="s">
        <v>14</v>
      </c>
      <c r="C12" s="45"/>
      <c r="D12" s="46" t="s">
        <v>15</v>
      </c>
      <c r="E12" s="46">
        <f>299/100</f>
        <v>2.99</v>
      </c>
      <c r="F12" s="47">
        <f>F11*E12</f>
        <v>615.94</v>
      </c>
      <c r="G12" s="46"/>
      <c r="H12" s="47"/>
      <c r="I12" s="46"/>
      <c r="J12" s="47"/>
      <c r="K12" s="46"/>
      <c r="L12" s="47"/>
      <c r="M12" s="47"/>
    </row>
    <row r="13" spans="1:14" s="232" customFormat="1" ht="33.75">
      <c r="A13" s="27">
        <v>3</v>
      </c>
      <c r="B13" s="144" t="s">
        <v>123</v>
      </c>
      <c r="C13" s="294" t="s">
        <v>122</v>
      </c>
      <c r="D13" s="28" t="s">
        <v>48</v>
      </c>
      <c r="E13" s="29"/>
      <c r="F13" s="27">
        <f>F11*1.95</f>
        <v>401.7</v>
      </c>
      <c r="G13" s="28"/>
      <c r="H13" s="230"/>
      <c r="I13" s="28"/>
      <c r="J13" s="231"/>
      <c r="K13" s="28"/>
      <c r="L13" s="230"/>
      <c r="M13" s="231"/>
      <c r="N13" s="96"/>
    </row>
    <row r="14" spans="1:13" s="233" customFormat="1" ht="13.5">
      <c r="A14" s="18"/>
      <c r="B14" s="150" t="s">
        <v>62</v>
      </c>
      <c r="C14" s="69"/>
      <c r="D14" s="38" t="s">
        <v>15</v>
      </c>
      <c r="E14" s="70">
        <v>0.67</v>
      </c>
      <c r="F14" s="70">
        <f>F13*E14</f>
        <v>269.139</v>
      </c>
      <c r="G14" s="69"/>
      <c r="H14" s="102"/>
      <c r="I14" s="69"/>
      <c r="J14" s="102"/>
      <c r="K14" s="69"/>
      <c r="L14" s="69"/>
      <c r="M14" s="102"/>
    </row>
    <row r="15" spans="1:24" s="23" customFormat="1" ht="27">
      <c r="A15" s="92">
        <v>4</v>
      </c>
      <c r="B15" s="143" t="s">
        <v>83</v>
      </c>
      <c r="C15" s="294" t="s">
        <v>63</v>
      </c>
      <c r="D15" s="27" t="s">
        <v>48</v>
      </c>
      <c r="E15" s="27"/>
      <c r="F15" s="27">
        <f>2060*1.95</f>
        <v>4017</v>
      </c>
      <c r="G15" s="27"/>
      <c r="H15" s="27"/>
      <c r="I15" s="27"/>
      <c r="J15" s="27"/>
      <c r="K15" s="27"/>
      <c r="L15" s="151"/>
      <c r="M15" s="151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13" s="13" customFormat="1" ht="27">
      <c r="A16" s="92">
        <v>5</v>
      </c>
      <c r="B16" s="143" t="s">
        <v>85</v>
      </c>
      <c r="C16" s="294" t="s">
        <v>60</v>
      </c>
      <c r="D16" s="27" t="s">
        <v>23</v>
      </c>
      <c r="E16" s="27"/>
      <c r="F16" s="27">
        <v>5</v>
      </c>
      <c r="G16" s="243"/>
      <c r="H16" s="27"/>
      <c r="I16" s="27"/>
      <c r="J16" s="27"/>
      <c r="K16" s="27"/>
      <c r="L16" s="27"/>
      <c r="M16" s="27"/>
    </row>
    <row r="17" spans="1:14" s="33" customFormat="1" ht="13.5">
      <c r="A17" s="43"/>
      <c r="B17" s="44" t="s">
        <v>14</v>
      </c>
      <c r="C17" s="49"/>
      <c r="D17" s="89" t="s">
        <v>15</v>
      </c>
      <c r="E17" s="89">
        <v>0.89</v>
      </c>
      <c r="F17" s="149">
        <f>F16*E17</f>
        <v>4.45</v>
      </c>
      <c r="G17" s="89"/>
      <c r="H17" s="89"/>
      <c r="I17" s="46"/>
      <c r="J17" s="47"/>
      <c r="K17" s="46"/>
      <c r="L17" s="47"/>
      <c r="M17" s="47"/>
      <c r="N17" s="32"/>
    </row>
    <row r="18" spans="1:13" s="13" customFormat="1" ht="13.5">
      <c r="A18" s="43"/>
      <c r="B18" s="44" t="s">
        <v>25</v>
      </c>
      <c r="C18" s="49"/>
      <c r="D18" s="89" t="s">
        <v>0</v>
      </c>
      <c r="E18" s="89">
        <v>0.37</v>
      </c>
      <c r="F18" s="149">
        <f>E18*F16</f>
        <v>1.85</v>
      </c>
      <c r="G18" s="89"/>
      <c r="H18" s="89"/>
      <c r="I18" s="46"/>
      <c r="J18" s="47"/>
      <c r="K18" s="46"/>
      <c r="L18" s="47"/>
      <c r="M18" s="47"/>
    </row>
    <row r="19" spans="1:13" s="13" customFormat="1" ht="13.5">
      <c r="A19" s="51"/>
      <c r="B19" s="49" t="s">
        <v>16</v>
      </c>
      <c r="C19" s="87"/>
      <c r="D19" s="89"/>
      <c r="E19" s="89"/>
      <c r="F19" s="149"/>
      <c r="G19" s="89"/>
      <c r="H19" s="89"/>
      <c r="I19" s="46"/>
      <c r="J19" s="53"/>
      <c r="K19" s="54"/>
      <c r="L19" s="53"/>
      <c r="M19" s="53"/>
    </row>
    <row r="20" spans="1:13" s="13" customFormat="1" ht="13.5">
      <c r="A20" s="51"/>
      <c r="B20" s="56" t="s">
        <v>61</v>
      </c>
      <c r="C20" s="87"/>
      <c r="D20" s="89" t="s">
        <v>23</v>
      </c>
      <c r="E20" s="89">
        <v>1.15</v>
      </c>
      <c r="F20" s="149">
        <f>E20*F16</f>
        <v>5.75</v>
      </c>
      <c r="G20" s="147"/>
      <c r="H20" s="149"/>
      <c r="I20" s="46"/>
      <c r="J20" s="53"/>
      <c r="K20" s="54"/>
      <c r="L20" s="53"/>
      <c r="M20" s="53"/>
    </row>
    <row r="21" spans="1:13" s="13" customFormat="1" ht="13.5">
      <c r="A21" s="51"/>
      <c r="B21" s="44" t="s">
        <v>20</v>
      </c>
      <c r="C21" s="87"/>
      <c r="D21" s="89" t="s">
        <v>0</v>
      </c>
      <c r="E21" s="89">
        <v>0.02</v>
      </c>
      <c r="F21" s="149">
        <f>E21*F16</f>
        <v>0.1</v>
      </c>
      <c r="G21" s="89"/>
      <c r="H21" s="149"/>
      <c r="I21" s="46"/>
      <c r="J21" s="53"/>
      <c r="K21" s="54"/>
      <c r="L21" s="53"/>
      <c r="M21" s="53"/>
    </row>
    <row r="22" spans="1:14" s="33" customFormat="1" ht="27">
      <c r="A22" s="27">
        <v>6</v>
      </c>
      <c r="B22" s="143" t="s">
        <v>133</v>
      </c>
      <c r="C22" s="294" t="s">
        <v>29</v>
      </c>
      <c r="D22" s="27" t="s">
        <v>23</v>
      </c>
      <c r="E22" s="27"/>
      <c r="F22" s="27">
        <v>749</v>
      </c>
      <c r="G22" s="27"/>
      <c r="H22" s="27"/>
      <c r="I22" s="27"/>
      <c r="J22" s="27"/>
      <c r="K22" s="27"/>
      <c r="L22" s="27"/>
      <c r="M22" s="27"/>
      <c r="N22" s="66"/>
    </row>
    <row r="23" spans="1:14" s="33" customFormat="1" ht="14.25" customHeight="1">
      <c r="A23" s="84"/>
      <c r="B23" s="85" t="s">
        <v>24</v>
      </c>
      <c r="C23" s="49"/>
      <c r="D23" s="46" t="s">
        <v>15</v>
      </c>
      <c r="E23" s="49">
        <f>18/10</f>
        <v>1.8</v>
      </c>
      <c r="F23" s="53">
        <f>E23*F22</f>
        <v>1348.2</v>
      </c>
      <c r="G23" s="49"/>
      <c r="H23" s="53"/>
      <c r="I23" s="61"/>
      <c r="J23" s="53"/>
      <c r="K23" s="49"/>
      <c r="L23" s="49"/>
      <c r="M23" s="53"/>
      <c r="N23" s="32"/>
    </row>
    <row r="24" spans="1:14" s="33" customFormat="1" ht="14.25" customHeight="1">
      <c r="A24" s="86"/>
      <c r="B24" s="49" t="s">
        <v>16</v>
      </c>
      <c r="C24" s="87"/>
      <c r="D24" s="49"/>
      <c r="E24" s="49"/>
      <c r="F24" s="53"/>
      <c r="G24" s="49"/>
      <c r="H24" s="53"/>
      <c r="I24" s="54"/>
      <c r="J24" s="53"/>
      <c r="K24" s="54"/>
      <c r="L24" s="53"/>
      <c r="M24" s="53"/>
      <c r="N24" s="32"/>
    </row>
    <row r="25" spans="1:14" s="33" customFormat="1" ht="14.25" customHeight="1">
      <c r="A25" s="86"/>
      <c r="B25" s="85" t="s">
        <v>30</v>
      </c>
      <c r="C25" s="88"/>
      <c r="D25" s="46" t="s">
        <v>35</v>
      </c>
      <c r="E25" s="61">
        <v>1.1</v>
      </c>
      <c r="F25" s="49">
        <f>E25*F22</f>
        <v>823.9000000000001</v>
      </c>
      <c r="G25" s="147"/>
      <c r="H25" s="89"/>
      <c r="I25" s="90"/>
      <c r="J25" s="91"/>
      <c r="K25" s="89"/>
      <c r="L25" s="89"/>
      <c r="M25" s="53"/>
      <c r="N25" s="32"/>
    </row>
    <row r="26" spans="1:13" s="48" customFormat="1" ht="27">
      <c r="A26" s="92">
        <v>7</v>
      </c>
      <c r="B26" s="144" t="s">
        <v>57</v>
      </c>
      <c r="C26" s="294" t="s">
        <v>46</v>
      </c>
      <c r="D26" s="27" t="s">
        <v>23</v>
      </c>
      <c r="E26" s="27"/>
      <c r="F26" s="27">
        <v>1288</v>
      </c>
      <c r="G26" s="27"/>
      <c r="H26" s="27"/>
      <c r="I26" s="27"/>
      <c r="J26" s="27"/>
      <c r="K26" s="27"/>
      <c r="L26" s="27"/>
      <c r="M26" s="27"/>
    </row>
    <row r="27" spans="1:13" s="48" customFormat="1" ht="13.5">
      <c r="A27" s="121"/>
      <c r="B27" s="16" t="s">
        <v>58</v>
      </c>
      <c r="C27" s="121"/>
      <c r="D27" s="8" t="s">
        <v>47</v>
      </c>
      <c r="E27" s="11">
        <f>9.21/1000</f>
        <v>0.009210000000000001</v>
      </c>
      <c r="F27" s="122">
        <f>E27*F26</f>
        <v>11.862480000000001</v>
      </c>
      <c r="G27" s="8"/>
      <c r="H27" s="8"/>
      <c r="I27" s="8"/>
      <c r="J27" s="8"/>
      <c r="K27" s="8"/>
      <c r="L27" s="14"/>
      <c r="M27" s="14"/>
    </row>
    <row r="28" spans="1:13" s="55" customFormat="1" ht="15.75">
      <c r="A28" s="19"/>
      <c r="B28" s="8" t="s">
        <v>16</v>
      </c>
      <c r="C28" s="146"/>
      <c r="D28" s="8"/>
      <c r="E28" s="8"/>
      <c r="F28" s="14"/>
      <c r="G28" s="8"/>
      <c r="H28" s="14"/>
      <c r="I28" s="11"/>
      <c r="J28" s="14"/>
      <c r="K28" s="15"/>
      <c r="L28" s="14"/>
      <c r="M28" s="14"/>
    </row>
    <row r="29" spans="1:13" s="55" customFormat="1" ht="15.75">
      <c r="A29" s="18"/>
      <c r="B29" s="16" t="s">
        <v>59</v>
      </c>
      <c r="C29" s="121"/>
      <c r="D29" s="11" t="s">
        <v>35</v>
      </c>
      <c r="E29" s="8">
        <v>1.1</v>
      </c>
      <c r="F29" s="8">
        <f>E29*F26</f>
        <v>1416.8000000000002</v>
      </c>
      <c r="G29" s="147"/>
      <c r="H29" s="147"/>
      <c r="I29" s="148"/>
      <c r="J29" s="38"/>
      <c r="K29" s="147"/>
      <c r="L29" s="147"/>
      <c r="M29" s="14"/>
    </row>
    <row r="30" spans="1:13" s="55" customFormat="1" ht="39.75" customHeight="1">
      <c r="A30" s="27">
        <v>8</v>
      </c>
      <c r="B30" s="143" t="s">
        <v>211</v>
      </c>
      <c r="C30" s="294" t="s">
        <v>210</v>
      </c>
      <c r="D30" s="27" t="s">
        <v>17</v>
      </c>
      <c r="E30" s="27"/>
      <c r="F30" s="27">
        <v>1505</v>
      </c>
      <c r="G30" s="27"/>
      <c r="H30" s="27"/>
      <c r="I30" s="27"/>
      <c r="J30" s="27"/>
      <c r="K30" s="27"/>
      <c r="L30" s="27"/>
      <c r="M30" s="27"/>
    </row>
    <row r="31" spans="1:13" s="55" customFormat="1" ht="15.75">
      <c r="A31" s="43"/>
      <c r="B31" s="44" t="s">
        <v>14</v>
      </c>
      <c r="C31" s="182"/>
      <c r="D31" s="46" t="s">
        <v>15</v>
      </c>
      <c r="E31" s="46">
        <f>119/1000</f>
        <v>0.119</v>
      </c>
      <c r="F31" s="47">
        <f>F30*E31</f>
        <v>179.095</v>
      </c>
      <c r="G31" s="46"/>
      <c r="H31" s="47"/>
      <c r="I31" s="46"/>
      <c r="J31" s="47"/>
      <c r="K31" s="46"/>
      <c r="L31" s="47"/>
      <c r="M31" s="47"/>
    </row>
    <row r="32" spans="1:13" s="55" customFormat="1" ht="15.75">
      <c r="A32" s="43"/>
      <c r="B32" s="44" t="s">
        <v>25</v>
      </c>
      <c r="C32" s="57"/>
      <c r="D32" s="49" t="s">
        <v>0</v>
      </c>
      <c r="E32" s="46">
        <f>67.5/1000</f>
        <v>0.0675</v>
      </c>
      <c r="F32" s="50">
        <f>E32*F30</f>
        <v>101.5875</v>
      </c>
      <c r="G32" s="46"/>
      <c r="H32" s="47"/>
      <c r="I32" s="46"/>
      <c r="J32" s="47"/>
      <c r="K32" s="46"/>
      <c r="L32" s="47"/>
      <c r="M32" s="47"/>
    </row>
    <row r="33" spans="1:13" s="55" customFormat="1" ht="15.75">
      <c r="A33" s="51"/>
      <c r="B33" s="49" t="s">
        <v>16</v>
      </c>
      <c r="C33" s="58"/>
      <c r="D33" s="49"/>
      <c r="E33" s="49"/>
      <c r="F33" s="53"/>
      <c r="G33" s="49"/>
      <c r="H33" s="53"/>
      <c r="I33" s="46"/>
      <c r="J33" s="53"/>
      <c r="K33" s="54"/>
      <c r="L33" s="53"/>
      <c r="M33" s="53"/>
    </row>
    <row r="34" spans="1:13" s="55" customFormat="1" ht="15.75">
      <c r="A34" s="51"/>
      <c r="B34" s="56" t="s">
        <v>177</v>
      </c>
      <c r="C34" s="58"/>
      <c r="D34" s="49" t="s">
        <v>17</v>
      </c>
      <c r="E34" s="49">
        <v>1.01</v>
      </c>
      <c r="F34" s="53">
        <f>E34*F30</f>
        <v>1520.05</v>
      </c>
      <c r="G34" s="14"/>
      <c r="H34" s="53"/>
      <c r="I34" s="46"/>
      <c r="J34" s="53"/>
      <c r="K34" s="54"/>
      <c r="L34" s="53"/>
      <c r="M34" s="53"/>
    </row>
    <row r="35" spans="1:13" s="55" customFormat="1" ht="15.75">
      <c r="A35" s="51"/>
      <c r="B35" s="44" t="s">
        <v>20</v>
      </c>
      <c r="C35" s="58"/>
      <c r="D35" s="49" t="s">
        <v>0</v>
      </c>
      <c r="E35" s="49">
        <f>2.16/1000</f>
        <v>0.00216</v>
      </c>
      <c r="F35" s="59">
        <f>E35*F30</f>
        <v>3.2508</v>
      </c>
      <c r="G35" s="8"/>
      <c r="H35" s="59"/>
      <c r="I35" s="46"/>
      <c r="J35" s="53"/>
      <c r="K35" s="54"/>
      <c r="L35" s="53"/>
      <c r="M35" s="59"/>
    </row>
    <row r="36" spans="1:13" s="55" customFormat="1" ht="39.75" customHeight="1">
      <c r="A36" s="27">
        <v>9</v>
      </c>
      <c r="B36" s="143" t="s">
        <v>209</v>
      </c>
      <c r="C36" s="294" t="s">
        <v>92</v>
      </c>
      <c r="D36" s="27" t="s">
        <v>17</v>
      </c>
      <c r="E36" s="27"/>
      <c r="F36" s="27">
        <v>726</v>
      </c>
      <c r="G36" s="27"/>
      <c r="H36" s="27"/>
      <c r="I36" s="27"/>
      <c r="J36" s="27"/>
      <c r="K36" s="27"/>
      <c r="L36" s="27"/>
      <c r="M36" s="27"/>
    </row>
    <row r="37" spans="1:13" s="55" customFormat="1" ht="15.75">
      <c r="A37" s="43"/>
      <c r="B37" s="44" t="s">
        <v>14</v>
      </c>
      <c r="C37" s="182"/>
      <c r="D37" s="46" t="s">
        <v>15</v>
      </c>
      <c r="E37" s="46">
        <f>105/1000</f>
        <v>0.105</v>
      </c>
      <c r="F37" s="47">
        <f>F36*E37</f>
        <v>76.23</v>
      </c>
      <c r="G37" s="46"/>
      <c r="H37" s="47"/>
      <c r="I37" s="46"/>
      <c r="J37" s="47"/>
      <c r="K37" s="46"/>
      <c r="L37" s="47"/>
      <c r="M37" s="47"/>
    </row>
    <row r="38" spans="1:13" s="55" customFormat="1" ht="15.75">
      <c r="A38" s="43"/>
      <c r="B38" s="44" t="s">
        <v>25</v>
      </c>
      <c r="C38" s="57"/>
      <c r="D38" s="49" t="s">
        <v>0</v>
      </c>
      <c r="E38" s="46">
        <f>53.8/1000</f>
        <v>0.0538</v>
      </c>
      <c r="F38" s="50">
        <f>E38*F36</f>
        <v>39.0588</v>
      </c>
      <c r="G38" s="46"/>
      <c r="H38" s="47"/>
      <c r="I38" s="46"/>
      <c r="J38" s="47"/>
      <c r="K38" s="46"/>
      <c r="L38" s="47"/>
      <c r="M38" s="47"/>
    </row>
    <row r="39" spans="1:13" s="55" customFormat="1" ht="15.75">
      <c r="A39" s="51"/>
      <c r="B39" s="49" t="s">
        <v>16</v>
      </c>
      <c r="C39" s="58"/>
      <c r="D39" s="49"/>
      <c r="E39" s="49"/>
      <c r="F39" s="53"/>
      <c r="G39" s="49"/>
      <c r="H39" s="53"/>
      <c r="I39" s="46"/>
      <c r="J39" s="53"/>
      <c r="K39" s="54"/>
      <c r="L39" s="53"/>
      <c r="M39" s="53"/>
    </row>
    <row r="40" spans="1:13" s="55" customFormat="1" ht="15.75">
      <c r="A40" s="51"/>
      <c r="B40" s="56" t="s">
        <v>177</v>
      </c>
      <c r="C40" s="58"/>
      <c r="D40" s="49" t="s">
        <v>17</v>
      </c>
      <c r="E40" s="49">
        <v>1.01</v>
      </c>
      <c r="F40" s="53">
        <f>E40*F36</f>
        <v>733.26</v>
      </c>
      <c r="G40" s="14"/>
      <c r="H40" s="53"/>
      <c r="I40" s="46"/>
      <c r="J40" s="53"/>
      <c r="K40" s="54"/>
      <c r="L40" s="53"/>
      <c r="M40" s="53"/>
    </row>
    <row r="41" spans="1:13" s="55" customFormat="1" ht="15.75">
      <c r="A41" s="51"/>
      <c r="B41" s="44" t="s">
        <v>20</v>
      </c>
      <c r="C41" s="58"/>
      <c r="D41" s="49" t="s">
        <v>0</v>
      </c>
      <c r="E41" s="49">
        <f>1.2/1000</f>
        <v>0.0012</v>
      </c>
      <c r="F41" s="59">
        <f>E41*F36</f>
        <v>0.8712</v>
      </c>
      <c r="G41" s="8"/>
      <c r="H41" s="59"/>
      <c r="I41" s="46"/>
      <c r="J41" s="53"/>
      <c r="K41" s="54"/>
      <c r="L41" s="53"/>
      <c r="M41" s="59"/>
    </row>
    <row r="42" spans="1:13" s="55" customFormat="1" ht="39.75" customHeight="1">
      <c r="A42" s="27">
        <v>10</v>
      </c>
      <c r="B42" s="143" t="s">
        <v>207</v>
      </c>
      <c r="C42" s="294" t="s">
        <v>92</v>
      </c>
      <c r="D42" s="27" t="s">
        <v>17</v>
      </c>
      <c r="E42" s="27"/>
      <c r="F42" s="27">
        <v>1237</v>
      </c>
      <c r="G42" s="27"/>
      <c r="H42" s="27"/>
      <c r="I42" s="27"/>
      <c r="J42" s="27"/>
      <c r="K42" s="27"/>
      <c r="L42" s="27"/>
      <c r="M42" s="27"/>
    </row>
    <row r="43" spans="1:13" s="55" customFormat="1" ht="15.75">
      <c r="A43" s="43"/>
      <c r="B43" s="44" t="s">
        <v>14</v>
      </c>
      <c r="C43" s="182"/>
      <c r="D43" s="46" t="s">
        <v>15</v>
      </c>
      <c r="E43" s="46">
        <f>105/1000</f>
        <v>0.105</v>
      </c>
      <c r="F43" s="47">
        <f>F42*E43</f>
        <v>129.885</v>
      </c>
      <c r="G43" s="46"/>
      <c r="H43" s="47"/>
      <c r="I43" s="46"/>
      <c r="J43" s="47"/>
      <c r="K43" s="46"/>
      <c r="L43" s="47"/>
      <c r="M43" s="47"/>
    </row>
    <row r="44" spans="1:13" s="55" customFormat="1" ht="15.75">
      <c r="A44" s="43"/>
      <c r="B44" s="44" t="s">
        <v>25</v>
      </c>
      <c r="C44" s="57"/>
      <c r="D44" s="49" t="s">
        <v>0</v>
      </c>
      <c r="E44" s="46">
        <f>53.8/1000</f>
        <v>0.0538</v>
      </c>
      <c r="F44" s="50">
        <f>E44*F42</f>
        <v>66.5506</v>
      </c>
      <c r="G44" s="46"/>
      <c r="H44" s="47"/>
      <c r="I44" s="46"/>
      <c r="J44" s="47"/>
      <c r="K44" s="46"/>
      <c r="L44" s="47"/>
      <c r="M44" s="47"/>
    </row>
    <row r="45" spans="1:13" s="55" customFormat="1" ht="15.75">
      <c r="A45" s="51"/>
      <c r="B45" s="49" t="s">
        <v>16</v>
      </c>
      <c r="C45" s="58"/>
      <c r="D45" s="49"/>
      <c r="E45" s="49"/>
      <c r="F45" s="53"/>
      <c r="G45" s="49"/>
      <c r="H45" s="53"/>
      <c r="I45" s="46"/>
      <c r="J45" s="53"/>
      <c r="K45" s="54"/>
      <c r="L45" s="53"/>
      <c r="M45" s="53"/>
    </row>
    <row r="46" spans="1:13" s="55" customFormat="1" ht="15.75">
      <c r="A46" s="51"/>
      <c r="B46" s="56" t="s">
        <v>177</v>
      </c>
      <c r="C46" s="58"/>
      <c r="D46" s="49" t="s">
        <v>17</v>
      </c>
      <c r="E46" s="49">
        <v>1.01</v>
      </c>
      <c r="F46" s="53">
        <f>E46*F42</f>
        <v>1249.3700000000001</v>
      </c>
      <c r="G46" s="14"/>
      <c r="H46" s="53"/>
      <c r="I46" s="46"/>
      <c r="J46" s="53"/>
      <c r="K46" s="54"/>
      <c r="L46" s="53"/>
      <c r="M46" s="53"/>
    </row>
    <row r="47" spans="1:13" s="55" customFormat="1" ht="15.75">
      <c r="A47" s="51"/>
      <c r="B47" s="44" t="s">
        <v>20</v>
      </c>
      <c r="C47" s="58"/>
      <c r="D47" s="49" t="s">
        <v>0</v>
      </c>
      <c r="E47" s="49">
        <f>1.2/1000</f>
        <v>0.0012</v>
      </c>
      <c r="F47" s="59">
        <f>E47*F42</f>
        <v>1.4844</v>
      </c>
      <c r="G47" s="8"/>
      <c r="H47" s="59"/>
      <c r="I47" s="46"/>
      <c r="J47" s="53"/>
      <c r="K47" s="54"/>
      <c r="L47" s="53"/>
      <c r="M47" s="59"/>
    </row>
    <row r="48" spans="1:13" s="55" customFormat="1" ht="39.75" customHeight="1">
      <c r="A48" s="27">
        <v>11</v>
      </c>
      <c r="B48" s="143" t="s">
        <v>208</v>
      </c>
      <c r="C48" s="294" t="s">
        <v>66</v>
      </c>
      <c r="D48" s="27" t="s">
        <v>17</v>
      </c>
      <c r="E48" s="27"/>
      <c r="F48" s="27">
        <v>62</v>
      </c>
      <c r="G48" s="27"/>
      <c r="H48" s="27"/>
      <c r="I48" s="27"/>
      <c r="J48" s="27"/>
      <c r="K48" s="27"/>
      <c r="L48" s="27"/>
      <c r="M48" s="27"/>
    </row>
    <row r="49" spans="1:13" s="55" customFormat="1" ht="15.75">
      <c r="A49" s="43"/>
      <c r="B49" s="44" t="s">
        <v>14</v>
      </c>
      <c r="C49" s="57"/>
      <c r="D49" s="46" t="s">
        <v>15</v>
      </c>
      <c r="E49" s="46">
        <f>95.9/1000</f>
        <v>0.0959</v>
      </c>
      <c r="F49" s="47">
        <f>F48*E49</f>
        <v>5.9458</v>
      </c>
      <c r="G49" s="46"/>
      <c r="H49" s="47"/>
      <c r="I49" s="46"/>
      <c r="J49" s="47"/>
      <c r="K49" s="46"/>
      <c r="L49" s="47"/>
      <c r="M49" s="47"/>
    </row>
    <row r="50" spans="1:13" s="55" customFormat="1" ht="15.75">
      <c r="A50" s="43"/>
      <c r="B50" s="44" t="s">
        <v>25</v>
      </c>
      <c r="C50" s="57"/>
      <c r="D50" s="49" t="s">
        <v>0</v>
      </c>
      <c r="E50" s="46">
        <f>45.2/1000</f>
        <v>0.045200000000000004</v>
      </c>
      <c r="F50" s="50">
        <f>E50*F48</f>
        <v>2.8024000000000004</v>
      </c>
      <c r="G50" s="46"/>
      <c r="H50" s="47"/>
      <c r="I50" s="46"/>
      <c r="J50" s="47"/>
      <c r="K50" s="46"/>
      <c r="L50" s="47"/>
      <c r="M50" s="47"/>
    </row>
    <row r="51" spans="1:13" s="55" customFormat="1" ht="15.75">
      <c r="A51" s="51"/>
      <c r="B51" s="49" t="s">
        <v>16</v>
      </c>
      <c r="C51" s="58"/>
      <c r="D51" s="49"/>
      <c r="E51" s="49"/>
      <c r="F51" s="53"/>
      <c r="G51" s="49"/>
      <c r="H51" s="53"/>
      <c r="I51" s="46"/>
      <c r="J51" s="53"/>
      <c r="K51" s="54"/>
      <c r="L51" s="53"/>
      <c r="M51" s="53"/>
    </row>
    <row r="52" spans="1:13" s="55" customFormat="1" ht="15.75">
      <c r="A52" s="51"/>
      <c r="B52" s="56" t="s">
        <v>177</v>
      </c>
      <c r="C52" s="58"/>
      <c r="D52" s="49" t="s">
        <v>17</v>
      </c>
      <c r="E52" s="49">
        <v>1.01</v>
      </c>
      <c r="F52" s="53">
        <f>E52*F48</f>
        <v>62.62</v>
      </c>
      <c r="G52" s="14"/>
      <c r="H52" s="53"/>
      <c r="I52" s="46"/>
      <c r="J52" s="53"/>
      <c r="K52" s="54"/>
      <c r="L52" s="53"/>
      <c r="M52" s="53"/>
    </row>
    <row r="53" spans="1:13" s="55" customFormat="1" ht="15.75">
      <c r="A53" s="51"/>
      <c r="B53" s="44" t="s">
        <v>20</v>
      </c>
      <c r="C53" s="58"/>
      <c r="D53" s="49" t="s">
        <v>0</v>
      </c>
      <c r="E53" s="49">
        <f>0.6/1000</f>
        <v>0.0006</v>
      </c>
      <c r="F53" s="59">
        <f>E53*F48</f>
        <v>0.0372</v>
      </c>
      <c r="G53" s="8"/>
      <c r="H53" s="59"/>
      <c r="I53" s="46"/>
      <c r="J53" s="53"/>
      <c r="K53" s="54"/>
      <c r="L53" s="53"/>
      <c r="M53" s="59"/>
    </row>
    <row r="54" spans="1:14" s="33" customFormat="1" ht="27">
      <c r="A54" s="27">
        <v>12</v>
      </c>
      <c r="B54" s="143" t="s">
        <v>213</v>
      </c>
      <c r="C54" s="294" t="s">
        <v>216</v>
      </c>
      <c r="D54" s="27" t="s">
        <v>17</v>
      </c>
      <c r="E54" s="27"/>
      <c r="F54" s="27">
        <f>F30</f>
        <v>1505</v>
      </c>
      <c r="G54" s="27"/>
      <c r="H54" s="27"/>
      <c r="I54" s="27"/>
      <c r="J54" s="27"/>
      <c r="K54" s="27"/>
      <c r="L54" s="27"/>
      <c r="M54" s="115"/>
      <c r="N54" s="32"/>
    </row>
    <row r="55" spans="1:18" s="25" customFormat="1" ht="13.5">
      <c r="A55" s="43"/>
      <c r="B55" s="44" t="s">
        <v>14</v>
      </c>
      <c r="C55" s="45"/>
      <c r="D55" s="46" t="s">
        <v>15</v>
      </c>
      <c r="E55" s="46">
        <f>56.7/1000</f>
        <v>0.0567</v>
      </c>
      <c r="F55" s="47">
        <f>F54*E55</f>
        <v>85.3335</v>
      </c>
      <c r="G55" s="46"/>
      <c r="H55" s="47"/>
      <c r="I55" s="46"/>
      <c r="J55" s="47"/>
      <c r="K55" s="46"/>
      <c r="L55" s="47"/>
      <c r="M55" s="116"/>
      <c r="N55" s="114"/>
      <c r="O55" s="113"/>
      <c r="P55" s="113"/>
      <c r="Q55" s="113"/>
      <c r="R55" s="114"/>
    </row>
    <row r="56" spans="1:18" s="25" customFormat="1" ht="13.5">
      <c r="A56" s="51"/>
      <c r="B56" s="49" t="s">
        <v>16</v>
      </c>
      <c r="C56" s="52"/>
      <c r="D56" s="49"/>
      <c r="E56" s="49"/>
      <c r="F56" s="53"/>
      <c r="G56" s="49"/>
      <c r="H56" s="53"/>
      <c r="I56" s="46"/>
      <c r="J56" s="53"/>
      <c r="K56" s="54"/>
      <c r="L56" s="53"/>
      <c r="M56" s="117"/>
      <c r="N56" s="114"/>
      <c r="O56" s="113"/>
      <c r="P56" s="113"/>
      <c r="Q56" s="113"/>
      <c r="R56" s="114"/>
    </row>
    <row r="57" spans="1:77" s="39" customFormat="1" ht="15.75">
      <c r="A57" s="51"/>
      <c r="B57" s="56" t="s">
        <v>37</v>
      </c>
      <c r="C57" s="52"/>
      <c r="D57" s="49" t="s">
        <v>23</v>
      </c>
      <c r="E57" s="49">
        <f>94/1000</f>
        <v>0.094</v>
      </c>
      <c r="F57" s="53">
        <f>E57*F54</f>
        <v>141.47</v>
      </c>
      <c r="G57" s="14"/>
      <c r="H57" s="53"/>
      <c r="I57" s="46"/>
      <c r="J57" s="53"/>
      <c r="K57" s="54"/>
      <c r="L57" s="53"/>
      <c r="M57" s="117"/>
      <c r="N57" s="73"/>
      <c r="O57" s="40"/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</row>
    <row r="58" spans="1:18" s="25" customFormat="1" ht="13.5">
      <c r="A58" s="51"/>
      <c r="B58" s="44" t="s">
        <v>20</v>
      </c>
      <c r="C58" s="52"/>
      <c r="D58" s="49" t="s">
        <v>0</v>
      </c>
      <c r="E58" s="49">
        <f>0.16/1000</f>
        <v>0.00016</v>
      </c>
      <c r="F58" s="53">
        <f>E58*F54</f>
        <v>0.24080000000000001</v>
      </c>
      <c r="G58" s="49"/>
      <c r="H58" s="53"/>
      <c r="I58" s="46"/>
      <c r="J58" s="53"/>
      <c r="K58" s="54"/>
      <c r="L58" s="53"/>
      <c r="M58" s="117"/>
      <c r="N58" s="114"/>
      <c r="O58" s="113"/>
      <c r="P58" s="113"/>
      <c r="Q58" s="113"/>
      <c r="R58" s="114"/>
    </row>
    <row r="59" spans="1:14" s="33" customFormat="1" ht="27">
      <c r="A59" s="27">
        <v>13</v>
      </c>
      <c r="B59" s="143" t="s">
        <v>215</v>
      </c>
      <c r="C59" s="294" t="s">
        <v>214</v>
      </c>
      <c r="D59" s="27" t="s">
        <v>17</v>
      </c>
      <c r="E59" s="27"/>
      <c r="F59" s="27">
        <f>F36</f>
        <v>726</v>
      </c>
      <c r="G59" s="27"/>
      <c r="H59" s="27"/>
      <c r="I59" s="27"/>
      <c r="J59" s="27"/>
      <c r="K59" s="27"/>
      <c r="L59" s="27"/>
      <c r="M59" s="115"/>
      <c r="N59" s="32"/>
    </row>
    <row r="60" spans="1:18" s="25" customFormat="1" ht="13.5">
      <c r="A60" s="43"/>
      <c r="B60" s="44" t="s">
        <v>14</v>
      </c>
      <c r="C60" s="45"/>
      <c r="D60" s="46" t="s">
        <v>15</v>
      </c>
      <c r="E60" s="46">
        <f>56.7/1000</f>
        <v>0.0567</v>
      </c>
      <c r="F60" s="47">
        <f>F59*E60</f>
        <v>41.1642</v>
      </c>
      <c r="G60" s="46"/>
      <c r="H60" s="47"/>
      <c r="I60" s="46"/>
      <c r="J60" s="47"/>
      <c r="K60" s="46"/>
      <c r="L60" s="47"/>
      <c r="M60" s="116"/>
      <c r="N60" s="114"/>
      <c r="O60" s="113"/>
      <c r="P60" s="113"/>
      <c r="Q60" s="113"/>
      <c r="R60" s="114"/>
    </row>
    <row r="61" spans="1:18" s="25" customFormat="1" ht="13.5">
      <c r="A61" s="51"/>
      <c r="B61" s="49" t="s">
        <v>16</v>
      </c>
      <c r="C61" s="52"/>
      <c r="D61" s="49"/>
      <c r="E61" s="49"/>
      <c r="F61" s="53"/>
      <c r="G61" s="49"/>
      <c r="H61" s="53"/>
      <c r="I61" s="46"/>
      <c r="J61" s="53"/>
      <c r="K61" s="54"/>
      <c r="L61" s="53"/>
      <c r="M61" s="117"/>
      <c r="N61" s="114"/>
      <c r="O61" s="113"/>
      <c r="P61" s="113"/>
      <c r="Q61" s="113"/>
      <c r="R61" s="114"/>
    </row>
    <row r="62" spans="1:77" s="39" customFormat="1" ht="15.75">
      <c r="A62" s="51"/>
      <c r="B62" s="56" t="s">
        <v>37</v>
      </c>
      <c r="C62" s="52"/>
      <c r="D62" s="49" t="s">
        <v>23</v>
      </c>
      <c r="E62" s="49">
        <f>94/1000</f>
        <v>0.094</v>
      </c>
      <c r="F62" s="53">
        <f>E62*F59</f>
        <v>68.244</v>
      </c>
      <c r="G62" s="14"/>
      <c r="H62" s="53"/>
      <c r="I62" s="46"/>
      <c r="J62" s="53"/>
      <c r="K62" s="54"/>
      <c r="L62" s="53"/>
      <c r="M62" s="117"/>
      <c r="N62" s="73"/>
      <c r="O62" s="40"/>
      <c r="P62" s="41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</row>
    <row r="63" spans="1:18" s="25" customFormat="1" ht="13.5">
      <c r="A63" s="51"/>
      <c r="B63" s="44" t="s">
        <v>20</v>
      </c>
      <c r="C63" s="52"/>
      <c r="D63" s="49" t="s">
        <v>0</v>
      </c>
      <c r="E63" s="49">
        <f>0.16/1000</f>
        <v>0.00016</v>
      </c>
      <c r="F63" s="53">
        <f>E63*F59</f>
        <v>0.11616000000000001</v>
      </c>
      <c r="G63" s="49"/>
      <c r="H63" s="53"/>
      <c r="I63" s="46"/>
      <c r="J63" s="53"/>
      <c r="K63" s="54"/>
      <c r="L63" s="53"/>
      <c r="M63" s="117"/>
      <c r="N63" s="114"/>
      <c r="O63" s="113"/>
      <c r="P63" s="113"/>
      <c r="Q63" s="113"/>
      <c r="R63" s="114"/>
    </row>
    <row r="64" spans="1:14" s="33" customFormat="1" ht="27">
      <c r="A64" s="27">
        <v>14</v>
      </c>
      <c r="B64" s="143" t="s">
        <v>93</v>
      </c>
      <c r="C64" s="294" t="s">
        <v>181</v>
      </c>
      <c r="D64" s="27" t="s">
        <v>17</v>
      </c>
      <c r="E64" s="27"/>
      <c r="F64" s="27">
        <f>F48+F42</f>
        <v>1299</v>
      </c>
      <c r="G64" s="27"/>
      <c r="H64" s="27"/>
      <c r="I64" s="27"/>
      <c r="J64" s="27"/>
      <c r="K64" s="27"/>
      <c r="L64" s="27"/>
      <c r="M64" s="115"/>
      <c r="N64" s="32"/>
    </row>
    <row r="65" spans="1:18" s="25" customFormat="1" ht="13.5">
      <c r="A65" s="43"/>
      <c r="B65" s="44" t="s">
        <v>14</v>
      </c>
      <c r="C65" s="45"/>
      <c r="D65" s="46" t="s">
        <v>15</v>
      </c>
      <c r="E65" s="46">
        <f>56.7/1000</f>
        <v>0.0567</v>
      </c>
      <c r="F65" s="47">
        <f>F64*E65</f>
        <v>73.6533</v>
      </c>
      <c r="G65" s="46"/>
      <c r="H65" s="47"/>
      <c r="I65" s="46"/>
      <c r="J65" s="47"/>
      <c r="K65" s="46"/>
      <c r="L65" s="47"/>
      <c r="M65" s="116"/>
      <c r="N65" s="114"/>
      <c r="O65" s="113"/>
      <c r="P65" s="113"/>
      <c r="Q65" s="113"/>
      <c r="R65" s="114"/>
    </row>
    <row r="66" spans="1:18" s="25" customFormat="1" ht="13.5">
      <c r="A66" s="51"/>
      <c r="B66" s="49" t="s">
        <v>16</v>
      </c>
      <c r="C66" s="52"/>
      <c r="D66" s="49"/>
      <c r="E66" s="49"/>
      <c r="F66" s="53"/>
      <c r="G66" s="49"/>
      <c r="H66" s="53"/>
      <c r="I66" s="46"/>
      <c r="J66" s="53"/>
      <c r="K66" s="54"/>
      <c r="L66" s="53"/>
      <c r="M66" s="117"/>
      <c r="N66" s="114"/>
      <c r="O66" s="113"/>
      <c r="P66" s="113"/>
      <c r="Q66" s="113"/>
      <c r="R66" s="114"/>
    </row>
    <row r="67" spans="1:77" s="39" customFormat="1" ht="15.75">
      <c r="A67" s="51"/>
      <c r="B67" s="56" t="s">
        <v>37</v>
      </c>
      <c r="C67" s="52"/>
      <c r="D67" s="49" t="s">
        <v>23</v>
      </c>
      <c r="E67" s="49">
        <f>31.1/1000</f>
        <v>0.031100000000000003</v>
      </c>
      <c r="F67" s="53">
        <f>E67*F64</f>
        <v>40.398900000000005</v>
      </c>
      <c r="G67" s="14"/>
      <c r="H67" s="53"/>
      <c r="I67" s="46"/>
      <c r="J67" s="53"/>
      <c r="K67" s="54"/>
      <c r="L67" s="53"/>
      <c r="M67" s="117"/>
      <c r="N67" s="73"/>
      <c r="O67" s="40"/>
      <c r="P67" s="41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</row>
    <row r="68" spans="1:18" s="25" customFormat="1" ht="13.5">
      <c r="A68" s="51"/>
      <c r="B68" s="44" t="s">
        <v>20</v>
      </c>
      <c r="C68" s="52"/>
      <c r="D68" s="49" t="s">
        <v>0</v>
      </c>
      <c r="E68" s="49">
        <f>0.06/1000</f>
        <v>5.9999999999999995E-05</v>
      </c>
      <c r="F68" s="53">
        <f>E68*F64</f>
        <v>0.07794</v>
      </c>
      <c r="G68" s="49"/>
      <c r="H68" s="53"/>
      <c r="I68" s="46"/>
      <c r="J68" s="53"/>
      <c r="K68" s="54"/>
      <c r="L68" s="53"/>
      <c r="M68" s="117"/>
      <c r="N68" s="114"/>
      <c r="O68" s="113"/>
      <c r="P68" s="113"/>
      <c r="Q68" s="113"/>
      <c r="R68" s="114"/>
    </row>
    <row r="69" spans="1:13" s="55" customFormat="1" ht="36.75" customHeight="1">
      <c r="A69" s="27">
        <v>15</v>
      </c>
      <c r="B69" s="143" t="s">
        <v>38</v>
      </c>
      <c r="C69" s="294" t="s">
        <v>39</v>
      </c>
      <c r="D69" s="27" t="s">
        <v>40</v>
      </c>
      <c r="E69" s="27"/>
      <c r="F69" s="27">
        <f>3530/100</f>
        <v>35.3</v>
      </c>
      <c r="G69" s="27"/>
      <c r="H69" s="27"/>
      <c r="I69" s="27"/>
      <c r="J69" s="27"/>
      <c r="K69" s="27"/>
      <c r="L69" s="27"/>
      <c r="M69" s="27"/>
    </row>
    <row r="70" spans="1:14" s="33" customFormat="1" ht="13.5">
      <c r="A70" s="67"/>
      <c r="B70" s="68" t="s">
        <v>41</v>
      </c>
      <c r="C70" s="69"/>
      <c r="D70" s="38" t="s">
        <v>15</v>
      </c>
      <c r="E70" s="70">
        <v>2</v>
      </c>
      <c r="F70" s="70">
        <f>F69*E70</f>
        <v>70.6</v>
      </c>
      <c r="G70" s="70"/>
      <c r="H70" s="70"/>
      <c r="I70" s="70"/>
      <c r="J70" s="70"/>
      <c r="K70" s="70"/>
      <c r="L70" s="70"/>
      <c r="M70" s="118"/>
      <c r="N70" s="32"/>
    </row>
    <row r="71" spans="1:24" s="39" customFormat="1" ht="15.75">
      <c r="A71" s="67"/>
      <c r="B71" s="38" t="s">
        <v>42</v>
      </c>
      <c r="C71" s="69"/>
      <c r="D71" s="38"/>
      <c r="E71" s="70"/>
      <c r="F71" s="70"/>
      <c r="G71" s="70"/>
      <c r="H71" s="70"/>
      <c r="I71" s="70"/>
      <c r="J71" s="70"/>
      <c r="K71" s="70"/>
      <c r="L71" s="70"/>
      <c r="M71" s="118"/>
      <c r="N71" s="73"/>
      <c r="O71" s="40"/>
      <c r="P71" s="41"/>
      <c r="Q71" s="42"/>
      <c r="R71" s="42"/>
      <c r="S71" s="42"/>
      <c r="T71" s="42"/>
      <c r="U71" s="42"/>
      <c r="V71" s="42"/>
      <c r="W71" s="42"/>
      <c r="X71" s="74"/>
    </row>
    <row r="72" spans="1:24" s="62" customFormat="1" ht="15.75">
      <c r="A72" s="71"/>
      <c r="B72" s="9" t="s">
        <v>43</v>
      </c>
      <c r="C72" s="60"/>
      <c r="D72" s="11" t="s">
        <v>17</v>
      </c>
      <c r="E72" s="70">
        <v>100</v>
      </c>
      <c r="F72" s="12">
        <f>E72*F69</f>
        <v>3529.9999999999995</v>
      </c>
      <c r="G72" s="11"/>
      <c r="H72" s="12"/>
      <c r="I72" s="11"/>
      <c r="J72" s="11"/>
      <c r="K72" s="11"/>
      <c r="L72" s="11"/>
      <c r="M72" s="119"/>
      <c r="N72" s="73"/>
      <c r="O72" s="63"/>
      <c r="P72" s="64"/>
      <c r="Q72" s="65"/>
      <c r="R72" s="65"/>
      <c r="S72" s="65"/>
      <c r="T72" s="65"/>
      <c r="U72" s="65"/>
      <c r="V72" s="65"/>
      <c r="W72" s="65"/>
      <c r="X72" s="75"/>
    </row>
    <row r="73" spans="1:24" s="39" customFormat="1" ht="15.75">
      <c r="A73" s="67"/>
      <c r="B73" s="72" t="s">
        <v>44</v>
      </c>
      <c r="C73" s="69"/>
      <c r="D73" s="38" t="s">
        <v>0</v>
      </c>
      <c r="E73" s="70">
        <v>0.12</v>
      </c>
      <c r="F73" s="70">
        <f>E73*F69</f>
        <v>4.236</v>
      </c>
      <c r="G73" s="70"/>
      <c r="H73" s="70"/>
      <c r="I73" s="70"/>
      <c r="J73" s="70"/>
      <c r="K73" s="70"/>
      <c r="L73" s="70"/>
      <c r="M73" s="118"/>
      <c r="N73" s="73"/>
      <c r="O73" s="40"/>
      <c r="P73" s="41"/>
      <c r="Q73" s="42"/>
      <c r="R73" s="42"/>
      <c r="S73" s="42"/>
      <c r="T73" s="42"/>
      <c r="U73" s="42"/>
      <c r="V73" s="42"/>
      <c r="W73" s="42"/>
      <c r="X73" s="74"/>
    </row>
    <row r="74" spans="1:13" s="32" customFormat="1" ht="40.5">
      <c r="A74" s="258">
        <v>16</v>
      </c>
      <c r="B74" s="143" t="s">
        <v>217</v>
      </c>
      <c r="C74" s="294" t="s">
        <v>218</v>
      </c>
      <c r="D74" s="129" t="s">
        <v>17</v>
      </c>
      <c r="E74" s="129"/>
      <c r="F74" s="266">
        <v>14</v>
      </c>
      <c r="G74" s="130"/>
      <c r="H74" s="131"/>
      <c r="I74" s="129"/>
      <c r="J74" s="131"/>
      <c r="K74" s="129"/>
      <c r="L74" s="131"/>
      <c r="M74" s="131"/>
    </row>
    <row r="75" spans="1:13" s="48" customFormat="1" ht="13.5">
      <c r="A75" s="43"/>
      <c r="B75" s="44" t="s">
        <v>14</v>
      </c>
      <c r="C75" s="60"/>
      <c r="D75" s="46" t="s">
        <v>15</v>
      </c>
      <c r="E75" s="46">
        <f>1130/100</f>
        <v>11.3</v>
      </c>
      <c r="F75" s="47">
        <f>F74*E75</f>
        <v>158.20000000000002</v>
      </c>
      <c r="G75" s="46"/>
      <c r="H75" s="47"/>
      <c r="I75" s="46"/>
      <c r="J75" s="47"/>
      <c r="K75" s="46"/>
      <c r="L75" s="47"/>
      <c r="M75" s="47"/>
    </row>
    <row r="76" spans="1:13" s="48" customFormat="1" ht="13.5">
      <c r="A76" s="43"/>
      <c r="B76" s="44" t="s">
        <v>144</v>
      </c>
      <c r="C76" s="60"/>
      <c r="D76" s="49" t="s">
        <v>32</v>
      </c>
      <c r="E76" s="46">
        <f>219/100</f>
        <v>2.19</v>
      </c>
      <c r="F76" s="50">
        <f>E76*F74</f>
        <v>30.66</v>
      </c>
      <c r="G76" s="46"/>
      <c r="H76" s="47"/>
      <c r="I76" s="46"/>
      <c r="J76" s="47"/>
      <c r="K76" s="252"/>
      <c r="L76" s="47"/>
      <c r="M76" s="47"/>
    </row>
    <row r="77" spans="1:13" s="48" customFormat="1" ht="13.5">
      <c r="A77" s="43"/>
      <c r="B77" s="44" t="s">
        <v>25</v>
      </c>
      <c r="C77" s="60"/>
      <c r="D77" s="49" t="s">
        <v>0</v>
      </c>
      <c r="E77" s="46">
        <f>499/100</f>
        <v>4.99</v>
      </c>
      <c r="F77" s="50">
        <f>E77*F74</f>
        <v>69.86</v>
      </c>
      <c r="G77" s="46"/>
      <c r="H77" s="47"/>
      <c r="I77" s="46"/>
      <c r="J77" s="47"/>
      <c r="K77" s="46"/>
      <c r="L77" s="47"/>
      <c r="M77" s="47"/>
    </row>
    <row r="78" spans="1:13" s="55" customFormat="1" ht="15.75">
      <c r="A78" s="51"/>
      <c r="B78" s="49" t="s">
        <v>16</v>
      </c>
      <c r="C78" s="60"/>
      <c r="D78" s="49"/>
      <c r="E78" s="49"/>
      <c r="F78" s="53"/>
      <c r="G78" s="49"/>
      <c r="H78" s="53"/>
      <c r="I78" s="46"/>
      <c r="J78" s="53"/>
      <c r="K78" s="54"/>
      <c r="L78" s="53"/>
      <c r="M78" s="53"/>
    </row>
    <row r="79" spans="1:13" s="55" customFormat="1" ht="15.75">
      <c r="A79" s="51"/>
      <c r="B79" s="56" t="s">
        <v>219</v>
      </c>
      <c r="C79" s="60"/>
      <c r="D79" s="49" t="s">
        <v>17</v>
      </c>
      <c r="E79" s="49">
        <f>101/100</f>
        <v>1.01</v>
      </c>
      <c r="F79" s="53">
        <f>E79*F74</f>
        <v>14.14</v>
      </c>
      <c r="G79" s="128"/>
      <c r="H79" s="61"/>
      <c r="I79" s="46"/>
      <c r="J79" s="53"/>
      <c r="K79" s="54"/>
      <c r="L79" s="53"/>
      <c r="M79" s="53"/>
    </row>
    <row r="80" spans="1:13" s="55" customFormat="1" ht="15.75">
      <c r="A80" s="51"/>
      <c r="B80" s="56" t="s">
        <v>145</v>
      </c>
      <c r="C80" s="60"/>
      <c r="D80" s="49" t="s">
        <v>48</v>
      </c>
      <c r="E80" s="49">
        <f>1.56/100</f>
        <v>0.015600000000000001</v>
      </c>
      <c r="F80" s="53">
        <f>E80*F74</f>
        <v>0.2184</v>
      </c>
      <c r="G80" s="128"/>
      <c r="H80" s="61"/>
      <c r="I80" s="46"/>
      <c r="J80" s="53"/>
      <c r="K80" s="54"/>
      <c r="L80" s="53"/>
      <c r="M80" s="53"/>
    </row>
    <row r="81" spans="1:13" s="55" customFormat="1" ht="15.75">
      <c r="A81" s="51"/>
      <c r="B81" s="44" t="s">
        <v>20</v>
      </c>
      <c r="C81" s="60"/>
      <c r="D81" s="49" t="s">
        <v>0</v>
      </c>
      <c r="E81" s="49">
        <f>38.4/100</f>
        <v>0.384</v>
      </c>
      <c r="F81" s="59">
        <f>E81*F74</f>
        <v>5.376</v>
      </c>
      <c r="G81" s="49"/>
      <c r="H81" s="59"/>
      <c r="I81" s="46"/>
      <c r="J81" s="53"/>
      <c r="K81" s="54"/>
      <c r="L81" s="53"/>
      <c r="M81" s="59"/>
    </row>
    <row r="82" spans="1:13" s="32" customFormat="1" ht="27">
      <c r="A82" s="258">
        <v>17</v>
      </c>
      <c r="B82" s="143" t="s">
        <v>149</v>
      </c>
      <c r="C82" s="294" t="s">
        <v>148</v>
      </c>
      <c r="D82" s="129" t="s">
        <v>17</v>
      </c>
      <c r="E82" s="129"/>
      <c r="F82" s="266">
        <v>14</v>
      </c>
      <c r="G82" s="130"/>
      <c r="H82" s="131"/>
      <c r="I82" s="129"/>
      <c r="J82" s="131"/>
      <c r="K82" s="129"/>
      <c r="L82" s="131"/>
      <c r="M82" s="131"/>
    </row>
    <row r="83" spans="1:13" s="48" customFormat="1" ht="13.5">
      <c r="A83" s="43"/>
      <c r="B83" s="44" t="s">
        <v>14</v>
      </c>
      <c r="C83" s="60"/>
      <c r="D83" s="46" t="s">
        <v>15</v>
      </c>
      <c r="E83" s="46">
        <f>97/100</f>
        <v>0.97</v>
      </c>
      <c r="F83" s="47">
        <f>F82*E83</f>
        <v>13.58</v>
      </c>
      <c r="G83" s="46"/>
      <c r="H83" s="47"/>
      <c r="I83" s="46"/>
      <c r="J83" s="47"/>
      <c r="K83" s="46"/>
      <c r="L83" s="47"/>
      <c r="M83" s="47"/>
    </row>
    <row r="84" spans="1:13" s="48" customFormat="1" ht="13.5">
      <c r="A84" s="43"/>
      <c r="B84" s="44" t="s">
        <v>25</v>
      </c>
      <c r="C84" s="60"/>
      <c r="D84" s="49" t="s">
        <v>0</v>
      </c>
      <c r="E84" s="46">
        <f>0.09/100</f>
        <v>0.0009</v>
      </c>
      <c r="F84" s="50">
        <f>E84*F82</f>
        <v>0.0126</v>
      </c>
      <c r="G84" s="46"/>
      <c r="H84" s="47"/>
      <c r="I84" s="46"/>
      <c r="J84" s="47"/>
      <c r="K84" s="46"/>
      <c r="L84" s="47"/>
      <c r="M84" s="47"/>
    </row>
    <row r="85" spans="1:13" s="55" customFormat="1" ht="15.75">
      <c r="A85" s="51"/>
      <c r="B85" s="49" t="s">
        <v>16</v>
      </c>
      <c r="C85" s="60"/>
      <c r="D85" s="49"/>
      <c r="E85" s="49"/>
      <c r="F85" s="53"/>
      <c r="G85" s="49"/>
      <c r="H85" s="53"/>
      <c r="I85" s="46"/>
      <c r="J85" s="53"/>
      <c r="K85" s="54"/>
      <c r="L85" s="53"/>
      <c r="M85" s="53"/>
    </row>
    <row r="86" spans="1:13" s="55" customFormat="1" ht="15.75">
      <c r="A86" s="51"/>
      <c r="B86" s="56" t="s">
        <v>146</v>
      </c>
      <c r="C86" s="60"/>
      <c r="D86" s="49" t="s">
        <v>52</v>
      </c>
      <c r="E86" s="49">
        <f>53.8/100</f>
        <v>0.5379999999999999</v>
      </c>
      <c r="F86" s="53">
        <f>E86*F82</f>
        <v>7.531999999999999</v>
      </c>
      <c r="G86" s="128"/>
      <c r="H86" s="61"/>
      <c r="I86" s="46"/>
      <c r="J86" s="53"/>
      <c r="K86" s="54"/>
      <c r="L86" s="53"/>
      <c r="M86" s="53"/>
    </row>
    <row r="87" spans="1:13" s="55" customFormat="1" ht="15.75">
      <c r="A87" s="51"/>
      <c r="B87" s="56" t="s">
        <v>147</v>
      </c>
      <c r="C87" s="60"/>
      <c r="D87" s="49" t="s">
        <v>26</v>
      </c>
      <c r="E87" s="49">
        <f>22.6/100</f>
        <v>0.226</v>
      </c>
      <c r="F87" s="53">
        <f>E87*F82</f>
        <v>3.164</v>
      </c>
      <c r="G87" s="128"/>
      <c r="H87" s="61"/>
      <c r="I87" s="46"/>
      <c r="J87" s="53"/>
      <c r="K87" s="54"/>
      <c r="L87" s="53"/>
      <c r="M87" s="53"/>
    </row>
    <row r="88" spans="1:13" s="55" customFormat="1" ht="15.75">
      <c r="A88" s="51"/>
      <c r="B88" s="44" t="s">
        <v>20</v>
      </c>
      <c r="C88" s="60"/>
      <c r="D88" s="49" t="s">
        <v>0</v>
      </c>
      <c r="E88" s="49">
        <f>1.01/100</f>
        <v>0.0101</v>
      </c>
      <c r="F88" s="59">
        <f>E88*F82</f>
        <v>0.1414</v>
      </c>
      <c r="G88" s="49"/>
      <c r="H88" s="59"/>
      <c r="I88" s="46"/>
      <c r="J88" s="53"/>
      <c r="K88" s="54"/>
      <c r="L88" s="53"/>
      <c r="M88" s="59"/>
    </row>
    <row r="89" spans="1:13" s="104" customFormat="1" ht="54">
      <c r="A89" s="92">
        <v>18</v>
      </c>
      <c r="B89" s="144" t="s">
        <v>220</v>
      </c>
      <c r="C89" s="294" t="s">
        <v>68</v>
      </c>
      <c r="D89" s="27" t="s">
        <v>69</v>
      </c>
      <c r="E89" s="27"/>
      <c r="F89" s="139">
        <f>(0.35*1*1.5+0.24+0.24)/10*5</f>
        <v>0.5025</v>
      </c>
      <c r="G89" s="27"/>
      <c r="H89" s="27"/>
      <c r="I89" s="27"/>
      <c r="J89" s="27"/>
      <c r="K89" s="27"/>
      <c r="L89" s="27"/>
      <c r="M89" s="115"/>
    </row>
    <row r="90" spans="1:13" s="104" customFormat="1" ht="13.5">
      <c r="A90" s="18"/>
      <c r="B90" s="150" t="s">
        <v>24</v>
      </c>
      <c r="C90" s="69"/>
      <c r="D90" s="38" t="s">
        <v>15</v>
      </c>
      <c r="E90" s="70">
        <v>106</v>
      </c>
      <c r="F90" s="70">
        <f>F89*E90</f>
        <v>53.26499999999999</v>
      </c>
      <c r="G90" s="69"/>
      <c r="H90" s="102"/>
      <c r="I90" s="69"/>
      <c r="J90" s="102"/>
      <c r="K90" s="69"/>
      <c r="L90" s="69"/>
      <c r="M90" s="142"/>
    </row>
    <row r="91" spans="1:13" s="104" customFormat="1" ht="13.5">
      <c r="A91" s="155"/>
      <c r="B91" s="150" t="s">
        <v>70</v>
      </c>
      <c r="C91" s="69"/>
      <c r="D91" s="38" t="s">
        <v>0</v>
      </c>
      <c r="E91" s="69">
        <v>71.4</v>
      </c>
      <c r="F91" s="102">
        <f>E91*F89</f>
        <v>35.8785</v>
      </c>
      <c r="G91" s="69"/>
      <c r="H91" s="69"/>
      <c r="I91" s="69"/>
      <c r="J91" s="69"/>
      <c r="K91" s="69"/>
      <c r="L91" s="102"/>
      <c r="M91" s="142"/>
    </row>
    <row r="92" spans="1:16" s="96" customFormat="1" ht="15" customHeight="1">
      <c r="A92" s="69"/>
      <c r="B92" s="69" t="s">
        <v>50</v>
      </c>
      <c r="C92" s="69"/>
      <c r="D92" s="69"/>
      <c r="E92" s="156"/>
      <c r="F92" s="102"/>
      <c r="G92" s="38"/>
      <c r="H92" s="157"/>
      <c r="I92" s="38"/>
      <c r="J92" s="70"/>
      <c r="K92" s="38"/>
      <c r="L92" s="157"/>
      <c r="M92" s="142"/>
      <c r="N92" s="140"/>
      <c r="O92" s="158"/>
      <c r="P92" s="140"/>
    </row>
    <row r="93" spans="1:16" s="99" customFormat="1" ht="15" customHeight="1">
      <c r="A93" s="18"/>
      <c r="B93" s="150" t="s">
        <v>73</v>
      </c>
      <c r="C93" s="38"/>
      <c r="D93" s="38" t="s">
        <v>26</v>
      </c>
      <c r="E93" s="70"/>
      <c r="F93" s="70">
        <f>1.5*5</f>
        <v>7.5</v>
      </c>
      <c r="G93" s="147"/>
      <c r="H93" s="159"/>
      <c r="I93" s="148"/>
      <c r="J93" s="38"/>
      <c r="K93" s="147"/>
      <c r="L93" s="147"/>
      <c r="M93" s="142"/>
      <c r="N93" s="160"/>
      <c r="O93" s="141"/>
      <c r="P93" s="141"/>
    </row>
    <row r="94" spans="1:16" s="99" customFormat="1" ht="15" customHeight="1">
      <c r="A94" s="18"/>
      <c r="B94" s="150" t="s">
        <v>71</v>
      </c>
      <c r="C94" s="38"/>
      <c r="D94" s="38" t="s">
        <v>26</v>
      </c>
      <c r="E94" s="70"/>
      <c r="F94" s="70">
        <v>5</v>
      </c>
      <c r="G94" s="147"/>
      <c r="H94" s="159"/>
      <c r="I94" s="148"/>
      <c r="J94" s="38"/>
      <c r="K94" s="147"/>
      <c r="L94" s="147"/>
      <c r="M94" s="142"/>
      <c r="N94" s="160"/>
      <c r="O94" s="141"/>
      <c r="P94" s="141"/>
    </row>
    <row r="95" spans="1:16" s="104" customFormat="1" ht="15" customHeight="1">
      <c r="A95" s="18"/>
      <c r="B95" s="150" t="s">
        <v>72</v>
      </c>
      <c r="C95" s="38"/>
      <c r="D95" s="38" t="s">
        <v>26</v>
      </c>
      <c r="E95" s="70"/>
      <c r="F95" s="70">
        <v>5</v>
      </c>
      <c r="G95" s="147"/>
      <c r="H95" s="159"/>
      <c r="I95" s="148"/>
      <c r="J95" s="38"/>
      <c r="K95" s="147"/>
      <c r="L95" s="147"/>
      <c r="M95" s="142"/>
      <c r="N95" s="161"/>
      <c r="O95" s="141"/>
      <c r="P95" s="141"/>
    </row>
    <row r="96" spans="1:16" s="104" customFormat="1" ht="15" customHeight="1">
      <c r="A96" s="18"/>
      <c r="B96" s="98" t="s">
        <v>20</v>
      </c>
      <c r="C96" s="38"/>
      <c r="D96" s="38" t="s">
        <v>0</v>
      </c>
      <c r="E96" s="70">
        <v>66.1</v>
      </c>
      <c r="F96" s="70">
        <f>F89*E96</f>
        <v>33.21524999999999</v>
      </c>
      <c r="G96" s="147"/>
      <c r="H96" s="159"/>
      <c r="I96" s="148"/>
      <c r="J96" s="38"/>
      <c r="K96" s="147"/>
      <c r="L96" s="147"/>
      <c r="M96" s="142"/>
      <c r="N96" s="161"/>
      <c r="O96" s="141"/>
      <c r="P96" s="141"/>
    </row>
    <row r="97" spans="1:13" s="13" customFormat="1" ht="27">
      <c r="A97" s="92">
        <v>19</v>
      </c>
      <c r="B97" s="144" t="s">
        <v>74</v>
      </c>
      <c r="C97" s="294" t="s">
        <v>75</v>
      </c>
      <c r="D97" s="28" t="s">
        <v>76</v>
      </c>
      <c r="E97" s="29"/>
      <c r="F97" s="27">
        <v>6</v>
      </c>
      <c r="G97" s="28"/>
      <c r="H97" s="30"/>
      <c r="I97" s="28"/>
      <c r="J97" s="31"/>
      <c r="K97" s="28"/>
      <c r="L97" s="30"/>
      <c r="M97" s="162"/>
    </row>
    <row r="98" spans="1:13" s="32" customFormat="1" ht="13.5">
      <c r="A98" s="7"/>
      <c r="B98" s="9" t="s">
        <v>14</v>
      </c>
      <c r="C98" s="8"/>
      <c r="D98" s="147" t="s">
        <v>15</v>
      </c>
      <c r="E98" s="147">
        <v>0.336</v>
      </c>
      <c r="F98" s="163">
        <f>F97*E98</f>
        <v>2.016</v>
      </c>
      <c r="G98" s="147"/>
      <c r="H98" s="147"/>
      <c r="I98" s="11"/>
      <c r="J98" s="12"/>
      <c r="K98" s="11"/>
      <c r="L98" s="12"/>
      <c r="M98" s="124"/>
    </row>
    <row r="99" spans="1:77" s="39" customFormat="1" ht="15.75">
      <c r="A99" s="7"/>
      <c r="B99" s="9" t="s">
        <v>25</v>
      </c>
      <c r="C99" s="8"/>
      <c r="D99" s="147" t="s">
        <v>0</v>
      </c>
      <c r="E99" s="147">
        <v>0.015</v>
      </c>
      <c r="F99" s="163">
        <f>E99*F97</f>
        <v>0.09</v>
      </c>
      <c r="G99" s="147"/>
      <c r="H99" s="147"/>
      <c r="I99" s="11"/>
      <c r="J99" s="12"/>
      <c r="K99" s="11"/>
      <c r="L99" s="12"/>
      <c r="M99" s="124"/>
      <c r="N99" s="73"/>
      <c r="O99" s="40"/>
      <c r="P99" s="41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</row>
    <row r="100" spans="1:77" s="62" customFormat="1" ht="15.75">
      <c r="A100" s="19"/>
      <c r="B100" s="8" t="s">
        <v>16</v>
      </c>
      <c r="C100" s="126"/>
      <c r="D100" s="147"/>
      <c r="E100" s="147"/>
      <c r="F100" s="163"/>
      <c r="G100" s="147"/>
      <c r="H100" s="147"/>
      <c r="I100" s="11"/>
      <c r="J100" s="14"/>
      <c r="K100" s="15"/>
      <c r="L100" s="14"/>
      <c r="M100" s="127"/>
      <c r="N100" s="73"/>
      <c r="O100" s="63"/>
      <c r="P100" s="64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</row>
    <row r="101" spans="1:77" s="39" customFormat="1" ht="15.75">
      <c r="A101" s="19"/>
      <c r="B101" s="164" t="s">
        <v>77</v>
      </c>
      <c r="C101" s="126"/>
      <c r="D101" s="147" t="s">
        <v>48</v>
      </c>
      <c r="E101" s="147">
        <f>0.24/100</f>
        <v>0.0024</v>
      </c>
      <c r="F101" s="163">
        <f>E101*F97</f>
        <v>0.0144</v>
      </c>
      <c r="G101" s="147"/>
      <c r="H101" s="163"/>
      <c r="I101" s="11"/>
      <c r="J101" s="14"/>
      <c r="K101" s="15"/>
      <c r="L101" s="14"/>
      <c r="M101" s="127"/>
      <c r="N101" s="73"/>
      <c r="O101" s="40"/>
      <c r="P101" s="41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</row>
    <row r="102" spans="1:77" s="39" customFormat="1" ht="15.75">
      <c r="A102" s="19"/>
      <c r="B102" s="9" t="s">
        <v>20</v>
      </c>
      <c r="C102" s="126"/>
      <c r="D102" s="147" t="s">
        <v>0</v>
      </c>
      <c r="E102" s="147">
        <f>2.28/100</f>
        <v>0.022799999999999997</v>
      </c>
      <c r="F102" s="163">
        <f>E102*F97</f>
        <v>0.13679999999999998</v>
      </c>
      <c r="G102" s="147"/>
      <c r="H102" s="163"/>
      <c r="I102" s="11"/>
      <c r="J102" s="14"/>
      <c r="K102" s="15"/>
      <c r="L102" s="14"/>
      <c r="M102" s="127"/>
      <c r="N102" s="73"/>
      <c r="O102" s="40"/>
      <c r="P102" s="41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</row>
    <row r="103" spans="1:13" s="32" customFormat="1" ht="40.5">
      <c r="A103" s="92">
        <v>20</v>
      </c>
      <c r="B103" s="259" t="s">
        <v>189</v>
      </c>
      <c r="C103" s="294" t="s">
        <v>141</v>
      </c>
      <c r="D103" s="129" t="s">
        <v>49</v>
      </c>
      <c r="E103" s="129"/>
      <c r="F103" s="265">
        <f>0.36/100*2</f>
        <v>0.0072</v>
      </c>
      <c r="G103" s="130"/>
      <c r="H103" s="131"/>
      <c r="I103" s="129"/>
      <c r="J103" s="131"/>
      <c r="K103" s="129"/>
      <c r="L103" s="131"/>
      <c r="M103" s="131"/>
    </row>
    <row r="104" spans="1:13" s="261" customFormat="1" ht="13.5">
      <c r="A104" s="97"/>
      <c r="B104" s="98" t="s">
        <v>14</v>
      </c>
      <c r="C104" s="260"/>
      <c r="D104" s="38" t="s">
        <v>15</v>
      </c>
      <c r="E104" s="38">
        <v>137</v>
      </c>
      <c r="F104" s="70">
        <f>F103*E104</f>
        <v>0.9863999999999999</v>
      </c>
      <c r="G104" s="38"/>
      <c r="H104" s="70"/>
      <c r="I104" s="38"/>
      <c r="J104" s="70"/>
      <c r="K104" s="38"/>
      <c r="L104" s="70"/>
      <c r="M104" s="70"/>
    </row>
    <row r="105" spans="1:13" s="99" customFormat="1" ht="13.5">
      <c r="A105" s="97"/>
      <c r="B105" s="98" t="s">
        <v>25</v>
      </c>
      <c r="C105" s="260"/>
      <c r="D105" s="69" t="s">
        <v>0</v>
      </c>
      <c r="E105" s="38">
        <v>28.3</v>
      </c>
      <c r="F105" s="100">
        <f>E105*F103</f>
        <v>0.20376</v>
      </c>
      <c r="G105" s="38"/>
      <c r="H105" s="70"/>
      <c r="I105" s="38"/>
      <c r="J105" s="70"/>
      <c r="K105" s="38"/>
      <c r="L105" s="70"/>
      <c r="M105" s="70"/>
    </row>
    <row r="106" spans="1:13" s="261" customFormat="1" ht="13.5">
      <c r="A106" s="97"/>
      <c r="B106" s="69" t="s">
        <v>50</v>
      </c>
      <c r="C106" s="260"/>
      <c r="D106" s="38"/>
      <c r="E106" s="38"/>
      <c r="F106" s="70"/>
      <c r="G106" s="38"/>
      <c r="H106" s="70"/>
      <c r="I106" s="38"/>
      <c r="J106" s="70"/>
      <c r="K106" s="38"/>
      <c r="L106" s="70"/>
      <c r="M106" s="70"/>
    </row>
    <row r="107" spans="1:13" s="261" customFormat="1" ht="13.5">
      <c r="A107" s="97"/>
      <c r="B107" s="98" t="s">
        <v>140</v>
      </c>
      <c r="C107" s="260"/>
      <c r="D107" s="38" t="s">
        <v>23</v>
      </c>
      <c r="E107" s="38">
        <v>102</v>
      </c>
      <c r="F107" s="70">
        <f>F103*E107</f>
        <v>0.7343999999999999</v>
      </c>
      <c r="G107" s="262"/>
      <c r="H107" s="102"/>
      <c r="I107" s="38"/>
      <c r="J107" s="102"/>
      <c r="K107" s="103"/>
      <c r="L107" s="102"/>
      <c r="M107" s="102"/>
    </row>
    <row r="108" spans="1:13" s="264" customFormat="1" ht="15.75">
      <c r="A108" s="19"/>
      <c r="B108" s="98" t="s">
        <v>20</v>
      </c>
      <c r="C108" s="260"/>
      <c r="D108" s="69" t="s">
        <v>0</v>
      </c>
      <c r="E108" s="263">
        <v>62</v>
      </c>
      <c r="F108" s="102">
        <f>E108*F103</f>
        <v>0.44639999999999996</v>
      </c>
      <c r="G108" s="262"/>
      <c r="H108" s="102"/>
      <c r="I108" s="38"/>
      <c r="J108" s="102"/>
      <c r="K108" s="103"/>
      <c r="L108" s="102"/>
      <c r="M108" s="102"/>
    </row>
    <row r="109" spans="1:15" s="172" customFormat="1" ht="27">
      <c r="A109" s="165">
        <v>21</v>
      </c>
      <c r="B109" s="166" t="s">
        <v>197</v>
      </c>
      <c r="C109" s="294" t="s">
        <v>80</v>
      </c>
      <c r="D109" s="165" t="s">
        <v>26</v>
      </c>
      <c r="E109" s="165"/>
      <c r="F109" s="167">
        <v>5</v>
      </c>
      <c r="G109" s="168"/>
      <c r="H109" s="169"/>
      <c r="I109" s="170"/>
      <c r="J109" s="169"/>
      <c r="K109" s="170"/>
      <c r="L109" s="169"/>
      <c r="M109" s="169"/>
      <c r="N109" s="140" t="s">
        <v>78</v>
      </c>
      <c r="O109" s="171"/>
    </row>
    <row r="110" spans="1:15" s="176" customFormat="1" ht="13.5">
      <c r="A110" s="106"/>
      <c r="B110" s="107" t="s">
        <v>62</v>
      </c>
      <c r="C110" s="173"/>
      <c r="D110" s="108" t="s">
        <v>15</v>
      </c>
      <c r="E110" s="69">
        <v>1.01</v>
      </c>
      <c r="F110" s="109">
        <f>F109*E110</f>
        <v>5.05</v>
      </c>
      <c r="G110" s="110"/>
      <c r="H110" s="111"/>
      <c r="I110" s="112"/>
      <c r="J110" s="109"/>
      <c r="K110" s="112"/>
      <c r="L110" s="109"/>
      <c r="M110" s="109"/>
      <c r="N110" s="174"/>
      <c r="O110" s="175"/>
    </row>
    <row r="111" spans="1:15" s="180" customFormat="1" ht="13.5">
      <c r="A111" s="106"/>
      <c r="B111" s="107" t="s">
        <v>31</v>
      </c>
      <c r="C111" s="177"/>
      <c r="D111" s="108" t="s">
        <v>0</v>
      </c>
      <c r="E111" s="69">
        <v>0.02</v>
      </c>
      <c r="F111" s="109">
        <f>F109*E111</f>
        <v>0.1</v>
      </c>
      <c r="G111" s="108"/>
      <c r="H111" s="109"/>
      <c r="I111" s="112"/>
      <c r="J111" s="109"/>
      <c r="K111" s="112"/>
      <c r="L111" s="109"/>
      <c r="M111" s="109"/>
      <c r="N111" s="178"/>
      <c r="O111" s="179"/>
    </row>
    <row r="112" spans="1:15" s="176" customFormat="1" ht="13.5">
      <c r="A112" s="106"/>
      <c r="B112" s="69" t="s">
        <v>16</v>
      </c>
      <c r="C112" s="177"/>
      <c r="D112" s="108"/>
      <c r="E112" s="69"/>
      <c r="F112" s="108"/>
      <c r="G112" s="108"/>
      <c r="H112" s="109"/>
      <c r="I112" s="112"/>
      <c r="J112" s="109"/>
      <c r="K112" s="112"/>
      <c r="L112" s="109"/>
      <c r="M112" s="109"/>
      <c r="N112" s="174"/>
      <c r="O112" s="175"/>
    </row>
    <row r="113" spans="1:15" s="176" customFormat="1" ht="13.5">
      <c r="A113" s="106"/>
      <c r="B113" s="107" t="s">
        <v>79</v>
      </c>
      <c r="C113" s="177"/>
      <c r="D113" s="108" t="s">
        <v>26</v>
      </c>
      <c r="E113" s="69">
        <v>1</v>
      </c>
      <c r="F113" s="108">
        <f>F109*E113</f>
        <v>5</v>
      </c>
      <c r="G113" s="108"/>
      <c r="H113" s="109"/>
      <c r="I113" s="112"/>
      <c r="J113" s="109"/>
      <c r="K113" s="112"/>
      <c r="L113" s="109"/>
      <c r="M113" s="109"/>
      <c r="N113" s="174"/>
      <c r="O113" s="175"/>
    </row>
    <row r="114" spans="1:15" s="176" customFormat="1" ht="13.5">
      <c r="A114" s="106"/>
      <c r="B114" s="107" t="s">
        <v>20</v>
      </c>
      <c r="C114" s="177"/>
      <c r="D114" s="108" t="s">
        <v>0</v>
      </c>
      <c r="E114" s="69">
        <v>0.49</v>
      </c>
      <c r="F114" s="108">
        <f>F109*E114</f>
        <v>2.45</v>
      </c>
      <c r="G114" s="108"/>
      <c r="H114" s="109"/>
      <c r="I114" s="112"/>
      <c r="J114" s="109"/>
      <c r="K114" s="112"/>
      <c r="L114" s="109"/>
      <c r="M114" s="109"/>
      <c r="N114" s="174"/>
      <c r="O114" s="175"/>
    </row>
    <row r="115" spans="1:15" s="96" customFormat="1" ht="27">
      <c r="A115" s="138">
        <v>22</v>
      </c>
      <c r="B115" s="143" t="s">
        <v>86</v>
      </c>
      <c r="C115" s="294" t="s">
        <v>84</v>
      </c>
      <c r="D115" s="93" t="s">
        <v>26</v>
      </c>
      <c r="E115" s="93"/>
      <c r="F115" s="167">
        <v>10</v>
      </c>
      <c r="G115" s="94"/>
      <c r="H115" s="95"/>
      <c r="I115" s="93"/>
      <c r="J115" s="95"/>
      <c r="K115" s="93"/>
      <c r="L115" s="95"/>
      <c r="M115" s="120"/>
      <c r="N115" s="140"/>
      <c r="O115" s="140"/>
    </row>
    <row r="116" spans="1:15" s="99" customFormat="1" ht="13.5">
      <c r="A116" s="97"/>
      <c r="B116" s="98" t="s">
        <v>14</v>
      </c>
      <c r="C116" s="69"/>
      <c r="D116" s="38" t="s">
        <v>15</v>
      </c>
      <c r="E116" s="38">
        <v>0.35</v>
      </c>
      <c r="F116" s="70">
        <f>F115*E116</f>
        <v>3.5</v>
      </c>
      <c r="G116" s="38"/>
      <c r="H116" s="70"/>
      <c r="I116" s="38"/>
      <c r="J116" s="70"/>
      <c r="K116" s="38"/>
      <c r="L116" s="70"/>
      <c r="M116" s="118"/>
      <c r="N116" s="141"/>
      <c r="O116" s="141"/>
    </row>
    <row r="117" spans="1:15" s="99" customFormat="1" ht="13.5">
      <c r="A117" s="97"/>
      <c r="B117" s="98" t="s">
        <v>25</v>
      </c>
      <c r="C117" s="69"/>
      <c r="D117" s="69" t="s">
        <v>0</v>
      </c>
      <c r="E117" s="38">
        <v>0.22</v>
      </c>
      <c r="F117" s="100">
        <f>E117*F115</f>
        <v>2.2</v>
      </c>
      <c r="G117" s="38"/>
      <c r="H117" s="70"/>
      <c r="I117" s="38"/>
      <c r="J117" s="70"/>
      <c r="K117" s="38"/>
      <c r="L117" s="70"/>
      <c r="M117" s="118"/>
      <c r="N117" s="141"/>
      <c r="O117" s="141"/>
    </row>
    <row r="118" spans="1:15" s="104" customFormat="1" ht="13.5">
      <c r="A118" s="19"/>
      <c r="B118" s="69" t="s">
        <v>16</v>
      </c>
      <c r="C118" s="101"/>
      <c r="D118" s="69"/>
      <c r="E118" s="69"/>
      <c r="F118" s="102"/>
      <c r="G118" s="69"/>
      <c r="H118" s="102"/>
      <c r="I118" s="38"/>
      <c r="J118" s="102"/>
      <c r="K118" s="103"/>
      <c r="L118" s="102"/>
      <c r="M118" s="142"/>
      <c r="N118" s="141"/>
      <c r="O118" s="141"/>
    </row>
    <row r="119" spans="1:15" s="104" customFormat="1" ht="13.5">
      <c r="A119" s="19"/>
      <c r="B119" s="105" t="s">
        <v>51</v>
      </c>
      <c r="C119" s="101"/>
      <c r="D119" s="69" t="s">
        <v>26</v>
      </c>
      <c r="E119" s="69">
        <v>1</v>
      </c>
      <c r="F119" s="102">
        <f>E119*F115</f>
        <v>10</v>
      </c>
      <c r="G119" s="102"/>
      <c r="H119" s="102"/>
      <c r="I119" s="38"/>
      <c r="J119" s="102"/>
      <c r="K119" s="103"/>
      <c r="L119" s="102"/>
      <c r="M119" s="142"/>
      <c r="N119" s="141"/>
      <c r="O119" s="141"/>
    </row>
    <row r="120" spans="1:15" s="104" customFormat="1" ht="16.5" customHeight="1">
      <c r="A120" s="19"/>
      <c r="B120" s="98" t="s">
        <v>20</v>
      </c>
      <c r="C120" s="101"/>
      <c r="D120" s="69" t="s">
        <v>0</v>
      </c>
      <c r="E120" s="69">
        <v>0.01</v>
      </c>
      <c r="F120" s="102">
        <f>E120*F115</f>
        <v>0.1</v>
      </c>
      <c r="G120" s="69"/>
      <c r="H120" s="102"/>
      <c r="I120" s="38"/>
      <c r="J120" s="102"/>
      <c r="K120" s="103"/>
      <c r="L120" s="102"/>
      <c r="M120" s="142"/>
      <c r="N120" s="141"/>
      <c r="O120" s="141"/>
    </row>
    <row r="121" spans="1:13" s="104" customFormat="1" ht="40.5">
      <c r="A121" s="138">
        <v>23</v>
      </c>
      <c r="B121" s="166" t="s">
        <v>135</v>
      </c>
      <c r="C121" s="297" t="s">
        <v>136</v>
      </c>
      <c r="D121" s="165" t="s">
        <v>113</v>
      </c>
      <c r="E121" s="165"/>
      <c r="F121" s="167">
        <v>4</v>
      </c>
      <c r="G121" s="168"/>
      <c r="H121" s="169"/>
      <c r="I121" s="170"/>
      <c r="J121" s="169"/>
      <c r="K121" s="170"/>
      <c r="L121" s="169"/>
      <c r="M121" s="169"/>
    </row>
    <row r="122" spans="1:13" s="104" customFormat="1" ht="13.5">
      <c r="A122" s="106"/>
      <c r="B122" s="107" t="s">
        <v>62</v>
      </c>
      <c r="C122" s="155"/>
      <c r="D122" s="108" t="s">
        <v>15</v>
      </c>
      <c r="E122" s="69">
        <v>1.78</v>
      </c>
      <c r="F122" s="109">
        <f>F121*E122</f>
        <v>7.12</v>
      </c>
      <c r="G122" s="110"/>
      <c r="H122" s="111"/>
      <c r="I122" s="112"/>
      <c r="J122" s="109"/>
      <c r="K122" s="112"/>
      <c r="L122" s="109"/>
      <c r="M122" s="109"/>
    </row>
    <row r="123" spans="1:13" s="104" customFormat="1" ht="13.5">
      <c r="A123" s="106"/>
      <c r="B123" s="107" t="s">
        <v>31</v>
      </c>
      <c r="C123" s="177"/>
      <c r="D123" s="108" t="s">
        <v>0</v>
      </c>
      <c r="E123" s="69">
        <v>0.12</v>
      </c>
      <c r="F123" s="109">
        <f>F121*E123</f>
        <v>0.48</v>
      </c>
      <c r="G123" s="108"/>
      <c r="H123" s="109"/>
      <c r="I123" s="112"/>
      <c r="J123" s="109"/>
      <c r="K123" s="112"/>
      <c r="L123" s="109"/>
      <c r="M123" s="109"/>
    </row>
    <row r="124" spans="1:13" s="104" customFormat="1" ht="13.5">
      <c r="A124" s="106"/>
      <c r="B124" s="69" t="s">
        <v>16</v>
      </c>
      <c r="C124" s="177"/>
      <c r="D124" s="108"/>
      <c r="E124" s="69"/>
      <c r="F124" s="108"/>
      <c r="G124" s="108"/>
      <c r="H124" s="109"/>
      <c r="I124" s="112"/>
      <c r="J124" s="109"/>
      <c r="K124" s="112"/>
      <c r="L124" s="109"/>
      <c r="M124" s="109"/>
    </row>
    <row r="125" spans="1:13" s="104" customFormat="1" ht="13.5">
      <c r="A125" s="106"/>
      <c r="B125" s="107" t="s">
        <v>137</v>
      </c>
      <c r="C125" s="177"/>
      <c r="D125" s="108" t="s">
        <v>113</v>
      </c>
      <c r="E125" s="69">
        <v>1</v>
      </c>
      <c r="F125" s="108">
        <f>F121*E125</f>
        <v>4</v>
      </c>
      <c r="G125" s="108"/>
      <c r="H125" s="109"/>
      <c r="I125" s="112"/>
      <c r="J125" s="109"/>
      <c r="K125" s="112"/>
      <c r="L125" s="109"/>
      <c r="M125" s="109"/>
    </row>
    <row r="126" spans="1:13" s="104" customFormat="1" ht="13.5">
      <c r="A126" s="106"/>
      <c r="B126" s="107" t="s">
        <v>20</v>
      </c>
      <c r="C126" s="177"/>
      <c r="D126" s="108" t="s">
        <v>0</v>
      </c>
      <c r="E126" s="69">
        <v>1.13</v>
      </c>
      <c r="F126" s="108">
        <f>F121*E126</f>
        <v>4.52</v>
      </c>
      <c r="G126" s="108"/>
      <c r="H126" s="109"/>
      <c r="I126" s="112"/>
      <c r="J126" s="109"/>
      <c r="K126" s="112"/>
      <c r="L126" s="109"/>
      <c r="M126" s="109"/>
    </row>
    <row r="127" spans="1:17" s="132" customFormat="1" ht="27">
      <c r="A127" s="92">
        <v>24</v>
      </c>
      <c r="B127" s="143" t="s">
        <v>191</v>
      </c>
      <c r="C127" s="294" t="s">
        <v>45</v>
      </c>
      <c r="D127" s="27" t="s">
        <v>26</v>
      </c>
      <c r="E127" s="27"/>
      <c r="F127" s="151">
        <f>SUM(F131:F133)</f>
        <v>29</v>
      </c>
      <c r="G127" s="27"/>
      <c r="H127" s="27"/>
      <c r="I127" s="27"/>
      <c r="J127" s="27"/>
      <c r="K127" s="27"/>
      <c r="L127" s="27"/>
      <c r="M127" s="27"/>
      <c r="O127" s="133"/>
      <c r="P127" s="133"/>
      <c r="Q127" s="133"/>
    </row>
    <row r="128" spans="1:17" s="132" customFormat="1" ht="13.5">
      <c r="A128" s="106"/>
      <c r="B128" s="107" t="s">
        <v>34</v>
      </c>
      <c r="C128" s="134"/>
      <c r="D128" s="108" t="s">
        <v>15</v>
      </c>
      <c r="E128" s="69">
        <f>3.89/10</f>
        <v>0.389</v>
      </c>
      <c r="F128" s="109">
        <f>F127*E128</f>
        <v>11.281</v>
      </c>
      <c r="G128" s="110"/>
      <c r="H128" s="111"/>
      <c r="I128" s="112"/>
      <c r="J128" s="109"/>
      <c r="K128" s="112"/>
      <c r="L128" s="109"/>
      <c r="M128" s="109"/>
      <c r="O128" s="133"/>
      <c r="P128" s="133"/>
      <c r="Q128" s="133"/>
    </row>
    <row r="129" spans="1:13" s="104" customFormat="1" ht="13.5">
      <c r="A129" s="106"/>
      <c r="B129" s="107" t="s">
        <v>31</v>
      </c>
      <c r="C129" s="135"/>
      <c r="D129" s="108" t="s">
        <v>0</v>
      </c>
      <c r="E129" s="69">
        <f>1.51/10</f>
        <v>0.151</v>
      </c>
      <c r="F129" s="109">
        <f>F127*E129</f>
        <v>4.379</v>
      </c>
      <c r="G129" s="108"/>
      <c r="H129" s="109"/>
      <c r="I129" s="112"/>
      <c r="J129" s="109"/>
      <c r="K129" s="112"/>
      <c r="L129" s="109"/>
      <c r="M129" s="109"/>
    </row>
    <row r="130" spans="1:13" s="104" customFormat="1" ht="13.5">
      <c r="A130" s="106"/>
      <c r="B130" s="69" t="s">
        <v>16</v>
      </c>
      <c r="C130" s="135"/>
      <c r="D130" s="108"/>
      <c r="E130" s="69"/>
      <c r="F130" s="108"/>
      <c r="G130" s="108"/>
      <c r="H130" s="109"/>
      <c r="I130" s="112"/>
      <c r="J130" s="109"/>
      <c r="K130" s="112"/>
      <c r="L130" s="109"/>
      <c r="M130" s="109"/>
    </row>
    <row r="131" spans="1:13" s="137" customFormat="1" ht="15.75">
      <c r="A131" s="19"/>
      <c r="B131" s="105" t="s">
        <v>221</v>
      </c>
      <c r="C131" s="136"/>
      <c r="D131" s="69" t="s">
        <v>26</v>
      </c>
      <c r="E131" s="69"/>
      <c r="F131" s="102">
        <v>5</v>
      </c>
      <c r="G131" s="102"/>
      <c r="H131" s="102"/>
      <c r="I131" s="38"/>
      <c r="J131" s="102"/>
      <c r="K131" s="103"/>
      <c r="L131" s="102"/>
      <c r="M131" s="102"/>
    </row>
    <row r="132" spans="1:13" s="137" customFormat="1" ht="15.75">
      <c r="A132" s="19"/>
      <c r="B132" s="105" t="s">
        <v>194</v>
      </c>
      <c r="C132" s="136"/>
      <c r="D132" s="69" t="s">
        <v>26</v>
      </c>
      <c r="E132" s="69"/>
      <c r="F132" s="102">
        <v>4</v>
      </c>
      <c r="G132" s="102"/>
      <c r="H132" s="102"/>
      <c r="I132" s="38"/>
      <c r="J132" s="102"/>
      <c r="K132" s="103"/>
      <c r="L132" s="102"/>
      <c r="M132" s="102"/>
    </row>
    <row r="133" spans="1:13" s="137" customFormat="1" ht="13.5">
      <c r="A133" s="19"/>
      <c r="B133" s="105" t="s">
        <v>192</v>
      </c>
      <c r="C133" s="136"/>
      <c r="D133" s="69" t="s">
        <v>26</v>
      </c>
      <c r="E133" s="69"/>
      <c r="F133" s="102">
        <v>20</v>
      </c>
      <c r="G133" s="102"/>
      <c r="H133" s="102"/>
      <c r="I133" s="38"/>
      <c r="J133" s="102"/>
      <c r="K133" s="103"/>
      <c r="L133" s="102"/>
      <c r="M133" s="102"/>
    </row>
    <row r="134" spans="1:13" s="104" customFormat="1" ht="13.5">
      <c r="A134" s="106"/>
      <c r="B134" s="107" t="s">
        <v>20</v>
      </c>
      <c r="C134" s="135"/>
      <c r="D134" s="108" t="s">
        <v>0</v>
      </c>
      <c r="E134" s="69">
        <f>0.24/10</f>
        <v>0.024</v>
      </c>
      <c r="F134" s="108">
        <f>F127*E134</f>
        <v>0.6960000000000001</v>
      </c>
      <c r="G134" s="108"/>
      <c r="H134" s="109"/>
      <c r="I134" s="112"/>
      <c r="J134" s="109"/>
      <c r="K134" s="112"/>
      <c r="L134" s="109"/>
      <c r="M134" s="109"/>
    </row>
    <row r="135" spans="1:14" s="33" customFormat="1" ht="27">
      <c r="A135" s="27">
        <v>25</v>
      </c>
      <c r="B135" s="144" t="s">
        <v>222</v>
      </c>
      <c r="C135" s="294" t="s">
        <v>67</v>
      </c>
      <c r="D135" s="28" t="s">
        <v>26</v>
      </c>
      <c r="E135" s="29"/>
      <c r="F135" s="154">
        <f>SUM(F139:F140)</f>
        <v>15</v>
      </c>
      <c r="G135" s="28"/>
      <c r="H135" s="30"/>
      <c r="I135" s="28"/>
      <c r="J135" s="31"/>
      <c r="K135" s="28"/>
      <c r="L135" s="30"/>
      <c r="M135" s="31"/>
      <c r="N135" s="32"/>
    </row>
    <row r="136" spans="1:13" s="24" customFormat="1" ht="13.5">
      <c r="A136" s="7"/>
      <c r="B136" s="9" t="s">
        <v>14</v>
      </c>
      <c r="C136" s="10"/>
      <c r="D136" s="11" t="s">
        <v>15</v>
      </c>
      <c r="E136" s="11">
        <f>5.84/10</f>
        <v>0.584</v>
      </c>
      <c r="F136" s="12">
        <f>F135*E136</f>
        <v>8.76</v>
      </c>
      <c r="G136" s="11"/>
      <c r="H136" s="12"/>
      <c r="I136" s="11"/>
      <c r="J136" s="12"/>
      <c r="K136" s="11"/>
      <c r="L136" s="12"/>
      <c r="M136" s="12"/>
    </row>
    <row r="137" spans="1:13" s="48" customFormat="1" ht="13.5">
      <c r="A137" s="43"/>
      <c r="B137" s="44" t="s">
        <v>25</v>
      </c>
      <c r="C137" s="57"/>
      <c r="D137" s="49" t="s">
        <v>0</v>
      </c>
      <c r="E137" s="46">
        <f>2.27/10</f>
        <v>0.227</v>
      </c>
      <c r="F137" s="50">
        <f>E137*F135</f>
        <v>3.4050000000000002</v>
      </c>
      <c r="G137" s="46"/>
      <c r="H137" s="47"/>
      <c r="I137" s="46"/>
      <c r="J137" s="47"/>
      <c r="K137" s="46"/>
      <c r="L137" s="47"/>
      <c r="M137" s="47"/>
    </row>
    <row r="138" spans="1:13" s="2" customFormat="1" ht="15.75">
      <c r="A138" s="19"/>
      <c r="B138" s="8" t="s">
        <v>16</v>
      </c>
      <c r="C138" s="153"/>
      <c r="D138" s="8"/>
      <c r="E138" s="8"/>
      <c r="F138" s="14"/>
      <c r="G138" s="8"/>
      <c r="H138" s="14"/>
      <c r="I138" s="11"/>
      <c r="J138" s="14"/>
      <c r="K138" s="15"/>
      <c r="L138" s="14"/>
      <c r="M138" s="14"/>
    </row>
    <row r="139" spans="1:13" s="2" customFormat="1" ht="27" customHeight="1">
      <c r="A139" s="19"/>
      <c r="B139" s="9" t="s">
        <v>223</v>
      </c>
      <c r="C139" s="153"/>
      <c r="D139" s="8" t="s">
        <v>26</v>
      </c>
      <c r="E139" s="8"/>
      <c r="F139" s="14">
        <v>10</v>
      </c>
      <c r="G139" s="122"/>
      <c r="H139" s="14"/>
      <c r="I139" s="11"/>
      <c r="J139" s="14"/>
      <c r="K139" s="15"/>
      <c r="L139" s="14"/>
      <c r="M139" s="14"/>
    </row>
    <row r="140" spans="1:13" s="2" customFormat="1" ht="15.75">
      <c r="A140" s="19"/>
      <c r="B140" s="9" t="s">
        <v>224</v>
      </c>
      <c r="C140" s="153"/>
      <c r="D140" s="8" t="s">
        <v>26</v>
      </c>
      <c r="E140" s="8"/>
      <c r="F140" s="14">
        <v>5</v>
      </c>
      <c r="G140" s="122"/>
      <c r="H140" s="14"/>
      <c r="I140" s="11"/>
      <c r="J140" s="14"/>
      <c r="K140" s="15"/>
      <c r="L140" s="14"/>
      <c r="M140" s="14"/>
    </row>
    <row r="141" spans="1:13" s="2" customFormat="1" ht="15.75">
      <c r="A141" s="19"/>
      <c r="B141" s="9" t="s">
        <v>20</v>
      </c>
      <c r="C141" s="153"/>
      <c r="D141" s="8" t="s">
        <v>0</v>
      </c>
      <c r="E141" s="8">
        <f>0.24/10</f>
        <v>0.024</v>
      </c>
      <c r="F141" s="14">
        <f>E141*F135</f>
        <v>0.36</v>
      </c>
      <c r="G141" s="8"/>
      <c r="H141" s="14"/>
      <c r="I141" s="11"/>
      <c r="J141" s="14"/>
      <c r="K141" s="15"/>
      <c r="L141" s="14"/>
      <c r="M141" s="14"/>
    </row>
    <row r="142" spans="1:15" s="96" customFormat="1" ht="33.75">
      <c r="A142" s="165">
        <v>26</v>
      </c>
      <c r="B142" s="166" t="s">
        <v>201</v>
      </c>
      <c r="C142" s="294" t="s">
        <v>169</v>
      </c>
      <c r="D142" s="93" t="s">
        <v>170</v>
      </c>
      <c r="E142" s="93"/>
      <c r="F142" s="139">
        <v>10</v>
      </c>
      <c r="G142" s="94"/>
      <c r="H142" s="95"/>
      <c r="I142" s="93"/>
      <c r="J142" s="95"/>
      <c r="K142" s="93"/>
      <c r="L142" s="95"/>
      <c r="M142" s="95"/>
      <c r="N142" s="140"/>
      <c r="O142" s="140"/>
    </row>
    <row r="143" spans="1:15" s="99" customFormat="1" ht="13.5" customHeight="1">
      <c r="A143" s="97"/>
      <c r="B143" s="98" t="s">
        <v>171</v>
      </c>
      <c r="C143" s="69"/>
      <c r="D143" s="38" t="s">
        <v>15</v>
      </c>
      <c r="E143" s="38">
        <v>5.68</v>
      </c>
      <c r="F143" s="70">
        <f>F142*E143</f>
        <v>56.8</v>
      </c>
      <c r="G143" s="38"/>
      <c r="H143" s="70"/>
      <c r="I143" s="38"/>
      <c r="J143" s="70"/>
      <c r="K143" s="38"/>
      <c r="L143" s="70"/>
      <c r="M143" s="70"/>
      <c r="N143" s="141"/>
      <c r="O143" s="141"/>
    </row>
    <row r="144" spans="1:15" s="99" customFormat="1" ht="13.5">
      <c r="A144" s="97"/>
      <c r="B144" s="98" t="s">
        <v>172</v>
      </c>
      <c r="C144" s="69"/>
      <c r="D144" s="69" t="s">
        <v>0</v>
      </c>
      <c r="E144" s="38">
        <v>0.33</v>
      </c>
      <c r="F144" s="100">
        <f>F142*E144</f>
        <v>3.3000000000000003</v>
      </c>
      <c r="G144" s="38"/>
      <c r="H144" s="70"/>
      <c r="I144" s="38"/>
      <c r="J144" s="70"/>
      <c r="K144" s="38"/>
      <c r="L144" s="70"/>
      <c r="M144" s="70"/>
      <c r="N144" s="141"/>
      <c r="O144" s="141"/>
    </row>
    <row r="145" spans="1:15" s="104" customFormat="1" ht="13.5">
      <c r="A145" s="19"/>
      <c r="B145" s="69" t="s">
        <v>16</v>
      </c>
      <c r="C145" s="101"/>
      <c r="D145" s="69"/>
      <c r="E145" s="69"/>
      <c r="F145" s="102"/>
      <c r="G145" s="69"/>
      <c r="H145" s="102"/>
      <c r="I145" s="38"/>
      <c r="J145" s="102"/>
      <c r="K145" s="103"/>
      <c r="L145" s="102"/>
      <c r="M145" s="102"/>
      <c r="N145" s="141"/>
      <c r="O145" s="141"/>
    </row>
    <row r="146" spans="1:15" s="104" customFormat="1" ht="13.5">
      <c r="A146" s="19"/>
      <c r="B146" s="105" t="s">
        <v>202</v>
      </c>
      <c r="C146" s="101"/>
      <c r="D146" s="69" t="s">
        <v>173</v>
      </c>
      <c r="E146" s="69">
        <v>1</v>
      </c>
      <c r="F146" s="102">
        <f>E146*F142</f>
        <v>10</v>
      </c>
      <c r="G146" s="102"/>
      <c r="H146" s="102"/>
      <c r="I146" s="38"/>
      <c r="J146" s="102"/>
      <c r="K146" s="103"/>
      <c r="L146" s="102"/>
      <c r="M146" s="102"/>
      <c r="N146" s="141"/>
      <c r="O146" s="141"/>
    </row>
    <row r="147" spans="1:15" s="104" customFormat="1" ht="13.5">
      <c r="A147" s="19"/>
      <c r="B147" s="105" t="s">
        <v>203</v>
      </c>
      <c r="C147" s="101"/>
      <c r="D147" s="69" t="s">
        <v>173</v>
      </c>
      <c r="E147" s="69">
        <v>1</v>
      </c>
      <c r="F147" s="102">
        <f>E147*F142</f>
        <v>10</v>
      </c>
      <c r="G147" s="102"/>
      <c r="H147" s="102"/>
      <c r="I147" s="38"/>
      <c r="J147" s="102"/>
      <c r="K147" s="103"/>
      <c r="L147" s="102"/>
      <c r="M147" s="102"/>
      <c r="N147" s="141"/>
      <c r="O147" s="141"/>
    </row>
    <row r="148" spans="1:15" s="104" customFormat="1" ht="13.5">
      <c r="A148" s="19"/>
      <c r="B148" s="105" t="s">
        <v>204</v>
      </c>
      <c r="C148" s="101"/>
      <c r="D148" s="69" t="s">
        <v>174</v>
      </c>
      <c r="E148" s="69">
        <v>1</v>
      </c>
      <c r="F148" s="102">
        <f>E148*F142</f>
        <v>10</v>
      </c>
      <c r="G148" s="102"/>
      <c r="H148" s="102"/>
      <c r="I148" s="38"/>
      <c r="J148" s="102"/>
      <c r="K148" s="103"/>
      <c r="L148" s="102"/>
      <c r="M148" s="102"/>
      <c r="N148" s="141"/>
      <c r="O148" s="141"/>
    </row>
    <row r="149" spans="1:15" s="104" customFormat="1" ht="13.5">
      <c r="A149" s="19"/>
      <c r="B149" s="105" t="s">
        <v>176</v>
      </c>
      <c r="C149" s="101"/>
      <c r="D149" s="69" t="s">
        <v>174</v>
      </c>
      <c r="E149" s="69">
        <v>2</v>
      </c>
      <c r="F149" s="102">
        <f>E149*F142</f>
        <v>20</v>
      </c>
      <c r="G149" s="102"/>
      <c r="H149" s="102"/>
      <c r="I149" s="38"/>
      <c r="J149" s="102"/>
      <c r="K149" s="103"/>
      <c r="L149" s="102"/>
      <c r="M149" s="102"/>
      <c r="N149" s="141"/>
      <c r="O149" s="141"/>
    </row>
    <row r="150" spans="1:15" s="104" customFormat="1" ht="13.5">
      <c r="A150" s="19"/>
      <c r="B150" s="105" t="s">
        <v>205</v>
      </c>
      <c r="C150" s="101"/>
      <c r="D150" s="69" t="s">
        <v>174</v>
      </c>
      <c r="E150" s="69">
        <v>1</v>
      </c>
      <c r="F150" s="102">
        <f>E150*F142</f>
        <v>10</v>
      </c>
      <c r="G150" s="102"/>
      <c r="H150" s="102"/>
      <c r="I150" s="38"/>
      <c r="J150" s="102"/>
      <c r="K150" s="103"/>
      <c r="L150" s="102"/>
      <c r="M150" s="102"/>
      <c r="N150" s="141"/>
      <c r="O150" s="141"/>
    </row>
    <row r="151" spans="1:15" s="104" customFormat="1" ht="13.5">
      <c r="A151" s="19"/>
      <c r="B151" s="105" t="s">
        <v>87</v>
      </c>
      <c r="C151" s="101"/>
      <c r="D151" s="69" t="s">
        <v>174</v>
      </c>
      <c r="E151" s="69">
        <v>2</v>
      </c>
      <c r="F151" s="102">
        <f>E151*F142</f>
        <v>20</v>
      </c>
      <c r="G151" s="102"/>
      <c r="H151" s="102"/>
      <c r="I151" s="38"/>
      <c r="J151" s="102"/>
      <c r="K151" s="103"/>
      <c r="L151" s="102"/>
      <c r="M151" s="102"/>
      <c r="N151" s="141"/>
      <c r="O151" s="141"/>
    </row>
    <row r="152" spans="1:15" s="104" customFormat="1" ht="13.5">
      <c r="A152" s="19"/>
      <c r="B152" s="105" t="s">
        <v>206</v>
      </c>
      <c r="C152" s="101"/>
      <c r="D152" s="69" t="s">
        <v>174</v>
      </c>
      <c r="E152" s="69">
        <v>2</v>
      </c>
      <c r="F152" s="102">
        <f>E152*F142</f>
        <v>20</v>
      </c>
      <c r="G152" s="102"/>
      <c r="H152" s="102"/>
      <c r="I152" s="38"/>
      <c r="J152" s="102"/>
      <c r="K152" s="103"/>
      <c r="L152" s="102"/>
      <c r="M152" s="102"/>
      <c r="N152" s="141"/>
      <c r="O152" s="141"/>
    </row>
    <row r="153" spans="1:15" s="104" customFormat="1" ht="13.5">
      <c r="A153" s="19"/>
      <c r="B153" s="105" t="s">
        <v>20</v>
      </c>
      <c r="C153" s="101"/>
      <c r="D153" s="69" t="s">
        <v>0</v>
      </c>
      <c r="E153" s="69">
        <v>1.3</v>
      </c>
      <c r="F153" s="102">
        <f>E153*F142</f>
        <v>13</v>
      </c>
      <c r="G153" s="102"/>
      <c r="H153" s="102"/>
      <c r="I153" s="38"/>
      <c r="J153" s="102"/>
      <c r="K153" s="103"/>
      <c r="L153" s="102"/>
      <c r="M153" s="102"/>
      <c r="N153" s="141"/>
      <c r="O153" s="141"/>
    </row>
    <row r="154" spans="1:13" ht="13.5">
      <c r="A154" s="558" t="s">
        <v>10</v>
      </c>
      <c r="B154" s="559"/>
      <c r="C154" s="559"/>
      <c r="D154" s="559"/>
      <c r="E154" s="559"/>
      <c r="F154" s="559"/>
      <c r="G154" s="560"/>
      <c r="H154" s="435"/>
      <c r="I154" s="436"/>
      <c r="J154" s="436">
        <f>SUM(J9:J153)</f>
        <v>0</v>
      </c>
      <c r="K154" s="436"/>
      <c r="L154" s="436">
        <f>SUM(L9:L153)</f>
        <v>0</v>
      </c>
      <c r="M154" s="35"/>
    </row>
    <row r="155" spans="1:13" ht="13.5">
      <c r="A155" s="555" t="s">
        <v>475</v>
      </c>
      <c r="B155" s="556"/>
      <c r="C155" s="556"/>
      <c r="D155" s="556"/>
      <c r="E155" s="556"/>
      <c r="F155" s="556"/>
      <c r="G155" s="556"/>
      <c r="H155" s="556"/>
      <c r="I155" s="556"/>
      <c r="J155" s="556"/>
      <c r="K155" s="557"/>
      <c r="L155" s="14" t="s">
        <v>476</v>
      </c>
      <c r="M155" s="26"/>
    </row>
    <row r="156" spans="1:13" ht="13.5">
      <c r="A156" s="558" t="s">
        <v>10</v>
      </c>
      <c r="B156" s="559"/>
      <c r="C156" s="559"/>
      <c r="D156" s="559"/>
      <c r="E156" s="559"/>
      <c r="F156" s="559"/>
      <c r="G156" s="559"/>
      <c r="H156" s="559"/>
      <c r="I156" s="559"/>
      <c r="J156" s="559"/>
      <c r="K156" s="559"/>
      <c r="L156" s="560"/>
      <c r="M156" s="36"/>
    </row>
    <row r="157" spans="1:13" ht="13.5">
      <c r="A157" s="555" t="s">
        <v>22</v>
      </c>
      <c r="B157" s="556"/>
      <c r="C157" s="556"/>
      <c r="D157" s="556"/>
      <c r="E157" s="556"/>
      <c r="F157" s="556"/>
      <c r="G157" s="556"/>
      <c r="H157" s="556"/>
      <c r="I157" s="556"/>
      <c r="J157" s="556"/>
      <c r="K157" s="557"/>
      <c r="L157" s="14" t="s">
        <v>476</v>
      </c>
      <c r="M157" s="26"/>
    </row>
    <row r="158" spans="1:13" ht="13.5">
      <c r="A158" s="558" t="s">
        <v>10</v>
      </c>
      <c r="B158" s="559"/>
      <c r="C158" s="559"/>
      <c r="D158" s="559"/>
      <c r="E158" s="559"/>
      <c r="F158" s="559"/>
      <c r="G158" s="559"/>
      <c r="H158" s="559"/>
      <c r="I158" s="559"/>
      <c r="J158" s="559"/>
      <c r="K158" s="559"/>
      <c r="L158" s="560"/>
      <c r="M158" s="36"/>
    </row>
    <row r="159" spans="1:13" ht="14.25" thickBot="1">
      <c r="A159" s="555" t="s">
        <v>21</v>
      </c>
      <c r="B159" s="556"/>
      <c r="C159" s="556"/>
      <c r="D159" s="556"/>
      <c r="E159" s="556"/>
      <c r="F159" s="556"/>
      <c r="G159" s="556"/>
      <c r="H159" s="556"/>
      <c r="I159" s="556"/>
      <c r="J159" s="556"/>
      <c r="K159" s="557"/>
      <c r="L159" s="14" t="s">
        <v>476</v>
      </c>
      <c r="M159" s="437"/>
    </row>
    <row r="160" spans="1:13" ht="14.25" thickBot="1">
      <c r="A160" s="561" t="s">
        <v>36</v>
      </c>
      <c r="B160" s="561"/>
      <c r="C160" s="561"/>
      <c r="D160" s="561"/>
      <c r="E160" s="561"/>
      <c r="F160" s="561"/>
      <c r="G160" s="561"/>
      <c r="H160" s="561"/>
      <c r="I160" s="561"/>
      <c r="J160" s="561"/>
      <c r="K160" s="561"/>
      <c r="L160" s="558"/>
      <c r="M160" s="438"/>
    </row>
    <row r="161" spans="1:13" ht="13.5">
      <c r="A161" s="439"/>
      <c r="B161" s="439"/>
      <c r="C161" s="440"/>
      <c r="D161" s="439"/>
      <c r="E161" s="439"/>
      <c r="F161" s="439"/>
      <c r="G161" s="439"/>
      <c r="H161" s="439"/>
      <c r="I161" s="439"/>
      <c r="J161" s="439"/>
      <c r="K161" s="439"/>
      <c r="L161" s="439"/>
      <c r="M161" s="439"/>
    </row>
    <row r="162" spans="1:13" ht="13.5">
      <c r="A162" s="439"/>
      <c r="B162" s="439"/>
      <c r="C162" s="440"/>
      <c r="D162" s="439"/>
      <c r="E162" s="439"/>
      <c r="F162" s="439"/>
      <c r="G162" s="439"/>
      <c r="H162" s="439"/>
      <c r="I162" s="439"/>
      <c r="J162" s="439"/>
      <c r="K162" s="439"/>
      <c r="L162" s="439"/>
      <c r="M162" s="439"/>
    </row>
    <row r="163" spans="1:13" ht="13.5">
      <c r="A163" s="439"/>
      <c r="B163" s="439"/>
      <c r="C163" s="440"/>
      <c r="D163" s="439"/>
      <c r="E163" s="439"/>
      <c r="F163" s="439"/>
      <c r="G163" s="439"/>
      <c r="H163" s="439"/>
      <c r="I163" s="439"/>
      <c r="J163" s="439"/>
      <c r="K163" s="439"/>
      <c r="L163" s="439"/>
      <c r="M163" s="439"/>
    </row>
    <row r="164" spans="1:13" ht="13.5">
      <c r="A164" s="439"/>
      <c r="B164" s="439"/>
      <c r="C164" s="440"/>
      <c r="D164" s="439"/>
      <c r="E164" s="439"/>
      <c r="F164" s="439"/>
      <c r="G164" s="439"/>
      <c r="H164" s="439"/>
      <c r="I164" s="439"/>
      <c r="J164" s="439"/>
      <c r="K164" s="439"/>
      <c r="L164" s="439"/>
      <c r="M164" s="439"/>
    </row>
    <row r="165" spans="1:13" ht="13.5">
      <c r="A165" s="439"/>
      <c r="B165" s="439"/>
      <c r="C165" s="440"/>
      <c r="D165" s="439"/>
      <c r="E165" s="439"/>
      <c r="F165" s="439"/>
      <c r="G165" s="439"/>
      <c r="H165" s="439"/>
      <c r="I165" s="439"/>
      <c r="J165" s="439"/>
      <c r="K165" s="439"/>
      <c r="L165" s="439"/>
      <c r="M165" s="439"/>
    </row>
    <row r="166" spans="1:13" ht="13.5">
      <c r="A166" s="439"/>
      <c r="B166" s="439"/>
      <c r="C166" s="440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</row>
    <row r="167" spans="1:13" ht="13.5">
      <c r="A167" s="439"/>
      <c r="B167" s="439"/>
      <c r="C167" s="440"/>
      <c r="D167" s="439"/>
      <c r="E167" s="439"/>
      <c r="F167" s="439"/>
      <c r="G167" s="439"/>
      <c r="H167" s="439"/>
      <c r="I167" s="439"/>
      <c r="J167" s="439"/>
      <c r="K167" s="439"/>
      <c r="L167" s="439"/>
      <c r="M167" s="439"/>
    </row>
    <row r="168" spans="1:13" ht="13.5">
      <c r="A168" s="439"/>
      <c r="B168" s="439"/>
      <c r="C168" s="440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</row>
    <row r="169" spans="1:13" ht="13.5">
      <c r="A169" s="439"/>
      <c r="B169" s="439"/>
      <c r="C169" s="440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</row>
    <row r="170" spans="1:13" ht="13.5">
      <c r="A170" s="439"/>
      <c r="B170" s="439"/>
      <c r="C170" s="440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</row>
    <row r="171" spans="1:13" ht="13.5">
      <c r="A171" s="439"/>
      <c r="B171" s="439"/>
      <c r="C171" s="440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</row>
    <row r="172" spans="1:13" ht="13.5">
      <c r="A172" s="439"/>
      <c r="B172" s="439"/>
      <c r="C172" s="440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</row>
    <row r="173" spans="1:13" ht="13.5">
      <c r="A173" s="439"/>
      <c r="B173" s="439"/>
      <c r="C173" s="440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1:13" ht="13.5">
      <c r="A174" s="439"/>
      <c r="B174" s="439"/>
      <c r="C174" s="440"/>
      <c r="D174" s="439"/>
      <c r="E174" s="439"/>
      <c r="F174" s="439"/>
      <c r="G174" s="439"/>
      <c r="H174" s="439"/>
      <c r="I174" s="439"/>
      <c r="J174" s="439"/>
      <c r="K174" s="439"/>
      <c r="L174" s="439"/>
      <c r="M174" s="439"/>
    </row>
    <row r="175" spans="1:13" ht="13.5">
      <c r="A175" s="439"/>
      <c r="B175" s="439"/>
      <c r="C175" s="440"/>
      <c r="D175" s="439"/>
      <c r="E175" s="439"/>
      <c r="F175" s="439"/>
      <c r="G175" s="439"/>
      <c r="H175" s="439"/>
      <c r="I175" s="439"/>
      <c r="J175" s="439"/>
      <c r="K175" s="439"/>
      <c r="L175" s="439"/>
      <c r="M175" s="439"/>
    </row>
    <row r="176" spans="1:13" ht="13.5">
      <c r="A176" s="439"/>
      <c r="B176" s="439"/>
      <c r="C176" s="440"/>
      <c r="D176" s="439"/>
      <c r="E176" s="439"/>
      <c r="F176" s="439"/>
      <c r="G176" s="439"/>
      <c r="H176" s="439"/>
      <c r="I176" s="439"/>
      <c r="J176" s="439"/>
      <c r="K176" s="439"/>
      <c r="L176" s="439"/>
      <c r="M176" s="439"/>
    </row>
    <row r="177" spans="1:13" ht="13.5">
      <c r="A177" s="439"/>
      <c r="B177" s="439"/>
      <c r="C177" s="440"/>
      <c r="D177" s="439"/>
      <c r="E177" s="439"/>
      <c r="F177" s="439"/>
      <c r="G177" s="439"/>
      <c r="H177" s="439"/>
      <c r="I177" s="439"/>
      <c r="J177" s="439"/>
      <c r="K177" s="439"/>
      <c r="L177" s="439"/>
      <c r="M177" s="439"/>
    </row>
    <row r="178" spans="1:13" ht="13.5">
      <c r="A178" s="439"/>
      <c r="B178" s="439"/>
      <c r="C178" s="440"/>
      <c r="D178" s="439"/>
      <c r="E178" s="439"/>
      <c r="F178" s="439"/>
      <c r="G178" s="439"/>
      <c r="H178" s="439"/>
      <c r="I178" s="439"/>
      <c r="J178" s="439"/>
      <c r="K178" s="439"/>
      <c r="L178" s="439"/>
      <c r="M178" s="439"/>
    </row>
    <row r="179" spans="1:13" ht="13.5">
      <c r="A179" s="439"/>
      <c r="B179" s="439"/>
      <c r="C179" s="440"/>
      <c r="D179" s="439"/>
      <c r="E179" s="439"/>
      <c r="F179" s="439"/>
      <c r="G179" s="439"/>
      <c r="H179" s="439"/>
      <c r="I179" s="439"/>
      <c r="J179" s="439"/>
      <c r="K179" s="439"/>
      <c r="L179" s="439"/>
      <c r="M179" s="439"/>
    </row>
  </sheetData>
  <sheetProtection/>
  <autoFilter ref="A2:A158"/>
  <mergeCells count="20">
    <mergeCell ref="J1:M1"/>
    <mergeCell ref="A154:G154"/>
    <mergeCell ref="A155:K155"/>
    <mergeCell ref="A156:L156"/>
    <mergeCell ref="G4:H4"/>
    <mergeCell ref="I4:J4"/>
    <mergeCell ref="K4:L4"/>
    <mergeCell ref="B2:M2"/>
    <mergeCell ref="A4:A5"/>
    <mergeCell ref="B4:B5"/>
    <mergeCell ref="A157:K157"/>
    <mergeCell ref="A158:L158"/>
    <mergeCell ref="A159:K159"/>
    <mergeCell ref="A160:L160"/>
    <mergeCell ref="A7:M7"/>
    <mergeCell ref="A3:M3"/>
    <mergeCell ref="C4:C5"/>
    <mergeCell ref="D4:D5"/>
    <mergeCell ref="E4:E5"/>
    <mergeCell ref="F4:F5"/>
  </mergeCells>
  <printOptions/>
  <pageMargins left="0.28" right="0.29" top="0.27" bottom="0.36" header="0.2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00"/>
  </sheetPr>
  <dimension ref="A1:Q96"/>
  <sheetViews>
    <sheetView view="pageBreakPreview" zoomScale="110" zoomScaleNormal="85" zoomScaleSheetLayoutView="110" workbookViewId="0" topLeftCell="A1">
      <pane xSplit="1" ySplit="6" topLeftCell="B7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A74" sqref="A74:M80"/>
    </sheetView>
  </sheetViews>
  <sheetFormatPr defaultColWidth="9.140625" defaultRowHeight="12.75"/>
  <cols>
    <col min="1" max="1" width="3.28125" style="3" customWidth="1"/>
    <col min="2" max="2" width="42.00390625" style="3" customWidth="1"/>
    <col min="3" max="3" width="8.57421875" style="4" customWidth="1"/>
    <col min="4" max="4" width="8.28125" style="3" customWidth="1"/>
    <col min="5" max="5" width="8.421875" style="3" customWidth="1"/>
    <col min="6" max="6" width="9.7109375" style="3" customWidth="1"/>
    <col min="7" max="7" width="8.7109375" style="3" customWidth="1"/>
    <col min="8" max="8" width="10.8515625" style="3" bestFit="1" customWidth="1"/>
    <col min="9" max="9" width="8.57421875" style="3" customWidth="1"/>
    <col min="10" max="10" width="10.8515625" style="3" bestFit="1" customWidth="1"/>
    <col min="11" max="11" width="7.7109375" style="3" customWidth="1"/>
    <col min="12" max="12" width="10.7109375" style="3" customWidth="1"/>
    <col min="13" max="13" width="12.28125" style="3" customWidth="1"/>
    <col min="14" max="14" width="16.00390625" style="5" bestFit="1" customWidth="1"/>
    <col min="15" max="16384" width="9.140625" style="5" customWidth="1"/>
  </cols>
  <sheetData>
    <row r="1" spans="1:13" s="21" customFormat="1" ht="21" customHeight="1">
      <c r="A1" s="439"/>
      <c r="B1" s="439"/>
      <c r="C1" s="440"/>
      <c r="D1" s="439"/>
      <c r="E1" s="439"/>
      <c r="F1" s="439"/>
      <c r="G1" s="439"/>
      <c r="H1" s="439"/>
      <c r="I1" s="439"/>
      <c r="J1" s="562" t="s">
        <v>482</v>
      </c>
      <c r="K1" s="562"/>
      <c r="L1" s="562"/>
      <c r="M1" s="562"/>
    </row>
    <row r="2" spans="1:13" s="21" customFormat="1" ht="21.75" customHeight="1">
      <c r="A2" s="20"/>
      <c r="B2" s="550" t="s">
        <v>478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3" s="21" customFormat="1" ht="16.5" thickBot="1">
      <c r="A3" s="572" t="s">
        <v>483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s="21" customFormat="1" ht="11.25">
      <c r="A4" s="570" t="s">
        <v>1</v>
      </c>
      <c r="B4" s="564" t="s">
        <v>3</v>
      </c>
      <c r="C4" s="564" t="s">
        <v>2</v>
      </c>
      <c r="D4" s="564" t="s">
        <v>4</v>
      </c>
      <c r="E4" s="564" t="s">
        <v>13</v>
      </c>
      <c r="F4" s="564" t="s">
        <v>5</v>
      </c>
      <c r="G4" s="569" t="s">
        <v>19</v>
      </c>
      <c r="H4" s="569"/>
      <c r="I4" s="569" t="s">
        <v>6</v>
      </c>
      <c r="J4" s="569"/>
      <c r="K4" s="564" t="s">
        <v>7</v>
      </c>
      <c r="L4" s="564"/>
      <c r="M4" s="428" t="s">
        <v>8</v>
      </c>
    </row>
    <row r="5" spans="1:13" s="21" customFormat="1" ht="11.25">
      <c r="A5" s="571"/>
      <c r="B5" s="565"/>
      <c r="C5" s="565"/>
      <c r="D5" s="565"/>
      <c r="E5" s="565"/>
      <c r="F5" s="565"/>
      <c r="G5" s="17" t="s">
        <v>9</v>
      </c>
      <c r="H5" s="22" t="s">
        <v>10</v>
      </c>
      <c r="I5" s="17" t="s">
        <v>9</v>
      </c>
      <c r="J5" s="22" t="s">
        <v>10</v>
      </c>
      <c r="K5" s="17" t="s">
        <v>9</v>
      </c>
      <c r="L5" s="22" t="s">
        <v>11</v>
      </c>
      <c r="M5" s="429" t="s">
        <v>12</v>
      </c>
    </row>
    <row r="6" spans="1:13" s="21" customFormat="1" ht="12" thickBot="1">
      <c r="A6" s="430">
        <v>1</v>
      </c>
      <c r="B6" s="431">
        <v>2</v>
      </c>
      <c r="C6" s="431">
        <v>3</v>
      </c>
      <c r="D6" s="431">
        <v>4</v>
      </c>
      <c r="E6" s="431">
        <v>5</v>
      </c>
      <c r="F6" s="431">
        <v>6</v>
      </c>
      <c r="G6" s="432">
        <v>7</v>
      </c>
      <c r="H6" s="433">
        <v>8</v>
      </c>
      <c r="I6" s="432">
        <v>9</v>
      </c>
      <c r="J6" s="433">
        <v>10</v>
      </c>
      <c r="K6" s="432">
        <v>11</v>
      </c>
      <c r="L6" s="433">
        <v>12</v>
      </c>
      <c r="M6" s="434">
        <v>13</v>
      </c>
    </row>
    <row r="7" spans="1:13" s="2" customFormat="1" ht="15.75">
      <c r="A7" s="566" t="s">
        <v>442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8"/>
    </row>
    <row r="8" spans="1:15" s="172" customFormat="1" ht="13.5">
      <c r="A8" s="165">
        <v>1</v>
      </c>
      <c r="B8" s="166" t="s">
        <v>443</v>
      </c>
      <c r="C8" s="145" t="s">
        <v>251</v>
      </c>
      <c r="D8" s="165" t="s">
        <v>444</v>
      </c>
      <c r="E8" s="165"/>
      <c r="F8" s="167">
        <v>12</v>
      </c>
      <c r="G8" s="168"/>
      <c r="H8" s="169"/>
      <c r="I8" s="170"/>
      <c r="J8" s="169"/>
      <c r="K8" s="170"/>
      <c r="L8" s="169"/>
      <c r="M8" s="169"/>
      <c r="N8" s="140" t="s">
        <v>78</v>
      </c>
      <c r="O8" s="171"/>
    </row>
    <row r="9" spans="1:15" s="176" customFormat="1" ht="13.5">
      <c r="A9" s="106"/>
      <c r="B9" s="107" t="s">
        <v>62</v>
      </c>
      <c r="C9" s="173"/>
      <c r="D9" s="108" t="s">
        <v>15</v>
      </c>
      <c r="E9" s="69">
        <v>1.51</v>
      </c>
      <c r="F9" s="109">
        <f>F8*E9</f>
        <v>18.12</v>
      </c>
      <c r="G9" s="110"/>
      <c r="H9" s="111"/>
      <c r="I9" s="112"/>
      <c r="J9" s="109"/>
      <c r="K9" s="112"/>
      <c r="L9" s="109"/>
      <c r="M9" s="109"/>
      <c r="N9" s="174"/>
      <c r="O9" s="175"/>
    </row>
    <row r="10" spans="1:15" s="180" customFormat="1" ht="13.5">
      <c r="A10" s="106"/>
      <c r="B10" s="107" t="s">
        <v>31</v>
      </c>
      <c r="C10" s="177"/>
      <c r="D10" s="108" t="s">
        <v>0</v>
      </c>
      <c r="E10" s="69">
        <v>0.13</v>
      </c>
      <c r="F10" s="109">
        <f>F8*E10</f>
        <v>1.56</v>
      </c>
      <c r="G10" s="108"/>
      <c r="H10" s="109"/>
      <c r="I10" s="112"/>
      <c r="J10" s="109"/>
      <c r="K10" s="112"/>
      <c r="L10" s="109"/>
      <c r="M10" s="109"/>
      <c r="N10" s="178"/>
      <c r="O10" s="179"/>
    </row>
    <row r="11" spans="1:15" s="176" customFormat="1" ht="13.5">
      <c r="A11" s="106"/>
      <c r="B11" s="69" t="s">
        <v>16</v>
      </c>
      <c r="C11" s="177"/>
      <c r="D11" s="108"/>
      <c r="E11" s="69"/>
      <c r="F11" s="108"/>
      <c r="G11" s="108"/>
      <c r="H11" s="109"/>
      <c r="I11" s="112"/>
      <c r="J11" s="109"/>
      <c r="K11" s="112"/>
      <c r="L11" s="109"/>
      <c r="M11" s="109"/>
      <c r="N11" s="174"/>
      <c r="O11" s="175"/>
    </row>
    <row r="12" spans="1:15" s="176" customFormat="1" ht="13.5">
      <c r="A12" s="106"/>
      <c r="B12" s="107" t="s">
        <v>445</v>
      </c>
      <c r="C12" s="177"/>
      <c r="D12" s="108" t="s">
        <v>26</v>
      </c>
      <c r="E12" s="69">
        <v>1</v>
      </c>
      <c r="F12" s="108">
        <f>F8*E12</f>
        <v>12</v>
      </c>
      <c r="G12" s="108"/>
      <c r="H12" s="109"/>
      <c r="I12" s="112"/>
      <c r="J12" s="109"/>
      <c r="K12" s="112"/>
      <c r="L12" s="109"/>
      <c r="M12" s="109"/>
      <c r="N12" s="174"/>
      <c r="O12" s="175"/>
    </row>
    <row r="13" spans="1:15" s="176" customFormat="1" ht="13.5">
      <c r="A13" s="106"/>
      <c r="B13" s="107" t="s">
        <v>104</v>
      </c>
      <c r="C13" s="177"/>
      <c r="D13" s="108" t="s">
        <v>52</v>
      </c>
      <c r="E13" s="69">
        <v>1.1</v>
      </c>
      <c r="F13" s="108">
        <f>F8*E13</f>
        <v>13.200000000000001</v>
      </c>
      <c r="G13" s="108"/>
      <c r="H13" s="109"/>
      <c r="I13" s="112"/>
      <c r="J13" s="109"/>
      <c r="K13" s="112"/>
      <c r="L13" s="109"/>
      <c r="M13" s="109"/>
      <c r="N13" s="174"/>
      <c r="O13" s="175"/>
    </row>
    <row r="14" spans="1:15" s="176" customFormat="1" ht="13.5">
      <c r="A14" s="106"/>
      <c r="B14" s="107" t="s">
        <v>20</v>
      </c>
      <c r="C14" s="177"/>
      <c r="D14" s="108" t="s">
        <v>0</v>
      </c>
      <c r="E14" s="69">
        <v>0.07</v>
      </c>
      <c r="F14" s="108">
        <f>F8*E14</f>
        <v>0.8400000000000001</v>
      </c>
      <c r="G14" s="108"/>
      <c r="H14" s="109"/>
      <c r="I14" s="112"/>
      <c r="J14" s="109"/>
      <c r="K14" s="112"/>
      <c r="L14" s="109"/>
      <c r="M14" s="109"/>
      <c r="N14" s="174"/>
      <c r="O14" s="175"/>
    </row>
    <row r="15" spans="1:15" s="172" customFormat="1" ht="13.5">
      <c r="A15" s="165">
        <v>2</v>
      </c>
      <c r="B15" s="166" t="s">
        <v>446</v>
      </c>
      <c r="C15" s="145" t="s">
        <v>251</v>
      </c>
      <c r="D15" s="165" t="s">
        <v>444</v>
      </c>
      <c r="E15" s="165"/>
      <c r="F15" s="167">
        <v>12</v>
      </c>
      <c r="G15" s="168"/>
      <c r="H15" s="169"/>
      <c r="I15" s="170"/>
      <c r="J15" s="169"/>
      <c r="K15" s="170"/>
      <c r="L15" s="169"/>
      <c r="M15" s="169"/>
      <c r="N15" s="140" t="s">
        <v>78</v>
      </c>
      <c r="O15" s="171"/>
    </row>
    <row r="16" spans="1:15" s="176" customFormat="1" ht="13.5">
      <c r="A16" s="106"/>
      <c r="B16" s="107" t="s">
        <v>62</v>
      </c>
      <c r="C16" s="173"/>
      <c r="D16" s="108" t="s">
        <v>15</v>
      </c>
      <c r="E16" s="69">
        <v>1.51</v>
      </c>
      <c r="F16" s="109">
        <f>F15*E16</f>
        <v>18.12</v>
      </c>
      <c r="G16" s="110"/>
      <c r="H16" s="111"/>
      <c r="I16" s="112"/>
      <c r="J16" s="109"/>
      <c r="K16" s="112"/>
      <c r="L16" s="109"/>
      <c r="M16" s="109"/>
      <c r="N16" s="174"/>
      <c r="O16" s="175"/>
    </row>
    <row r="17" spans="1:15" s="180" customFormat="1" ht="13.5">
      <c r="A17" s="106"/>
      <c r="B17" s="107" t="s">
        <v>31</v>
      </c>
      <c r="C17" s="177"/>
      <c r="D17" s="108" t="s">
        <v>0</v>
      </c>
      <c r="E17" s="69">
        <v>0.13</v>
      </c>
      <c r="F17" s="109">
        <f>F15*E17</f>
        <v>1.56</v>
      </c>
      <c r="G17" s="108"/>
      <c r="H17" s="109"/>
      <c r="I17" s="112"/>
      <c r="J17" s="109"/>
      <c r="K17" s="112"/>
      <c r="L17" s="109"/>
      <c r="M17" s="109"/>
      <c r="N17" s="178"/>
      <c r="O17" s="179"/>
    </row>
    <row r="18" spans="1:15" s="176" customFormat="1" ht="13.5">
      <c r="A18" s="106"/>
      <c r="B18" s="69" t="s">
        <v>16</v>
      </c>
      <c r="C18" s="177"/>
      <c r="D18" s="108"/>
      <c r="E18" s="69"/>
      <c r="F18" s="108"/>
      <c r="G18" s="108"/>
      <c r="H18" s="109"/>
      <c r="I18" s="112"/>
      <c r="J18" s="109"/>
      <c r="K18" s="112"/>
      <c r="L18" s="109"/>
      <c r="M18" s="109"/>
      <c r="N18" s="174"/>
      <c r="O18" s="175"/>
    </row>
    <row r="19" spans="1:15" s="176" customFormat="1" ht="13.5">
      <c r="A19" s="106"/>
      <c r="B19" s="107" t="s">
        <v>176</v>
      </c>
      <c r="C19" s="177"/>
      <c r="D19" s="108" t="s">
        <v>26</v>
      </c>
      <c r="E19" s="69">
        <v>1</v>
      </c>
      <c r="F19" s="108">
        <f>F15*E19</f>
        <v>12</v>
      </c>
      <c r="G19" s="108"/>
      <c r="H19" s="109"/>
      <c r="I19" s="112"/>
      <c r="J19" s="109"/>
      <c r="K19" s="112"/>
      <c r="L19" s="109"/>
      <c r="M19" s="109"/>
      <c r="N19" s="174"/>
      <c r="O19" s="175"/>
    </row>
    <row r="20" spans="1:15" s="176" customFormat="1" ht="13.5">
      <c r="A20" s="106"/>
      <c r="B20" s="107" t="s">
        <v>104</v>
      </c>
      <c r="C20" s="177"/>
      <c r="D20" s="108" t="s">
        <v>52</v>
      </c>
      <c r="E20" s="69">
        <v>1.1</v>
      </c>
      <c r="F20" s="108">
        <f>F15*E20</f>
        <v>13.200000000000001</v>
      </c>
      <c r="G20" s="108"/>
      <c r="H20" s="109"/>
      <c r="I20" s="112"/>
      <c r="J20" s="109"/>
      <c r="K20" s="112"/>
      <c r="L20" s="109"/>
      <c r="M20" s="109"/>
      <c r="N20" s="174"/>
      <c r="O20" s="175"/>
    </row>
    <row r="21" spans="1:15" s="176" customFormat="1" ht="13.5">
      <c r="A21" s="106"/>
      <c r="B21" s="107" t="s">
        <v>20</v>
      </c>
      <c r="C21" s="177"/>
      <c r="D21" s="108" t="s">
        <v>0</v>
      </c>
      <c r="E21" s="69">
        <v>0.07</v>
      </c>
      <c r="F21" s="108">
        <f>F15*E21</f>
        <v>0.8400000000000001</v>
      </c>
      <c r="G21" s="108"/>
      <c r="H21" s="109"/>
      <c r="I21" s="112"/>
      <c r="J21" s="109"/>
      <c r="K21" s="112"/>
      <c r="L21" s="109"/>
      <c r="M21" s="109"/>
      <c r="N21" s="174"/>
      <c r="O21" s="175"/>
    </row>
    <row r="22" spans="1:13" s="55" customFormat="1" ht="39.75" customHeight="1">
      <c r="A22" s="27">
        <v>3</v>
      </c>
      <c r="B22" s="143" t="s">
        <v>448</v>
      </c>
      <c r="C22" s="294" t="s">
        <v>447</v>
      </c>
      <c r="D22" s="27" t="s">
        <v>17</v>
      </c>
      <c r="E22" s="27"/>
      <c r="F22" s="27">
        <v>60</v>
      </c>
      <c r="G22" s="27"/>
      <c r="H22" s="27"/>
      <c r="I22" s="27"/>
      <c r="J22" s="27"/>
      <c r="K22" s="27"/>
      <c r="L22" s="27"/>
      <c r="M22" s="27"/>
    </row>
    <row r="23" spans="1:13" s="55" customFormat="1" ht="15.75">
      <c r="A23" s="43"/>
      <c r="B23" s="44" t="s">
        <v>14</v>
      </c>
      <c r="C23" s="57"/>
      <c r="D23" s="46" t="s">
        <v>15</v>
      </c>
      <c r="E23" s="46">
        <f>803/1000</f>
        <v>0.803</v>
      </c>
      <c r="F23" s="47">
        <f>F22*E23</f>
        <v>48.18</v>
      </c>
      <c r="G23" s="46"/>
      <c r="H23" s="47"/>
      <c r="I23" s="46"/>
      <c r="J23" s="47"/>
      <c r="K23" s="46"/>
      <c r="L23" s="47"/>
      <c r="M23" s="47"/>
    </row>
    <row r="24" spans="1:13" s="55" customFormat="1" ht="15.75">
      <c r="A24" s="51"/>
      <c r="B24" s="49" t="s">
        <v>16</v>
      </c>
      <c r="C24" s="58"/>
      <c r="D24" s="49"/>
      <c r="E24" s="49"/>
      <c r="F24" s="53"/>
      <c r="G24" s="49"/>
      <c r="H24" s="53"/>
      <c r="I24" s="46"/>
      <c r="J24" s="53"/>
      <c r="K24" s="54"/>
      <c r="L24" s="53"/>
      <c r="M24" s="53"/>
    </row>
    <row r="25" spans="1:13" s="55" customFormat="1" ht="15.75">
      <c r="A25" s="51"/>
      <c r="B25" s="56" t="s">
        <v>91</v>
      </c>
      <c r="C25" s="58"/>
      <c r="D25" s="49" t="s">
        <v>17</v>
      </c>
      <c r="E25" s="49">
        <f>995/1000</f>
        <v>0.995</v>
      </c>
      <c r="F25" s="53">
        <f>E25*F22</f>
        <v>59.7</v>
      </c>
      <c r="G25" s="14"/>
      <c r="H25" s="53"/>
      <c r="I25" s="46"/>
      <c r="J25" s="53"/>
      <c r="K25" s="54"/>
      <c r="L25" s="53"/>
      <c r="M25" s="53"/>
    </row>
    <row r="26" spans="1:13" s="55" customFormat="1" ht="15.75">
      <c r="A26" s="51"/>
      <c r="B26" s="44" t="s">
        <v>20</v>
      </c>
      <c r="C26" s="58"/>
      <c r="D26" s="49" t="s">
        <v>0</v>
      </c>
      <c r="E26" s="49">
        <f>18.5/1000</f>
        <v>0.0185</v>
      </c>
      <c r="F26" s="59">
        <f>E26*F22</f>
        <v>1.1099999999999999</v>
      </c>
      <c r="G26" s="8"/>
      <c r="H26" s="59"/>
      <c r="I26" s="46"/>
      <c r="J26" s="53"/>
      <c r="K26" s="54"/>
      <c r="L26" s="53"/>
      <c r="M26" s="59"/>
    </row>
    <row r="27" spans="1:17" s="132" customFormat="1" ht="27">
      <c r="A27" s="92">
        <v>4</v>
      </c>
      <c r="B27" s="143" t="s">
        <v>449</v>
      </c>
      <c r="C27" s="294" t="s">
        <v>45</v>
      </c>
      <c r="D27" s="27" t="s">
        <v>26</v>
      </c>
      <c r="E27" s="27"/>
      <c r="F27" s="151">
        <v>12</v>
      </c>
      <c r="G27" s="27"/>
      <c r="H27" s="27"/>
      <c r="I27" s="27"/>
      <c r="J27" s="27"/>
      <c r="K27" s="27"/>
      <c r="L27" s="27"/>
      <c r="M27" s="27"/>
      <c r="O27" s="133"/>
      <c r="P27" s="133"/>
      <c r="Q27" s="133"/>
    </row>
    <row r="28" spans="1:17" s="132" customFormat="1" ht="13.5">
      <c r="A28" s="106"/>
      <c r="B28" s="107" t="s">
        <v>34</v>
      </c>
      <c r="C28" s="134"/>
      <c r="D28" s="108" t="s">
        <v>15</v>
      </c>
      <c r="E28" s="69">
        <f>3.89/10</f>
        <v>0.389</v>
      </c>
      <c r="F28" s="109">
        <f>F27*E28</f>
        <v>4.668</v>
      </c>
      <c r="G28" s="110"/>
      <c r="H28" s="111"/>
      <c r="I28" s="112"/>
      <c r="J28" s="109"/>
      <c r="K28" s="112"/>
      <c r="L28" s="109"/>
      <c r="M28" s="109"/>
      <c r="O28" s="133"/>
      <c r="P28" s="133"/>
      <c r="Q28" s="133"/>
    </row>
    <row r="29" spans="1:13" s="104" customFormat="1" ht="13.5">
      <c r="A29" s="106"/>
      <c r="B29" s="107" t="s">
        <v>31</v>
      </c>
      <c r="C29" s="135"/>
      <c r="D29" s="108" t="s">
        <v>0</v>
      </c>
      <c r="E29" s="69">
        <f>1.51/10</f>
        <v>0.151</v>
      </c>
      <c r="F29" s="109">
        <f>F27*E29</f>
        <v>1.8119999999999998</v>
      </c>
      <c r="G29" s="108"/>
      <c r="H29" s="109"/>
      <c r="I29" s="112"/>
      <c r="J29" s="109"/>
      <c r="K29" s="112"/>
      <c r="L29" s="109"/>
      <c r="M29" s="109"/>
    </row>
    <row r="30" spans="1:13" s="104" customFormat="1" ht="13.5">
      <c r="A30" s="106"/>
      <c r="B30" s="69" t="s">
        <v>16</v>
      </c>
      <c r="C30" s="135"/>
      <c r="D30" s="108"/>
      <c r="E30" s="69"/>
      <c r="F30" s="108"/>
      <c r="G30" s="108"/>
      <c r="H30" s="109"/>
      <c r="I30" s="112"/>
      <c r="J30" s="109"/>
      <c r="K30" s="112"/>
      <c r="L30" s="109"/>
      <c r="M30" s="109"/>
    </row>
    <row r="31" spans="1:13" s="137" customFormat="1" ht="13.5">
      <c r="A31" s="19"/>
      <c r="B31" s="105" t="s">
        <v>261</v>
      </c>
      <c r="C31" s="136"/>
      <c r="D31" s="69" t="s">
        <v>26</v>
      </c>
      <c r="E31" s="69">
        <v>1</v>
      </c>
      <c r="F31" s="102">
        <f>F27*E31</f>
        <v>12</v>
      </c>
      <c r="G31" s="102"/>
      <c r="H31" s="102"/>
      <c r="I31" s="38"/>
      <c r="J31" s="102"/>
      <c r="K31" s="103"/>
      <c r="L31" s="102"/>
      <c r="M31" s="102"/>
    </row>
    <row r="32" spans="1:13" s="104" customFormat="1" ht="13.5">
      <c r="A32" s="106"/>
      <c r="B32" s="107" t="s">
        <v>20</v>
      </c>
      <c r="C32" s="135"/>
      <c r="D32" s="108" t="s">
        <v>0</v>
      </c>
      <c r="E32" s="69">
        <f>0.24/10</f>
        <v>0.024</v>
      </c>
      <c r="F32" s="108">
        <f>F27*E32</f>
        <v>0.28800000000000003</v>
      </c>
      <c r="G32" s="108"/>
      <c r="H32" s="109"/>
      <c r="I32" s="112"/>
      <c r="J32" s="109"/>
      <c r="K32" s="112"/>
      <c r="L32" s="109"/>
      <c r="M32" s="109"/>
    </row>
    <row r="33" spans="1:16" s="32" customFormat="1" ht="27">
      <c r="A33" s="92">
        <v>5</v>
      </c>
      <c r="B33" s="143" t="s">
        <v>451</v>
      </c>
      <c r="C33" s="145" t="s">
        <v>134</v>
      </c>
      <c r="D33" s="27" t="s">
        <v>48</v>
      </c>
      <c r="E33" s="27"/>
      <c r="F33" s="92">
        <f>0.2/1000*12</f>
        <v>0.0024000000000000002</v>
      </c>
      <c r="G33" s="27"/>
      <c r="H33" s="27"/>
      <c r="I33" s="27"/>
      <c r="J33" s="27"/>
      <c r="K33" s="27"/>
      <c r="L33" s="27"/>
      <c r="M33" s="115"/>
      <c r="N33" s="123"/>
      <c r="O33" s="244"/>
      <c r="P33" s="123"/>
    </row>
    <row r="34" spans="1:16" s="24" customFormat="1" ht="15" customHeight="1">
      <c r="A34" s="7"/>
      <c r="B34" s="9" t="s">
        <v>14</v>
      </c>
      <c r="C34" s="8"/>
      <c r="D34" s="11" t="s">
        <v>15</v>
      </c>
      <c r="E34" s="11">
        <v>305</v>
      </c>
      <c r="F34" s="12">
        <f>F33*E34</f>
        <v>0.7320000000000001</v>
      </c>
      <c r="G34" s="11"/>
      <c r="H34" s="12"/>
      <c r="I34" s="11"/>
      <c r="J34" s="12"/>
      <c r="K34" s="11"/>
      <c r="L34" s="12"/>
      <c r="M34" s="124"/>
      <c r="N34" s="245"/>
      <c r="O34" s="246"/>
      <c r="P34" s="246"/>
    </row>
    <row r="35" spans="1:16" s="24" customFormat="1" ht="15" customHeight="1">
      <c r="A35" s="7"/>
      <c r="B35" s="9" t="s">
        <v>25</v>
      </c>
      <c r="C35" s="8"/>
      <c r="D35" s="8" t="s">
        <v>0</v>
      </c>
      <c r="E35" s="11">
        <v>162</v>
      </c>
      <c r="F35" s="125">
        <f>E35*F33</f>
        <v>0.38880000000000003</v>
      </c>
      <c r="G35" s="11"/>
      <c r="H35" s="12"/>
      <c r="I35" s="11"/>
      <c r="J35" s="12"/>
      <c r="K35" s="11"/>
      <c r="L35" s="12"/>
      <c r="M35" s="124"/>
      <c r="N35" s="245"/>
      <c r="O35" s="246"/>
      <c r="P35" s="246"/>
    </row>
    <row r="36" spans="1:16" s="13" customFormat="1" ht="15" customHeight="1">
      <c r="A36" s="19"/>
      <c r="B36" s="8" t="s">
        <v>16</v>
      </c>
      <c r="C36" s="126"/>
      <c r="D36" s="8"/>
      <c r="E36" s="8"/>
      <c r="F36" s="14"/>
      <c r="G36" s="8"/>
      <c r="H36" s="14"/>
      <c r="I36" s="11"/>
      <c r="J36" s="14"/>
      <c r="K36" s="15"/>
      <c r="L36" s="14"/>
      <c r="M36" s="127"/>
      <c r="N36" s="73"/>
      <c r="O36" s="246"/>
      <c r="P36" s="246"/>
    </row>
    <row r="37" spans="1:16" s="13" customFormat="1" ht="15" customHeight="1">
      <c r="A37" s="247"/>
      <c r="B37" s="248" t="s">
        <v>450</v>
      </c>
      <c r="C37" s="249"/>
      <c r="D37" s="250" t="s">
        <v>48</v>
      </c>
      <c r="E37" s="250">
        <v>1</v>
      </c>
      <c r="F37" s="251">
        <f>E37*F33</f>
        <v>0.0024000000000000002</v>
      </c>
      <c r="G37" s="128"/>
      <c r="H37" s="128"/>
      <c r="I37" s="252"/>
      <c r="J37" s="128"/>
      <c r="K37" s="253"/>
      <c r="L37" s="128"/>
      <c r="M37" s="425"/>
      <c r="N37" s="73"/>
      <c r="O37" s="246"/>
      <c r="P37" s="246"/>
    </row>
    <row r="38" spans="1:16" s="13" customFormat="1" ht="15" customHeight="1">
      <c r="A38" s="19"/>
      <c r="B38" s="9" t="s">
        <v>20</v>
      </c>
      <c r="C38" s="126"/>
      <c r="D38" s="8" t="s">
        <v>0</v>
      </c>
      <c r="E38" s="8">
        <v>49.2</v>
      </c>
      <c r="F38" s="14">
        <f>E38*F33</f>
        <v>0.11808000000000002</v>
      </c>
      <c r="G38" s="8"/>
      <c r="H38" s="14"/>
      <c r="I38" s="11"/>
      <c r="J38" s="14"/>
      <c r="K38" s="15"/>
      <c r="L38" s="14"/>
      <c r="M38" s="127"/>
      <c r="N38" s="73"/>
      <c r="O38" s="246"/>
      <c r="P38" s="246"/>
    </row>
    <row r="39" spans="1:13" s="55" customFormat="1" ht="27">
      <c r="A39" s="27">
        <v>6</v>
      </c>
      <c r="B39" s="143" t="s">
        <v>453</v>
      </c>
      <c r="C39" s="145" t="s">
        <v>454</v>
      </c>
      <c r="D39" s="27" t="s">
        <v>17</v>
      </c>
      <c r="E39" s="27"/>
      <c r="F39" s="27">
        <v>24</v>
      </c>
      <c r="G39" s="27"/>
      <c r="H39" s="27"/>
      <c r="I39" s="27"/>
      <c r="J39" s="27"/>
      <c r="K39" s="27"/>
      <c r="L39" s="27"/>
      <c r="M39" s="27"/>
    </row>
    <row r="40" spans="1:13" s="55" customFormat="1" ht="15.75">
      <c r="A40" s="43"/>
      <c r="B40" s="44" t="s">
        <v>14</v>
      </c>
      <c r="C40" s="57"/>
      <c r="D40" s="46" t="s">
        <v>15</v>
      </c>
      <c r="E40" s="46">
        <f>353/1000</f>
        <v>0.353</v>
      </c>
      <c r="F40" s="47">
        <f>F39*E40</f>
        <v>8.472</v>
      </c>
      <c r="G40" s="46"/>
      <c r="H40" s="47"/>
      <c r="I40" s="46"/>
      <c r="J40" s="47"/>
      <c r="K40" s="46"/>
      <c r="L40" s="47"/>
      <c r="M40" s="47"/>
    </row>
    <row r="41" spans="1:13" s="55" customFormat="1" ht="15.75">
      <c r="A41" s="43"/>
      <c r="B41" s="44" t="s">
        <v>25</v>
      </c>
      <c r="C41" s="57"/>
      <c r="D41" s="49" t="s">
        <v>0</v>
      </c>
      <c r="E41" s="46">
        <f>35.1/1000</f>
        <v>0.0351</v>
      </c>
      <c r="F41" s="50">
        <f>E41*F39</f>
        <v>0.8424</v>
      </c>
      <c r="G41" s="46"/>
      <c r="H41" s="47"/>
      <c r="I41" s="46"/>
      <c r="J41" s="47"/>
      <c r="K41" s="46"/>
      <c r="L41" s="47"/>
      <c r="M41" s="47"/>
    </row>
    <row r="42" spans="1:13" s="55" customFormat="1" ht="15.75">
      <c r="A42" s="51"/>
      <c r="B42" s="49" t="s">
        <v>16</v>
      </c>
      <c r="C42" s="58"/>
      <c r="D42" s="49"/>
      <c r="E42" s="49"/>
      <c r="F42" s="53"/>
      <c r="G42" s="49"/>
      <c r="H42" s="53"/>
      <c r="I42" s="46"/>
      <c r="J42" s="53"/>
      <c r="K42" s="54"/>
      <c r="L42" s="53"/>
      <c r="M42" s="53"/>
    </row>
    <row r="43" spans="1:13" s="55" customFormat="1" ht="15.75">
      <c r="A43" s="51"/>
      <c r="B43" s="56" t="s">
        <v>142</v>
      </c>
      <c r="C43" s="58"/>
      <c r="D43" s="49" t="s">
        <v>17</v>
      </c>
      <c r="E43" s="49">
        <f>998/1000</f>
        <v>0.998</v>
      </c>
      <c r="F43" s="53">
        <f>E43*F39</f>
        <v>23.951999999999998</v>
      </c>
      <c r="G43" s="14"/>
      <c r="H43" s="53"/>
      <c r="I43" s="46"/>
      <c r="J43" s="53"/>
      <c r="K43" s="54"/>
      <c r="L43" s="53"/>
      <c r="M43" s="53"/>
    </row>
    <row r="44" spans="1:13" s="55" customFormat="1" ht="15.75">
      <c r="A44" s="51"/>
      <c r="B44" s="44" t="s">
        <v>20</v>
      </c>
      <c r="C44" s="58"/>
      <c r="D44" s="49" t="s">
        <v>0</v>
      </c>
      <c r="E44" s="49">
        <f>59.3/1000</f>
        <v>0.0593</v>
      </c>
      <c r="F44" s="59">
        <f>E44*F39</f>
        <v>1.4232</v>
      </c>
      <c r="G44" s="8"/>
      <c r="H44" s="59"/>
      <c r="I44" s="46"/>
      <c r="J44" s="53"/>
      <c r="K44" s="54"/>
      <c r="L44" s="53"/>
      <c r="M44" s="59"/>
    </row>
    <row r="45" spans="1:13" s="55" customFormat="1" ht="40.5">
      <c r="A45" s="27">
        <v>7</v>
      </c>
      <c r="B45" s="143" t="s">
        <v>455</v>
      </c>
      <c r="C45" s="145" t="s">
        <v>452</v>
      </c>
      <c r="D45" s="27" t="s">
        <v>17</v>
      </c>
      <c r="E45" s="27"/>
      <c r="F45" s="27">
        <v>60</v>
      </c>
      <c r="G45" s="27"/>
      <c r="H45" s="27"/>
      <c r="I45" s="27"/>
      <c r="J45" s="27"/>
      <c r="K45" s="27"/>
      <c r="L45" s="27"/>
      <c r="M45" s="27"/>
    </row>
    <row r="46" spans="1:13" s="55" customFormat="1" ht="15.75">
      <c r="A46" s="43"/>
      <c r="B46" s="44" t="s">
        <v>14</v>
      </c>
      <c r="C46" s="57"/>
      <c r="D46" s="46" t="s">
        <v>15</v>
      </c>
      <c r="E46" s="46">
        <f>318/1000</f>
        <v>0.318</v>
      </c>
      <c r="F46" s="47">
        <f>F45*E46</f>
        <v>19.080000000000002</v>
      </c>
      <c r="G46" s="46"/>
      <c r="H46" s="47"/>
      <c r="I46" s="46"/>
      <c r="J46" s="47"/>
      <c r="K46" s="46"/>
      <c r="L46" s="47"/>
      <c r="M46" s="47"/>
    </row>
    <row r="47" spans="1:13" s="55" customFormat="1" ht="15.75">
      <c r="A47" s="43"/>
      <c r="B47" s="44" t="s">
        <v>25</v>
      </c>
      <c r="C47" s="57"/>
      <c r="D47" s="49" t="s">
        <v>0</v>
      </c>
      <c r="E47" s="46">
        <f>22.3/1000</f>
        <v>0.0223</v>
      </c>
      <c r="F47" s="50">
        <f>E47*F45</f>
        <v>1.338</v>
      </c>
      <c r="G47" s="46"/>
      <c r="H47" s="47"/>
      <c r="I47" s="46"/>
      <c r="J47" s="47"/>
      <c r="K47" s="46"/>
      <c r="L47" s="47"/>
      <c r="M47" s="47"/>
    </row>
    <row r="48" spans="1:13" s="55" customFormat="1" ht="15.75">
      <c r="A48" s="51"/>
      <c r="B48" s="49" t="s">
        <v>16</v>
      </c>
      <c r="C48" s="58"/>
      <c r="D48" s="49"/>
      <c r="E48" s="49"/>
      <c r="F48" s="53"/>
      <c r="G48" s="49"/>
      <c r="H48" s="53"/>
      <c r="I48" s="46"/>
      <c r="J48" s="53"/>
      <c r="K48" s="54"/>
      <c r="L48" s="53"/>
      <c r="M48" s="53"/>
    </row>
    <row r="49" spans="1:13" s="55" customFormat="1" ht="15.75">
      <c r="A49" s="51"/>
      <c r="B49" s="56" t="s">
        <v>142</v>
      </c>
      <c r="C49" s="58"/>
      <c r="D49" s="49" t="s">
        <v>17</v>
      </c>
      <c r="E49" s="49">
        <f>998/1000</f>
        <v>0.998</v>
      </c>
      <c r="F49" s="53">
        <f>E49*F45</f>
        <v>59.88</v>
      </c>
      <c r="G49" s="14"/>
      <c r="H49" s="53"/>
      <c r="I49" s="46"/>
      <c r="J49" s="53"/>
      <c r="K49" s="54"/>
      <c r="L49" s="53"/>
      <c r="M49" s="53"/>
    </row>
    <row r="50" spans="1:13" s="55" customFormat="1" ht="15.75">
      <c r="A50" s="51"/>
      <c r="B50" s="44" t="s">
        <v>20</v>
      </c>
      <c r="C50" s="58"/>
      <c r="D50" s="49" t="s">
        <v>0</v>
      </c>
      <c r="E50" s="49">
        <f>54.8/1000</f>
        <v>0.054799999999999995</v>
      </c>
      <c r="F50" s="59">
        <f>E50*F45</f>
        <v>3.288</v>
      </c>
      <c r="G50" s="8"/>
      <c r="H50" s="59"/>
      <c r="I50" s="46"/>
      <c r="J50" s="53"/>
      <c r="K50" s="54"/>
      <c r="L50" s="53"/>
      <c r="M50" s="59"/>
    </row>
    <row r="51" spans="1:13" s="241" customFormat="1" ht="13.5">
      <c r="A51" s="267">
        <v>8</v>
      </c>
      <c r="B51" s="235" t="s">
        <v>460</v>
      </c>
      <c r="C51" s="409" t="s">
        <v>457</v>
      </c>
      <c r="D51" s="234" t="s">
        <v>49</v>
      </c>
      <c r="E51" s="236"/>
      <c r="F51" s="281">
        <f>1.8/100</f>
        <v>0.018000000000000002</v>
      </c>
      <c r="G51" s="236"/>
      <c r="H51" s="236"/>
      <c r="I51" s="236"/>
      <c r="J51" s="236"/>
      <c r="K51" s="236"/>
      <c r="L51" s="236"/>
      <c r="M51" s="236"/>
    </row>
    <row r="52" spans="1:13" s="13" customFormat="1" ht="13.5">
      <c r="A52" s="18"/>
      <c r="B52" s="16" t="s">
        <v>24</v>
      </c>
      <c r="C52" s="10"/>
      <c r="D52" s="11" t="s">
        <v>15</v>
      </c>
      <c r="E52" s="12">
        <v>1460</v>
      </c>
      <c r="F52" s="12">
        <f>F51*E52</f>
        <v>26.280000000000005</v>
      </c>
      <c r="G52" s="8"/>
      <c r="H52" s="14"/>
      <c r="I52" s="8"/>
      <c r="J52" s="14"/>
      <c r="K52" s="8"/>
      <c r="L52" s="8"/>
      <c r="M52" s="14"/>
    </row>
    <row r="53" spans="1:13" s="24" customFormat="1" ht="13.5">
      <c r="A53" s="121"/>
      <c r="B53" s="16" t="s">
        <v>70</v>
      </c>
      <c r="C53" s="10"/>
      <c r="D53" s="11" t="s">
        <v>0</v>
      </c>
      <c r="E53" s="8">
        <v>93</v>
      </c>
      <c r="F53" s="14">
        <f>E53*F51</f>
        <v>1.6740000000000002</v>
      </c>
      <c r="G53" s="8"/>
      <c r="H53" s="8"/>
      <c r="I53" s="8"/>
      <c r="J53" s="8"/>
      <c r="K53" s="8"/>
      <c r="L53" s="14"/>
      <c r="M53" s="14"/>
    </row>
    <row r="54" spans="1:13" s="24" customFormat="1" ht="13.5">
      <c r="A54" s="8"/>
      <c r="B54" s="8" t="s">
        <v>50</v>
      </c>
      <c r="C54" s="10"/>
      <c r="D54" s="8"/>
      <c r="E54" s="268"/>
      <c r="F54" s="14"/>
      <c r="G54" s="11"/>
      <c r="H54" s="269"/>
      <c r="I54" s="11"/>
      <c r="J54" s="12"/>
      <c r="K54" s="11"/>
      <c r="L54" s="269"/>
      <c r="M54" s="14"/>
    </row>
    <row r="55" spans="1:13" s="24" customFormat="1" ht="13.5">
      <c r="A55" s="121"/>
      <c r="B55" s="16" t="s">
        <v>458</v>
      </c>
      <c r="C55" s="17"/>
      <c r="D55" s="8" t="s">
        <v>48</v>
      </c>
      <c r="E55" s="11">
        <v>9.9</v>
      </c>
      <c r="F55" s="268">
        <f>E55*F51</f>
        <v>0.17820000000000003</v>
      </c>
      <c r="G55" s="147"/>
      <c r="H55" s="159"/>
      <c r="I55" s="148"/>
      <c r="J55" s="38"/>
      <c r="K55" s="147"/>
      <c r="L55" s="147"/>
      <c r="M55" s="14"/>
    </row>
    <row r="56" spans="1:13" s="24" customFormat="1" ht="13.5">
      <c r="A56" s="121"/>
      <c r="B56" s="16" t="s">
        <v>456</v>
      </c>
      <c r="C56" s="17"/>
      <c r="D56" s="8" t="s">
        <v>23</v>
      </c>
      <c r="E56" s="11">
        <v>101.5</v>
      </c>
      <c r="F56" s="122">
        <f>E56*F51</f>
        <v>1.8270000000000002</v>
      </c>
      <c r="G56" s="147"/>
      <c r="H56" s="159"/>
      <c r="I56" s="148"/>
      <c r="J56" s="38"/>
      <c r="K56" s="8"/>
      <c r="L56" s="14"/>
      <c r="M56" s="14"/>
    </row>
    <row r="57" spans="1:13" s="13" customFormat="1" ht="13.5">
      <c r="A57" s="18"/>
      <c r="B57" s="16" t="s">
        <v>150</v>
      </c>
      <c r="C57" s="17"/>
      <c r="D57" s="11" t="s">
        <v>76</v>
      </c>
      <c r="E57" s="12">
        <v>288</v>
      </c>
      <c r="F57" s="12">
        <f>E57*F51</f>
        <v>5.184000000000001</v>
      </c>
      <c r="G57" s="147"/>
      <c r="H57" s="159"/>
      <c r="I57" s="148"/>
      <c r="J57" s="38"/>
      <c r="K57" s="147"/>
      <c r="L57" s="147"/>
      <c r="M57" s="14"/>
    </row>
    <row r="58" spans="1:13" s="13" customFormat="1" ht="13.5">
      <c r="A58" s="18"/>
      <c r="B58" s="16" t="s">
        <v>138</v>
      </c>
      <c r="C58" s="17"/>
      <c r="D58" s="11" t="s">
        <v>23</v>
      </c>
      <c r="E58" s="12">
        <f>0.53+0.92+6.4</f>
        <v>7.8500000000000005</v>
      </c>
      <c r="F58" s="12">
        <f>E58*F51</f>
        <v>0.14130000000000004</v>
      </c>
      <c r="G58" s="147"/>
      <c r="H58" s="159"/>
      <c r="I58" s="148"/>
      <c r="J58" s="38"/>
      <c r="K58" s="147"/>
      <c r="L58" s="147"/>
      <c r="M58" s="14"/>
    </row>
    <row r="59" spans="1:13" s="13" customFormat="1" ht="13.5">
      <c r="A59" s="18"/>
      <c r="B59" s="16" t="s">
        <v>459</v>
      </c>
      <c r="C59" s="17"/>
      <c r="D59" s="11" t="s">
        <v>76</v>
      </c>
      <c r="E59" s="12"/>
      <c r="F59" s="12">
        <v>12</v>
      </c>
      <c r="G59" s="147"/>
      <c r="H59" s="159"/>
      <c r="I59" s="148"/>
      <c r="J59" s="38"/>
      <c r="K59" s="147"/>
      <c r="L59" s="147"/>
      <c r="M59" s="14"/>
    </row>
    <row r="60" spans="1:13" s="13" customFormat="1" ht="13.5">
      <c r="A60" s="18"/>
      <c r="B60" s="16" t="s">
        <v>156</v>
      </c>
      <c r="C60" s="17"/>
      <c r="D60" s="11" t="s">
        <v>0</v>
      </c>
      <c r="E60" s="12">
        <v>296</v>
      </c>
      <c r="F60" s="12">
        <f>F51*E60</f>
        <v>5.328</v>
      </c>
      <c r="G60" s="147"/>
      <c r="H60" s="159"/>
      <c r="I60" s="148"/>
      <c r="J60" s="38"/>
      <c r="K60" s="147"/>
      <c r="L60" s="147"/>
      <c r="M60" s="14"/>
    </row>
    <row r="61" spans="1:13" s="55" customFormat="1" ht="15.75">
      <c r="A61" s="27">
        <v>9</v>
      </c>
      <c r="B61" s="143" t="s">
        <v>465</v>
      </c>
      <c r="C61" s="145" t="s">
        <v>466</v>
      </c>
      <c r="D61" s="27" t="s">
        <v>23</v>
      </c>
      <c r="E61" s="27"/>
      <c r="F61" s="27">
        <v>0.36</v>
      </c>
      <c r="G61" s="27"/>
      <c r="H61" s="27"/>
      <c r="I61" s="27"/>
      <c r="J61" s="27"/>
      <c r="K61" s="27"/>
      <c r="L61" s="27"/>
      <c r="M61" s="27"/>
    </row>
    <row r="62" spans="1:13" s="55" customFormat="1" ht="15.75">
      <c r="A62" s="43"/>
      <c r="B62" s="44" t="s">
        <v>14</v>
      </c>
      <c r="C62" s="57"/>
      <c r="D62" s="46" t="s">
        <v>15</v>
      </c>
      <c r="E62" s="46">
        <v>13.6</v>
      </c>
      <c r="F62" s="47">
        <f>F61*E62</f>
        <v>4.896</v>
      </c>
      <c r="G62" s="46"/>
      <c r="H62" s="47"/>
      <c r="I62" s="46"/>
      <c r="J62" s="47"/>
      <c r="K62" s="46"/>
      <c r="L62" s="47"/>
      <c r="M62" s="47"/>
    </row>
    <row r="63" spans="1:13" s="55" customFormat="1" ht="15.75">
      <c r="A63" s="43"/>
      <c r="B63" s="44" t="s">
        <v>25</v>
      </c>
      <c r="C63" s="57"/>
      <c r="D63" s="49" t="s">
        <v>0</v>
      </c>
      <c r="E63" s="46">
        <v>0.14</v>
      </c>
      <c r="F63" s="50">
        <f>E63*F61</f>
        <v>0.0504</v>
      </c>
      <c r="G63" s="46"/>
      <c r="H63" s="47"/>
      <c r="I63" s="46"/>
      <c r="J63" s="47"/>
      <c r="K63" s="46"/>
      <c r="L63" s="47"/>
      <c r="M63" s="47"/>
    </row>
    <row r="64" spans="1:13" s="55" customFormat="1" ht="15.75">
      <c r="A64" s="51"/>
      <c r="B64" s="49" t="s">
        <v>16</v>
      </c>
      <c r="C64" s="58"/>
      <c r="D64" s="49"/>
      <c r="E64" s="49"/>
      <c r="F64" s="53"/>
      <c r="G64" s="49"/>
      <c r="H64" s="53"/>
      <c r="I64" s="46"/>
      <c r="J64" s="53"/>
      <c r="K64" s="54"/>
      <c r="L64" s="53"/>
      <c r="M64" s="53"/>
    </row>
    <row r="65" spans="1:13" s="55" customFormat="1" ht="15.75">
      <c r="A65" s="51"/>
      <c r="B65" s="56" t="s">
        <v>467</v>
      </c>
      <c r="C65" s="58"/>
      <c r="D65" s="49" t="s">
        <v>23</v>
      </c>
      <c r="E65" s="49">
        <v>1.05</v>
      </c>
      <c r="F65" s="53">
        <f>E65*F61</f>
        <v>0.378</v>
      </c>
      <c r="G65" s="14"/>
      <c r="H65" s="53"/>
      <c r="I65" s="46"/>
      <c r="J65" s="53"/>
      <c r="K65" s="54"/>
      <c r="L65" s="53"/>
      <c r="M65" s="53"/>
    </row>
    <row r="66" spans="1:13" s="55" customFormat="1" ht="15.75">
      <c r="A66" s="51"/>
      <c r="B66" s="44" t="s">
        <v>20</v>
      </c>
      <c r="C66" s="58"/>
      <c r="D66" s="49" t="s">
        <v>0</v>
      </c>
      <c r="E66" s="49">
        <v>0.53</v>
      </c>
      <c r="F66" s="59">
        <f>E66*F61</f>
        <v>0.1908</v>
      </c>
      <c r="G66" s="8"/>
      <c r="H66" s="59"/>
      <c r="I66" s="46"/>
      <c r="J66" s="53"/>
      <c r="K66" s="54"/>
      <c r="L66" s="53"/>
      <c r="M66" s="59"/>
    </row>
    <row r="67" spans="1:13" s="55" customFormat="1" ht="27">
      <c r="A67" s="27">
        <v>10</v>
      </c>
      <c r="B67" s="143" t="s">
        <v>468</v>
      </c>
      <c r="C67" s="145" t="s">
        <v>469</v>
      </c>
      <c r="D67" s="27" t="s">
        <v>76</v>
      </c>
      <c r="E67" s="27"/>
      <c r="F67" s="27">
        <v>108</v>
      </c>
      <c r="G67" s="27"/>
      <c r="H67" s="27"/>
      <c r="I67" s="27"/>
      <c r="J67" s="27"/>
      <c r="K67" s="27"/>
      <c r="L67" s="27"/>
      <c r="M67" s="27"/>
    </row>
    <row r="68" spans="1:13" s="55" customFormat="1" ht="15.75">
      <c r="A68" s="43"/>
      <c r="B68" s="44" t="s">
        <v>14</v>
      </c>
      <c r="C68" s="57"/>
      <c r="D68" s="46" t="s">
        <v>15</v>
      </c>
      <c r="E68" s="46">
        <f>47.9/100</f>
        <v>0.479</v>
      </c>
      <c r="F68" s="47">
        <f>F67*E68</f>
        <v>51.732</v>
      </c>
      <c r="G68" s="46"/>
      <c r="H68" s="47"/>
      <c r="I68" s="46"/>
      <c r="J68" s="47"/>
      <c r="K68" s="46"/>
      <c r="L68" s="47"/>
      <c r="M68" s="47"/>
    </row>
    <row r="69" spans="1:13" s="55" customFormat="1" ht="15.75">
      <c r="A69" s="43"/>
      <c r="B69" s="44" t="s">
        <v>25</v>
      </c>
      <c r="C69" s="57"/>
      <c r="D69" s="49" t="s">
        <v>0</v>
      </c>
      <c r="E69" s="46">
        <f>15.3/100</f>
        <v>0.153</v>
      </c>
      <c r="F69" s="50">
        <f>E69*F67</f>
        <v>16.524</v>
      </c>
      <c r="G69" s="46"/>
      <c r="H69" s="47"/>
      <c r="I69" s="46"/>
      <c r="J69" s="47"/>
      <c r="K69" s="46"/>
      <c r="L69" s="47"/>
      <c r="M69" s="47"/>
    </row>
    <row r="70" spans="1:13" s="55" customFormat="1" ht="15.75">
      <c r="A70" s="51"/>
      <c r="B70" s="49" t="s">
        <v>16</v>
      </c>
      <c r="C70" s="58"/>
      <c r="D70" s="49"/>
      <c r="E70" s="49"/>
      <c r="F70" s="53"/>
      <c r="G70" s="49"/>
      <c r="H70" s="53"/>
      <c r="I70" s="46"/>
      <c r="J70" s="53"/>
      <c r="K70" s="54"/>
      <c r="L70" s="53"/>
      <c r="M70" s="53"/>
    </row>
    <row r="71" spans="1:13" s="55" customFormat="1" ht="15.75">
      <c r="A71" s="51"/>
      <c r="B71" s="56" t="s">
        <v>470</v>
      </c>
      <c r="C71" s="58"/>
      <c r="D71" s="49" t="s">
        <v>76</v>
      </c>
      <c r="E71" s="49">
        <f>100/100</f>
        <v>1</v>
      </c>
      <c r="F71" s="53">
        <f>E71*F67</f>
        <v>108</v>
      </c>
      <c r="G71" s="14"/>
      <c r="H71" s="53"/>
      <c r="I71" s="46"/>
      <c r="J71" s="53"/>
      <c r="K71" s="54"/>
      <c r="L71" s="53"/>
      <c r="M71" s="53"/>
    </row>
    <row r="72" spans="1:13" s="55" customFormat="1" ht="15.75">
      <c r="A72" s="51"/>
      <c r="B72" s="56" t="s">
        <v>471</v>
      </c>
      <c r="C72" s="58"/>
      <c r="D72" s="49" t="s">
        <v>23</v>
      </c>
      <c r="E72" s="49">
        <f>0.05/100</f>
        <v>0.0005</v>
      </c>
      <c r="F72" s="53">
        <f>E72*F67</f>
        <v>0.054</v>
      </c>
      <c r="G72" s="14"/>
      <c r="H72" s="53"/>
      <c r="I72" s="46"/>
      <c r="J72" s="53"/>
      <c r="K72" s="54"/>
      <c r="L72" s="53"/>
      <c r="M72" s="53"/>
    </row>
    <row r="73" spans="1:13" s="55" customFormat="1" ht="15.75">
      <c r="A73" s="51"/>
      <c r="B73" s="44" t="s">
        <v>20</v>
      </c>
      <c r="C73" s="58"/>
      <c r="D73" s="49" t="s">
        <v>0</v>
      </c>
      <c r="E73" s="49">
        <f>0.06/100</f>
        <v>0.0006</v>
      </c>
      <c r="F73" s="59">
        <f>E73*F67</f>
        <v>0.0648</v>
      </c>
      <c r="G73" s="8"/>
      <c r="H73" s="59"/>
      <c r="I73" s="46"/>
      <c r="J73" s="53"/>
      <c r="K73" s="54"/>
      <c r="L73" s="53"/>
      <c r="M73" s="59"/>
    </row>
    <row r="74" spans="1:13" ht="13.5">
      <c r="A74" s="558" t="s">
        <v>10</v>
      </c>
      <c r="B74" s="559"/>
      <c r="C74" s="559"/>
      <c r="D74" s="559"/>
      <c r="E74" s="559"/>
      <c r="F74" s="559"/>
      <c r="G74" s="560"/>
      <c r="H74" s="435"/>
      <c r="I74" s="436"/>
      <c r="J74" s="436"/>
      <c r="K74" s="436"/>
      <c r="L74" s="436"/>
      <c r="M74" s="35"/>
    </row>
    <row r="75" spans="1:13" ht="13.5">
      <c r="A75" s="555" t="s">
        <v>475</v>
      </c>
      <c r="B75" s="556"/>
      <c r="C75" s="556"/>
      <c r="D75" s="556"/>
      <c r="E75" s="556"/>
      <c r="F75" s="556"/>
      <c r="G75" s="556"/>
      <c r="H75" s="556"/>
      <c r="I75" s="556"/>
      <c r="J75" s="556"/>
      <c r="K75" s="557"/>
      <c r="L75" s="14" t="s">
        <v>476</v>
      </c>
      <c r="M75" s="26"/>
    </row>
    <row r="76" spans="1:13" ht="13.5">
      <c r="A76" s="558" t="s">
        <v>10</v>
      </c>
      <c r="B76" s="559"/>
      <c r="C76" s="559"/>
      <c r="D76" s="559"/>
      <c r="E76" s="559"/>
      <c r="F76" s="559"/>
      <c r="G76" s="559"/>
      <c r="H76" s="559"/>
      <c r="I76" s="559"/>
      <c r="J76" s="559"/>
      <c r="K76" s="559"/>
      <c r="L76" s="560"/>
      <c r="M76" s="36"/>
    </row>
    <row r="77" spans="1:13" ht="13.5">
      <c r="A77" s="555" t="s">
        <v>22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7"/>
      <c r="L77" s="14" t="s">
        <v>476</v>
      </c>
      <c r="M77" s="26"/>
    </row>
    <row r="78" spans="1:13" ht="13.5">
      <c r="A78" s="558" t="s">
        <v>10</v>
      </c>
      <c r="B78" s="559"/>
      <c r="C78" s="559"/>
      <c r="D78" s="559"/>
      <c r="E78" s="559"/>
      <c r="F78" s="559"/>
      <c r="G78" s="559"/>
      <c r="H78" s="559"/>
      <c r="I78" s="559"/>
      <c r="J78" s="559"/>
      <c r="K78" s="559"/>
      <c r="L78" s="560"/>
      <c r="M78" s="36"/>
    </row>
    <row r="79" spans="1:13" ht="14.25" thickBot="1">
      <c r="A79" s="555" t="s">
        <v>21</v>
      </c>
      <c r="B79" s="556"/>
      <c r="C79" s="556"/>
      <c r="D79" s="556"/>
      <c r="E79" s="556"/>
      <c r="F79" s="556"/>
      <c r="G79" s="556"/>
      <c r="H79" s="556"/>
      <c r="I79" s="556"/>
      <c r="J79" s="556"/>
      <c r="K79" s="557"/>
      <c r="L79" s="14" t="s">
        <v>476</v>
      </c>
      <c r="M79" s="437"/>
    </row>
    <row r="80" spans="1:13" ht="14.25" thickBot="1">
      <c r="A80" s="561" t="s">
        <v>36</v>
      </c>
      <c r="B80" s="561"/>
      <c r="C80" s="561"/>
      <c r="D80" s="561"/>
      <c r="E80" s="561"/>
      <c r="F80" s="561"/>
      <c r="G80" s="561"/>
      <c r="H80" s="561"/>
      <c r="I80" s="561"/>
      <c r="J80" s="561"/>
      <c r="K80" s="561"/>
      <c r="L80" s="558"/>
      <c r="M80" s="438"/>
    </row>
    <row r="81" spans="1:13" ht="13.5">
      <c r="A81" s="439"/>
      <c r="B81" s="439"/>
      <c r="C81" s="440"/>
      <c r="D81" s="439"/>
      <c r="E81" s="439"/>
      <c r="F81" s="439"/>
      <c r="G81" s="439"/>
      <c r="H81" s="439"/>
      <c r="I81" s="439"/>
      <c r="J81" s="439"/>
      <c r="K81" s="439"/>
      <c r="L81" s="439"/>
      <c r="M81" s="439"/>
    </row>
    <row r="82" spans="1:13" ht="13.5">
      <c r="A82" s="439"/>
      <c r="B82" s="439"/>
      <c r="C82" s="440"/>
      <c r="D82" s="439"/>
      <c r="E82" s="439"/>
      <c r="F82" s="439"/>
      <c r="G82" s="439"/>
      <c r="H82" s="439"/>
      <c r="I82" s="439"/>
      <c r="J82" s="439"/>
      <c r="K82" s="439"/>
      <c r="L82" s="439"/>
      <c r="M82" s="439"/>
    </row>
    <row r="83" spans="1:13" ht="13.5">
      <c r="A83" s="439"/>
      <c r="B83" s="439"/>
      <c r="C83" s="440"/>
      <c r="D83" s="439"/>
      <c r="E83" s="439"/>
      <c r="F83" s="439"/>
      <c r="G83" s="439"/>
      <c r="H83" s="439"/>
      <c r="I83" s="439"/>
      <c r="J83" s="439"/>
      <c r="K83" s="439"/>
      <c r="L83" s="439"/>
      <c r="M83" s="439"/>
    </row>
    <row r="84" spans="1:13" ht="13.5">
      <c r="A84" s="439"/>
      <c r="B84" s="439"/>
      <c r="C84" s="440"/>
      <c r="D84" s="439"/>
      <c r="E84" s="439"/>
      <c r="F84" s="439"/>
      <c r="G84" s="439"/>
      <c r="H84" s="439"/>
      <c r="I84" s="439"/>
      <c r="J84" s="439"/>
      <c r="K84" s="439"/>
      <c r="L84" s="439"/>
      <c r="M84" s="439"/>
    </row>
    <row r="85" spans="1:13" ht="13.5">
      <c r="A85" s="439"/>
      <c r="B85" s="439"/>
      <c r="C85" s="440"/>
      <c r="D85" s="439"/>
      <c r="E85" s="439"/>
      <c r="F85" s="439"/>
      <c r="G85" s="439"/>
      <c r="H85" s="439"/>
      <c r="I85" s="439"/>
      <c r="J85" s="439"/>
      <c r="K85" s="439"/>
      <c r="L85" s="439"/>
      <c r="M85" s="439"/>
    </row>
    <row r="86" spans="1:13" ht="13.5">
      <c r="A86" s="439"/>
      <c r="B86" s="439"/>
      <c r="C86" s="440"/>
      <c r="D86" s="439"/>
      <c r="E86" s="439"/>
      <c r="F86" s="439"/>
      <c r="G86" s="439"/>
      <c r="H86" s="439"/>
      <c r="I86" s="439"/>
      <c r="J86" s="439"/>
      <c r="K86" s="439"/>
      <c r="L86" s="439"/>
      <c r="M86" s="439"/>
    </row>
    <row r="87" spans="1:13" ht="13.5">
      <c r="A87" s="439"/>
      <c r="B87" s="439"/>
      <c r="C87" s="440"/>
      <c r="D87" s="439"/>
      <c r="E87" s="439"/>
      <c r="F87" s="439"/>
      <c r="G87" s="439"/>
      <c r="H87" s="439"/>
      <c r="I87" s="439"/>
      <c r="J87" s="439"/>
      <c r="K87" s="439"/>
      <c r="L87" s="439"/>
      <c r="M87" s="439"/>
    </row>
    <row r="88" spans="1:13" ht="13.5">
      <c r="A88" s="439"/>
      <c r="B88" s="439"/>
      <c r="C88" s="440"/>
      <c r="D88" s="439"/>
      <c r="E88" s="439"/>
      <c r="F88" s="439"/>
      <c r="G88" s="439"/>
      <c r="H88" s="439"/>
      <c r="I88" s="439"/>
      <c r="J88" s="439"/>
      <c r="K88" s="439"/>
      <c r="L88" s="439"/>
      <c r="M88" s="439"/>
    </row>
    <row r="89" spans="1:13" ht="13.5">
      <c r="A89" s="439"/>
      <c r="B89" s="439"/>
      <c r="C89" s="440"/>
      <c r="D89" s="439"/>
      <c r="E89" s="439"/>
      <c r="F89" s="439"/>
      <c r="G89" s="439"/>
      <c r="H89" s="439"/>
      <c r="I89" s="439"/>
      <c r="J89" s="439"/>
      <c r="K89" s="439"/>
      <c r="L89" s="439"/>
      <c r="M89" s="439"/>
    </row>
    <row r="90" spans="1:13" ht="13.5">
      <c r="A90" s="439"/>
      <c r="B90" s="439"/>
      <c r="C90" s="440"/>
      <c r="D90" s="439"/>
      <c r="E90" s="439"/>
      <c r="F90" s="439"/>
      <c r="G90" s="439"/>
      <c r="H90" s="439"/>
      <c r="I90" s="439"/>
      <c r="J90" s="439"/>
      <c r="K90" s="439"/>
      <c r="L90" s="439"/>
      <c r="M90" s="439"/>
    </row>
    <row r="91" spans="1:13" ht="13.5">
      <c r="A91" s="439"/>
      <c r="B91" s="439"/>
      <c r="C91" s="440"/>
      <c r="D91" s="439"/>
      <c r="E91" s="439"/>
      <c r="F91" s="439"/>
      <c r="G91" s="439"/>
      <c r="H91" s="439"/>
      <c r="I91" s="439"/>
      <c r="J91" s="439"/>
      <c r="K91" s="439"/>
      <c r="L91" s="439"/>
      <c r="M91" s="439"/>
    </row>
    <row r="92" spans="1:13" ht="13.5">
      <c r="A92" s="439"/>
      <c r="B92" s="439"/>
      <c r="C92" s="440"/>
      <c r="D92" s="439"/>
      <c r="E92" s="439"/>
      <c r="F92" s="439"/>
      <c r="G92" s="439"/>
      <c r="H92" s="439"/>
      <c r="I92" s="439"/>
      <c r="J92" s="439"/>
      <c r="K92" s="439"/>
      <c r="L92" s="439"/>
      <c r="M92" s="439"/>
    </row>
    <row r="93" spans="1:13" ht="13.5">
      <c r="A93" s="439"/>
      <c r="B93" s="439"/>
      <c r="C93" s="440"/>
      <c r="D93" s="439"/>
      <c r="E93" s="439"/>
      <c r="F93" s="439"/>
      <c r="G93" s="439"/>
      <c r="H93" s="439"/>
      <c r="I93" s="439"/>
      <c r="J93" s="439"/>
      <c r="K93" s="439"/>
      <c r="L93" s="439"/>
      <c r="M93" s="439"/>
    </row>
    <row r="94" spans="1:13" ht="13.5">
      <c r="A94" s="439"/>
      <c r="B94" s="439"/>
      <c r="C94" s="440"/>
      <c r="D94" s="439"/>
      <c r="E94" s="439"/>
      <c r="F94" s="439"/>
      <c r="G94" s="439"/>
      <c r="H94" s="439"/>
      <c r="I94" s="439"/>
      <c r="J94" s="439"/>
      <c r="K94" s="439"/>
      <c r="L94" s="439"/>
      <c r="M94" s="439"/>
    </row>
    <row r="95" spans="1:13" ht="13.5">
      <c r="A95" s="439"/>
      <c r="B95" s="439"/>
      <c r="C95" s="440"/>
      <c r="D95" s="439"/>
      <c r="E95" s="439"/>
      <c r="F95" s="439"/>
      <c r="G95" s="439"/>
      <c r="H95" s="439"/>
      <c r="I95" s="439"/>
      <c r="J95" s="439"/>
      <c r="K95" s="439"/>
      <c r="L95" s="439"/>
      <c r="M95" s="439"/>
    </row>
    <row r="96" spans="1:13" ht="13.5">
      <c r="A96" s="439"/>
      <c r="B96" s="439"/>
      <c r="C96" s="440"/>
      <c r="D96" s="439"/>
      <c r="E96" s="439"/>
      <c r="F96" s="439"/>
      <c r="G96" s="439"/>
      <c r="H96" s="439"/>
      <c r="I96" s="439"/>
      <c r="J96" s="439"/>
      <c r="K96" s="439"/>
      <c r="L96" s="439"/>
      <c r="M96" s="439"/>
    </row>
  </sheetData>
  <sheetProtection/>
  <autoFilter ref="A1:A78"/>
  <mergeCells count="20">
    <mergeCell ref="E4:E5"/>
    <mergeCell ref="F4:F5"/>
    <mergeCell ref="G4:H4"/>
    <mergeCell ref="I4:J4"/>
    <mergeCell ref="K4:L4"/>
    <mergeCell ref="J1:M1"/>
    <mergeCell ref="B2:M2"/>
    <mergeCell ref="A3:M3"/>
    <mergeCell ref="A4:A5"/>
    <mergeCell ref="B4:B5"/>
    <mergeCell ref="C4:C5"/>
    <mergeCell ref="D4:D5"/>
    <mergeCell ref="A78:L78"/>
    <mergeCell ref="A79:K79"/>
    <mergeCell ref="A80:L80"/>
    <mergeCell ref="A7:M7"/>
    <mergeCell ref="A74:G74"/>
    <mergeCell ref="A75:K75"/>
    <mergeCell ref="A76:L76"/>
    <mergeCell ref="A77:K77"/>
  </mergeCells>
  <printOptions/>
  <pageMargins left="0.36" right="0.36" top="0.27" bottom="0.36" header="0.2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Y283"/>
  <sheetViews>
    <sheetView view="pageBreakPreview" zoomScale="110" zoomScaleNormal="85" zoomScaleSheetLayoutView="110" workbookViewId="0" topLeftCell="A1">
      <pane xSplit="1" ySplit="6" topLeftCell="B7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A256" sqref="A256:G256"/>
    </sheetView>
  </sheetViews>
  <sheetFormatPr defaultColWidth="9.140625" defaultRowHeight="12.75"/>
  <cols>
    <col min="1" max="1" width="3.28125" style="292" customWidth="1"/>
    <col min="2" max="2" width="44.140625" style="292" customWidth="1"/>
    <col min="3" max="3" width="8.57421875" style="301" customWidth="1"/>
    <col min="4" max="4" width="8.28125" style="292" customWidth="1"/>
    <col min="5" max="5" width="8.421875" style="292" customWidth="1"/>
    <col min="6" max="6" width="9.7109375" style="292" customWidth="1"/>
    <col min="7" max="7" width="8.7109375" style="292" customWidth="1"/>
    <col min="8" max="8" width="10.28125" style="292" customWidth="1"/>
    <col min="9" max="9" width="8.57421875" style="292" customWidth="1"/>
    <col min="10" max="10" width="10.421875" style="292" customWidth="1"/>
    <col min="11" max="11" width="7.7109375" style="292" customWidth="1"/>
    <col min="12" max="12" width="10.7109375" style="292" customWidth="1"/>
    <col min="13" max="13" width="12.28125" style="292" customWidth="1"/>
    <col min="14" max="16384" width="9.140625" style="293" customWidth="1"/>
  </cols>
  <sheetData>
    <row r="1" spans="1:13" s="328" customFormat="1" ht="20.25" customHeight="1">
      <c r="A1" s="439"/>
      <c r="B1" s="439"/>
      <c r="C1" s="440"/>
      <c r="D1" s="439"/>
      <c r="E1" s="439"/>
      <c r="F1" s="439"/>
      <c r="G1" s="439"/>
      <c r="H1" s="439"/>
      <c r="I1" s="439"/>
      <c r="J1" s="562" t="s">
        <v>485</v>
      </c>
      <c r="K1" s="562"/>
      <c r="L1" s="562"/>
      <c r="M1" s="562"/>
    </row>
    <row r="2" spans="1:13" s="328" customFormat="1" ht="19.5" customHeight="1">
      <c r="A2" s="20"/>
      <c r="B2" s="550" t="s">
        <v>478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3" s="328" customFormat="1" ht="16.5" thickBot="1">
      <c r="A3" s="572" t="s">
        <v>486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s="328" customFormat="1" ht="15.75" customHeight="1">
      <c r="A4" s="588" t="s">
        <v>1</v>
      </c>
      <c r="B4" s="579" t="s">
        <v>3</v>
      </c>
      <c r="C4" s="579" t="s">
        <v>2</v>
      </c>
      <c r="D4" s="579" t="s">
        <v>4</v>
      </c>
      <c r="E4" s="579" t="s">
        <v>13</v>
      </c>
      <c r="F4" s="579" t="s">
        <v>5</v>
      </c>
      <c r="G4" s="581" t="s">
        <v>19</v>
      </c>
      <c r="H4" s="581"/>
      <c r="I4" s="581" t="s">
        <v>6</v>
      </c>
      <c r="J4" s="581"/>
      <c r="K4" s="579" t="s">
        <v>7</v>
      </c>
      <c r="L4" s="579"/>
      <c r="M4" s="453" t="s">
        <v>8</v>
      </c>
    </row>
    <row r="5" spans="1:13" s="328" customFormat="1" ht="15.75" customHeight="1" thickBot="1">
      <c r="A5" s="589"/>
      <c r="B5" s="580"/>
      <c r="C5" s="580"/>
      <c r="D5" s="580"/>
      <c r="E5" s="580"/>
      <c r="F5" s="580"/>
      <c r="G5" s="456" t="s">
        <v>9</v>
      </c>
      <c r="H5" s="457" t="s">
        <v>10</v>
      </c>
      <c r="I5" s="456" t="s">
        <v>9</v>
      </c>
      <c r="J5" s="457" t="s">
        <v>10</v>
      </c>
      <c r="K5" s="456" t="s">
        <v>9</v>
      </c>
      <c r="L5" s="457" t="s">
        <v>11</v>
      </c>
      <c r="M5" s="458" t="s">
        <v>12</v>
      </c>
    </row>
    <row r="6" spans="1:13" s="328" customFormat="1" ht="11.25">
      <c r="A6" s="450">
        <v>1</v>
      </c>
      <c r="B6" s="450">
        <v>2</v>
      </c>
      <c r="C6" s="450">
        <v>3</v>
      </c>
      <c r="D6" s="450">
        <v>4</v>
      </c>
      <c r="E6" s="450">
        <v>5</v>
      </c>
      <c r="F6" s="450">
        <v>6</v>
      </c>
      <c r="G6" s="451">
        <v>7</v>
      </c>
      <c r="H6" s="452">
        <v>8</v>
      </c>
      <c r="I6" s="451">
        <v>9</v>
      </c>
      <c r="J6" s="452">
        <v>10</v>
      </c>
      <c r="K6" s="451">
        <v>11</v>
      </c>
      <c r="L6" s="452">
        <v>12</v>
      </c>
      <c r="M6" s="451">
        <v>13</v>
      </c>
    </row>
    <row r="7" spans="1:13" s="327" customFormat="1" ht="15.75" customHeight="1">
      <c r="A7" s="585" t="s">
        <v>461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7"/>
    </row>
    <row r="8" spans="1:13" s="37" customFormat="1" ht="15.75">
      <c r="A8" s="566" t="s">
        <v>357</v>
      </c>
      <c r="B8" s="567"/>
      <c r="C8" s="567"/>
      <c r="D8" s="567"/>
      <c r="E8" s="567"/>
      <c r="F8" s="568"/>
      <c r="G8" s="441"/>
      <c r="H8" s="442"/>
      <c r="I8" s="441"/>
      <c r="J8" s="442"/>
      <c r="K8" s="441"/>
      <c r="L8" s="442"/>
      <c r="M8" s="441"/>
    </row>
    <row r="9" spans="1:14" s="33" customFormat="1" ht="40.5">
      <c r="A9" s="27">
        <v>1</v>
      </c>
      <c r="B9" s="143" t="s">
        <v>236</v>
      </c>
      <c r="C9" s="294" t="s">
        <v>124</v>
      </c>
      <c r="D9" s="27" t="s">
        <v>23</v>
      </c>
      <c r="E9" s="27"/>
      <c r="F9" s="27">
        <v>163</v>
      </c>
      <c r="G9" s="27"/>
      <c r="H9" s="27"/>
      <c r="I9" s="27"/>
      <c r="J9" s="27"/>
      <c r="K9" s="27"/>
      <c r="L9" s="27"/>
      <c r="M9" s="27"/>
      <c r="N9" s="32"/>
    </row>
    <row r="10" spans="1:13" s="24" customFormat="1" ht="13.5">
      <c r="A10" s="78"/>
      <c r="B10" s="79" t="s">
        <v>14</v>
      </c>
      <c r="C10" s="80"/>
      <c r="D10" s="81" t="s">
        <v>15</v>
      </c>
      <c r="E10" s="46">
        <f>16.5/1000</f>
        <v>0.0165</v>
      </c>
      <c r="F10" s="82">
        <f>E10*F9</f>
        <v>2.6895000000000002</v>
      </c>
      <c r="G10" s="81"/>
      <c r="H10" s="76"/>
      <c r="I10" s="81"/>
      <c r="J10" s="77"/>
      <c r="K10" s="81"/>
      <c r="L10" s="76"/>
      <c r="M10" s="77"/>
    </row>
    <row r="11" spans="1:13" s="24" customFormat="1" ht="13.5">
      <c r="A11" s="78"/>
      <c r="B11" s="79" t="s">
        <v>33</v>
      </c>
      <c r="C11" s="83"/>
      <c r="D11" s="49" t="s">
        <v>32</v>
      </c>
      <c r="E11" s="46">
        <f>37/1000</f>
        <v>0.037</v>
      </c>
      <c r="F11" s="47">
        <f>E11*F9</f>
        <v>6.031</v>
      </c>
      <c r="G11" s="46"/>
      <c r="H11" s="47"/>
      <c r="I11" s="46"/>
      <c r="J11" s="47"/>
      <c r="K11" s="11"/>
      <c r="L11" s="76"/>
      <c r="M11" s="77"/>
    </row>
    <row r="12" spans="1:13" s="13" customFormat="1" ht="27">
      <c r="A12" s="92">
        <v>2</v>
      </c>
      <c r="B12" s="143" t="s">
        <v>237</v>
      </c>
      <c r="C12" s="294" t="s">
        <v>60</v>
      </c>
      <c r="D12" s="27" t="s">
        <v>23</v>
      </c>
      <c r="E12" s="27"/>
      <c r="F12" s="27">
        <v>15</v>
      </c>
      <c r="G12" s="243"/>
      <c r="H12" s="27"/>
      <c r="I12" s="27"/>
      <c r="J12" s="27"/>
      <c r="K12" s="27"/>
      <c r="L12" s="27"/>
      <c r="M12" s="27"/>
    </row>
    <row r="13" spans="1:14" s="33" customFormat="1" ht="13.5">
      <c r="A13" s="43"/>
      <c r="B13" s="44" t="s">
        <v>14</v>
      </c>
      <c r="C13" s="49"/>
      <c r="D13" s="89" t="s">
        <v>15</v>
      </c>
      <c r="E13" s="89">
        <v>0.89</v>
      </c>
      <c r="F13" s="149">
        <f>F12*E13</f>
        <v>13.35</v>
      </c>
      <c r="G13" s="89"/>
      <c r="H13" s="89"/>
      <c r="I13" s="46"/>
      <c r="J13" s="47"/>
      <c r="K13" s="46"/>
      <c r="L13" s="47"/>
      <c r="M13" s="47"/>
      <c r="N13" s="32"/>
    </row>
    <row r="14" spans="1:13" s="13" customFormat="1" ht="13.5">
      <c r="A14" s="43"/>
      <c r="B14" s="44" t="s">
        <v>25</v>
      </c>
      <c r="C14" s="49"/>
      <c r="D14" s="89" t="s">
        <v>0</v>
      </c>
      <c r="E14" s="89">
        <v>0.37</v>
      </c>
      <c r="F14" s="149">
        <f>E14*F12</f>
        <v>5.55</v>
      </c>
      <c r="G14" s="89"/>
      <c r="H14" s="89"/>
      <c r="I14" s="46"/>
      <c r="J14" s="47"/>
      <c r="K14" s="46"/>
      <c r="L14" s="47"/>
      <c r="M14" s="47"/>
    </row>
    <row r="15" spans="1:13" s="13" customFormat="1" ht="13.5">
      <c r="A15" s="51"/>
      <c r="B15" s="49" t="s">
        <v>16</v>
      </c>
      <c r="C15" s="87"/>
      <c r="D15" s="89"/>
      <c r="E15" s="89"/>
      <c r="F15" s="149"/>
      <c r="G15" s="89"/>
      <c r="H15" s="89"/>
      <c r="I15" s="46"/>
      <c r="J15" s="53"/>
      <c r="K15" s="54"/>
      <c r="L15" s="53"/>
      <c r="M15" s="53"/>
    </row>
    <row r="16" spans="1:13" s="13" customFormat="1" ht="13.5">
      <c r="A16" s="51"/>
      <c r="B16" s="56" t="s">
        <v>61</v>
      </c>
      <c r="C16" s="87"/>
      <c r="D16" s="89" t="s">
        <v>23</v>
      </c>
      <c r="E16" s="89">
        <v>1.15</v>
      </c>
      <c r="F16" s="149">
        <f>E16*F12</f>
        <v>17.25</v>
      </c>
      <c r="G16" s="147"/>
      <c r="H16" s="149"/>
      <c r="I16" s="46"/>
      <c r="J16" s="53"/>
      <c r="K16" s="54"/>
      <c r="L16" s="53"/>
      <c r="M16" s="53"/>
    </row>
    <row r="17" spans="1:13" s="13" customFormat="1" ht="13.5">
      <c r="A17" s="51"/>
      <c r="B17" s="44" t="s">
        <v>20</v>
      </c>
      <c r="C17" s="87"/>
      <c r="D17" s="89" t="s">
        <v>0</v>
      </c>
      <c r="E17" s="89">
        <v>0.02</v>
      </c>
      <c r="F17" s="149">
        <f>E17*F12</f>
        <v>0.3</v>
      </c>
      <c r="G17" s="89"/>
      <c r="H17" s="149"/>
      <c r="I17" s="46"/>
      <c r="J17" s="53"/>
      <c r="K17" s="54"/>
      <c r="L17" s="53"/>
      <c r="M17" s="53"/>
    </row>
    <row r="18" spans="1:14" s="33" customFormat="1" ht="13.5">
      <c r="A18" s="27">
        <v>3</v>
      </c>
      <c r="B18" s="144" t="s">
        <v>239</v>
      </c>
      <c r="C18" s="294" t="s">
        <v>240</v>
      </c>
      <c r="D18" s="28" t="s">
        <v>23</v>
      </c>
      <c r="E18" s="28"/>
      <c r="F18" s="154">
        <v>286</v>
      </c>
      <c r="G18" s="28"/>
      <c r="H18" s="181"/>
      <c r="I18" s="28"/>
      <c r="J18" s="152"/>
      <c r="K18" s="28"/>
      <c r="L18" s="181"/>
      <c r="M18" s="152"/>
      <c r="N18" s="32"/>
    </row>
    <row r="19" spans="1:13" s="24" customFormat="1" ht="13.5">
      <c r="A19" s="185"/>
      <c r="B19" s="186" t="s">
        <v>14</v>
      </c>
      <c r="C19" s="185"/>
      <c r="D19" s="188" t="s">
        <v>15</v>
      </c>
      <c r="E19" s="11">
        <f>13.2/1000</f>
        <v>0.0132</v>
      </c>
      <c r="F19" s="189">
        <f>E19*F18</f>
        <v>3.7752</v>
      </c>
      <c r="G19" s="188"/>
      <c r="H19" s="14"/>
      <c r="I19" s="188"/>
      <c r="J19" s="12"/>
      <c r="K19" s="188"/>
      <c r="L19" s="14"/>
      <c r="M19" s="12"/>
    </row>
    <row r="20" spans="1:13" s="24" customFormat="1" ht="13.5">
      <c r="A20" s="185"/>
      <c r="B20" s="186" t="s">
        <v>33</v>
      </c>
      <c r="C20" s="121"/>
      <c r="D20" s="8" t="s">
        <v>32</v>
      </c>
      <c r="E20" s="11">
        <f>29.7/1000</f>
        <v>0.0297</v>
      </c>
      <c r="F20" s="12">
        <f>E20*F18</f>
        <v>8.494200000000001</v>
      </c>
      <c r="G20" s="11"/>
      <c r="H20" s="12"/>
      <c r="I20" s="11"/>
      <c r="J20" s="12"/>
      <c r="K20" s="11"/>
      <c r="L20" s="14"/>
      <c r="M20" s="12"/>
    </row>
    <row r="21" spans="1:14" s="33" customFormat="1" ht="27">
      <c r="A21" s="27">
        <v>4</v>
      </c>
      <c r="B21" s="143" t="s">
        <v>472</v>
      </c>
      <c r="C21" s="294" t="s">
        <v>473</v>
      </c>
      <c r="D21" s="27" t="s">
        <v>23</v>
      </c>
      <c r="E21" s="27"/>
      <c r="F21" s="27">
        <v>230</v>
      </c>
      <c r="G21" s="27"/>
      <c r="H21" s="27"/>
      <c r="I21" s="27"/>
      <c r="J21" s="27"/>
      <c r="K21" s="27"/>
      <c r="L21" s="27"/>
      <c r="M21" s="27"/>
      <c r="N21" s="32"/>
    </row>
    <row r="22" spans="1:13" s="24" customFormat="1" ht="13.5">
      <c r="A22" s="78"/>
      <c r="B22" s="79" t="s">
        <v>14</v>
      </c>
      <c r="C22" s="80"/>
      <c r="D22" s="81" t="s">
        <v>15</v>
      </c>
      <c r="E22" s="46">
        <f>20/1000</f>
        <v>0.02</v>
      </c>
      <c r="F22" s="82">
        <f>E22*F21</f>
        <v>4.6000000000000005</v>
      </c>
      <c r="G22" s="81"/>
      <c r="H22" s="76"/>
      <c r="I22" s="81"/>
      <c r="J22" s="77"/>
      <c r="K22" s="81"/>
      <c r="L22" s="76"/>
      <c r="M22" s="77"/>
    </row>
    <row r="23" spans="1:13" s="24" customFormat="1" ht="13.5">
      <c r="A23" s="78"/>
      <c r="B23" s="79" t="s">
        <v>33</v>
      </c>
      <c r="C23" s="83"/>
      <c r="D23" s="49" t="s">
        <v>32</v>
      </c>
      <c r="E23" s="46">
        <f>44.8/1000</f>
        <v>0.0448</v>
      </c>
      <c r="F23" s="47">
        <f>E23*F21</f>
        <v>10.304</v>
      </c>
      <c r="G23" s="46"/>
      <c r="H23" s="47"/>
      <c r="I23" s="46"/>
      <c r="J23" s="47"/>
      <c r="K23" s="11"/>
      <c r="L23" s="76"/>
      <c r="M23" s="77"/>
    </row>
    <row r="24" spans="1:24" s="233" customFormat="1" ht="27">
      <c r="A24" s="27">
        <v>5</v>
      </c>
      <c r="B24" s="144" t="s">
        <v>241</v>
      </c>
      <c r="C24" s="294" t="s">
        <v>63</v>
      </c>
      <c r="D24" s="27" t="s">
        <v>48</v>
      </c>
      <c r="E24" s="27"/>
      <c r="F24" s="92">
        <f>1.95*230</f>
        <v>448.5</v>
      </c>
      <c r="G24" s="27"/>
      <c r="H24" s="27"/>
      <c r="I24" s="27"/>
      <c r="J24" s="27"/>
      <c r="K24" s="27"/>
      <c r="L24" s="151"/>
      <c r="M24" s="151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s="292" customFormat="1" ht="17.25" customHeight="1">
      <c r="A25" s="566" t="s">
        <v>242</v>
      </c>
      <c r="B25" s="567"/>
      <c r="C25" s="567"/>
      <c r="D25" s="567"/>
      <c r="E25" s="567"/>
      <c r="F25" s="568"/>
      <c r="G25" s="443"/>
      <c r="H25" s="443"/>
      <c r="I25" s="443"/>
      <c r="J25" s="443"/>
      <c r="K25" s="443"/>
      <c r="L25" s="444"/>
      <c r="M25" s="444"/>
      <c r="O25" s="293"/>
      <c r="P25" s="293"/>
      <c r="Q25" s="293"/>
      <c r="R25" s="293"/>
      <c r="S25" s="293"/>
      <c r="T25" s="293"/>
      <c r="U25" s="293"/>
      <c r="V25" s="293"/>
      <c r="W25" s="293"/>
      <c r="X25" s="293"/>
    </row>
    <row r="26" spans="1:13" s="184" customFormat="1" ht="27">
      <c r="A26" s="27">
        <v>1</v>
      </c>
      <c r="B26" s="144" t="s">
        <v>94</v>
      </c>
      <c r="C26" s="294" t="s">
        <v>95</v>
      </c>
      <c r="D26" s="28" t="s">
        <v>23</v>
      </c>
      <c r="E26" s="28"/>
      <c r="F26" s="28">
        <v>6</v>
      </c>
      <c r="G26" s="28"/>
      <c r="H26" s="183"/>
      <c r="I26" s="28"/>
      <c r="J26" s="183"/>
      <c r="K26" s="28"/>
      <c r="L26" s="183"/>
      <c r="M26" s="183"/>
    </row>
    <row r="27" spans="1:13" s="190" customFormat="1" ht="13.5">
      <c r="A27" s="185"/>
      <c r="B27" s="186" t="s">
        <v>14</v>
      </c>
      <c r="C27" s="187"/>
      <c r="D27" s="188" t="s">
        <v>15</v>
      </c>
      <c r="E27" s="188">
        <v>6.15</v>
      </c>
      <c r="F27" s="189">
        <f>F26*E27</f>
        <v>36.900000000000006</v>
      </c>
      <c r="G27" s="188"/>
      <c r="H27" s="189"/>
      <c r="I27" s="188"/>
      <c r="J27" s="189"/>
      <c r="K27" s="188"/>
      <c r="L27" s="189"/>
      <c r="M27" s="189"/>
    </row>
    <row r="28" spans="1:13" s="192" customFormat="1" ht="27">
      <c r="A28" s="27">
        <v>2</v>
      </c>
      <c r="B28" s="144" t="s">
        <v>96</v>
      </c>
      <c r="C28" s="294" t="s">
        <v>97</v>
      </c>
      <c r="D28" s="28" t="s">
        <v>17</v>
      </c>
      <c r="E28" s="28"/>
      <c r="F28" s="151">
        <v>100</v>
      </c>
      <c r="G28" s="191"/>
      <c r="H28" s="183"/>
      <c r="I28" s="28"/>
      <c r="J28" s="183"/>
      <c r="K28" s="28"/>
      <c r="L28" s="183"/>
      <c r="M28" s="183"/>
    </row>
    <row r="29" spans="1:15" s="196" customFormat="1" ht="13.5">
      <c r="A29" s="187"/>
      <c r="B29" s="193" t="s">
        <v>24</v>
      </c>
      <c r="C29" s="194"/>
      <c r="D29" s="188" t="s">
        <v>15</v>
      </c>
      <c r="E29" s="185">
        <v>2.23</v>
      </c>
      <c r="F29" s="195">
        <f>E29*F28</f>
        <v>223</v>
      </c>
      <c r="G29" s="185"/>
      <c r="H29" s="195"/>
      <c r="I29" s="185"/>
      <c r="J29" s="195"/>
      <c r="K29" s="185"/>
      <c r="L29" s="185"/>
      <c r="M29" s="195"/>
      <c r="O29" s="197"/>
    </row>
    <row r="30" spans="1:15" s="196" customFormat="1" ht="13.5">
      <c r="A30" s="187"/>
      <c r="B30" s="193" t="s">
        <v>70</v>
      </c>
      <c r="C30" s="194"/>
      <c r="D30" s="188" t="s">
        <v>0</v>
      </c>
      <c r="E30" s="185">
        <v>0.05</v>
      </c>
      <c r="F30" s="195">
        <f>E30*F28</f>
        <v>5</v>
      </c>
      <c r="G30" s="185"/>
      <c r="H30" s="185"/>
      <c r="I30" s="185"/>
      <c r="J30" s="185"/>
      <c r="K30" s="185"/>
      <c r="L30" s="195"/>
      <c r="M30" s="195"/>
      <c r="O30" s="197"/>
    </row>
    <row r="31" spans="1:15" s="196" customFormat="1" ht="13.5">
      <c r="A31" s="198"/>
      <c r="B31" s="185" t="s">
        <v>16</v>
      </c>
      <c r="C31" s="199"/>
      <c r="D31" s="185"/>
      <c r="E31" s="185"/>
      <c r="F31" s="195"/>
      <c r="G31" s="185"/>
      <c r="H31" s="195"/>
      <c r="I31" s="200"/>
      <c r="J31" s="195"/>
      <c r="K31" s="200"/>
      <c r="L31" s="195"/>
      <c r="M31" s="195"/>
      <c r="O31" s="197"/>
    </row>
    <row r="32" spans="1:15" s="196" customFormat="1" ht="26.25">
      <c r="A32" s="198"/>
      <c r="B32" s="193" t="s">
        <v>98</v>
      </c>
      <c r="C32" s="201"/>
      <c r="D32" s="188" t="s">
        <v>26</v>
      </c>
      <c r="E32" s="185"/>
      <c r="F32" s="185">
        <v>40</v>
      </c>
      <c r="G32" s="159"/>
      <c r="H32" s="159"/>
      <c r="I32" s="148"/>
      <c r="J32" s="38"/>
      <c r="K32" s="147"/>
      <c r="L32" s="147"/>
      <c r="M32" s="195"/>
      <c r="O32" s="197"/>
    </row>
    <row r="33" spans="1:15" s="196" customFormat="1" ht="13.5">
      <c r="A33" s="198"/>
      <c r="B33" s="193" t="s">
        <v>100</v>
      </c>
      <c r="C33" s="201"/>
      <c r="D33" s="188" t="s">
        <v>26</v>
      </c>
      <c r="E33" s="185"/>
      <c r="F33" s="185">
        <v>12</v>
      </c>
      <c r="G33" s="159"/>
      <c r="H33" s="159"/>
      <c r="I33" s="148"/>
      <c r="J33" s="38"/>
      <c r="K33" s="147"/>
      <c r="L33" s="147"/>
      <c r="M33" s="195"/>
      <c r="O33" s="197"/>
    </row>
    <row r="34" spans="1:15" s="196" customFormat="1" ht="27">
      <c r="A34" s="198"/>
      <c r="B34" s="193" t="s">
        <v>225</v>
      </c>
      <c r="C34" s="201"/>
      <c r="D34" s="188" t="s">
        <v>76</v>
      </c>
      <c r="E34" s="185"/>
      <c r="F34" s="195">
        <v>150</v>
      </c>
      <c r="G34" s="159"/>
      <c r="H34" s="159"/>
      <c r="I34" s="148"/>
      <c r="J34" s="38"/>
      <c r="K34" s="147"/>
      <c r="L34" s="147"/>
      <c r="M34" s="195"/>
      <c r="O34" s="197"/>
    </row>
    <row r="35" spans="1:15" s="196" customFormat="1" ht="13.5">
      <c r="A35" s="198"/>
      <c r="B35" s="193" t="s">
        <v>101</v>
      </c>
      <c r="C35" s="201"/>
      <c r="D35" s="188" t="s">
        <v>17</v>
      </c>
      <c r="E35" s="185"/>
      <c r="F35" s="195">
        <v>300</v>
      </c>
      <c r="G35" s="147"/>
      <c r="H35" s="159"/>
      <c r="I35" s="148"/>
      <c r="J35" s="38"/>
      <c r="K35" s="147"/>
      <c r="L35" s="147"/>
      <c r="M35" s="195"/>
      <c r="O35" s="197"/>
    </row>
    <row r="36" spans="1:15" s="196" customFormat="1" ht="13.5">
      <c r="A36" s="198"/>
      <c r="B36" s="193" t="s">
        <v>102</v>
      </c>
      <c r="C36" s="201"/>
      <c r="D36" s="188" t="s">
        <v>17</v>
      </c>
      <c r="E36" s="185"/>
      <c r="F36" s="195">
        <v>100</v>
      </c>
      <c r="G36" s="147"/>
      <c r="H36" s="159"/>
      <c r="I36" s="148"/>
      <c r="J36" s="38"/>
      <c r="K36" s="147"/>
      <c r="L36" s="147"/>
      <c r="M36" s="195"/>
      <c r="O36" s="197"/>
    </row>
    <row r="37" spans="1:15" s="196" customFormat="1" ht="15.75">
      <c r="A37" s="198"/>
      <c r="B37" s="193" t="s">
        <v>103</v>
      </c>
      <c r="C37" s="201"/>
      <c r="D37" s="188" t="s">
        <v>35</v>
      </c>
      <c r="E37" s="185"/>
      <c r="F37" s="195">
        <v>6</v>
      </c>
      <c r="G37" s="147"/>
      <c r="H37" s="159"/>
      <c r="I37" s="148"/>
      <c r="J37" s="38"/>
      <c r="K37" s="147"/>
      <c r="L37" s="147"/>
      <c r="M37" s="195"/>
      <c r="O37" s="197"/>
    </row>
    <row r="38" spans="1:15" s="196" customFormat="1" ht="13.5">
      <c r="A38" s="198"/>
      <c r="B38" s="193" t="s">
        <v>104</v>
      </c>
      <c r="C38" s="202"/>
      <c r="D38" s="188" t="s">
        <v>48</v>
      </c>
      <c r="E38" s="185">
        <f>0.002/100</f>
        <v>2E-05</v>
      </c>
      <c r="F38" s="203">
        <f>E38*F28</f>
        <v>0.002</v>
      </c>
      <c r="G38" s="147"/>
      <c r="H38" s="159"/>
      <c r="I38" s="148"/>
      <c r="J38" s="38"/>
      <c r="K38" s="147"/>
      <c r="L38" s="147"/>
      <c r="M38" s="195"/>
      <c r="O38" s="197"/>
    </row>
    <row r="39" spans="1:15" s="196" customFormat="1" ht="13.5">
      <c r="A39" s="198"/>
      <c r="B39" s="193" t="s">
        <v>105</v>
      </c>
      <c r="C39" s="202"/>
      <c r="D39" s="188" t="s">
        <v>48</v>
      </c>
      <c r="E39" s="185">
        <f>0.152/100</f>
        <v>0.0015199999999999999</v>
      </c>
      <c r="F39" s="203">
        <f>E39*F28</f>
        <v>0.152</v>
      </c>
      <c r="G39" s="147"/>
      <c r="H39" s="159"/>
      <c r="I39" s="148"/>
      <c r="J39" s="38"/>
      <c r="K39" s="147"/>
      <c r="L39" s="147"/>
      <c r="M39" s="204"/>
      <c r="N39" s="205"/>
      <c r="O39" s="206"/>
    </row>
    <row r="40" spans="1:15" s="196" customFormat="1" ht="13.5">
      <c r="A40" s="207"/>
      <c r="B40" s="208" t="s">
        <v>20</v>
      </c>
      <c r="C40" s="209"/>
      <c r="D40" s="210" t="s">
        <v>0</v>
      </c>
      <c r="E40" s="211">
        <v>0.04</v>
      </c>
      <c r="F40" s="212">
        <f>E40*F28</f>
        <v>4</v>
      </c>
      <c r="G40" s="213"/>
      <c r="H40" s="214"/>
      <c r="I40" s="215"/>
      <c r="J40" s="216"/>
      <c r="K40" s="213"/>
      <c r="L40" s="213"/>
      <c r="M40" s="217"/>
      <c r="N40" s="205"/>
      <c r="O40" s="206"/>
    </row>
    <row r="41" spans="1:25" s="221" customFormat="1" ht="13.5">
      <c r="A41" s="27">
        <v>3</v>
      </c>
      <c r="B41" s="144" t="s">
        <v>106</v>
      </c>
      <c r="C41" s="294" t="s">
        <v>107</v>
      </c>
      <c r="D41" s="28" t="s">
        <v>26</v>
      </c>
      <c r="E41" s="28"/>
      <c r="F41" s="218">
        <v>1</v>
      </c>
      <c r="G41" s="28"/>
      <c r="H41" s="183"/>
      <c r="I41" s="28"/>
      <c r="J41" s="183"/>
      <c r="K41" s="28"/>
      <c r="L41" s="183"/>
      <c r="M41" s="219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220"/>
    </row>
    <row r="42" spans="1:15" s="196" customFormat="1" ht="13.5">
      <c r="A42" s="187"/>
      <c r="B42" s="193" t="s">
        <v>24</v>
      </c>
      <c r="C42" s="194" t="s">
        <v>107</v>
      </c>
      <c r="D42" s="188" t="s">
        <v>26</v>
      </c>
      <c r="E42" s="185">
        <v>1</v>
      </c>
      <c r="F42" s="195">
        <f>E42*F41</f>
        <v>1</v>
      </c>
      <c r="G42" s="185"/>
      <c r="H42" s="195"/>
      <c r="I42" s="185"/>
      <c r="J42" s="195"/>
      <c r="K42" s="185"/>
      <c r="L42" s="185"/>
      <c r="M42" s="204"/>
      <c r="N42" s="205"/>
      <c r="O42" s="206"/>
    </row>
    <row r="43" spans="1:15" s="196" customFormat="1" ht="13.5">
      <c r="A43" s="198"/>
      <c r="B43" s="185" t="s">
        <v>16</v>
      </c>
      <c r="C43" s="199"/>
      <c r="D43" s="185"/>
      <c r="E43" s="185"/>
      <c r="F43" s="195"/>
      <c r="G43" s="185"/>
      <c r="H43" s="195"/>
      <c r="I43" s="200"/>
      <c r="J43" s="195"/>
      <c r="K43" s="200"/>
      <c r="L43" s="195"/>
      <c r="M43" s="204"/>
      <c r="N43" s="205"/>
      <c r="O43" s="206"/>
    </row>
    <row r="44" spans="1:15" s="196" customFormat="1" ht="27">
      <c r="A44" s="198"/>
      <c r="B44" s="193" t="s">
        <v>108</v>
      </c>
      <c r="C44" s="201"/>
      <c r="D44" s="188" t="s">
        <v>76</v>
      </c>
      <c r="E44" s="185"/>
      <c r="F44" s="195">
        <v>7</v>
      </c>
      <c r="G44" s="159"/>
      <c r="H44" s="159"/>
      <c r="I44" s="148"/>
      <c r="J44" s="38"/>
      <c r="K44" s="147"/>
      <c r="L44" s="147"/>
      <c r="M44" s="195"/>
      <c r="O44" s="197"/>
    </row>
    <row r="45" spans="1:15" s="196" customFormat="1" ht="13.5">
      <c r="A45" s="198"/>
      <c r="B45" s="222" t="s">
        <v>109</v>
      </c>
      <c r="C45" s="201" t="s">
        <v>99</v>
      </c>
      <c r="D45" s="188" t="s">
        <v>17</v>
      </c>
      <c r="E45" s="185"/>
      <c r="F45" s="159">
        <v>9</v>
      </c>
      <c r="G45" s="159"/>
      <c r="H45" s="159"/>
      <c r="I45" s="148"/>
      <c r="J45" s="38"/>
      <c r="K45" s="147"/>
      <c r="L45" s="147"/>
      <c r="M45" s="195"/>
      <c r="O45" s="197"/>
    </row>
    <row r="46" spans="1:15" s="196" customFormat="1" ht="13.5">
      <c r="A46" s="198"/>
      <c r="B46" s="223" t="s">
        <v>110</v>
      </c>
      <c r="C46" s="201" t="s">
        <v>99</v>
      </c>
      <c r="D46" s="188" t="s">
        <v>17</v>
      </c>
      <c r="E46" s="185"/>
      <c r="F46" s="159">
        <v>24</v>
      </c>
      <c r="G46" s="159"/>
      <c r="H46" s="159"/>
      <c r="I46" s="148"/>
      <c r="J46" s="38"/>
      <c r="K46" s="147"/>
      <c r="L46" s="147"/>
      <c r="M46" s="195"/>
      <c r="O46" s="197"/>
    </row>
    <row r="47" spans="1:15" s="196" customFormat="1" ht="13.5">
      <c r="A47" s="198"/>
      <c r="B47" s="223" t="s">
        <v>111</v>
      </c>
      <c r="C47" s="201" t="s">
        <v>99</v>
      </c>
      <c r="D47" s="188" t="s">
        <v>17</v>
      </c>
      <c r="E47" s="185"/>
      <c r="F47" s="159">
        <v>24</v>
      </c>
      <c r="G47" s="147"/>
      <c r="H47" s="159"/>
      <c r="I47" s="148"/>
      <c r="J47" s="38"/>
      <c r="K47" s="147"/>
      <c r="L47" s="147"/>
      <c r="M47" s="195"/>
      <c r="O47" s="197"/>
    </row>
    <row r="48" spans="1:15" s="196" customFormat="1" ht="13.5">
      <c r="A48" s="198"/>
      <c r="B48" s="223" t="s">
        <v>112</v>
      </c>
      <c r="C48" s="201" t="s">
        <v>99</v>
      </c>
      <c r="D48" s="188" t="s">
        <v>113</v>
      </c>
      <c r="E48" s="185"/>
      <c r="F48" s="159">
        <v>2</v>
      </c>
      <c r="G48" s="159"/>
      <c r="H48" s="159"/>
      <c r="I48" s="148"/>
      <c r="J48" s="38"/>
      <c r="K48" s="147"/>
      <c r="L48" s="147"/>
      <c r="M48" s="195"/>
      <c r="O48" s="197"/>
    </row>
    <row r="49" spans="1:15" s="196" customFormat="1" ht="13.5">
      <c r="A49" s="198"/>
      <c r="B49" s="223" t="s">
        <v>114</v>
      </c>
      <c r="C49" s="201" t="s">
        <v>99</v>
      </c>
      <c r="D49" s="188" t="s">
        <v>26</v>
      </c>
      <c r="E49" s="185"/>
      <c r="F49" s="159">
        <v>6</v>
      </c>
      <c r="G49" s="159"/>
      <c r="H49" s="159"/>
      <c r="I49" s="148"/>
      <c r="J49" s="38"/>
      <c r="K49" s="147"/>
      <c r="L49" s="147"/>
      <c r="M49" s="195"/>
      <c r="O49" s="197"/>
    </row>
    <row r="50" spans="1:25" s="196" customFormat="1" ht="13.5">
      <c r="A50" s="198"/>
      <c r="B50" s="223" t="s">
        <v>115</v>
      </c>
      <c r="C50" s="201" t="s">
        <v>99</v>
      </c>
      <c r="D50" s="188" t="s">
        <v>113</v>
      </c>
      <c r="E50" s="185"/>
      <c r="F50" s="159">
        <v>2</v>
      </c>
      <c r="G50" s="159"/>
      <c r="H50" s="159"/>
      <c r="I50" s="148"/>
      <c r="J50" s="38"/>
      <c r="K50" s="147"/>
      <c r="L50" s="147"/>
      <c r="M50" s="195"/>
      <c r="N50" s="205"/>
      <c r="O50" s="197"/>
      <c r="W50" s="205"/>
      <c r="X50" s="205"/>
      <c r="Y50" s="205"/>
    </row>
    <row r="51" spans="1:15" s="196" customFormat="1" ht="15.75">
      <c r="A51" s="198"/>
      <c r="B51" s="193" t="s">
        <v>103</v>
      </c>
      <c r="C51" s="201" t="s">
        <v>99</v>
      </c>
      <c r="D51" s="188" t="s">
        <v>35</v>
      </c>
      <c r="E51" s="185"/>
      <c r="F51" s="195">
        <v>0.7</v>
      </c>
      <c r="G51" s="147"/>
      <c r="H51" s="159"/>
      <c r="I51" s="148"/>
      <c r="J51" s="38"/>
      <c r="K51" s="147"/>
      <c r="L51" s="147"/>
      <c r="M51" s="204"/>
      <c r="N51" s="205"/>
      <c r="O51" s="197"/>
    </row>
    <row r="52" spans="1:15" s="196" customFormat="1" ht="13.5">
      <c r="A52" s="198"/>
      <c r="B52" s="193" t="s">
        <v>116</v>
      </c>
      <c r="C52" s="201" t="s">
        <v>99</v>
      </c>
      <c r="D52" s="188" t="s">
        <v>26</v>
      </c>
      <c r="E52" s="185"/>
      <c r="F52" s="185">
        <v>2</v>
      </c>
      <c r="G52" s="159"/>
      <c r="H52" s="159"/>
      <c r="I52" s="148"/>
      <c r="J52" s="38"/>
      <c r="K52" s="147"/>
      <c r="L52" s="147"/>
      <c r="M52" s="204"/>
      <c r="N52" s="205"/>
      <c r="O52" s="197"/>
    </row>
    <row r="53" spans="1:23" s="221" customFormat="1" ht="22.5">
      <c r="A53" s="27">
        <v>4</v>
      </c>
      <c r="B53" s="144" t="s">
        <v>117</v>
      </c>
      <c r="C53" s="294" t="s">
        <v>118</v>
      </c>
      <c r="D53" s="28" t="s">
        <v>26</v>
      </c>
      <c r="E53" s="28"/>
      <c r="F53" s="218">
        <v>1</v>
      </c>
      <c r="G53" s="28"/>
      <c r="H53" s="183"/>
      <c r="I53" s="28"/>
      <c r="J53" s="183"/>
      <c r="K53" s="28"/>
      <c r="L53" s="183"/>
      <c r="M53" s="219"/>
      <c r="N53" s="192"/>
      <c r="O53" s="192"/>
      <c r="P53" s="192"/>
      <c r="Q53" s="192"/>
      <c r="R53" s="192"/>
      <c r="S53" s="192"/>
      <c r="T53" s="192"/>
      <c r="U53" s="192"/>
      <c r="V53" s="192"/>
      <c r="W53" s="220"/>
    </row>
    <row r="54" spans="1:14" s="196" customFormat="1" ht="13.5">
      <c r="A54" s="187"/>
      <c r="B54" s="193" t="s">
        <v>24</v>
      </c>
      <c r="C54" s="194"/>
      <c r="D54" s="188" t="s">
        <v>15</v>
      </c>
      <c r="E54" s="185">
        <v>7.33</v>
      </c>
      <c r="F54" s="195">
        <f>E54*F53</f>
        <v>7.33</v>
      </c>
      <c r="G54" s="185"/>
      <c r="H54" s="195"/>
      <c r="I54" s="185"/>
      <c r="J54" s="195"/>
      <c r="K54" s="185"/>
      <c r="L54" s="185"/>
      <c r="M54" s="204"/>
      <c r="N54" s="205"/>
    </row>
    <row r="55" spans="1:14" s="196" customFormat="1" ht="13.5">
      <c r="A55" s="187"/>
      <c r="B55" s="193" t="s">
        <v>70</v>
      </c>
      <c r="C55" s="194"/>
      <c r="D55" s="188" t="s">
        <v>0</v>
      </c>
      <c r="E55" s="185">
        <v>0.11</v>
      </c>
      <c r="F55" s="195">
        <f>E55*F53</f>
        <v>0.11</v>
      </c>
      <c r="G55" s="185"/>
      <c r="H55" s="185"/>
      <c r="I55" s="185"/>
      <c r="J55" s="185"/>
      <c r="K55" s="185"/>
      <c r="L55" s="195"/>
      <c r="M55" s="204"/>
      <c r="N55" s="205"/>
    </row>
    <row r="56" spans="1:14" s="196" customFormat="1" ht="13.5">
      <c r="A56" s="198"/>
      <c r="B56" s="185" t="s">
        <v>16</v>
      </c>
      <c r="C56" s="199"/>
      <c r="D56" s="185"/>
      <c r="E56" s="185"/>
      <c r="F56" s="195"/>
      <c r="G56" s="185"/>
      <c r="H56" s="195"/>
      <c r="I56" s="200"/>
      <c r="J56" s="195"/>
      <c r="K56" s="200"/>
      <c r="L56" s="195"/>
      <c r="M56" s="204"/>
      <c r="N56" s="205"/>
    </row>
    <row r="57" spans="1:13" s="196" customFormat="1" ht="13.5">
      <c r="A57" s="198"/>
      <c r="B57" s="193" t="s">
        <v>119</v>
      </c>
      <c r="C57" s="201" t="s">
        <v>99</v>
      </c>
      <c r="D57" s="188" t="s">
        <v>26</v>
      </c>
      <c r="E57" s="185"/>
      <c r="F57" s="185">
        <v>1</v>
      </c>
      <c r="G57" s="159"/>
      <c r="H57" s="159"/>
      <c r="I57" s="148"/>
      <c r="J57" s="38"/>
      <c r="K57" s="147"/>
      <c r="L57" s="147"/>
      <c r="M57" s="195"/>
    </row>
    <row r="58" spans="1:13" s="196" customFormat="1" ht="13.5">
      <c r="A58" s="198"/>
      <c r="B58" s="193" t="s">
        <v>120</v>
      </c>
      <c r="C58" s="202"/>
      <c r="D58" s="188" t="s">
        <v>52</v>
      </c>
      <c r="E58" s="185">
        <f>0.02*1000/100</f>
        <v>0.2</v>
      </c>
      <c r="F58" s="224">
        <f>E58*F53</f>
        <v>0.2</v>
      </c>
      <c r="G58" s="147"/>
      <c r="H58" s="159"/>
      <c r="I58" s="148"/>
      <c r="J58" s="38"/>
      <c r="K58" s="147"/>
      <c r="L58" s="147"/>
      <c r="M58" s="195"/>
    </row>
    <row r="59" spans="1:13" s="229" customFormat="1" ht="15.75">
      <c r="A59" s="225"/>
      <c r="B59" s="79" t="s">
        <v>20</v>
      </c>
      <c r="C59" s="226"/>
      <c r="D59" s="78" t="s">
        <v>0</v>
      </c>
      <c r="E59" s="78">
        <v>0.02</v>
      </c>
      <c r="F59" s="227">
        <f>E59*F53</f>
        <v>0.02</v>
      </c>
      <c r="G59" s="78"/>
      <c r="H59" s="227"/>
      <c r="I59" s="81"/>
      <c r="J59" s="227"/>
      <c r="K59" s="228"/>
      <c r="L59" s="227"/>
      <c r="M59" s="227"/>
    </row>
    <row r="60" spans="1:14" s="33" customFormat="1" ht="27">
      <c r="A60" s="27">
        <v>5</v>
      </c>
      <c r="B60" s="144" t="s">
        <v>121</v>
      </c>
      <c r="C60" s="426" t="s">
        <v>81</v>
      </c>
      <c r="D60" s="28" t="s">
        <v>76</v>
      </c>
      <c r="E60" s="28"/>
      <c r="F60" s="154">
        <v>20</v>
      </c>
      <c r="G60" s="28"/>
      <c r="H60" s="181"/>
      <c r="I60" s="28"/>
      <c r="J60" s="152"/>
      <c r="K60" s="28"/>
      <c r="L60" s="181"/>
      <c r="M60" s="152"/>
      <c r="N60" s="32"/>
    </row>
    <row r="61" spans="1:13" s="48" customFormat="1" ht="13.5">
      <c r="A61" s="43"/>
      <c r="B61" s="44" t="s">
        <v>14</v>
      </c>
      <c r="C61" s="45"/>
      <c r="D61" s="46" t="s">
        <v>15</v>
      </c>
      <c r="E61" s="46">
        <f>38.8/100</f>
        <v>0.38799999999999996</v>
      </c>
      <c r="F61" s="47">
        <f>F60*E61</f>
        <v>7.759999999999999</v>
      </c>
      <c r="G61" s="46"/>
      <c r="H61" s="47"/>
      <c r="I61" s="11"/>
      <c r="J61" s="47"/>
      <c r="K61" s="46"/>
      <c r="L61" s="47"/>
      <c r="M61" s="47"/>
    </row>
    <row r="62" spans="1:13" s="48" customFormat="1" ht="13.5">
      <c r="A62" s="43"/>
      <c r="B62" s="44" t="s">
        <v>25</v>
      </c>
      <c r="C62" s="45"/>
      <c r="D62" s="49" t="s">
        <v>0</v>
      </c>
      <c r="E62" s="46">
        <f>0.03/100</f>
        <v>0.0003</v>
      </c>
      <c r="F62" s="50">
        <f>E62*F60</f>
        <v>0.005999999999999999</v>
      </c>
      <c r="G62" s="46"/>
      <c r="H62" s="47"/>
      <c r="I62" s="46"/>
      <c r="J62" s="47"/>
      <c r="K62" s="46"/>
      <c r="L62" s="47"/>
      <c r="M62" s="47"/>
    </row>
    <row r="63" spans="1:13" s="55" customFormat="1" ht="15.75">
      <c r="A63" s="51"/>
      <c r="B63" s="49" t="s">
        <v>16</v>
      </c>
      <c r="C63" s="52"/>
      <c r="D63" s="49"/>
      <c r="E63" s="49"/>
      <c r="F63" s="53"/>
      <c r="G63" s="49"/>
      <c r="H63" s="53"/>
      <c r="I63" s="46"/>
      <c r="J63" s="53"/>
      <c r="K63" s="54"/>
      <c r="L63" s="53"/>
      <c r="M63" s="53"/>
    </row>
    <row r="64" spans="1:13" s="55" customFormat="1" ht="15.75">
      <c r="A64" s="51"/>
      <c r="B64" s="56" t="s">
        <v>82</v>
      </c>
      <c r="C64" s="52"/>
      <c r="D64" s="49" t="s">
        <v>52</v>
      </c>
      <c r="E64" s="59">
        <f>(2.7+0.2+25.1)/100</f>
        <v>0.28</v>
      </c>
      <c r="F64" s="53">
        <f>E64*F60</f>
        <v>5.6000000000000005</v>
      </c>
      <c r="G64" s="128"/>
      <c r="H64" s="53"/>
      <c r="I64" s="46"/>
      <c r="J64" s="53"/>
      <c r="K64" s="54"/>
      <c r="L64" s="53"/>
      <c r="M64" s="53"/>
    </row>
    <row r="65" spans="1:13" s="55" customFormat="1" ht="15.75">
      <c r="A65" s="51"/>
      <c r="B65" s="44" t="s">
        <v>20</v>
      </c>
      <c r="C65" s="52"/>
      <c r="D65" s="49" t="s">
        <v>0</v>
      </c>
      <c r="E65" s="49">
        <f>0.19/100</f>
        <v>0.0019</v>
      </c>
      <c r="F65" s="53">
        <f>E65*F60</f>
        <v>0.038</v>
      </c>
      <c r="G65" s="49"/>
      <c r="H65" s="53"/>
      <c r="I65" s="46"/>
      <c r="J65" s="53"/>
      <c r="K65" s="54"/>
      <c r="L65" s="53"/>
      <c r="M65" s="53"/>
    </row>
    <row r="66" spans="1:13" s="327" customFormat="1" ht="15.75">
      <c r="A66" s="582" t="s">
        <v>356</v>
      </c>
      <c r="B66" s="583"/>
      <c r="C66" s="583"/>
      <c r="D66" s="583"/>
      <c r="E66" s="583"/>
      <c r="F66" s="584"/>
      <c r="G66" s="445"/>
      <c r="H66" s="446"/>
      <c r="I66" s="445"/>
      <c r="J66" s="446"/>
      <c r="K66" s="445"/>
      <c r="L66" s="446"/>
      <c r="M66" s="445"/>
    </row>
    <row r="67" spans="1:13" s="382" customFormat="1" ht="13.5">
      <c r="A67" s="267">
        <v>1</v>
      </c>
      <c r="B67" s="166" t="s">
        <v>340</v>
      </c>
      <c r="C67" s="384" t="s">
        <v>339</v>
      </c>
      <c r="D67" s="165" t="s">
        <v>48</v>
      </c>
      <c r="E67" s="165"/>
      <c r="F67" s="381">
        <v>13</v>
      </c>
      <c r="G67" s="165"/>
      <c r="H67" s="139"/>
      <c r="I67" s="383"/>
      <c r="J67" s="139"/>
      <c r="K67" s="383"/>
      <c r="L67" s="139"/>
      <c r="M67" s="139"/>
    </row>
    <row r="68" spans="1:13" s="104" customFormat="1" ht="13.5">
      <c r="A68" s="155"/>
      <c r="B68" s="150" t="s">
        <v>24</v>
      </c>
      <c r="C68" s="69"/>
      <c r="D68" s="38" t="s">
        <v>15</v>
      </c>
      <c r="E68" s="69">
        <v>16.5</v>
      </c>
      <c r="F68" s="102">
        <f>E68*F67</f>
        <v>214.5</v>
      </c>
      <c r="G68" s="69"/>
      <c r="H68" s="102"/>
      <c r="I68" s="69"/>
      <c r="J68" s="102"/>
      <c r="K68" s="69"/>
      <c r="L68" s="69"/>
      <c r="M68" s="102"/>
    </row>
    <row r="69" spans="1:13" s="104" customFormat="1" ht="13.5">
      <c r="A69" s="155"/>
      <c r="B69" s="150" t="s">
        <v>338</v>
      </c>
      <c r="C69" s="69"/>
      <c r="D69" s="38" t="s">
        <v>32</v>
      </c>
      <c r="E69" s="69">
        <v>1.69</v>
      </c>
      <c r="F69" s="102">
        <f>E69*F67</f>
        <v>21.97</v>
      </c>
      <c r="G69" s="69"/>
      <c r="H69" s="69"/>
      <c r="I69" s="69"/>
      <c r="J69" s="69"/>
      <c r="K69" s="69"/>
      <c r="L69" s="102"/>
      <c r="M69" s="102"/>
    </row>
    <row r="70" spans="1:13" s="104" customFormat="1" ht="13.5">
      <c r="A70" s="155"/>
      <c r="B70" s="150" t="s">
        <v>70</v>
      </c>
      <c r="C70" s="69"/>
      <c r="D70" s="38" t="s">
        <v>0</v>
      </c>
      <c r="E70" s="69">
        <v>14.4</v>
      </c>
      <c r="F70" s="102">
        <f>E70*F67</f>
        <v>187.20000000000002</v>
      </c>
      <c r="G70" s="69"/>
      <c r="H70" s="69"/>
      <c r="I70" s="69"/>
      <c r="J70" s="69"/>
      <c r="K70" s="69"/>
      <c r="L70" s="102"/>
      <c r="M70" s="102"/>
    </row>
    <row r="71" spans="1:13" s="104" customFormat="1" ht="13.5">
      <c r="A71" s="155"/>
      <c r="B71" s="69" t="s">
        <v>50</v>
      </c>
      <c r="C71" s="38"/>
      <c r="D71" s="69"/>
      <c r="E71" s="38"/>
      <c r="F71" s="263"/>
      <c r="G71" s="69"/>
      <c r="H71" s="69"/>
      <c r="I71" s="69"/>
      <c r="J71" s="69"/>
      <c r="K71" s="69"/>
      <c r="L71" s="102"/>
      <c r="M71" s="102"/>
    </row>
    <row r="72" spans="1:13" s="104" customFormat="1" ht="13.5">
      <c r="A72" s="155"/>
      <c r="B72" s="150" t="s">
        <v>154</v>
      </c>
      <c r="C72" s="38"/>
      <c r="D72" s="69" t="s">
        <v>26</v>
      </c>
      <c r="E72" s="38"/>
      <c r="F72" s="263">
        <v>2</v>
      </c>
      <c r="G72" s="147"/>
      <c r="H72" s="159"/>
      <c r="I72" s="148"/>
      <c r="J72" s="38"/>
      <c r="K72" s="147"/>
      <c r="L72" s="147"/>
      <c r="M72" s="316"/>
    </row>
    <row r="73" spans="1:13" s="104" customFormat="1" ht="13.5">
      <c r="A73" s="155"/>
      <c r="B73" s="150" t="s">
        <v>158</v>
      </c>
      <c r="C73" s="38"/>
      <c r="D73" s="69" t="s">
        <v>52</v>
      </c>
      <c r="E73" s="38">
        <v>35.6</v>
      </c>
      <c r="F73" s="156">
        <f>E73*F67</f>
        <v>462.8</v>
      </c>
      <c r="G73" s="147"/>
      <c r="H73" s="159"/>
      <c r="I73" s="148"/>
      <c r="J73" s="38"/>
      <c r="K73" s="147"/>
      <c r="L73" s="147"/>
      <c r="M73" s="102"/>
    </row>
    <row r="74" spans="1:13" s="104" customFormat="1" ht="13.5">
      <c r="A74" s="155"/>
      <c r="B74" s="150" t="s">
        <v>120</v>
      </c>
      <c r="C74" s="38"/>
      <c r="D74" s="69" t="s">
        <v>52</v>
      </c>
      <c r="E74" s="38">
        <v>3</v>
      </c>
      <c r="F74" s="156">
        <f>E74*F67</f>
        <v>39</v>
      </c>
      <c r="G74" s="147"/>
      <c r="H74" s="159"/>
      <c r="I74" s="148"/>
      <c r="J74" s="38"/>
      <c r="K74" s="147"/>
      <c r="L74" s="147"/>
      <c r="M74" s="102"/>
    </row>
    <row r="75" spans="1:15" s="104" customFormat="1" ht="13.5">
      <c r="A75" s="18"/>
      <c r="B75" s="150" t="s">
        <v>44</v>
      </c>
      <c r="C75" s="68"/>
      <c r="D75" s="38" t="s">
        <v>0</v>
      </c>
      <c r="E75" s="69">
        <v>5.3</v>
      </c>
      <c r="F75" s="102">
        <f>E75*F67</f>
        <v>68.89999999999999</v>
      </c>
      <c r="G75" s="147"/>
      <c r="H75" s="159"/>
      <c r="I75" s="148"/>
      <c r="J75" s="38"/>
      <c r="K75" s="147"/>
      <c r="L75" s="147"/>
      <c r="M75" s="102"/>
      <c r="N75" s="282"/>
      <c r="O75" s="282"/>
    </row>
    <row r="76" spans="1:23" s="379" customFormat="1" ht="27">
      <c r="A76" s="165">
        <v>2</v>
      </c>
      <c r="B76" s="166" t="s">
        <v>337</v>
      </c>
      <c r="C76" s="296" t="s">
        <v>336</v>
      </c>
      <c r="D76" s="93" t="s">
        <v>162</v>
      </c>
      <c r="E76" s="93"/>
      <c r="F76" s="381">
        <f>140/100</f>
        <v>1.4</v>
      </c>
      <c r="G76" s="93"/>
      <c r="H76" s="95"/>
      <c r="I76" s="93"/>
      <c r="J76" s="95"/>
      <c r="K76" s="93"/>
      <c r="L76" s="95"/>
      <c r="M76" s="95"/>
      <c r="N76" s="232"/>
      <c r="O76" s="96"/>
      <c r="P76" s="96"/>
      <c r="Q76" s="96"/>
      <c r="R76" s="96"/>
      <c r="S76" s="96"/>
      <c r="T76" s="96"/>
      <c r="U76" s="96"/>
      <c r="V76" s="96"/>
      <c r="W76" s="380"/>
    </row>
    <row r="77" spans="1:14" s="371" customFormat="1" ht="13.5">
      <c r="A77" s="376"/>
      <c r="B77" s="98" t="s">
        <v>14</v>
      </c>
      <c r="C77" s="331"/>
      <c r="D77" s="38" t="s">
        <v>15</v>
      </c>
      <c r="E77" s="69">
        <v>11.7</v>
      </c>
      <c r="F77" s="102">
        <f>F76*E77</f>
        <v>16.38</v>
      </c>
      <c r="G77" s="69"/>
      <c r="H77" s="102"/>
      <c r="I77" s="103"/>
      <c r="J77" s="102"/>
      <c r="K77" s="18"/>
      <c r="L77" s="373"/>
      <c r="M77" s="373"/>
      <c r="N77" s="372"/>
    </row>
    <row r="78" spans="1:13" s="377" customFormat="1" ht="13.5">
      <c r="A78" s="18"/>
      <c r="B78" s="98" t="s">
        <v>70</v>
      </c>
      <c r="C78" s="378"/>
      <c r="D78" s="69" t="s">
        <v>0</v>
      </c>
      <c r="E78" s="38">
        <v>0.79</v>
      </c>
      <c r="F78" s="100">
        <f>F76*E78</f>
        <v>1.1059999999999999</v>
      </c>
      <c r="G78" s="38"/>
      <c r="H78" s="70"/>
      <c r="I78" s="38"/>
      <c r="J78" s="70"/>
      <c r="K78" s="38"/>
      <c r="L78" s="100"/>
      <c r="M78" s="100"/>
    </row>
    <row r="79" spans="1:14" s="371" customFormat="1" ht="13.5">
      <c r="A79" s="376"/>
      <c r="B79" s="375" t="s">
        <v>335</v>
      </c>
      <c r="C79" s="34"/>
      <c r="D79" s="18"/>
      <c r="E79" s="18"/>
      <c r="F79" s="18"/>
      <c r="G79" s="18"/>
      <c r="H79" s="373"/>
      <c r="I79" s="38"/>
      <c r="J79" s="18"/>
      <c r="K79" s="18"/>
      <c r="L79" s="373"/>
      <c r="M79" s="373"/>
      <c r="N79" s="372"/>
    </row>
    <row r="80" spans="1:14" s="371" customFormat="1" ht="13.5">
      <c r="A80" s="376"/>
      <c r="B80" s="375" t="s">
        <v>82</v>
      </c>
      <c r="C80" s="34"/>
      <c r="D80" s="18" t="s">
        <v>52</v>
      </c>
      <c r="E80" s="18">
        <f>27.9+0.2+3.2</f>
        <v>31.299999999999997</v>
      </c>
      <c r="F80" s="374">
        <f>E80*F76</f>
        <v>43.81999999999999</v>
      </c>
      <c r="G80" s="18"/>
      <c r="H80" s="373"/>
      <c r="I80" s="38"/>
      <c r="J80" s="18"/>
      <c r="K80" s="18"/>
      <c r="L80" s="373"/>
      <c r="M80" s="373"/>
      <c r="N80" s="372"/>
    </row>
    <row r="81" spans="1:14" s="371" customFormat="1" ht="13.5">
      <c r="A81" s="376"/>
      <c r="B81" s="375" t="s">
        <v>44</v>
      </c>
      <c r="C81" s="34"/>
      <c r="D81" s="18" t="s">
        <v>0</v>
      </c>
      <c r="E81" s="18">
        <v>0.06</v>
      </c>
      <c r="F81" s="374">
        <f>E81*F76</f>
        <v>0.08399999999999999</v>
      </c>
      <c r="G81" s="18"/>
      <c r="H81" s="373"/>
      <c r="I81" s="38"/>
      <c r="J81" s="18"/>
      <c r="K81" s="18"/>
      <c r="L81" s="373"/>
      <c r="M81" s="373"/>
      <c r="N81" s="372"/>
    </row>
    <row r="82" spans="1:15" s="96" customFormat="1" ht="27">
      <c r="A82" s="165">
        <v>3</v>
      </c>
      <c r="B82" s="166" t="s">
        <v>334</v>
      </c>
      <c r="C82" s="257" t="s">
        <v>316</v>
      </c>
      <c r="D82" s="93" t="s">
        <v>26</v>
      </c>
      <c r="E82" s="93"/>
      <c r="F82" s="139">
        <v>2</v>
      </c>
      <c r="G82" s="94"/>
      <c r="H82" s="95"/>
      <c r="I82" s="93"/>
      <c r="J82" s="95"/>
      <c r="K82" s="93"/>
      <c r="L82" s="95"/>
      <c r="M82" s="95"/>
      <c r="N82" s="140"/>
      <c r="O82" s="140"/>
    </row>
    <row r="83" spans="1:15" s="99" customFormat="1" ht="13.5">
      <c r="A83" s="97"/>
      <c r="B83" s="98" t="s">
        <v>14</v>
      </c>
      <c r="C83" s="69"/>
      <c r="D83" s="38" t="s">
        <v>15</v>
      </c>
      <c r="E83" s="38">
        <v>0.62</v>
      </c>
      <c r="F83" s="70">
        <f>F82*E83</f>
        <v>1.24</v>
      </c>
      <c r="G83" s="38"/>
      <c r="H83" s="70"/>
      <c r="I83" s="38"/>
      <c r="J83" s="70"/>
      <c r="K83" s="38"/>
      <c r="L83" s="70"/>
      <c r="M83" s="70"/>
      <c r="N83" s="141"/>
      <c r="O83" s="141"/>
    </row>
    <row r="84" spans="1:15" s="99" customFormat="1" ht="13.5">
      <c r="A84" s="97"/>
      <c r="B84" s="98" t="s">
        <v>25</v>
      </c>
      <c r="C84" s="69"/>
      <c r="D84" s="69" t="s">
        <v>0</v>
      </c>
      <c r="E84" s="38">
        <v>0.41</v>
      </c>
      <c r="F84" s="100">
        <f>E84*F82</f>
        <v>0.82</v>
      </c>
      <c r="G84" s="38"/>
      <c r="H84" s="70"/>
      <c r="I84" s="38"/>
      <c r="J84" s="70"/>
      <c r="K84" s="38"/>
      <c r="L84" s="70"/>
      <c r="M84" s="70"/>
      <c r="N84" s="141"/>
      <c r="O84" s="141"/>
    </row>
    <row r="85" spans="1:15" s="104" customFormat="1" ht="13.5">
      <c r="A85" s="19"/>
      <c r="B85" s="69" t="s">
        <v>16</v>
      </c>
      <c r="C85" s="101"/>
      <c r="D85" s="69"/>
      <c r="E85" s="69"/>
      <c r="F85" s="102"/>
      <c r="G85" s="69"/>
      <c r="H85" s="102"/>
      <c r="I85" s="38"/>
      <c r="J85" s="102"/>
      <c r="K85" s="103"/>
      <c r="L85" s="102"/>
      <c r="M85" s="102"/>
      <c r="N85" s="141"/>
      <c r="O85" s="141"/>
    </row>
    <row r="86" spans="1:15" s="104" customFormat="1" ht="13.5">
      <c r="A86" s="19"/>
      <c r="B86" s="105" t="s">
        <v>330</v>
      </c>
      <c r="C86" s="101"/>
      <c r="D86" s="69" t="s">
        <v>26</v>
      </c>
      <c r="E86" s="69">
        <v>1</v>
      </c>
      <c r="F86" s="102">
        <f>E86*F82</f>
        <v>2</v>
      </c>
      <c r="G86" s="102"/>
      <c r="H86" s="102"/>
      <c r="I86" s="38"/>
      <c r="J86" s="102"/>
      <c r="K86" s="103"/>
      <c r="L86" s="102"/>
      <c r="M86" s="102"/>
      <c r="N86" s="141"/>
      <c r="O86" s="141"/>
    </row>
    <row r="87" spans="1:15" s="104" customFormat="1" ht="16.5" customHeight="1">
      <c r="A87" s="19"/>
      <c r="B87" s="98" t="s">
        <v>20</v>
      </c>
      <c r="C87" s="101"/>
      <c r="D87" s="69" t="s">
        <v>0</v>
      </c>
      <c r="E87" s="69">
        <v>0.04</v>
      </c>
      <c r="F87" s="102">
        <f>E87*F82</f>
        <v>0.08</v>
      </c>
      <c r="G87" s="69"/>
      <c r="H87" s="102"/>
      <c r="I87" s="38"/>
      <c r="J87" s="102"/>
      <c r="K87" s="103"/>
      <c r="L87" s="102"/>
      <c r="M87" s="102"/>
      <c r="N87" s="141"/>
      <c r="O87" s="141"/>
    </row>
    <row r="88" spans="1:15" s="96" customFormat="1" ht="27">
      <c r="A88" s="165">
        <v>4</v>
      </c>
      <c r="B88" s="166" t="s">
        <v>333</v>
      </c>
      <c r="C88" s="257" t="s">
        <v>243</v>
      </c>
      <c r="D88" s="93" t="s">
        <v>26</v>
      </c>
      <c r="E88" s="93"/>
      <c r="F88" s="139">
        <v>2</v>
      </c>
      <c r="G88" s="94"/>
      <c r="H88" s="95"/>
      <c r="I88" s="93"/>
      <c r="J88" s="95"/>
      <c r="K88" s="93"/>
      <c r="L88" s="95"/>
      <c r="M88" s="95"/>
      <c r="N88" s="140"/>
      <c r="O88" s="140"/>
    </row>
    <row r="89" spans="1:15" s="99" customFormat="1" ht="13.5">
      <c r="A89" s="97"/>
      <c r="B89" s="98" t="s">
        <v>14</v>
      </c>
      <c r="C89" s="69"/>
      <c r="D89" s="38" t="s">
        <v>15</v>
      </c>
      <c r="E89" s="38">
        <v>0.48</v>
      </c>
      <c r="F89" s="70">
        <f>F88*E89</f>
        <v>0.96</v>
      </c>
      <c r="G89" s="38"/>
      <c r="H89" s="70"/>
      <c r="I89" s="38"/>
      <c r="J89" s="70"/>
      <c r="K89" s="38"/>
      <c r="L89" s="70"/>
      <c r="M89" s="70"/>
      <c r="N89" s="141"/>
      <c r="O89" s="141"/>
    </row>
    <row r="90" spans="1:15" s="99" customFormat="1" ht="13.5">
      <c r="A90" s="97"/>
      <c r="B90" s="98" t="s">
        <v>25</v>
      </c>
      <c r="C90" s="69"/>
      <c r="D90" s="69" t="s">
        <v>0</v>
      </c>
      <c r="E90" s="38">
        <v>0.31</v>
      </c>
      <c r="F90" s="100">
        <f>E90*F88</f>
        <v>0.62</v>
      </c>
      <c r="G90" s="38"/>
      <c r="H90" s="70"/>
      <c r="I90" s="38"/>
      <c r="J90" s="70"/>
      <c r="K90" s="38"/>
      <c r="L90" s="70"/>
      <c r="M90" s="70"/>
      <c r="N90" s="141"/>
      <c r="O90" s="141"/>
    </row>
    <row r="91" spans="1:15" s="104" customFormat="1" ht="13.5">
      <c r="A91" s="19"/>
      <c r="B91" s="69" t="s">
        <v>16</v>
      </c>
      <c r="C91" s="101"/>
      <c r="D91" s="69"/>
      <c r="E91" s="69"/>
      <c r="F91" s="102"/>
      <c r="G91" s="69"/>
      <c r="H91" s="102"/>
      <c r="I91" s="38"/>
      <c r="J91" s="102"/>
      <c r="K91" s="103"/>
      <c r="L91" s="102"/>
      <c r="M91" s="102"/>
      <c r="N91" s="141"/>
      <c r="O91" s="141"/>
    </row>
    <row r="92" spans="1:15" s="104" customFormat="1" ht="13.5">
      <c r="A92" s="19"/>
      <c r="B92" s="105" t="s">
        <v>330</v>
      </c>
      <c r="C92" s="101"/>
      <c r="D92" s="69" t="s">
        <v>26</v>
      </c>
      <c r="E92" s="69">
        <v>1</v>
      </c>
      <c r="F92" s="102">
        <f>E92*F88</f>
        <v>2</v>
      </c>
      <c r="G92" s="102"/>
      <c r="H92" s="102"/>
      <c r="I92" s="38"/>
      <c r="J92" s="102"/>
      <c r="K92" s="103"/>
      <c r="L92" s="102"/>
      <c r="M92" s="102"/>
      <c r="N92" s="141"/>
      <c r="O92" s="141"/>
    </row>
    <row r="93" spans="1:15" s="104" customFormat="1" ht="16.5" customHeight="1">
      <c r="A93" s="19"/>
      <c r="B93" s="98" t="s">
        <v>20</v>
      </c>
      <c r="C93" s="101"/>
      <c r="D93" s="69" t="s">
        <v>0</v>
      </c>
      <c r="E93" s="69">
        <v>0.02</v>
      </c>
      <c r="F93" s="102">
        <f>E93*F88</f>
        <v>0.04</v>
      </c>
      <c r="G93" s="69"/>
      <c r="H93" s="102"/>
      <c r="I93" s="38"/>
      <c r="J93" s="102"/>
      <c r="K93" s="103"/>
      <c r="L93" s="102"/>
      <c r="M93" s="102"/>
      <c r="N93" s="141"/>
      <c r="O93" s="141"/>
    </row>
    <row r="94" spans="1:15" s="96" customFormat="1" ht="27">
      <c r="A94" s="165">
        <v>5</v>
      </c>
      <c r="B94" s="166" t="s">
        <v>332</v>
      </c>
      <c r="C94" s="257" t="s">
        <v>243</v>
      </c>
      <c r="D94" s="93" t="s">
        <v>26</v>
      </c>
      <c r="E94" s="93"/>
      <c r="F94" s="139">
        <v>2</v>
      </c>
      <c r="G94" s="94"/>
      <c r="H94" s="95"/>
      <c r="I94" s="93"/>
      <c r="J94" s="95"/>
      <c r="K94" s="93"/>
      <c r="L94" s="95"/>
      <c r="M94" s="95"/>
      <c r="N94" s="140"/>
      <c r="O94" s="140"/>
    </row>
    <row r="95" spans="1:15" s="99" customFormat="1" ht="13.5">
      <c r="A95" s="97"/>
      <c r="B95" s="98" t="s">
        <v>14</v>
      </c>
      <c r="C95" s="69"/>
      <c r="D95" s="38" t="s">
        <v>15</v>
      </c>
      <c r="E95" s="38">
        <v>0.35</v>
      </c>
      <c r="F95" s="70">
        <f>F94*E95</f>
        <v>0.7</v>
      </c>
      <c r="G95" s="38"/>
      <c r="H95" s="70"/>
      <c r="I95" s="38"/>
      <c r="J95" s="70"/>
      <c r="K95" s="38"/>
      <c r="L95" s="70"/>
      <c r="M95" s="70"/>
      <c r="N95" s="141"/>
      <c r="O95" s="141"/>
    </row>
    <row r="96" spans="1:15" s="99" customFormat="1" ht="13.5">
      <c r="A96" s="97"/>
      <c r="B96" s="98" t="s">
        <v>25</v>
      </c>
      <c r="C96" s="69"/>
      <c r="D96" s="69" t="s">
        <v>0</v>
      </c>
      <c r="E96" s="38">
        <v>0.23</v>
      </c>
      <c r="F96" s="100">
        <f>E96*F94</f>
        <v>0.46</v>
      </c>
      <c r="G96" s="38"/>
      <c r="H96" s="70"/>
      <c r="I96" s="38"/>
      <c r="J96" s="70"/>
      <c r="K96" s="38"/>
      <c r="L96" s="70"/>
      <c r="M96" s="70"/>
      <c r="N96" s="141"/>
      <c r="O96" s="141"/>
    </row>
    <row r="97" spans="1:15" s="104" customFormat="1" ht="13.5">
      <c r="A97" s="19"/>
      <c r="B97" s="69" t="s">
        <v>16</v>
      </c>
      <c r="C97" s="101"/>
      <c r="D97" s="69"/>
      <c r="E97" s="69"/>
      <c r="F97" s="102"/>
      <c r="G97" s="69"/>
      <c r="H97" s="102"/>
      <c r="I97" s="38"/>
      <c r="J97" s="102"/>
      <c r="K97" s="103"/>
      <c r="L97" s="102"/>
      <c r="M97" s="102"/>
      <c r="N97" s="141"/>
      <c r="O97" s="141"/>
    </row>
    <row r="98" spans="1:15" s="104" customFormat="1" ht="13.5">
      <c r="A98" s="19"/>
      <c r="B98" s="105" t="s">
        <v>330</v>
      </c>
      <c r="C98" s="101"/>
      <c r="D98" s="69" t="s">
        <v>26</v>
      </c>
      <c r="E98" s="69">
        <v>1</v>
      </c>
      <c r="F98" s="102">
        <f>E98*F94</f>
        <v>2</v>
      </c>
      <c r="G98" s="102"/>
      <c r="H98" s="102"/>
      <c r="I98" s="38"/>
      <c r="J98" s="102"/>
      <c r="K98" s="103"/>
      <c r="L98" s="102"/>
      <c r="M98" s="102"/>
      <c r="N98" s="141"/>
      <c r="O98" s="141"/>
    </row>
    <row r="99" spans="1:15" s="104" customFormat="1" ht="16.5" customHeight="1">
      <c r="A99" s="19"/>
      <c r="B99" s="98" t="s">
        <v>20</v>
      </c>
      <c r="C99" s="101"/>
      <c r="D99" s="69" t="s">
        <v>0</v>
      </c>
      <c r="E99" s="69">
        <v>0.01</v>
      </c>
      <c r="F99" s="102">
        <f>E99*F94</f>
        <v>0.02</v>
      </c>
      <c r="G99" s="69"/>
      <c r="H99" s="102"/>
      <c r="I99" s="38"/>
      <c r="J99" s="102"/>
      <c r="K99" s="103"/>
      <c r="L99" s="102"/>
      <c r="M99" s="102"/>
      <c r="N99" s="141"/>
      <c r="O99" s="141"/>
    </row>
    <row r="100" spans="1:15" s="96" customFormat="1" ht="27">
      <c r="A100" s="165">
        <v>6</v>
      </c>
      <c r="B100" s="166" t="s">
        <v>331</v>
      </c>
      <c r="C100" s="257" t="s">
        <v>243</v>
      </c>
      <c r="D100" s="93" t="s">
        <v>26</v>
      </c>
      <c r="E100" s="93"/>
      <c r="F100" s="139">
        <v>2</v>
      </c>
      <c r="G100" s="94"/>
      <c r="H100" s="95"/>
      <c r="I100" s="93"/>
      <c r="J100" s="95"/>
      <c r="K100" s="93"/>
      <c r="L100" s="95"/>
      <c r="M100" s="95"/>
      <c r="N100" s="140"/>
      <c r="O100" s="140"/>
    </row>
    <row r="101" spans="1:15" s="99" customFormat="1" ht="13.5">
      <c r="A101" s="97"/>
      <c r="B101" s="98" t="s">
        <v>14</v>
      </c>
      <c r="C101" s="69"/>
      <c r="D101" s="38" t="s">
        <v>15</v>
      </c>
      <c r="E101" s="38">
        <v>0.35</v>
      </c>
      <c r="F101" s="70">
        <f>F100*E101</f>
        <v>0.7</v>
      </c>
      <c r="G101" s="38"/>
      <c r="H101" s="70"/>
      <c r="I101" s="38"/>
      <c r="J101" s="70"/>
      <c r="K101" s="38"/>
      <c r="L101" s="70"/>
      <c r="M101" s="70"/>
      <c r="N101" s="141"/>
      <c r="O101" s="141"/>
    </row>
    <row r="102" spans="1:15" s="99" customFormat="1" ht="13.5">
      <c r="A102" s="97"/>
      <c r="B102" s="98" t="s">
        <v>25</v>
      </c>
      <c r="C102" s="69"/>
      <c r="D102" s="69" t="s">
        <v>0</v>
      </c>
      <c r="E102" s="38">
        <v>0.23</v>
      </c>
      <c r="F102" s="100">
        <f>E102*F100</f>
        <v>0.46</v>
      </c>
      <c r="G102" s="38"/>
      <c r="H102" s="70"/>
      <c r="I102" s="38"/>
      <c r="J102" s="70"/>
      <c r="K102" s="38"/>
      <c r="L102" s="70"/>
      <c r="M102" s="118"/>
      <c r="N102" s="141"/>
      <c r="O102" s="141"/>
    </row>
    <row r="103" spans="1:15" s="104" customFormat="1" ht="13.5">
      <c r="A103" s="19"/>
      <c r="B103" s="69" t="s">
        <v>16</v>
      </c>
      <c r="C103" s="101"/>
      <c r="D103" s="69"/>
      <c r="E103" s="69"/>
      <c r="F103" s="102"/>
      <c r="G103" s="69"/>
      <c r="H103" s="102"/>
      <c r="I103" s="38"/>
      <c r="J103" s="102"/>
      <c r="K103" s="103"/>
      <c r="L103" s="102"/>
      <c r="M103" s="142"/>
      <c r="N103" s="141"/>
      <c r="O103" s="141"/>
    </row>
    <row r="104" spans="1:15" s="104" customFormat="1" ht="13.5">
      <c r="A104" s="19"/>
      <c r="B104" s="105" t="s">
        <v>330</v>
      </c>
      <c r="C104" s="101"/>
      <c r="D104" s="69" t="s">
        <v>26</v>
      </c>
      <c r="E104" s="69">
        <v>1</v>
      </c>
      <c r="F104" s="102">
        <f>E104*F100</f>
        <v>2</v>
      </c>
      <c r="G104" s="102"/>
      <c r="H104" s="102"/>
      <c r="I104" s="38"/>
      <c r="J104" s="102"/>
      <c r="K104" s="103"/>
      <c r="L104" s="102"/>
      <c r="M104" s="142"/>
      <c r="N104" s="141"/>
      <c r="O104" s="141"/>
    </row>
    <row r="105" spans="1:15" s="104" customFormat="1" ht="16.5" customHeight="1">
      <c r="A105" s="19"/>
      <c r="B105" s="98" t="s">
        <v>20</v>
      </c>
      <c r="C105" s="101"/>
      <c r="D105" s="69" t="s">
        <v>0</v>
      </c>
      <c r="E105" s="69">
        <v>0.01</v>
      </c>
      <c r="F105" s="102">
        <f>E105*F100</f>
        <v>0.02</v>
      </c>
      <c r="G105" s="69"/>
      <c r="H105" s="102"/>
      <c r="I105" s="38"/>
      <c r="J105" s="102"/>
      <c r="K105" s="103"/>
      <c r="L105" s="102"/>
      <c r="M105" s="142"/>
      <c r="N105" s="141"/>
      <c r="O105" s="141"/>
    </row>
    <row r="106" spans="1:15" s="32" customFormat="1" ht="25.5" customHeight="1">
      <c r="A106" s="234">
        <v>7</v>
      </c>
      <c r="B106" s="259" t="s">
        <v>327</v>
      </c>
      <c r="C106" s="385" t="s">
        <v>316</v>
      </c>
      <c r="D106" s="129" t="s">
        <v>26</v>
      </c>
      <c r="E106" s="129"/>
      <c r="F106" s="236">
        <v>6</v>
      </c>
      <c r="G106" s="130"/>
      <c r="H106" s="131"/>
      <c r="I106" s="129"/>
      <c r="J106" s="131"/>
      <c r="K106" s="129"/>
      <c r="L106" s="131"/>
      <c r="M106" s="131"/>
      <c r="N106" s="123"/>
      <c r="O106" s="123"/>
    </row>
    <row r="107" spans="1:15" s="24" customFormat="1" ht="13.5">
      <c r="A107" s="7"/>
      <c r="B107" s="9" t="s">
        <v>14</v>
      </c>
      <c r="C107" s="8"/>
      <c r="D107" s="11" t="s">
        <v>15</v>
      </c>
      <c r="E107" s="11">
        <v>0.62</v>
      </c>
      <c r="F107" s="12">
        <f>F106*E107</f>
        <v>3.7199999999999998</v>
      </c>
      <c r="G107" s="11"/>
      <c r="H107" s="12"/>
      <c r="I107" s="11"/>
      <c r="J107" s="12"/>
      <c r="K107" s="11"/>
      <c r="L107" s="12"/>
      <c r="M107" s="12"/>
      <c r="N107" s="246"/>
      <c r="O107" s="246"/>
    </row>
    <row r="108" spans="1:15" s="24" customFormat="1" ht="13.5">
      <c r="A108" s="7"/>
      <c r="B108" s="9" t="s">
        <v>25</v>
      </c>
      <c r="C108" s="8"/>
      <c r="D108" s="8" t="s">
        <v>0</v>
      </c>
      <c r="E108" s="11">
        <v>0.85</v>
      </c>
      <c r="F108" s="125">
        <f>E108*F106</f>
        <v>5.1</v>
      </c>
      <c r="G108" s="11"/>
      <c r="H108" s="12"/>
      <c r="I108" s="11"/>
      <c r="J108" s="12"/>
      <c r="K108" s="11"/>
      <c r="L108" s="12"/>
      <c r="M108" s="12"/>
      <c r="N108" s="246"/>
      <c r="O108" s="246"/>
    </row>
    <row r="109" spans="1:15" s="13" customFormat="1" ht="13.5">
      <c r="A109" s="19"/>
      <c r="B109" s="8" t="s">
        <v>16</v>
      </c>
      <c r="C109" s="126"/>
      <c r="D109" s="8"/>
      <c r="E109" s="8"/>
      <c r="F109" s="14"/>
      <c r="G109" s="8"/>
      <c r="H109" s="14"/>
      <c r="I109" s="11"/>
      <c r="J109" s="14"/>
      <c r="K109" s="15"/>
      <c r="L109" s="14"/>
      <c r="M109" s="14"/>
      <c r="N109" s="246"/>
      <c r="O109" s="246"/>
    </row>
    <row r="110" spans="1:15" s="13" customFormat="1" ht="13.5">
      <c r="A110" s="19"/>
      <c r="B110" s="164" t="s">
        <v>139</v>
      </c>
      <c r="C110" s="126"/>
      <c r="D110" s="8" t="s">
        <v>26</v>
      </c>
      <c r="E110" s="8">
        <v>1</v>
      </c>
      <c r="F110" s="14">
        <f>E110*F106</f>
        <v>6</v>
      </c>
      <c r="G110" s="14"/>
      <c r="H110" s="14"/>
      <c r="I110" s="11"/>
      <c r="J110" s="14"/>
      <c r="K110" s="15"/>
      <c r="L110" s="14"/>
      <c r="M110" s="14"/>
      <c r="N110" s="246"/>
      <c r="O110" s="246"/>
    </row>
    <row r="111" spans="1:15" s="13" customFormat="1" ht="16.5" customHeight="1">
      <c r="A111" s="19"/>
      <c r="B111" s="9" t="s">
        <v>20</v>
      </c>
      <c r="C111" s="126"/>
      <c r="D111" s="8" t="s">
        <v>0</v>
      </c>
      <c r="E111" s="8">
        <v>0.04</v>
      </c>
      <c r="F111" s="14">
        <f>E111*F106</f>
        <v>0.24</v>
      </c>
      <c r="G111" s="8"/>
      <c r="H111" s="14"/>
      <c r="I111" s="11"/>
      <c r="J111" s="14"/>
      <c r="K111" s="15"/>
      <c r="L111" s="14"/>
      <c r="M111" s="14"/>
      <c r="N111" s="246"/>
      <c r="O111" s="246"/>
    </row>
    <row r="112" spans="1:16" s="96" customFormat="1" ht="27" customHeight="1">
      <c r="A112" s="165">
        <v>8</v>
      </c>
      <c r="B112" s="166" t="s">
        <v>341</v>
      </c>
      <c r="C112" s="257" t="s">
        <v>134</v>
      </c>
      <c r="D112" s="93" t="s">
        <v>48</v>
      </c>
      <c r="E112" s="93"/>
      <c r="F112" s="305">
        <f>0.0038*4</f>
        <v>0.0152</v>
      </c>
      <c r="G112" s="94"/>
      <c r="H112" s="95"/>
      <c r="I112" s="93"/>
      <c r="J112" s="95"/>
      <c r="K112" s="93"/>
      <c r="L112" s="95"/>
      <c r="M112" s="120"/>
      <c r="N112" s="140"/>
      <c r="O112" s="158"/>
      <c r="P112" s="140"/>
    </row>
    <row r="113" spans="1:16" s="99" customFormat="1" ht="15" customHeight="1">
      <c r="A113" s="97"/>
      <c r="B113" s="98" t="s">
        <v>14</v>
      </c>
      <c r="C113" s="69"/>
      <c r="D113" s="38" t="s">
        <v>15</v>
      </c>
      <c r="E113" s="38">
        <v>305</v>
      </c>
      <c r="F113" s="70">
        <f>F112*E113</f>
        <v>4.636</v>
      </c>
      <c r="G113" s="38"/>
      <c r="H113" s="70"/>
      <c r="I113" s="38"/>
      <c r="J113" s="70"/>
      <c r="K113" s="38"/>
      <c r="L113" s="70"/>
      <c r="M113" s="118"/>
      <c r="N113" s="160"/>
      <c r="O113" s="141"/>
      <c r="P113" s="141"/>
    </row>
    <row r="114" spans="1:16" s="99" customFormat="1" ht="15" customHeight="1">
      <c r="A114" s="97"/>
      <c r="B114" s="98" t="s">
        <v>25</v>
      </c>
      <c r="C114" s="69"/>
      <c r="D114" s="69" t="s">
        <v>0</v>
      </c>
      <c r="E114" s="38">
        <v>162</v>
      </c>
      <c r="F114" s="100">
        <f>E114*F112</f>
        <v>2.4624</v>
      </c>
      <c r="G114" s="38"/>
      <c r="H114" s="70"/>
      <c r="I114" s="38"/>
      <c r="J114" s="70"/>
      <c r="K114" s="38"/>
      <c r="L114" s="70"/>
      <c r="M114" s="118"/>
      <c r="N114" s="160"/>
      <c r="O114" s="141"/>
      <c r="P114" s="141"/>
    </row>
    <row r="115" spans="1:16" s="104" customFormat="1" ht="15" customHeight="1">
      <c r="A115" s="19"/>
      <c r="B115" s="69" t="s">
        <v>16</v>
      </c>
      <c r="C115" s="101"/>
      <c r="D115" s="69"/>
      <c r="E115" s="69"/>
      <c r="F115" s="102"/>
      <c r="G115" s="69"/>
      <c r="H115" s="102"/>
      <c r="I115" s="38"/>
      <c r="J115" s="102"/>
      <c r="K115" s="103"/>
      <c r="L115" s="102"/>
      <c r="M115" s="142"/>
      <c r="N115" s="161"/>
      <c r="O115" s="141"/>
      <c r="P115" s="141"/>
    </row>
    <row r="116" spans="1:16" s="104" customFormat="1" ht="15" customHeight="1">
      <c r="A116" s="19"/>
      <c r="B116" s="150" t="s">
        <v>329</v>
      </c>
      <c r="C116" s="101"/>
      <c r="D116" s="69" t="s">
        <v>48</v>
      </c>
      <c r="E116" s="69">
        <v>1</v>
      </c>
      <c r="F116" s="304">
        <f>E116*F112</f>
        <v>0.0152</v>
      </c>
      <c r="G116" s="102"/>
      <c r="H116" s="102"/>
      <c r="I116" s="38"/>
      <c r="J116" s="102"/>
      <c r="K116" s="103"/>
      <c r="L116" s="102"/>
      <c r="M116" s="142"/>
      <c r="N116" s="161"/>
      <c r="O116" s="141"/>
      <c r="P116" s="141"/>
    </row>
    <row r="117" spans="1:16" s="104" customFormat="1" ht="15" customHeight="1">
      <c r="A117" s="19"/>
      <c r="B117" s="98" t="s">
        <v>20</v>
      </c>
      <c r="C117" s="101"/>
      <c r="D117" s="69" t="s">
        <v>0</v>
      </c>
      <c r="E117" s="69">
        <v>49.2</v>
      </c>
      <c r="F117" s="102">
        <f>E117*F112</f>
        <v>0.7478400000000001</v>
      </c>
      <c r="G117" s="69"/>
      <c r="H117" s="102"/>
      <c r="I117" s="38"/>
      <c r="J117" s="102"/>
      <c r="K117" s="103"/>
      <c r="L117" s="102"/>
      <c r="M117" s="142"/>
      <c r="N117" s="161"/>
      <c r="O117" s="141"/>
      <c r="P117" s="141"/>
    </row>
    <row r="118" spans="1:16" s="96" customFormat="1" ht="27" customHeight="1">
      <c r="A118" s="165">
        <v>9</v>
      </c>
      <c r="B118" s="166" t="s">
        <v>328</v>
      </c>
      <c r="C118" s="257" t="s">
        <v>134</v>
      </c>
      <c r="D118" s="93" t="s">
        <v>48</v>
      </c>
      <c r="E118" s="93"/>
      <c r="F118" s="305">
        <f>2.9/1000</f>
        <v>0.0029</v>
      </c>
      <c r="G118" s="94"/>
      <c r="H118" s="95"/>
      <c r="I118" s="93"/>
      <c r="J118" s="95"/>
      <c r="K118" s="93"/>
      <c r="L118" s="95"/>
      <c r="M118" s="120"/>
      <c r="N118" s="140"/>
      <c r="O118" s="158"/>
      <c r="P118" s="140"/>
    </row>
    <row r="119" spans="1:16" s="99" customFormat="1" ht="15" customHeight="1">
      <c r="A119" s="97"/>
      <c r="B119" s="98" t="s">
        <v>14</v>
      </c>
      <c r="C119" s="69"/>
      <c r="D119" s="38" t="s">
        <v>15</v>
      </c>
      <c r="E119" s="38">
        <v>305</v>
      </c>
      <c r="F119" s="70">
        <f>F118*E119</f>
        <v>0.8845</v>
      </c>
      <c r="G119" s="38"/>
      <c r="H119" s="70"/>
      <c r="I119" s="38"/>
      <c r="J119" s="70"/>
      <c r="K119" s="38"/>
      <c r="L119" s="70"/>
      <c r="M119" s="118"/>
      <c r="N119" s="160"/>
      <c r="O119" s="141"/>
      <c r="P119" s="141"/>
    </row>
    <row r="120" spans="1:16" s="99" customFormat="1" ht="15" customHeight="1">
      <c r="A120" s="97"/>
      <c r="B120" s="98" t="s">
        <v>25</v>
      </c>
      <c r="C120" s="69"/>
      <c r="D120" s="69" t="s">
        <v>0</v>
      </c>
      <c r="E120" s="38">
        <v>162</v>
      </c>
      <c r="F120" s="100">
        <f>E120*F118</f>
        <v>0.4698</v>
      </c>
      <c r="G120" s="38"/>
      <c r="H120" s="70"/>
      <c r="I120" s="38"/>
      <c r="J120" s="70"/>
      <c r="K120" s="38"/>
      <c r="L120" s="70"/>
      <c r="M120" s="118"/>
      <c r="N120" s="160"/>
      <c r="O120" s="141"/>
      <c r="P120" s="141"/>
    </row>
    <row r="121" spans="1:16" s="104" customFormat="1" ht="15" customHeight="1">
      <c r="A121" s="19"/>
      <c r="B121" s="69" t="s">
        <v>16</v>
      </c>
      <c r="C121" s="101"/>
      <c r="D121" s="69"/>
      <c r="E121" s="69"/>
      <c r="F121" s="102"/>
      <c r="G121" s="69"/>
      <c r="H121" s="102"/>
      <c r="I121" s="38"/>
      <c r="J121" s="102"/>
      <c r="K121" s="103"/>
      <c r="L121" s="102"/>
      <c r="M121" s="142"/>
      <c r="N121" s="161"/>
      <c r="O121" s="141"/>
      <c r="P121" s="141"/>
    </row>
    <row r="122" spans="1:16" s="104" customFormat="1" ht="15" customHeight="1">
      <c r="A122" s="19"/>
      <c r="B122" s="150" t="s">
        <v>87</v>
      </c>
      <c r="C122" s="101"/>
      <c r="D122" s="69" t="s">
        <v>48</v>
      </c>
      <c r="E122" s="69">
        <v>1</v>
      </c>
      <c r="F122" s="304">
        <f>E122*F118</f>
        <v>0.0029</v>
      </c>
      <c r="G122" s="102"/>
      <c r="H122" s="102"/>
      <c r="I122" s="38"/>
      <c r="J122" s="102"/>
      <c r="K122" s="103"/>
      <c r="L122" s="102"/>
      <c r="M122" s="142"/>
      <c r="N122" s="161"/>
      <c r="O122" s="141"/>
      <c r="P122" s="141"/>
    </row>
    <row r="123" spans="1:16" s="104" customFormat="1" ht="15" customHeight="1">
      <c r="A123" s="19"/>
      <c r="B123" s="98" t="s">
        <v>20</v>
      </c>
      <c r="C123" s="101"/>
      <c r="D123" s="69" t="s">
        <v>0</v>
      </c>
      <c r="E123" s="69">
        <v>49.2</v>
      </c>
      <c r="F123" s="102">
        <f>E123*F118</f>
        <v>0.14268</v>
      </c>
      <c r="G123" s="69"/>
      <c r="H123" s="102"/>
      <c r="I123" s="38"/>
      <c r="J123" s="102"/>
      <c r="K123" s="103"/>
      <c r="L123" s="102"/>
      <c r="M123" s="142"/>
      <c r="N123" s="161"/>
      <c r="O123" s="141"/>
      <c r="P123" s="141"/>
    </row>
    <row r="124" spans="1:14" s="232" customFormat="1" ht="27">
      <c r="A124" s="27">
        <v>10</v>
      </c>
      <c r="B124" s="144" t="s">
        <v>326</v>
      </c>
      <c r="C124" s="145" t="s">
        <v>45</v>
      </c>
      <c r="D124" s="28" t="s">
        <v>26</v>
      </c>
      <c r="E124" s="29"/>
      <c r="F124" s="154">
        <v>19</v>
      </c>
      <c r="G124" s="28"/>
      <c r="H124" s="230"/>
      <c r="I124" s="28"/>
      <c r="J124" s="231"/>
      <c r="K124" s="28"/>
      <c r="L124" s="230"/>
      <c r="M124" s="231"/>
      <c r="N124" s="96"/>
    </row>
    <row r="125" spans="1:13" s="99" customFormat="1" ht="13.5">
      <c r="A125" s="97"/>
      <c r="B125" s="98" t="s">
        <v>14</v>
      </c>
      <c r="C125" s="331"/>
      <c r="D125" s="38" t="s">
        <v>15</v>
      </c>
      <c r="E125" s="38">
        <f>3.89/10</f>
        <v>0.389</v>
      </c>
      <c r="F125" s="70">
        <f>F124*E125</f>
        <v>7.391</v>
      </c>
      <c r="G125" s="38"/>
      <c r="H125" s="70"/>
      <c r="I125" s="38"/>
      <c r="J125" s="70"/>
      <c r="K125" s="38"/>
      <c r="L125" s="70"/>
      <c r="M125" s="70"/>
    </row>
    <row r="126" spans="1:13" s="370" customFormat="1" ht="13.5">
      <c r="A126" s="325"/>
      <c r="B126" s="320" t="s">
        <v>25</v>
      </c>
      <c r="C126" s="324"/>
      <c r="D126" s="318" t="s">
        <v>0</v>
      </c>
      <c r="E126" s="91">
        <f>1.51/10</f>
        <v>0.151</v>
      </c>
      <c r="F126" s="323">
        <f>E126*F124</f>
        <v>2.8689999999999998</v>
      </c>
      <c r="G126" s="91"/>
      <c r="H126" s="322"/>
      <c r="I126" s="91"/>
      <c r="J126" s="322"/>
      <c r="K126" s="91"/>
      <c r="L126" s="322"/>
      <c r="M126" s="322"/>
    </row>
    <row r="127" spans="1:13" s="264" customFormat="1" ht="15.75">
      <c r="A127" s="19"/>
      <c r="B127" s="69" t="s">
        <v>16</v>
      </c>
      <c r="C127" s="136"/>
      <c r="D127" s="69"/>
      <c r="E127" s="69"/>
      <c r="F127" s="102"/>
      <c r="G127" s="69"/>
      <c r="H127" s="102"/>
      <c r="I127" s="38"/>
      <c r="J127" s="102"/>
      <c r="K127" s="103"/>
      <c r="L127" s="102"/>
      <c r="M127" s="102"/>
    </row>
    <row r="128" spans="1:13" s="264" customFormat="1" ht="15.75">
      <c r="A128" s="19"/>
      <c r="B128" s="98" t="s">
        <v>324</v>
      </c>
      <c r="C128" s="136"/>
      <c r="D128" s="69" t="s">
        <v>26</v>
      </c>
      <c r="E128" s="69">
        <v>1</v>
      </c>
      <c r="F128" s="102">
        <f>E128*F124</f>
        <v>19</v>
      </c>
      <c r="G128" s="263"/>
      <c r="H128" s="102"/>
      <c r="I128" s="38"/>
      <c r="J128" s="102"/>
      <c r="K128" s="103"/>
      <c r="L128" s="102"/>
      <c r="M128" s="102"/>
    </row>
    <row r="129" spans="1:13" s="264" customFormat="1" ht="15.75">
      <c r="A129" s="19"/>
      <c r="B129" s="98" t="s">
        <v>20</v>
      </c>
      <c r="C129" s="136"/>
      <c r="D129" s="69" t="s">
        <v>0</v>
      </c>
      <c r="E129" s="69">
        <f>0.24/10</f>
        <v>0.024</v>
      </c>
      <c r="F129" s="102">
        <f>E129*F124</f>
        <v>0.456</v>
      </c>
      <c r="G129" s="69"/>
      <c r="H129" s="102"/>
      <c r="I129" s="38"/>
      <c r="J129" s="102"/>
      <c r="K129" s="103"/>
      <c r="L129" s="102"/>
      <c r="M129" s="102"/>
    </row>
    <row r="130" spans="1:14" s="232" customFormat="1" ht="27">
      <c r="A130" s="27">
        <v>11</v>
      </c>
      <c r="B130" s="144" t="s">
        <v>344</v>
      </c>
      <c r="C130" s="145" t="s">
        <v>45</v>
      </c>
      <c r="D130" s="28" t="s">
        <v>26</v>
      </c>
      <c r="E130" s="29"/>
      <c r="F130" s="154">
        <v>5</v>
      </c>
      <c r="G130" s="28"/>
      <c r="H130" s="230"/>
      <c r="I130" s="28"/>
      <c r="J130" s="231"/>
      <c r="K130" s="28"/>
      <c r="L130" s="230"/>
      <c r="M130" s="231"/>
      <c r="N130" s="96"/>
    </row>
    <row r="131" spans="1:13" s="99" customFormat="1" ht="13.5">
      <c r="A131" s="97"/>
      <c r="B131" s="98" t="s">
        <v>14</v>
      </c>
      <c r="C131" s="331"/>
      <c r="D131" s="38" t="s">
        <v>15</v>
      </c>
      <c r="E131" s="38">
        <f>3.89/10</f>
        <v>0.389</v>
      </c>
      <c r="F131" s="70">
        <f>F130*E131</f>
        <v>1.945</v>
      </c>
      <c r="G131" s="38"/>
      <c r="H131" s="70"/>
      <c r="I131" s="38"/>
      <c r="J131" s="70"/>
      <c r="K131" s="38"/>
      <c r="L131" s="70"/>
      <c r="M131" s="70"/>
    </row>
    <row r="132" spans="1:13" s="370" customFormat="1" ht="13.5">
      <c r="A132" s="325"/>
      <c r="B132" s="320" t="s">
        <v>25</v>
      </c>
      <c r="C132" s="324"/>
      <c r="D132" s="318" t="s">
        <v>0</v>
      </c>
      <c r="E132" s="91">
        <f>1.51/10</f>
        <v>0.151</v>
      </c>
      <c r="F132" s="323">
        <f>E132*F130</f>
        <v>0.755</v>
      </c>
      <c r="G132" s="91"/>
      <c r="H132" s="322"/>
      <c r="I132" s="91"/>
      <c r="J132" s="322"/>
      <c r="K132" s="91"/>
      <c r="L132" s="322"/>
      <c r="M132" s="322"/>
    </row>
    <row r="133" spans="1:13" s="264" customFormat="1" ht="15.75">
      <c r="A133" s="19"/>
      <c r="B133" s="69" t="s">
        <v>16</v>
      </c>
      <c r="C133" s="136"/>
      <c r="D133" s="69"/>
      <c r="E133" s="69"/>
      <c r="F133" s="102"/>
      <c r="G133" s="69"/>
      <c r="H133" s="102"/>
      <c r="I133" s="38"/>
      <c r="J133" s="102"/>
      <c r="K133" s="103"/>
      <c r="L133" s="102"/>
      <c r="M133" s="102"/>
    </row>
    <row r="134" spans="1:13" s="264" customFormat="1" ht="15.75">
      <c r="A134" s="19"/>
      <c r="B134" s="98" t="s">
        <v>324</v>
      </c>
      <c r="C134" s="136"/>
      <c r="D134" s="69" t="s">
        <v>26</v>
      </c>
      <c r="E134" s="69">
        <v>1</v>
      </c>
      <c r="F134" s="102">
        <f>E134*F130</f>
        <v>5</v>
      </c>
      <c r="G134" s="263"/>
      <c r="H134" s="102"/>
      <c r="I134" s="38"/>
      <c r="J134" s="102"/>
      <c r="K134" s="103"/>
      <c r="L134" s="102"/>
      <c r="M134" s="102"/>
    </row>
    <row r="135" spans="1:13" s="264" customFormat="1" ht="15.75">
      <c r="A135" s="19"/>
      <c r="B135" s="98" t="s">
        <v>20</v>
      </c>
      <c r="C135" s="136"/>
      <c r="D135" s="69" t="s">
        <v>0</v>
      </c>
      <c r="E135" s="69">
        <f>0.24/10</f>
        <v>0.024</v>
      </c>
      <c r="F135" s="102">
        <f>E135*F130</f>
        <v>0.12</v>
      </c>
      <c r="G135" s="69"/>
      <c r="H135" s="102"/>
      <c r="I135" s="38"/>
      <c r="J135" s="102"/>
      <c r="K135" s="103"/>
      <c r="L135" s="102"/>
      <c r="M135" s="102"/>
    </row>
    <row r="136" spans="1:14" s="232" customFormat="1" ht="27">
      <c r="A136" s="27">
        <v>12</v>
      </c>
      <c r="B136" s="144" t="s">
        <v>325</v>
      </c>
      <c r="C136" s="145" t="s">
        <v>45</v>
      </c>
      <c r="D136" s="28" t="s">
        <v>26</v>
      </c>
      <c r="E136" s="29"/>
      <c r="F136" s="154">
        <v>6</v>
      </c>
      <c r="G136" s="28"/>
      <c r="H136" s="230"/>
      <c r="I136" s="28"/>
      <c r="J136" s="231"/>
      <c r="K136" s="28"/>
      <c r="L136" s="230"/>
      <c r="M136" s="231"/>
      <c r="N136" s="96"/>
    </row>
    <row r="137" spans="1:13" s="99" customFormat="1" ht="13.5">
      <c r="A137" s="97"/>
      <c r="B137" s="98" t="s">
        <v>14</v>
      </c>
      <c r="C137" s="331"/>
      <c r="D137" s="38" t="s">
        <v>15</v>
      </c>
      <c r="E137" s="38">
        <f>3.89/10</f>
        <v>0.389</v>
      </c>
      <c r="F137" s="70">
        <f>F136*E137</f>
        <v>2.334</v>
      </c>
      <c r="G137" s="38"/>
      <c r="H137" s="70"/>
      <c r="I137" s="38"/>
      <c r="J137" s="70"/>
      <c r="K137" s="38"/>
      <c r="L137" s="70"/>
      <c r="M137" s="70"/>
    </row>
    <row r="138" spans="1:13" s="370" customFormat="1" ht="13.5">
      <c r="A138" s="325"/>
      <c r="B138" s="320" t="s">
        <v>25</v>
      </c>
      <c r="C138" s="324"/>
      <c r="D138" s="318" t="s">
        <v>0</v>
      </c>
      <c r="E138" s="91">
        <f>1.51/10</f>
        <v>0.151</v>
      </c>
      <c r="F138" s="323">
        <f>E138*F136</f>
        <v>0.9059999999999999</v>
      </c>
      <c r="G138" s="91"/>
      <c r="H138" s="322"/>
      <c r="I138" s="91"/>
      <c r="J138" s="322"/>
      <c r="K138" s="91"/>
      <c r="L138" s="322"/>
      <c r="M138" s="322"/>
    </row>
    <row r="139" spans="1:13" s="264" customFormat="1" ht="15.75">
      <c r="A139" s="19"/>
      <c r="B139" s="69" t="s">
        <v>16</v>
      </c>
      <c r="C139" s="136"/>
      <c r="D139" s="69"/>
      <c r="E139" s="69"/>
      <c r="F139" s="102"/>
      <c r="G139" s="69"/>
      <c r="H139" s="102"/>
      <c r="I139" s="38"/>
      <c r="J139" s="102"/>
      <c r="K139" s="103"/>
      <c r="L139" s="102"/>
      <c r="M139" s="102"/>
    </row>
    <row r="140" spans="1:13" s="264" customFormat="1" ht="15.75">
      <c r="A140" s="19"/>
      <c r="B140" s="98" t="s">
        <v>324</v>
      </c>
      <c r="C140" s="136"/>
      <c r="D140" s="69" t="s">
        <v>26</v>
      </c>
      <c r="E140" s="69">
        <v>1</v>
      </c>
      <c r="F140" s="102">
        <f>E140*F136</f>
        <v>6</v>
      </c>
      <c r="G140" s="263"/>
      <c r="H140" s="102"/>
      <c r="I140" s="38"/>
      <c r="J140" s="102"/>
      <c r="K140" s="103"/>
      <c r="L140" s="102"/>
      <c r="M140" s="102"/>
    </row>
    <row r="141" spans="1:13" s="264" customFormat="1" ht="15.75">
      <c r="A141" s="19"/>
      <c r="B141" s="98" t="s">
        <v>20</v>
      </c>
      <c r="C141" s="136"/>
      <c r="D141" s="69" t="s">
        <v>0</v>
      </c>
      <c r="E141" s="69">
        <f>0.24/10</f>
        <v>0.024</v>
      </c>
      <c r="F141" s="102">
        <f>E141*F136</f>
        <v>0.14400000000000002</v>
      </c>
      <c r="G141" s="69"/>
      <c r="H141" s="102"/>
      <c r="I141" s="38"/>
      <c r="J141" s="102"/>
      <c r="K141" s="103"/>
      <c r="L141" s="102"/>
      <c r="M141" s="102"/>
    </row>
    <row r="142" spans="1:14" s="232" customFormat="1" ht="27">
      <c r="A142" s="27">
        <v>13</v>
      </c>
      <c r="B142" s="144" t="s">
        <v>323</v>
      </c>
      <c r="C142" s="145" t="s">
        <v>45</v>
      </c>
      <c r="D142" s="28" t="s">
        <v>26</v>
      </c>
      <c r="E142" s="29"/>
      <c r="F142" s="154">
        <v>3</v>
      </c>
      <c r="G142" s="28"/>
      <c r="H142" s="230"/>
      <c r="I142" s="28"/>
      <c r="J142" s="231"/>
      <c r="K142" s="28"/>
      <c r="L142" s="230"/>
      <c r="M142" s="231"/>
      <c r="N142" s="96"/>
    </row>
    <row r="143" spans="1:13" s="99" customFormat="1" ht="13.5">
      <c r="A143" s="97"/>
      <c r="B143" s="98" t="s">
        <v>14</v>
      </c>
      <c r="C143" s="331"/>
      <c r="D143" s="38" t="s">
        <v>15</v>
      </c>
      <c r="E143" s="38">
        <f>3.89/10</f>
        <v>0.389</v>
      </c>
      <c r="F143" s="70">
        <f>F142*E143</f>
        <v>1.167</v>
      </c>
      <c r="G143" s="38"/>
      <c r="H143" s="70"/>
      <c r="I143" s="38"/>
      <c r="J143" s="70"/>
      <c r="K143" s="38"/>
      <c r="L143" s="70"/>
      <c r="M143" s="70"/>
    </row>
    <row r="144" spans="1:13" s="370" customFormat="1" ht="13.5">
      <c r="A144" s="325"/>
      <c r="B144" s="320" t="s">
        <v>25</v>
      </c>
      <c r="C144" s="324"/>
      <c r="D144" s="318" t="s">
        <v>0</v>
      </c>
      <c r="E144" s="91">
        <f>1.51/10</f>
        <v>0.151</v>
      </c>
      <c r="F144" s="323">
        <f>E144*F142</f>
        <v>0.45299999999999996</v>
      </c>
      <c r="G144" s="91"/>
      <c r="H144" s="322"/>
      <c r="I144" s="91"/>
      <c r="J144" s="322"/>
      <c r="K144" s="91"/>
      <c r="L144" s="322"/>
      <c r="M144" s="322"/>
    </row>
    <row r="145" spans="1:13" s="264" customFormat="1" ht="15.75">
      <c r="A145" s="19"/>
      <c r="B145" s="69" t="s">
        <v>16</v>
      </c>
      <c r="C145" s="136"/>
      <c r="D145" s="69"/>
      <c r="E145" s="69"/>
      <c r="F145" s="102"/>
      <c r="G145" s="69"/>
      <c r="H145" s="102"/>
      <c r="I145" s="38"/>
      <c r="J145" s="102"/>
      <c r="K145" s="103"/>
      <c r="L145" s="102"/>
      <c r="M145" s="102"/>
    </row>
    <row r="146" spans="1:13" s="264" customFormat="1" ht="15.75">
      <c r="A146" s="19"/>
      <c r="B146" s="98" t="s">
        <v>261</v>
      </c>
      <c r="C146" s="136"/>
      <c r="D146" s="69" t="s">
        <v>26</v>
      </c>
      <c r="E146" s="69">
        <v>1</v>
      </c>
      <c r="F146" s="102">
        <f>E146*F142</f>
        <v>3</v>
      </c>
      <c r="G146" s="263"/>
      <c r="H146" s="102"/>
      <c r="I146" s="38"/>
      <c r="J146" s="102"/>
      <c r="K146" s="103"/>
      <c r="L146" s="102"/>
      <c r="M146" s="102"/>
    </row>
    <row r="147" spans="1:13" s="264" customFormat="1" ht="15.75">
      <c r="A147" s="19"/>
      <c r="B147" s="98" t="s">
        <v>20</v>
      </c>
      <c r="C147" s="136"/>
      <c r="D147" s="69" t="s">
        <v>0</v>
      </c>
      <c r="E147" s="69">
        <f>0.24/10</f>
        <v>0.024</v>
      </c>
      <c r="F147" s="102">
        <f>E147*F142</f>
        <v>0.07200000000000001</v>
      </c>
      <c r="G147" s="69"/>
      <c r="H147" s="102"/>
      <c r="I147" s="38"/>
      <c r="J147" s="102"/>
      <c r="K147" s="103"/>
      <c r="L147" s="102"/>
      <c r="M147" s="102"/>
    </row>
    <row r="148" spans="1:14" s="232" customFormat="1" ht="27">
      <c r="A148" s="27">
        <v>14</v>
      </c>
      <c r="B148" s="144" t="s">
        <v>343</v>
      </c>
      <c r="C148" s="145" t="s">
        <v>45</v>
      </c>
      <c r="D148" s="28" t="s">
        <v>26</v>
      </c>
      <c r="E148" s="29"/>
      <c r="F148" s="154">
        <v>7</v>
      </c>
      <c r="G148" s="28"/>
      <c r="H148" s="230"/>
      <c r="I148" s="28"/>
      <c r="J148" s="231"/>
      <c r="K148" s="28"/>
      <c r="L148" s="230"/>
      <c r="M148" s="231"/>
      <c r="N148" s="96"/>
    </row>
    <row r="149" spans="1:13" s="99" customFormat="1" ht="13.5">
      <c r="A149" s="97"/>
      <c r="B149" s="98" t="s">
        <v>14</v>
      </c>
      <c r="C149" s="331"/>
      <c r="D149" s="38" t="s">
        <v>15</v>
      </c>
      <c r="E149" s="38">
        <f>3.89/10</f>
        <v>0.389</v>
      </c>
      <c r="F149" s="70">
        <f>F148*E149</f>
        <v>2.723</v>
      </c>
      <c r="G149" s="38"/>
      <c r="H149" s="70"/>
      <c r="I149" s="38"/>
      <c r="J149" s="70"/>
      <c r="K149" s="38"/>
      <c r="L149" s="70"/>
      <c r="M149" s="70"/>
    </row>
    <row r="150" spans="1:13" s="370" customFormat="1" ht="13.5">
      <c r="A150" s="325"/>
      <c r="B150" s="320" t="s">
        <v>25</v>
      </c>
      <c r="C150" s="324"/>
      <c r="D150" s="318" t="s">
        <v>0</v>
      </c>
      <c r="E150" s="91">
        <f>1.51/10</f>
        <v>0.151</v>
      </c>
      <c r="F150" s="323">
        <f>E150*F148</f>
        <v>1.057</v>
      </c>
      <c r="G150" s="91"/>
      <c r="H150" s="322"/>
      <c r="I150" s="91"/>
      <c r="J150" s="322"/>
      <c r="K150" s="91"/>
      <c r="L150" s="322"/>
      <c r="M150" s="322"/>
    </row>
    <row r="151" spans="1:13" s="264" customFormat="1" ht="15.75">
      <c r="A151" s="19"/>
      <c r="B151" s="69" t="s">
        <v>16</v>
      </c>
      <c r="C151" s="136"/>
      <c r="D151" s="69"/>
      <c r="E151" s="69"/>
      <c r="F151" s="102"/>
      <c r="G151" s="69"/>
      <c r="H151" s="102"/>
      <c r="I151" s="38"/>
      <c r="J151" s="102"/>
      <c r="K151" s="103"/>
      <c r="L151" s="102"/>
      <c r="M151" s="102"/>
    </row>
    <row r="152" spans="1:13" s="264" customFormat="1" ht="15.75">
      <c r="A152" s="19"/>
      <c r="B152" s="98" t="s">
        <v>261</v>
      </c>
      <c r="C152" s="136"/>
      <c r="D152" s="69" t="s">
        <v>26</v>
      </c>
      <c r="E152" s="69">
        <v>1</v>
      </c>
      <c r="F152" s="102">
        <f>E152*F148</f>
        <v>7</v>
      </c>
      <c r="G152" s="263"/>
      <c r="H152" s="102"/>
      <c r="I152" s="38"/>
      <c r="J152" s="102"/>
      <c r="K152" s="103"/>
      <c r="L152" s="102"/>
      <c r="M152" s="102"/>
    </row>
    <row r="153" spans="1:13" s="264" customFormat="1" ht="15.75">
      <c r="A153" s="19"/>
      <c r="B153" s="98" t="s">
        <v>20</v>
      </c>
      <c r="C153" s="136"/>
      <c r="D153" s="69" t="s">
        <v>0</v>
      </c>
      <c r="E153" s="69">
        <f>0.24/10</f>
        <v>0.024</v>
      </c>
      <c r="F153" s="102">
        <f>E153*F148</f>
        <v>0.168</v>
      </c>
      <c r="G153" s="69"/>
      <c r="H153" s="102"/>
      <c r="I153" s="38"/>
      <c r="J153" s="102"/>
      <c r="K153" s="103"/>
      <c r="L153" s="102"/>
      <c r="M153" s="102"/>
    </row>
    <row r="154" spans="1:14" s="232" customFormat="1" ht="27">
      <c r="A154" s="27">
        <v>15</v>
      </c>
      <c r="B154" s="144" t="s">
        <v>322</v>
      </c>
      <c r="C154" s="145" t="s">
        <v>45</v>
      </c>
      <c r="D154" s="28" t="s">
        <v>26</v>
      </c>
      <c r="E154" s="29"/>
      <c r="F154" s="154">
        <v>11</v>
      </c>
      <c r="G154" s="28"/>
      <c r="H154" s="230"/>
      <c r="I154" s="28"/>
      <c r="J154" s="231"/>
      <c r="K154" s="28"/>
      <c r="L154" s="230"/>
      <c r="M154" s="231"/>
      <c r="N154" s="96"/>
    </row>
    <row r="155" spans="1:13" s="99" customFormat="1" ht="13.5">
      <c r="A155" s="97"/>
      <c r="B155" s="98" t="s">
        <v>14</v>
      </c>
      <c r="C155" s="331"/>
      <c r="D155" s="38" t="s">
        <v>15</v>
      </c>
      <c r="E155" s="38">
        <f>3.89/10</f>
        <v>0.389</v>
      </c>
      <c r="F155" s="70">
        <f>F154*E155</f>
        <v>4.279</v>
      </c>
      <c r="G155" s="38"/>
      <c r="H155" s="70"/>
      <c r="I155" s="38"/>
      <c r="J155" s="70"/>
      <c r="K155" s="38"/>
      <c r="L155" s="70"/>
      <c r="M155" s="70"/>
    </row>
    <row r="156" spans="1:13" s="370" customFormat="1" ht="13.5">
      <c r="A156" s="325"/>
      <c r="B156" s="320" t="s">
        <v>25</v>
      </c>
      <c r="C156" s="324"/>
      <c r="D156" s="318" t="s">
        <v>0</v>
      </c>
      <c r="E156" s="91">
        <f>1.51/10</f>
        <v>0.151</v>
      </c>
      <c r="F156" s="323">
        <f>E156*F154</f>
        <v>1.661</v>
      </c>
      <c r="G156" s="91"/>
      <c r="H156" s="322"/>
      <c r="I156" s="91"/>
      <c r="J156" s="322"/>
      <c r="K156" s="91"/>
      <c r="L156" s="322"/>
      <c r="M156" s="322"/>
    </row>
    <row r="157" spans="1:13" s="264" customFormat="1" ht="15.75">
      <c r="A157" s="19"/>
      <c r="B157" s="69" t="s">
        <v>16</v>
      </c>
      <c r="C157" s="136"/>
      <c r="D157" s="69"/>
      <c r="E157" s="69"/>
      <c r="F157" s="102"/>
      <c r="G157" s="69"/>
      <c r="H157" s="102"/>
      <c r="I157" s="38"/>
      <c r="J157" s="102"/>
      <c r="K157" s="103"/>
      <c r="L157" s="102"/>
      <c r="M157" s="102"/>
    </row>
    <row r="158" spans="1:13" s="264" customFormat="1" ht="15.75">
      <c r="A158" s="19"/>
      <c r="B158" s="98" t="s">
        <v>261</v>
      </c>
      <c r="C158" s="136"/>
      <c r="D158" s="69" t="s">
        <v>26</v>
      </c>
      <c r="E158" s="69">
        <v>1</v>
      </c>
      <c r="F158" s="102">
        <f>E158*F154</f>
        <v>11</v>
      </c>
      <c r="G158" s="263"/>
      <c r="H158" s="102"/>
      <c r="I158" s="38"/>
      <c r="J158" s="102"/>
      <c r="K158" s="103"/>
      <c r="L158" s="102"/>
      <c r="M158" s="102"/>
    </row>
    <row r="159" spans="1:13" s="264" customFormat="1" ht="15.75">
      <c r="A159" s="19"/>
      <c r="B159" s="98" t="s">
        <v>20</v>
      </c>
      <c r="C159" s="136"/>
      <c r="D159" s="69" t="s">
        <v>0</v>
      </c>
      <c r="E159" s="69">
        <f>0.24/10</f>
        <v>0.024</v>
      </c>
      <c r="F159" s="102">
        <f>E159*F154</f>
        <v>0.264</v>
      </c>
      <c r="G159" s="69"/>
      <c r="H159" s="102"/>
      <c r="I159" s="38"/>
      <c r="J159" s="102"/>
      <c r="K159" s="103"/>
      <c r="L159" s="102"/>
      <c r="M159" s="102"/>
    </row>
    <row r="160" spans="1:14" s="232" customFormat="1" ht="27">
      <c r="A160" s="27">
        <v>16</v>
      </c>
      <c r="B160" s="144" t="s">
        <v>321</v>
      </c>
      <c r="C160" s="145" t="s">
        <v>67</v>
      </c>
      <c r="D160" s="28" t="s">
        <v>26</v>
      </c>
      <c r="E160" s="29"/>
      <c r="F160" s="154">
        <v>1</v>
      </c>
      <c r="G160" s="28"/>
      <c r="H160" s="230"/>
      <c r="I160" s="28"/>
      <c r="J160" s="231"/>
      <c r="K160" s="28"/>
      <c r="L160" s="230"/>
      <c r="M160" s="231"/>
      <c r="N160" s="96"/>
    </row>
    <row r="161" spans="1:13" s="99" customFormat="1" ht="13.5">
      <c r="A161" s="97"/>
      <c r="B161" s="98" t="s">
        <v>14</v>
      </c>
      <c r="C161" s="331"/>
      <c r="D161" s="38" t="s">
        <v>15</v>
      </c>
      <c r="E161" s="38">
        <f>5.84/10</f>
        <v>0.584</v>
      </c>
      <c r="F161" s="70">
        <f>F160*E161</f>
        <v>0.584</v>
      </c>
      <c r="G161" s="38"/>
      <c r="H161" s="70"/>
      <c r="I161" s="38"/>
      <c r="J161" s="70"/>
      <c r="K161" s="38"/>
      <c r="L161" s="70"/>
      <c r="M161" s="70"/>
    </row>
    <row r="162" spans="1:13" s="370" customFormat="1" ht="13.5">
      <c r="A162" s="325"/>
      <c r="B162" s="320" t="s">
        <v>25</v>
      </c>
      <c r="C162" s="324"/>
      <c r="D162" s="318" t="s">
        <v>0</v>
      </c>
      <c r="E162" s="91">
        <f>2.27/10</f>
        <v>0.227</v>
      </c>
      <c r="F162" s="323">
        <f>E162*F160</f>
        <v>0.227</v>
      </c>
      <c r="G162" s="91"/>
      <c r="H162" s="322"/>
      <c r="I162" s="91"/>
      <c r="J162" s="322"/>
      <c r="K162" s="91"/>
      <c r="L162" s="322"/>
      <c r="M162" s="322"/>
    </row>
    <row r="163" spans="1:13" s="264" customFormat="1" ht="15.75">
      <c r="A163" s="19"/>
      <c r="B163" s="69" t="s">
        <v>16</v>
      </c>
      <c r="C163" s="136"/>
      <c r="D163" s="69"/>
      <c r="E163" s="69"/>
      <c r="F163" s="102"/>
      <c r="G163" s="69"/>
      <c r="H163" s="102"/>
      <c r="I163" s="38"/>
      <c r="J163" s="102"/>
      <c r="K163" s="103"/>
      <c r="L163" s="102"/>
      <c r="M163" s="102"/>
    </row>
    <row r="164" spans="1:13" s="264" customFormat="1" ht="15.75">
      <c r="A164" s="19"/>
      <c r="B164" s="98" t="s">
        <v>263</v>
      </c>
      <c r="C164" s="136"/>
      <c r="D164" s="69" t="s">
        <v>26</v>
      </c>
      <c r="E164" s="69">
        <v>1</v>
      </c>
      <c r="F164" s="102">
        <f>E164*F160</f>
        <v>1</v>
      </c>
      <c r="G164" s="263"/>
      <c r="H164" s="102"/>
      <c r="I164" s="38"/>
      <c r="J164" s="102"/>
      <c r="K164" s="103"/>
      <c r="L164" s="102"/>
      <c r="M164" s="102"/>
    </row>
    <row r="165" spans="1:13" s="264" customFormat="1" ht="15.75">
      <c r="A165" s="19"/>
      <c r="B165" s="98" t="s">
        <v>20</v>
      </c>
      <c r="C165" s="136"/>
      <c r="D165" s="69" t="s">
        <v>0</v>
      </c>
      <c r="E165" s="69">
        <f>0.24/10</f>
        <v>0.024</v>
      </c>
      <c r="F165" s="102">
        <f>E165*F160</f>
        <v>0.024</v>
      </c>
      <c r="G165" s="69"/>
      <c r="H165" s="102"/>
      <c r="I165" s="38"/>
      <c r="J165" s="102"/>
      <c r="K165" s="103"/>
      <c r="L165" s="102"/>
      <c r="M165" s="102"/>
    </row>
    <row r="166" spans="1:14" s="232" customFormat="1" ht="27">
      <c r="A166" s="27">
        <v>17</v>
      </c>
      <c r="B166" s="144" t="s">
        <v>352</v>
      </c>
      <c r="C166" s="145" t="s">
        <v>67</v>
      </c>
      <c r="D166" s="28" t="s">
        <v>26</v>
      </c>
      <c r="E166" s="29"/>
      <c r="F166" s="154">
        <v>1</v>
      </c>
      <c r="G166" s="28"/>
      <c r="H166" s="230"/>
      <c r="I166" s="28"/>
      <c r="J166" s="231"/>
      <c r="K166" s="28"/>
      <c r="L166" s="230"/>
      <c r="M166" s="231"/>
      <c r="N166" s="96"/>
    </row>
    <row r="167" spans="1:13" s="99" customFormat="1" ht="13.5">
      <c r="A167" s="97"/>
      <c r="B167" s="98" t="s">
        <v>14</v>
      </c>
      <c r="C167" s="331"/>
      <c r="D167" s="38" t="s">
        <v>15</v>
      </c>
      <c r="E167" s="38">
        <f>5.84/10</f>
        <v>0.584</v>
      </c>
      <c r="F167" s="70">
        <f>F166*E167</f>
        <v>0.584</v>
      </c>
      <c r="G167" s="38"/>
      <c r="H167" s="70"/>
      <c r="I167" s="38"/>
      <c r="J167" s="70"/>
      <c r="K167" s="38"/>
      <c r="L167" s="70"/>
      <c r="M167" s="70"/>
    </row>
    <row r="168" spans="1:13" s="370" customFormat="1" ht="13.5">
      <c r="A168" s="325"/>
      <c r="B168" s="320" t="s">
        <v>25</v>
      </c>
      <c r="C168" s="324"/>
      <c r="D168" s="318" t="s">
        <v>0</v>
      </c>
      <c r="E168" s="91">
        <f>2.27/10</f>
        <v>0.227</v>
      </c>
      <c r="F168" s="323">
        <f>E168*F166</f>
        <v>0.227</v>
      </c>
      <c r="G168" s="91"/>
      <c r="H168" s="322"/>
      <c r="I168" s="91"/>
      <c r="J168" s="322"/>
      <c r="K168" s="91"/>
      <c r="L168" s="322"/>
      <c r="M168" s="322"/>
    </row>
    <row r="169" spans="1:13" s="264" customFormat="1" ht="15.75">
      <c r="A169" s="19"/>
      <c r="B169" s="69" t="s">
        <v>16</v>
      </c>
      <c r="C169" s="136"/>
      <c r="D169" s="69"/>
      <c r="E169" s="69"/>
      <c r="F169" s="102"/>
      <c r="G169" s="69"/>
      <c r="H169" s="102"/>
      <c r="I169" s="38"/>
      <c r="J169" s="102"/>
      <c r="K169" s="103"/>
      <c r="L169" s="102"/>
      <c r="M169" s="102"/>
    </row>
    <row r="170" spans="1:13" s="264" customFormat="1" ht="15.75">
      <c r="A170" s="19"/>
      <c r="B170" s="98" t="s">
        <v>263</v>
      </c>
      <c r="C170" s="136"/>
      <c r="D170" s="69" t="s">
        <v>26</v>
      </c>
      <c r="E170" s="69">
        <v>1</v>
      </c>
      <c r="F170" s="102">
        <f>E170*F166</f>
        <v>1</v>
      </c>
      <c r="G170" s="263"/>
      <c r="H170" s="102"/>
      <c r="I170" s="38"/>
      <c r="J170" s="102"/>
      <c r="K170" s="103"/>
      <c r="L170" s="102"/>
      <c r="M170" s="102"/>
    </row>
    <row r="171" spans="1:13" s="264" customFormat="1" ht="15.75">
      <c r="A171" s="19"/>
      <c r="B171" s="98" t="s">
        <v>20</v>
      </c>
      <c r="C171" s="136"/>
      <c r="D171" s="69" t="s">
        <v>0</v>
      </c>
      <c r="E171" s="69">
        <f>0.24/10</f>
        <v>0.024</v>
      </c>
      <c r="F171" s="102">
        <f>E171*F166</f>
        <v>0.024</v>
      </c>
      <c r="G171" s="69"/>
      <c r="H171" s="102"/>
      <c r="I171" s="38"/>
      <c r="J171" s="102"/>
      <c r="K171" s="103"/>
      <c r="L171" s="102"/>
      <c r="M171" s="102"/>
    </row>
    <row r="172" spans="1:14" s="232" customFormat="1" ht="27">
      <c r="A172" s="27">
        <v>18</v>
      </c>
      <c r="B172" s="144" t="s">
        <v>320</v>
      </c>
      <c r="C172" s="145" t="s">
        <v>67</v>
      </c>
      <c r="D172" s="28" t="s">
        <v>26</v>
      </c>
      <c r="E172" s="29"/>
      <c r="F172" s="154">
        <v>2</v>
      </c>
      <c r="G172" s="28"/>
      <c r="H172" s="230"/>
      <c r="I172" s="28"/>
      <c r="J172" s="231"/>
      <c r="K172" s="28"/>
      <c r="L172" s="230"/>
      <c r="M172" s="231"/>
      <c r="N172" s="96"/>
    </row>
    <row r="173" spans="1:13" s="99" customFormat="1" ht="13.5">
      <c r="A173" s="97"/>
      <c r="B173" s="98" t="s">
        <v>14</v>
      </c>
      <c r="C173" s="331"/>
      <c r="D173" s="38" t="s">
        <v>15</v>
      </c>
      <c r="E173" s="38">
        <f>5.84/10</f>
        <v>0.584</v>
      </c>
      <c r="F173" s="70">
        <f>F172*E173</f>
        <v>1.168</v>
      </c>
      <c r="G173" s="38"/>
      <c r="H173" s="70"/>
      <c r="I173" s="38"/>
      <c r="J173" s="70"/>
      <c r="K173" s="38"/>
      <c r="L173" s="70"/>
      <c r="M173" s="70"/>
    </row>
    <row r="174" spans="1:13" s="370" customFormat="1" ht="13.5">
      <c r="A174" s="325"/>
      <c r="B174" s="320" t="s">
        <v>25</v>
      </c>
      <c r="C174" s="324"/>
      <c r="D174" s="318" t="s">
        <v>0</v>
      </c>
      <c r="E174" s="91">
        <f>2.27/10</f>
        <v>0.227</v>
      </c>
      <c r="F174" s="323">
        <f>E174*F172</f>
        <v>0.454</v>
      </c>
      <c r="G174" s="91"/>
      <c r="H174" s="322"/>
      <c r="I174" s="91"/>
      <c r="J174" s="322"/>
      <c r="K174" s="91"/>
      <c r="L174" s="322"/>
      <c r="M174" s="322"/>
    </row>
    <row r="175" spans="1:13" s="264" customFormat="1" ht="15.75">
      <c r="A175" s="19"/>
      <c r="B175" s="69" t="s">
        <v>16</v>
      </c>
      <c r="C175" s="136"/>
      <c r="D175" s="69"/>
      <c r="E175" s="69"/>
      <c r="F175" s="102"/>
      <c r="G175" s="69"/>
      <c r="H175" s="102"/>
      <c r="I175" s="38"/>
      <c r="J175" s="102"/>
      <c r="K175" s="103"/>
      <c r="L175" s="102"/>
      <c r="M175" s="102"/>
    </row>
    <row r="176" spans="1:13" s="264" customFormat="1" ht="15.75">
      <c r="A176" s="19"/>
      <c r="B176" s="98" t="s">
        <v>263</v>
      </c>
      <c r="C176" s="136"/>
      <c r="D176" s="69" t="s">
        <v>26</v>
      </c>
      <c r="E176" s="69">
        <v>1</v>
      </c>
      <c r="F176" s="102">
        <f>E176*F172</f>
        <v>2</v>
      </c>
      <c r="G176" s="263"/>
      <c r="H176" s="102"/>
      <c r="I176" s="38"/>
      <c r="J176" s="102"/>
      <c r="K176" s="103"/>
      <c r="L176" s="102"/>
      <c r="M176" s="102"/>
    </row>
    <row r="177" spans="1:13" s="264" customFormat="1" ht="15.75">
      <c r="A177" s="19"/>
      <c r="B177" s="98" t="s">
        <v>20</v>
      </c>
      <c r="C177" s="136"/>
      <c r="D177" s="69" t="s">
        <v>0</v>
      </c>
      <c r="E177" s="69">
        <f>0.24/10</f>
        <v>0.024</v>
      </c>
      <c r="F177" s="102">
        <f>E177*F172</f>
        <v>0.048</v>
      </c>
      <c r="G177" s="69"/>
      <c r="H177" s="102"/>
      <c r="I177" s="38"/>
      <c r="J177" s="102"/>
      <c r="K177" s="103"/>
      <c r="L177" s="102"/>
      <c r="M177" s="102"/>
    </row>
    <row r="178" spans="1:14" s="232" customFormat="1" ht="27">
      <c r="A178" s="27">
        <v>19</v>
      </c>
      <c r="B178" s="144" t="s">
        <v>342</v>
      </c>
      <c r="C178" s="145" t="s">
        <v>244</v>
      </c>
      <c r="D178" s="28" t="s">
        <v>26</v>
      </c>
      <c r="E178" s="29"/>
      <c r="F178" s="154">
        <v>3</v>
      </c>
      <c r="G178" s="28"/>
      <c r="H178" s="230"/>
      <c r="I178" s="28"/>
      <c r="J178" s="231"/>
      <c r="K178" s="28"/>
      <c r="L178" s="230"/>
      <c r="M178" s="231"/>
      <c r="N178" s="96"/>
    </row>
    <row r="179" spans="1:13" s="99" customFormat="1" ht="13.5">
      <c r="A179" s="97"/>
      <c r="B179" s="98" t="s">
        <v>14</v>
      </c>
      <c r="C179" s="331"/>
      <c r="D179" s="38" t="s">
        <v>15</v>
      </c>
      <c r="E179" s="38">
        <f>7.88/10</f>
        <v>0.788</v>
      </c>
      <c r="F179" s="70">
        <f>F178*E179</f>
        <v>2.364</v>
      </c>
      <c r="G179" s="38"/>
      <c r="H179" s="70"/>
      <c r="I179" s="38"/>
      <c r="J179" s="70"/>
      <c r="K179" s="38"/>
      <c r="L179" s="70"/>
      <c r="M179" s="70"/>
    </row>
    <row r="180" spans="1:13" s="370" customFormat="1" ht="13.5">
      <c r="A180" s="325"/>
      <c r="B180" s="320" t="s">
        <v>25</v>
      </c>
      <c r="C180" s="324"/>
      <c r="D180" s="318" t="s">
        <v>0</v>
      </c>
      <c r="E180" s="91">
        <f>3.02/10</f>
        <v>0.302</v>
      </c>
      <c r="F180" s="323">
        <f>E180*F178</f>
        <v>0.9059999999999999</v>
      </c>
      <c r="G180" s="91"/>
      <c r="H180" s="322"/>
      <c r="I180" s="91"/>
      <c r="J180" s="322"/>
      <c r="K180" s="91"/>
      <c r="L180" s="322"/>
      <c r="M180" s="322"/>
    </row>
    <row r="181" spans="1:13" s="264" customFormat="1" ht="15.75">
      <c r="A181" s="19"/>
      <c r="B181" s="69" t="s">
        <v>16</v>
      </c>
      <c r="C181" s="136"/>
      <c r="D181" s="69"/>
      <c r="E181" s="69"/>
      <c r="F181" s="102"/>
      <c r="G181" s="69"/>
      <c r="H181" s="102"/>
      <c r="I181" s="38"/>
      <c r="J181" s="102"/>
      <c r="K181" s="103"/>
      <c r="L181" s="102"/>
      <c r="M181" s="102"/>
    </row>
    <row r="182" spans="1:13" s="264" customFormat="1" ht="15.75">
      <c r="A182" s="19"/>
      <c r="B182" s="98" t="s">
        <v>319</v>
      </c>
      <c r="C182" s="136"/>
      <c r="D182" s="69" t="s">
        <v>26</v>
      </c>
      <c r="E182" s="69">
        <v>1</v>
      </c>
      <c r="F182" s="102">
        <f>E182*F178</f>
        <v>3</v>
      </c>
      <c r="G182" s="263"/>
      <c r="H182" s="102"/>
      <c r="I182" s="38"/>
      <c r="J182" s="102"/>
      <c r="K182" s="103"/>
      <c r="L182" s="102"/>
      <c r="M182" s="102"/>
    </row>
    <row r="183" spans="1:13" s="264" customFormat="1" ht="15.75">
      <c r="A183" s="19"/>
      <c r="B183" s="98" t="s">
        <v>20</v>
      </c>
      <c r="C183" s="136"/>
      <c r="D183" s="69" t="s">
        <v>0</v>
      </c>
      <c r="E183" s="69">
        <f>0.24/10</f>
        <v>0.024</v>
      </c>
      <c r="F183" s="102">
        <f>E183*F178</f>
        <v>0.07200000000000001</v>
      </c>
      <c r="G183" s="69"/>
      <c r="H183" s="102"/>
      <c r="I183" s="38"/>
      <c r="J183" s="102"/>
      <c r="K183" s="103"/>
      <c r="L183" s="102"/>
      <c r="M183" s="102"/>
    </row>
    <row r="184" spans="1:14" s="232" customFormat="1" ht="27">
      <c r="A184" s="27">
        <v>20</v>
      </c>
      <c r="B184" s="144" t="s">
        <v>354</v>
      </c>
      <c r="C184" s="145" t="s">
        <v>244</v>
      </c>
      <c r="D184" s="28" t="s">
        <v>26</v>
      </c>
      <c r="E184" s="29"/>
      <c r="F184" s="154">
        <v>1</v>
      </c>
      <c r="G184" s="28"/>
      <c r="H184" s="230"/>
      <c r="I184" s="28"/>
      <c r="J184" s="231"/>
      <c r="K184" s="28"/>
      <c r="L184" s="230"/>
      <c r="M184" s="231"/>
      <c r="N184" s="96"/>
    </row>
    <row r="185" spans="1:13" s="99" customFormat="1" ht="13.5">
      <c r="A185" s="97"/>
      <c r="B185" s="98" t="s">
        <v>14</v>
      </c>
      <c r="C185" s="331"/>
      <c r="D185" s="38" t="s">
        <v>15</v>
      </c>
      <c r="E185" s="38">
        <f>7.88/10</f>
        <v>0.788</v>
      </c>
      <c r="F185" s="70">
        <f>F184*E185</f>
        <v>0.788</v>
      </c>
      <c r="G185" s="38"/>
      <c r="H185" s="70"/>
      <c r="I185" s="38"/>
      <c r="J185" s="70"/>
      <c r="K185" s="38"/>
      <c r="L185" s="70"/>
      <c r="M185" s="70"/>
    </row>
    <row r="186" spans="1:13" s="370" customFormat="1" ht="13.5">
      <c r="A186" s="325"/>
      <c r="B186" s="320" t="s">
        <v>25</v>
      </c>
      <c r="C186" s="324"/>
      <c r="D186" s="318" t="s">
        <v>0</v>
      </c>
      <c r="E186" s="91">
        <f>3.02/10</f>
        <v>0.302</v>
      </c>
      <c r="F186" s="323">
        <f>E186*F184</f>
        <v>0.302</v>
      </c>
      <c r="G186" s="91"/>
      <c r="H186" s="322"/>
      <c r="I186" s="91"/>
      <c r="J186" s="322"/>
      <c r="K186" s="91"/>
      <c r="L186" s="322"/>
      <c r="M186" s="322"/>
    </row>
    <row r="187" spans="1:13" s="264" customFormat="1" ht="15.75">
      <c r="A187" s="19"/>
      <c r="B187" s="69" t="s">
        <v>16</v>
      </c>
      <c r="C187" s="136"/>
      <c r="D187" s="69"/>
      <c r="E187" s="69"/>
      <c r="F187" s="102"/>
      <c r="G187" s="69"/>
      <c r="H187" s="102"/>
      <c r="I187" s="38"/>
      <c r="J187" s="102"/>
      <c r="K187" s="103"/>
      <c r="L187" s="102"/>
      <c r="M187" s="102"/>
    </row>
    <row r="188" spans="1:13" s="264" customFormat="1" ht="15.75">
      <c r="A188" s="19"/>
      <c r="B188" s="98" t="s">
        <v>87</v>
      </c>
      <c r="C188" s="136"/>
      <c r="D188" s="69" t="s">
        <v>26</v>
      </c>
      <c r="E188" s="69">
        <v>1</v>
      </c>
      <c r="F188" s="102">
        <f>E188*F184</f>
        <v>1</v>
      </c>
      <c r="G188" s="263"/>
      <c r="H188" s="102"/>
      <c r="I188" s="38"/>
      <c r="J188" s="102"/>
      <c r="K188" s="103"/>
      <c r="L188" s="102"/>
      <c r="M188" s="102"/>
    </row>
    <row r="189" spans="1:13" s="264" customFormat="1" ht="15.75">
      <c r="A189" s="19"/>
      <c r="B189" s="98" t="s">
        <v>20</v>
      </c>
      <c r="C189" s="136"/>
      <c r="D189" s="69" t="s">
        <v>0</v>
      </c>
      <c r="E189" s="69">
        <f>0.24/10</f>
        <v>0.024</v>
      </c>
      <c r="F189" s="102">
        <f>E189*F184</f>
        <v>0.024</v>
      </c>
      <c r="G189" s="69"/>
      <c r="H189" s="102"/>
      <c r="I189" s="38"/>
      <c r="J189" s="102"/>
      <c r="K189" s="103"/>
      <c r="L189" s="102"/>
      <c r="M189" s="102"/>
    </row>
    <row r="190" spans="1:15" s="96" customFormat="1" ht="27">
      <c r="A190" s="165">
        <v>21</v>
      </c>
      <c r="B190" s="166" t="s">
        <v>318</v>
      </c>
      <c r="C190" s="257" t="s">
        <v>84</v>
      </c>
      <c r="D190" s="93" t="s">
        <v>26</v>
      </c>
      <c r="E190" s="93"/>
      <c r="F190" s="139">
        <v>6</v>
      </c>
      <c r="G190" s="94"/>
      <c r="H190" s="95"/>
      <c r="I190" s="93"/>
      <c r="J190" s="95"/>
      <c r="K190" s="93"/>
      <c r="L190" s="95"/>
      <c r="M190" s="95"/>
      <c r="N190" s="140"/>
      <c r="O190" s="140"/>
    </row>
    <row r="191" spans="1:15" s="99" customFormat="1" ht="13.5">
      <c r="A191" s="97"/>
      <c r="B191" s="98" t="s">
        <v>14</v>
      </c>
      <c r="C191" s="69"/>
      <c r="D191" s="38" t="s">
        <v>15</v>
      </c>
      <c r="E191" s="38">
        <v>0.35</v>
      </c>
      <c r="F191" s="70">
        <f>F190*E191</f>
        <v>2.0999999999999996</v>
      </c>
      <c r="G191" s="38"/>
      <c r="H191" s="70"/>
      <c r="I191" s="38"/>
      <c r="J191" s="70"/>
      <c r="K191" s="38"/>
      <c r="L191" s="70"/>
      <c r="M191" s="70"/>
      <c r="N191" s="141"/>
      <c r="O191" s="141"/>
    </row>
    <row r="192" spans="1:15" s="99" customFormat="1" ht="13.5">
      <c r="A192" s="97"/>
      <c r="B192" s="98" t="s">
        <v>25</v>
      </c>
      <c r="C192" s="69"/>
      <c r="D192" s="69" t="s">
        <v>0</v>
      </c>
      <c r="E192" s="38">
        <v>0.23</v>
      </c>
      <c r="F192" s="100">
        <f>E192*F190</f>
        <v>1.3800000000000001</v>
      </c>
      <c r="G192" s="38"/>
      <c r="H192" s="70"/>
      <c r="I192" s="38"/>
      <c r="J192" s="70"/>
      <c r="K192" s="38"/>
      <c r="L192" s="70"/>
      <c r="M192" s="70"/>
      <c r="N192" s="141"/>
      <c r="O192" s="141"/>
    </row>
    <row r="193" spans="1:15" s="104" customFormat="1" ht="13.5">
      <c r="A193" s="19"/>
      <c r="B193" s="69" t="s">
        <v>16</v>
      </c>
      <c r="C193" s="101"/>
      <c r="D193" s="69"/>
      <c r="E193" s="69"/>
      <c r="F193" s="102"/>
      <c r="G193" s="69"/>
      <c r="H193" s="102"/>
      <c r="I193" s="38"/>
      <c r="J193" s="102"/>
      <c r="K193" s="103"/>
      <c r="L193" s="102"/>
      <c r="M193" s="102"/>
      <c r="N193" s="141"/>
      <c r="O193" s="141"/>
    </row>
    <row r="194" spans="1:15" s="104" customFormat="1" ht="13.5">
      <c r="A194" s="19"/>
      <c r="B194" s="105" t="s">
        <v>315</v>
      </c>
      <c r="C194" s="101"/>
      <c r="D194" s="69" t="s">
        <v>26</v>
      </c>
      <c r="E194" s="69">
        <v>1</v>
      </c>
      <c r="F194" s="102">
        <f>E194*F190</f>
        <v>6</v>
      </c>
      <c r="G194" s="102"/>
      <c r="H194" s="102"/>
      <c r="I194" s="38"/>
      <c r="J194" s="102"/>
      <c r="K194" s="103"/>
      <c r="L194" s="102"/>
      <c r="M194" s="102"/>
      <c r="N194" s="141"/>
      <c r="O194" s="141"/>
    </row>
    <row r="195" spans="1:15" s="104" customFormat="1" ht="16.5" customHeight="1">
      <c r="A195" s="19"/>
      <c r="B195" s="98" t="s">
        <v>20</v>
      </c>
      <c r="C195" s="101"/>
      <c r="D195" s="69" t="s">
        <v>0</v>
      </c>
      <c r="E195" s="69">
        <v>0.01</v>
      </c>
      <c r="F195" s="102">
        <f>E195*F190</f>
        <v>0.06</v>
      </c>
      <c r="G195" s="69"/>
      <c r="H195" s="102"/>
      <c r="I195" s="38"/>
      <c r="J195" s="102"/>
      <c r="K195" s="103"/>
      <c r="L195" s="102"/>
      <c r="M195" s="102"/>
      <c r="N195" s="141"/>
      <c r="O195" s="141"/>
    </row>
    <row r="196" spans="1:15" s="96" customFormat="1" ht="27">
      <c r="A196" s="165">
        <v>22</v>
      </c>
      <c r="B196" s="166" t="s">
        <v>345</v>
      </c>
      <c r="C196" s="257" t="s">
        <v>243</v>
      </c>
      <c r="D196" s="93" t="s">
        <v>26</v>
      </c>
      <c r="E196" s="93"/>
      <c r="F196" s="139">
        <v>6</v>
      </c>
      <c r="G196" s="94"/>
      <c r="H196" s="95"/>
      <c r="I196" s="93"/>
      <c r="J196" s="95"/>
      <c r="K196" s="93"/>
      <c r="L196" s="95"/>
      <c r="M196" s="95"/>
      <c r="N196" s="140"/>
      <c r="O196" s="140"/>
    </row>
    <row r="197" spans="1:15" s="99" customFormat="1" ht="13.5">
      <c r="A197" s="97"/>
      <c r="B197" s="98" t="s">
        <v>14</v>
      </c>
      <c r="C197" s="69"/>
      <c r="D197" s="38" t="s">
        <v>15</v>
      </c>
      <c r="E197" s="38">
        <v>0.48</v>
      </c>
      <c r="F197" s="70">
        <f>F196*E197</f>
        <v>2.88</v>
      </c>
      <c r="G197" s="38"/>
      <c r="H197" s="70"/>
      <c r="I197" s="38"/>
      <c r="J197" s="70"/>
      <c r="K197" s="38"/>
      <c r="L197" s="70"/>
      <c r="M197" s="70"/>
      <c r="N197" s="141"/>
      <c r="O197" s="141"/>
    </row>
    <row r="198" spans="1:15" s="99" customFormat="1" ht="13.5">
      <c r="A198" s="97"/>
      <c r="B198" s="98" t="s">
        <v>25</v>
      </c>
      <c r="C198" s="69"/>
      <c r="D198" s="69" t="s">
        <v>0</v>
      </c>
      <c r="E198" s="38">
        <v>0.31</v>
      </c>
      <c r="F198" s="100">
        <f>E198*F196</f>
        <v>1.8599999999999999</v>
      </c>
      <c r="G198" s="38"/>
      <c r="H198" s="70"/>
      <c r="I198" s="38"/>
      <c r="J198" s="70"/>
      <c r="K198" s="38"/>
      <c r="L198" s="70"/>
      <c r="M198" s="70"/>
      <c r="N198" s="141"/>
      <c r="O198" s="141"/>
    </row>
    <row r="199" spans="1:15" s="104" customFormat="1" ht="13.5">
      <c r="A199" s="19"/>
      <c r="B199" s="69" t="s">
        <v>16</v>
      </c>
      <c r="C199" s="101"/>
      <c r="D199" s="69"/>
      <c r="E199" s="69"/>
      <c r="F199" s="102"/>
      <c r="G199" s="69"/>
      <c r="H199" s="102"/>
      <c r="I199" s="38"/>
      <c r="J199" s="102"/>
      <c r="K199" s="103"/>
      <c r="L199" s="102"/>
      <c r="M199" s="102"/>
      <c r="N199" s="141"/>
      <c r="O199" s="141"/>
    </row>
    <row r="200" spans="1:15" s="104" customFormat="1" ht="13.5">
      <c r="A200" s="19"/>
      <c r="B200" s="105" t="s">
        <v>315</v>
      </c>
      <c r="C200" s="101"/>
      <c r="D200" s="69" t="s">
        <v>26</v>
      </c>
      <c r="E200" s="69">
        <v>1</v>
      </c>
      <c r="F200" s="102">
        <f>E200*F196</f>
        <v>6</v>
      </c>
      <c r="G200" s="102"/>
      <c r="H200" s="102"/>
      <c r="I200" s="38"/>
      <c r="J200" s="102"/>
      <c r="K200" s="103"/>
      <c r="L200" s="102"/>
      <c r="M200" s="102"/>
      <c r="N200" s="141"/>
      <c r="O200" s="141"/>
    </row>
    <row r="201" spans="1:15" s="104" customFormat="1" ht="16.5" customHeight="1">
      <c r="A201" s="19"/>
      <c r="B201" s="98" t="s">
        <v>20</v>
      </c>
      <c r="C201" s="101"/>
      <c r="D201" s="69" t="s">
        <v>0</v>
      </c>
      <c r="E201" s="69">
        <v>0.02</v>
      </c>
      <c r="F201" s="102">
        <f>E201*F196</f>
        <v>0.12</v>
      </c>
      <c r="G201" s="69"/>
      <c r="H201" s="102"/>
      <c r="I201" s="38"/>
      <c r="J201" s="102"/>
      <c r="K201" s="103"/>
      <c r="L201" s="102"/>
      <c r="M201" s="102"/>
      <c r="N201" s="141"/>
      <c r="O201" s="141"/>
    </row>
    <row r="202" spans="1:15" s="96" customFormat="1" ht="27">
      <c r="A202" s="165">
        <v>23</v>
      </c>
      <c r="B202" s="166" t="s">
        <v>317</v>
      </c>
      <c r="C202" s="257" t="s">
        <v>243</v>
      </c>
      <c r="D202" s="93" t="s">
        <v>26</v>
      </c>
      <c r="E202" s="93"/>
      <c r="F202" s="139">
        <v>12</v>
      </c>
      <c r="G202" s="94"/>
      <c r="H202" s="95"/>
      <c r="I202" s="93"/>
      <c r="J202" s="95"/>
      <c r="K202" s="93"/>
      <c r="L202" s="95"/>
      <c r="M202" s="95"/>
      <c r="N202" s="140"/>
      <c r="O202" s="140"/>
    </row>
    <row r="203" spans="1:15" s="99" customFormat="1" ht="13.5">
      <c r="A203" s="97"/>
      <c r="B203" s="98" t="s">
        <v>14</v>
      </c>
      <c r="C203" s="69"/>
      <c r="D203" s="38" t="s">
        <v>15</v>
      </c>
      <c r="E203" s="38">
        <v>0.48</v>
      </c>
      <c r="F203" s="70">
        <f>F202*E203</f>
        <v>5.76</v>
      </c>
      <c r="G203" s="38"/>
      <c r="H203" s="70"/>
      <c r="I203" s="38"/>
      <c r="J203" s="70"/>
      <c r="K203" s="38"/>
      <c r="L203" s="70"/>
      <c r="M203" s="70"/>
      <c r="N203" s="141"/>
      <c r="O203" s="141"/>
    </row>
    <row r="204" spans="1:15" s="99" customFormat="1" ht="13.5">
      <c r="A204" s="97"/>
      <c r="B204" s="98" t="s">
        <v>25</v>
      </c>
      <c r="C204" s="69"/>
      <c r="D204" s="69" t="s">
        <v>0</v>
      </c>
      <c r="E204" s="38">
        <v>0.31</v>
      </c>
      <c r="F204" s="100">
        <f>E204*F202</f>
        <v>3.7199999999999998</v>
      </c>
      <c r="G204" s="38"/>
      <c r="H204" s="70"/>
      <c r="I204" s="38"/>
      <c r="J204" s="70"/>
      <c r="K204" s="38"/>
      <c r="L204" s="70"/>
      <c r="M204" s="70"/>
      <c r="N204" s="141"/>
      <c r="O204" s="141"/>
    </row>
    <row r="205" spans="1:15" s="104" customFormat="1" ht="13.5">
      <c r="A205" s="19"/>
      <c r="B205" s="69" t="s">
        <v>16</v>
      </c>
      <c r="C205" s="101"/>
      <c r="D205" s="69"/>
      <c r="E205" s="69"/>
      <c r="F205" s="102"/>
      <c r="G205" s="69"/>
      <c r="H205" s="102"/>
      <c r="I205" s="38"/>
      <c r="J205" s="102"/>
      <c r="K205" s="103"/>
      <c r="L205" s="102"/>
      <c r="M205" s="102"/>
      <c r="N205" s="141"/>
      <c r="O205" s="141"/>
    </row>
    <row r="206" spans="1:15" s="104" customFormat="1" ht="13.5">
      <c r="A206" s="19"/>
      <c r="B206" s="105" t="s">
        <v>315</v>
      </c>
      <c r="C206" s="101"/>
      <c r="D206" s="69" t="s">
        <v>26</v>
      </c>
      <c r="E206" s="69">
        <v>1</v>
      </c>
      <c r="F206" s="102">
        <f>E206*F202</f>
        <v>12</v>
      </c>
      <c r="G206" s="102"/>
      <c r="H206" s="102"/>
      <c r="I206" s="38"/>
      <c r="J206" s="102"/>
      <c r="K206" s="103"/>
      <c r="L206" s="102"/>
      <c r="M206" s="102"/>
      <c r="N206" s="141"/>
      <c r="O206" s="141"/>
    </row>
    <row r="207" spans="1:15" s="104" customFormat="1" ht="16.5" customHeight="1">
      <c r="A207" s="19"/>
      <c r="B207" s="98" t="s">
        <v>20</v>
      </c>
      <c r="C207" s="101"/>
      <c r="D207" s="69" t="s">
        <v>0</v>
      </c>
      <c r="E207" s="69">
        <v>0.02</v>
      </c>
      <c r="F207" s="102">
        <f>E207*F202</f>
        <v>0.24</v>
      </c>
      <c r="G207" s="69"/>
      <c r="H207" s="102"/>
      <c r="I207" s="38"/>
      <c r="J207" s="102"/>
      <c r="K207" s="103"/>
      <c r="L207" s="102"/>
      <c r="M207" s="102"/>
      <c r="N207" s="141"/>
      <c r="O207" s="141"/>
    </row>
    <row r="208" spans="1:15" s="172" customFormat="1" ht="26.25">
      <c r="A208" s="165">
        <v>24</v>
      </c>
      <c r="B208" s="166" t="s">
        <v>314</v>
      </c>
      <c r="C208" s="145" t="s">
        <v>80</v>
      </c>
      <c r="D208" s="165" t="s">
        <v>26</v>
      </c>
      <c r="E208" s="165"/>
      <c r="F208" s="167">
        <v>2</v>
      </c>
      <c r="G208" s="168"/>
      <c r="H208" s="169"/>
      <c r="I208" s="170"/>
      <c r="J208" s="169"/>
      <c r="K208" s="170"/>
      <c r="L208" s="169"/>
      <c r="M208" s="169"/>
      <c r="N208" s="140"/>
      <c r="O208" s="171"/>
    </row>
    <row r="209" spans="1:15" s="176" customFormat="1" ht="13.5">
      <c r="A209" s="106"/>
      <c r="B209" s="107" t="s">
        <v>62</v>
      </c>
      <c r="C209" s="173"/>
      <c r="D209" s="108" t="s">
        <v>15</v>
      </c>
      <c r="E209" s="69">
        <v>1.01</v>
      </c>
      <c r="F209" s="109">
        <f>F208*E209</f>
        <v>2.02</v>
      </c>
      <c r="G209" s="110"/>
      <c r="H209" s="111"/>
      <c r="I209" s="112"/>
      <c r="J209" s="109"/>
      <c r="K209" s="112"/>
      <c r="L209" s="109"/>
      <c r="M209" s="109"/>
      <c r="N209" s="174"/>
      <c r="O209" s="175"/>
    </row>
    <row r="210" spans="1:15" s="180" customFormat="1" ht="13.5">
      <c r="A210" s="106"/>
      <c r="B210" s="107" t="s">
        <v>31</v>
      </c>
      <c r="C210" s="177"/>
      <c r="D210" s="108" t="s">
        <v>0</v>
      </c>
      <c r="E210" s="69">
        <v>0.02</v>
      </c>
      <c r="F210" s="109">
        <f>F208*E210</f>
        <v>0.04</v>
      </c>
      <c r="G210" s="108"/>
      <c r="H210" s="109"/>
      <c r="I210" s="112"/>
      <c r="J210" s="109"/>
      <c r="K210" s="112"/>
      <c r="L210" s="109"/>
      <c r="M210" s="109"/>
      <c r="N210" s="178"/>
      <c r="O210" s="179"/>
    </row>
    <row r="211" spans="1:15" s="176" customFormat="1" ht="13.5">
      <c r="A211" s="106"/>
      <c r="B211" s="69" t="s">
        <v>16</v>
      </c>
      <c r="C211" s="177"/>
      <c r="D211" s="108"/>
      <c r="E211" s="69"/>
      <c r="F211" s="108"/>
      <c r="G211" s="108"/>
      <c r="H211" s="109"/>
      <c r="I211" s="112"/>
      <c r="J211" s="109"/>
      <c r="K211" s="112"/>
      <c r="L211" s="109"/>
      <c r="M211" s="109"/>
      <c r="N211" s="174"/>
      <c r="O211" s="175"/>
    </row>
    <row r="212" spans="1:15" s="176" customFormat="1" ht="13.5">
      <c r="A212" s="106"/>
      <c r="B212" s="107" t="s">
        <v>79</v>
      </c>
      <c r="C212" s="177"/>
      <c r="D212" s="108" t="s">
        <v>26</v>
      </c>
      <c r="E212" s="69">
        <v>1</v>
      </c>
      <c r="F212" s="108">
        <f>F208*E212</f>
        <v>2</v>
      </c>
      <c r="G212" s="108"/>
      <c r="H212" s="109"/>
      <c r="I212" s="112"/>
      <c r="J212" s="109"/>
      <c r="K212" s="112"/>
      <c r="L212" s="109"/>
      <c r="M212" s="109"/>
      <c r="N212" s="174"/>
      <c r="O212" s="175"/>
    </row>
    <row r="213" spans="1:15" s="176" customFormat="1" ht="13.5">
      <c r="A213" s="106"/>
      <c r="B213" s="107" t="s">
        <v>20</v>
      </c>
      <c r="C213" s="177"/>
      <c r="D213" s="108" t="s">
        <v>0</v>
      </c>
      <c r="E213" s="69">
        <v>0.49</v>
      </c>
      <c r="F213" s="108">
        <f>F208*E213</f>
        <v>0.98</v>
      </c>
      <c r="G213" s="108"/>
      <c r="H213" s="109"/>
      <c r="I213" s="112"/>
      <c r="J213" s="109"/>
      <c r="K213" s="112"/>
      <c r="L213" s="109"/>
      <c r="M213" s="109"/>
      <c r="N213" s="174"/>
      <c r="O213" s="175"/>
    </row>
    <row r="214" spans="1:15" s="172" customFormat="1" ht="26.25">
      <c r="A214" s="165">
        <v>25</v>
      </c>
      <c r="B214" s="166" t="s">
        <v>355</v>
      </c>
      <c r="C214" s="145" t="s">
        <v>80</v>
      </c>
      <c r="D214" s="165" t="s">
        <v>26</v>
      </c>
      <c r="E214" s="165"/>
      <c r="F214" s="167">
        <v>2</v>
      </c>
      <c r="G214" s="168"/>
      <c r="H214" s="169"/>
      <c r="I214" s="170"/>
      <c r="J214" s="169"/>
      <c r="K214" s="170"/>
      <c r="L214" s="169"/>
      <c r="M214" s="169"/>
      <c r="N214" s="140"/>
      <c r="O214" s="171"/>
    </row>
    <row r="215" spans="1:15" s="176" customFormat="1" ht="13.5">
      <c r="A215" s="106"/>
      <c r="B215" s="107" t="s">
        <v>62</v>
      </c>
      <c r="C215" s="173"/>
      <c r="D215" s="108" t="s">
        <v>15</v>
      </c>
      <c r="E215" s="69">
        <v>1.01</v>
      </c>
      <c r="F215" s="109">
        <f>F214*E215</f>
        <v>2.02</v>
      </c>
      <c r="G215" s="110"/>
      <c r="H215" s="111"/>
      <c r="I215" s="112"/>
      <c r="J215" s="109"/>
      <c r="K215" s="112"/>
      <c r="L215" s="109"/>
      <c r="M215" s="109"/>
      <c r="N215" s="174"/>
      <c r="O215" s="175"/>
    </row>
    <row r="216" spans="1:15" s="180" customFormat="1" ht="13.5">
      <c r="A216" s="106"/>
      <c r="B216" s="107" t="s">
        <v>31</v>
      </c>
      <c r="C216" s="177"/>
      <c r="D216" s="108" t="s">
        <v>0</v>
      </c>
      <c r="E216" s="69">
        <v>0.02</v>
      </c>
      <c r="F216" s="109">
        <f>F214*E216</f>
        <v>0.04</v>
      </c>
      <c r="G216" s="108"/>
      <c r="H216" s="109"/>
      <c r="I216" s="112"/>
      <c r="J216" s="109"/>
      <c r="K216" s="112"/>
      <c r="L216" s="109"/>
      <c r="M216" s="109"/>
      <c r="N216" s="178"/>
      <c r="O216" s="179"/>
    </row>
    <row r="217" spans="1:15" s="176" customFormat="1" ht="13.5">
      <c r="A217" s="106"/>
      <c r="B217" s="69" t="s">
        <v>16</v>
      </c>
      <c r="C217" s="177"/>
      <c r="D217" s="108"/>
      <c r="E217" s="69"/>
      <c r="F217" s="108"/>
      <c r="G217" s="108"/>
      <c r="H217" s="109"/>
      <c r="I217" s="112"/>
      <c r="J217" s="109"/>
      <c r="K217" s="112"/>
      <c r="L217" s="109"/>
      <c r="M217" s="109"/>
      <c r="N217" s="174"/>
      <c r="O217" s="175"/>
    </row>
    <row r="218" spans="1:15" s="176" customFormat="1" ht="13.5">
      <c r="A218" s="106"/>
      <c r="B218" s="107" t="s">
        <v>79</v>
      </c>
      <c r="C218" s="177"/>
      <c r="D218" s="108" t="s">
        <v>26</v>
      </c>
      <c r="E218" s="69">
        <v>1</v>
      </c>
      <c r="F218" s="108">
        <f>F214*E218</f>
        <v>2</v>
      </c>
      <c r="G218" s="108"/>
      <c r="H218" s="109"/>
      <c r="I218" s="112"/>
      <c r="J218" s="109"/>
      <c r="K218" s="112"/>
      <c r="L218" s="109"/>
      <c r="M218" s="109"/>
      <c r="N218" s="174"/>
      <c r="O218" s="175"/>
    </row>
    <row r="219" spans="1:15" s="176" customFormat="1" ht="13.5">
      <c r="A219" s="106"/>
      <c r="B219" s="107" t="s">
        <v>20</v>
      </c>
      <c r="C219" s="177"/>
      <c r="D219" s="108" t="s">
        <v>0</v>
      </c>
      <c r="E219" s="69">
        <v>0.49</v>
      </c>
      <c r="F219" s="108">
        <f>F214*E219</f>
        <v>0.98</v>
      </c>
      <c r="G219" s="108"/>
      <c r="H219" s="109"/>
      <c r="I219" s="112"/>
      <c r="J219" s="109"/>
      <c r="K219" s="112"/>
      <c r="L219" s="109"/>
      <c r="M219" s="109"/>
      <c r="N219" s="174"/>
      <c r="O219" s="175"/>
    </row>
    <row r="220" spans="1:15" s="172" customFormat="1" ht="27">
      <c r="A220" s="165">
        <v>26</v>
      </c>
      <c r="B220" s="166" t="s">
        <v>351</v>
      </c>
      <c r="C220" s="145" t="s">
        <v>347</v>
      </c>
      <c r="D220" s="165" t="s">
        <v>26</v>
      </c>
      <c r="E220" s="165"/>
      <c r="F220" s="167">
        <v>2</v>
      </c>
      <c r="G220" s="168"/>
      <c r="H220" s="169"/>
      <c r="I220" s="170"/>
      <c r="J220" s="169"/>
      <c r="K220" s="170"/>
      <c r="L220" s="169"/>
      <c r="M220" s="169"/>
      <c r="N220" s="140"/>
      <c r="O220" s="171"/>
    </row>
    <row r="221" spans="1:15" s="176" customFormat="1" ht="13.5">
      <c r="A221" s="106"/>
      <c r="B221" s="107" t="s">
        <v>62</v>
      </c>
      <c r="C221" s="173"/>
      <c r="D221" s="108" t="s">
        <v>15</v>
      </c>
      <c r="E221" s="69">
        <v>1.67</v>
      </c>
      <c r="F221" s="109">
        <f>F220*E221</f>
        <v>3.34</v>
      </c>
      <c r="G221" s="110"/>
      <c r="H221" s="111"/>
      <c r="I221" s="112"/>
      <c r="J221" s="109"/>
      <c r="K221" s="112"/>
      <c r="L221" s="109"/>
      <c r="M221" s="109"/>
      <c r="N221" s="174"/>
      <c r="O221" s="175"/>
    </row>
    <row r="222" spans="1:15" s="180" customFormat="1" ht="13.5">
      <c r="A222" s="106"/>
      <c r="B222" s="107" t="s">
        <v>31</v>
      </c>
      <c r="C222" s="177"/>
      <c r="D222" s="108" t="s">
        <v>0</v>
      </c>
      <c r="E222" s="69">
        <v>0.05</v>
      </c>
      <c r="F222" s="109">
        <f>F220*E222</f>
        <v>0.1</v>
      </c>
      <c r="G222" s="108"/>
      <c r="H222" s="109"/>
      <c r="I222" s="112"/>
      <c r="J222" s="109"/>
      <c r="K222" s="112"/>
      <c r="L222" s="109"/>
      <c r="M222" s="109"/>
      <c r="N222" s="178"/>
      <c r="O222" s="179"/>
    </row>
    <row r="223" spans="1:15" s="176" customFormat="1" ht="13.5">
      <c r="A223" s="106"/>
      <c r="B223" s="69" t="s">
        <v>16</v>
      </c>
      <c r="C223" s="177"/>
      <c r="D223" s="108"/>
      <c r="E223" s="69"/>
      <c r="F223" s="108"/>
      <c r="G223" s="108"/>
      <c r="H223" s="109"/>
      <c r="I223" s="112"/>
      <c r="J223" s="109"/>
      <c r="K223" s="112"/>
      <c r="L223" s="109"/>
      <c r="M223" s="109"/>
      <c r="N223" s="174"/>
      <c r="O223" s="175"/>
    </row>
    <row r="224" spans="1:15" s="176" customFormat="1" ht="13.5">
      <c r="A224" s="106"/>
      <c r="B224" s="107" t="s">
        <v>79</v>
      </c>
      <c r="C224" s="177"/>
      <c r="D224" s="108" t="s">
        <v>26</v>
      </c>
      <c r="E224" s="69">
        <v>1</v>
      </c>
      <c r="F224" s="108">
        <f>F220*E224</f>
        <v>2</v>
      </c>
      <c r="G224" s="108"/>
      <c r="H224" s="109"/>
      <c r="I224" s="112"/>
      <c r="J224" s="109"/>
      <c r="K224" s="112"/>
      <c r="L224" s="109"/>
      <c r="M224" s="109"/>
      <c r="N224" s="174"/>
      <c r="O224" s="175"/>
    </row>
    <row r="225" spans="1:15" s="176" customFormat="1" ht="13.5">
      <c r="A225" s="106"/>
      <c r="B225" s="107" t="s">
        <v>20</v>
      </c>
      <c r="C225" s="177"/>
      <c r="D225" s="108" t="s">
        <v>0</v>
      </c>
      <c r="E225" s="69">
        <v>0.88</v>
      </c>
      <c r="F225" s="108">
        <f>F220*E225</f>
        <v>1.76</v>
      </c>
      <c r="G225" s="108"/>
      <c r="H225" s="109"/>
      <c r="I225" s="112"/>
      <c r="J225" s="109"/>
      <c r="K225" s="112"/>
      <c r="L225" s="109"/>
      <c r="M225" s="109"/>
      <c r="N225" s="174"/>
      <c r="O225" s="175"/>
    </row>
    <row r="226" spans="1:15" s="172" customFormat="1" ht="27">
      <c r="A226" s="165">
        <v>27</v>
      </c>
      <c r="B226" s="166" t="s">
        <v>346</v>
      </c>
      <c r="C226" s="145" t="s">
        <v>347</v>
      </c>
      <c r="D226" s="165" t="s">
        <v>26</v>
      </c>
      <c r="E226" s="165"/>
      <c r="F226" s="167">
        <v>3</v>
      </c>
      <c r="G226" s="168"/>
      <c r="H226" s="169"/>
      <c r="I226" s="170"/>
      <c r="J226" s="169"/>
      <c r="K226" s="170"/>
      <c r="L226" s="169"/>
      <c r="M226" s="169"/>
      <c r="N226" s="140"/>
      <c r="O226" s="171"/>
    </row>
    <row r="227" spans="1:15" s="176" customFormat="1" ht="13.5">
      <c r="A227" s="106"/>
      <c r="B227" s="107" t="s">
        <v>62</v>
      </c>
      <c r="C227" s="173"/>
      <c r="D227" s="108" t="s">
        <v>15</v>
      </c>
      <c r="E227" s="69">
        <v>1.67</v>
      </c>
      <c r="F227" s="109">
        <f>F226*E227</f>
        <v>5.01</v>
      </c>
      <c r="G227" s="110"/>
      <c r="H227" s="111"/>
      <c r="I227" s="112"/>
      <c r="J227" s="109"/>
      <c r="K227" s="112"/>
      <c r="L227" s="109"/>
      <c r="M227" s="109"/>
      <c r="N227" s="174"/>
      <c r="O227" s="175"/>
    </row>
    <row r="228" spans="1:15" s="180" customFormat="1" ht="13.5">
      <c r="A228" s="106"/>
      <c r="B228" s="107" t="s">
        <v>31</v>
      </c>
      <c r="C228" s="177"/>
      <c r="D228" s="108" t="s">
        <v>0</v>
      </c>
      <c r="E228" s="69">
        <v>0.05</v>
      </c>
      <c r="F228" s="109">
        <f>F226*E228</f>
        <v>0.15000000000000002</v>
      </c>
      <c r="G228" s="108"/>
      <c r="H228" s="109"/>
      <c r="I228" s="112"/>
      <c r="J228" s="109"/>
      <c r="K228" s="112"/>
      <c r="L228" s="109"/>
      <c r="M228" s="109"/>
      <c r="N228" s="178"/>
      <c r="O228" s="179"/>
    </row>
    <row r="229" spans="1:15" s="176" customFormat="1" ht="13.5">
      <c r="A229" s="106"/>
      <c r="B229" s="69" t="s">
        <v>16</v>
      </c>
      <c r="C229" s="177"/>
      <c r="D229" s="108"/>
      <c r="E229" s="69"/>
      <c r="F229" s="108"/>
      <c r="G229" s="108"/>
      <c r="H229" s="109"/>
      <c r="I229" s="112"/>
      <c r="J229" s="109"/>
      <c r="K229" s="112"/>
      <c r="L229" s="109"/>
      <c r="M229" s="109"/>
      <c r="N229" s="174"/>
      <c r="O229" s="175"/>
    </row>
    <row r="230" spans="1:15" s="176" customFormat="1" ht="13.5">
      <c r="A230" s="106"/>
      <c r="B230" s="107" t="s">
        <v>79</v>
      </c>
      <c r="C230" s="177"/>
      <c r="D230" s="108" t="s">
        <v>26</v>
      </c>
      <c r="E230" s="69">
        <v>1</v>
      </c>
      <c r="F230" s="108">
        <f>F226*E230</f>
        <v>3</v>
      </c>
      <c r="G230" s="108"/>
      <c r="H230" s="109"/>
      <c r="I230" s="112"/>
      <c r="J230" s="109"/>
      <c r="K230" s="112"/>
      <c r="L230" s="109"/>
      <c r="M230" s="109"/>
      <c r="N230" s="174"/>
      <c r="O230" s="175"/>
    </row>
    <row r="231" spans="1:15" s="176" customFormat="1" ht="13.5">
      <c r="A231" s="106"/>
      <c r="B231" s="107" t="s">
        <v>20</v>
      </c>
      <c r="C231" s="177"/>
      <c r="D231" s="108" t="s">
        <v>0</v>
      </c>
      <c r="E231" s="69">
        <v>0.88</v>
      </c>
      <c r="F231" s="108">
        <f>F226*E231</f>
        <v>2.64</v>
      </c>
      <c r="G231" s="108"/>
      <c r="H231" s="109"/>
      <c r="I231" s="112"/>
      <c r="J231" s="109"/>
      <c r="K231" s="112"/>
      <c r="L231" s="109"/>
      <c r="M231" s="109"/>
      <c r="N231" s="174"/>
      <c r="O231" s="175"/>
    </row>
    <row r="232" spans="1:15" s="172" customFormat="1" ht="27">
      <c r="A232" s="165">
        <v>28</v>
      </c>
      <c r="B232" s="166" t="s">
        <v>348</v>
      </c>
      <c r="C232" s="145" t="s">
        <v>313</v>
      </c>
      <c r="D232" s="165" t="s">
        <v>26</v>
      </c>
      <c r="E232" s="165"/>
      <c r="F232" s="167">
        <v>1</v>
      </c>
      <c r="G232" s="168"/>
      <c r="H232" s="169"/>
      <c r="I232" s="170"/>
      <c r="J232" s="169"/>
      <c r="K232" s="170"/>
      <c r="L232" s="169"/>
      <c r="M232" s="169"/>
      <c r="N232" s="140"/>
      <c r="O232" s="171"/>
    </row>
    <row r="233" spans="1:15" s="176" customFormat="1" ht="13.5">
      <c r="A233" s="106"/>
      <c r="B233" s="107" t="s">
        <v>62</v>
      </c>
      <c r="C233" s="173"/>
      <c r="D233" s="108" t="s">
        <v>15</v>
      </c>
      <c r="E233" s="69">
        <v>2.29</v>
      </c>
      <c r="F233" s="109">
        <f>F232*E233</f>
        <v>2.29</v>
      </c>
      <c r="G233" s="110"/>
      <c r="H233" s="111"/>
      <c r="I233" s="112"/>
      <c r="J233" s="109"/>
      <c r="K233" s="112"/>
      <c r="L233" s="109"/>
      <c r="M233" s="109"/>
      <c r="N233" s="174"/>
      <c r="O233" s="175"/>
    </row>
    <row r="234" spans="1:15" s="180" customFormat="1" ht="13.5">
      <c r="A234" s="106"/>
      <c r="B234" s="107" t="s">
        <v>31</v>
      </c>
      <c r="C234" s="177"/>
      <c r="D234" s="108" t="s">
        <v>0</v>
      </c>
      <c r="E234" s="69">
        <v>0.09</v>
      </c>
      <c r="F234" s="109">
        <f>F232*E234</f>
        <v>0.09</v>
      </c>
      <c r="G234" s="108"/>
      <c r="H234" s="109"/>
      <c r="I234" s="112"/>
      <c r="J234" s="109"/>
      <c r="K234" s="112"/>
      <c r="L234" s="109"/>
      <c r="M234" s="109"/>
      <c r="N234" s="178"/>
      <c r="O234" s="179"/>
    </row>
    <row r="235" spans="1:15" s="176" customFormat="1" ht="13.5">
      <c r="A235" s="106"/>
      <c r="B235" s="69" t="s">
        <v>16</v>
      </c>
      <c r="C235" s="177"/>
      <c r="D235" s="108"/>
      <c r="E235" s="69"/>
      <c r="F235" s="108"/>
      <c r="G235" s="108"/>
      <c r="H235" s="109"/>
      <c r="I235" s="112"/>
      <c r="J235" s="109"/>
      <c r="K235" s="112"/>
      <c r="L235" s="109"/>
      <c r="M235" s="109"/>
      <c r="N235" s="174"/>
      <c r="O235" s="175"/>
    </row>
    <row r="236" spans="1:15" s="176" customFormat="1" ht="13.5">
      <c r="A236" s="106"/>
      <c r="B236" s="107" t="s">
        <v>204</v>
      </c>
      <c r="C236" s="177"/>
      <c r="D236" s="108" t="s">
        <v>26</v>
      </c>
      <c r="E236" s="69">
        <v>1</v>
      </c>
      <c r="F236" s="108">
        <f>F232*E236</f>
        <v>1</v>
      </c>
      <c r="G236" s="108"/>
      <c r="H236" s="109"/>
      <c r="I236" s="112"/>
      <c r="J236" s="109"/>
      <c r="K236" s="112"/>
      <c r="L236" s="109"/>
      <c r="M236" s="109"/>
      <c r="N236" s="174"/>
      <c r="O236" s="175"/>
    </row>
    <row r="237" spans="1:15" s="176" customFormat="1" ht="13.5">
      <c r="A237" s="106"/>
      <c r="B237" s="107" t="s">
        <v>20</v>
      </c>
      <c r="C237" s="177"/>
      <c r="D237" s="108" t="s">
        <v>0</v>
      </c>
      <c r="E237" s="69">
        <v>0.68</v>
      </c>
      <c r="F237" s="108">
        <f>F232*E237</f>
        <v>0.68</v>
      </c>
      <c r="G237" s="108"/>
      <c r="H237" s="109"/>
      <c r="I237" s="112"/>
      <c r="J237" s="109"/>
      <c r="K237" s="112"/>
      <c r="L237" s="109"/>
      <c r="M237" s="109"/>
      <c r="N237" s="174"/>
      <c r="O237" s="175"/>
    </row>
    <row r="238" spans="1:13" s="314" customFormat="1" ht="39.75" customHeight="1">
      <c r="A238" s="27">
        <v>29</v>
      </c>
      <c r="B238" s="326" t="s">
        <v>349</v>
      </c>
      <c r="C238" s="27" t="s">
        <v>312</v>
      </c>
      <c r="D238" s="27" t="s">
        <v>17</v>
      </c>
      <c r="E238" s="27"/>
      <c r="F238" s="27">
        <v>5</v>
      </c>
      <c r="G238" s="27"/>
      <c r="H238" s="27"/>
      <c r="I238" s="27"/>
      <c r="J238" s="27"/>
      <c r="K238" s="27"/>
      <c r="L238" s="27"/>
      <c r="M238" s="27"/>
    </row>
    <row r="239" spans="1:13" s="314" customFormat="1" ht="15.75">
      <c r="A239" s="325"/>
      <c r="B239" s="320" t="s">
        <v>14</v>
      </c>
      <c r="C239" s="324"/>
      <c r="D239" s="91" t="s">
        <v>15</v>
      </c>
      <c r="E239" s="91">
        <f>353/1000</f>
        <v>0.353</v>
      </c>
      <c r="F239" s="322">
        <f>F238*E239</f>
        <v>1.765</v>
      </c>
      <c r="G239" s="91"/>
      <c r="H239" s="322"/>
      <c r="I239" s="91"/>
      <c r="J239" s="322"/>
      <c r="K239" s="91"/>
      <c r="L239" s="322"/>
      <c r="M239" s="322"/>
    </row>
    <row r="240" spans="1:13" s="314" customFormat="1" ht="15.75">
      <c r="A240" s="325"/>
      <c r="B240" s="320" t="s">
        <v>25</v>
      </c>
      <c r="C240" s="324"/>
      <c r="D240" s="318" t="s">
        <v>0</v>
      </c>
      <c r="E240" s="91">
        <f>35.1/1000</f>
        <v>0.0351</v>
      </c>
      <c r="F240" s="323">
        <f>E240*F238</f>
        <v>0.1755</v>
      </c>
      <c r="G240" s="91"/>
      <c r="H240" s="322"/>
      <c r="I240" s="91"/>
      <c r="J240" s="322"/>
      <c r="K240" s="91"/>
      <c r="L240" s="322"/>
      <c r="M240" s="322"/>
    </row>
    <row r="241" spans="1:13" s="314" customFormat="1" ht="15.75">
      <c r="A241" s="51"/>
      <c r="B241" s="318" t="s">
        <v>16</v>
      </c>
      <c r="C241" s="319"/>
      <c r="D241" s="318"/>
      <c r="E241" s="318"/>
      <c r="F241" s="316"/>
      <c r="G241" s="318"/>
      <c r="H241" s="316"/>
      <c r="I241" s="91"/>
      <c r="J241" s="316"/>
      <c r="K241" s="317"/>
      <c r="L241" s="316"/>
      <c r="M241" s="316"/>
    </row>
    <row r="242" spans="1:13" s="314" customFormat="1" ht="15.75">
      <c r="A242" s="51"/>
      <c r="B242" s="321" t="s">
        <v>265</v>
      </c>
      <c r="C242" s="319"/>
      <c r="D242" s="318" t="s">
        <v>17</v>
      </c>
      <c r="E242" s="318">
        <f>998/1000</f>
        <v>0.998</v>
      </c>
      <c r="F242" s="316">
        <f>E242*F238</f>
        <v>4.99</v>
      </c>
      <c r="G242" s="102"/>
      <c r="H242" s="316"/>
      <c r="I242" s="91"/>
      <c r="J242" s="316"/>
      <c r="K242" s="317"/>
      <c r="L242" s="316"/>
      <c r="M242" s="316"/>
    </row>
    <row r="243" spans="1:13" s="314" customFormat="1" ht="15.75">
      <c r="A243" s="51"/>
      <c r="B243" s="320" t="s">
        <v>20</v>
      </c>
      <c r="C243" s="319"/>
      <c r="D243" s="318" t="s">
        <v>0</v>
      </c>
      <c r="E243" s="318">
        <f>59.3/1000</f>
        <v>0.0593</v>
      </c>
      <c r="F243" s="315">
        <f>E243*F238</f>
        <v>0.2965</v>
      </c>
      <c r="G243" s="69"/>
      <c r="H243" s="315"/>
      <c r="I243" s="91"/>
      <c r="J243" s="316"/>
      <c r="K243" s="317"/>
      <c r="L243" s="316"/>
      <c r="M243" s="315"/>
    </row>
    <row r="244" spans="1:13" s="314" customFormat="1" ht="39.75" customHeight="1">
      <c r="A244" s="27">
        <v>30</v>
      </c>
      <c r="B244" s="326" t="s">
        <v>353</v>
      </c>
      <c r="C244" s="27" t="s">
        <v>312</v>
      </c>
      <c r="D244" s="27" t="s">
        <v>17</v>
      </c>
      <c r="E244" s="27"/>
      <c r="F244" s="27">
        <v>2</v>
      </c>
      <c r="G244" s="27"/>
      <c r="H244" s="27"/>
      <c r="I244" s="27"/>
      <c r="J244" s="27"/>
      <c r="K244" s="27"/>
      <c r="L244" s="27"/>
      <c r="M244" s="27"/>
    </row>
    <row r="245" spans="1:13" s="314" customFormat="1" ht="15.75">
      <c r="A245" s="325"/>
      <c r="B245" s="320" t="s">
        <v>14</v>
      </c>
      <c r="C245" s="324"/>
      <c r="D245" s="91" t="s">
        <v>15</v>
      </c>
      <c r="E245" s="91">
        <f>353/1000</f>
        <v>0.353</v>
      </c>
      <c r="F245" s="322">
        <f>F244*E245</f>
        <v>0.706</v>
      </c>
      <c r="G245" s="91"/>
      <c r="H245" s="322"/>
      <c r="I245" s="91"/>
      <c r="J245" s="322"/>
      <c r="K245" s="91"/>
      <c r="L245" s="322"/>
      <c r="M245" s="322"/>
    </row>
    <row r="246" spans="1:13" s="314" customFormat="1" ht="15.75">
      <c r="A246" s="325"/>
      <c r="B246" s="320" t="s">
        <v>25</v>
      </c>
      <c r="C246" s="324"/>
      <c r="D246" s="318" t="s">
        <v>0</v>
      </c>
      <c r="E246" s="91">
        <f>35.1/1000</f>
        <v>0.0351</v>
      </c>
      <c r="F246" s="323">
        <f>E246*F244</f>
        <v>0.0702</v>
      </c>
      <c r="G246" s="91"/>
      <c r="H246" s="322"/>
      <c r="I246" s="91"/>
      <c r="J246" s="322"/>
      <c r="K246" s="91"/>
      <c r="L246" s="322"/>
      <c r="M246" s="322"/>
    </row>
    <row r="247" spans="1:13" s="314" customFormat="1" ht="15.75">
      <c r="A247" s="51"/>
      <c r="B247" s="318" t="s">
        <v>16</v>
      </c>
      <c r="C247" s="319"/>
      <c r="D247" s="318"/>
      <c r="E247" s="318"/>
      <c r="F247" s="316"/>
      <c r="G247" s="318"/>
      <c r="H247" s="316"/>
      <c r="I247" s="91"/>
      <c r="J247" s="316"/>
      <c r="K247" s="317"/>
      <c r="L247" s="316"/>
      <c r="M247" s="316"/>
    </row>
    <row r="248" spans="1:13" s="314" customFormat="1" ht="15.75">
      <c r="A248" s="51"/>
      <c r="B248" s="321" t="s">
        <v>265</v>
      </c>
      <c r="C248" s="319"/>
      <c r="D248" s="318" t="s">
        <v>17</v>
      </c>
      <c r="E248" s="318">
        <f>998/1000</f>
        <v>0.998</v>
      </c>
      <c r="F248" s="316">
        <f>E248*F244</f>
        <v>1.996</v>
      </c>
      <c r="G248" s="102"/>
      <c r="H248" s="316"/>
      <c r="I248" s="91"/>
      <c r="J248" s="316"/>
      <c r="K248" s="317"/>
      <c r="L248" s="316"/>
      <c r="M248" s="316"/>
    </row>
    <row r="249" spans="1:13" s="314" customFormat="1" ht="15.75">
      <c r="A249" s="51"/>
      <c r="B249" s="320" t="s">
        <v>20</v>
      </c>
      <c r="C249" s="319"/>
      <c r="D249" s="318" t="s">
        <v>0</v>
      </c>
      <c r="E249" s="318">
        <f>59.3/1000</f>
        <v>0.0593</v>
      </c>
      <c r="F249" s="315">
        <f>E249*F244</f>
        <v>0.1186</v>
      </c>
      <c r="G249" s="69"/>
      <c r="H249" s="315"/>
      <c r="I249" s="91"/>
      <c r="J249" s="316"/>
      <c r="K249" s="317"/>
      <c r="L249" s="316"/>
      <c r="M249" s="315"/>
    </row>
    <row r="250" spans="1:13" s="172" customFormat="1" ht="27">
      <c r="A250" s="369">
        <v>31</v>
      </c>
      <c r="B250" s="166" t="s">
        <v>350</v>
      </c>
      <c r="C250" s="145" t="s">
        <v>311</v>
      </c>
      <c r="D250" s="165" t="s">
        <v>26</v>
      </c>
      <c r="E250" s="165"/>
      <c r="F250" s="167">
        <v>1</v>
      </c>
      <c r="G250" s="168"/>
      <c r="H250" s="169"/>
      <c r="I250" s="170"/>
      <c r="J250" s="169"/>
      <c r="K250" s="170"/>
      <c r="L250" s="169"/>
      <c r="M250" s="169"/>
    </row>
    <row r="251" spans="1:13" s="176" customFormat="1" ht="13.5">
      <c r="A251" s="106"/>
      <c r="B251" s="107" t="s">
        <v>62</v>
      </c>
      <c r="C251" s="173"/>
      <c r="D251" s="108" t="s">
        <v>15</v>
      </c>
      <c r="E251" s="69">
        <v>2.29</v>
      </c>
      <c r="F251" s="109">
        <f>F250*E251</f>
        <v>2.29</v>
      </c>
      <c r="G251" s="110"/>
      <c r="H251" s="111"/>
      <c r="I251" s="112"/>
      <c r="J251" s="109"/>
      <c r="K251" s="112"/>
      <c r="L251" s="109"/>
      <c r="M251" s="109"/>
    </row>
    <row r="252" spans="1:13" s="180" customFormat="1" ht="13.5">
      <c r="A252" s="106"/>
      <c r="B252" s="107" t="s">
        <v>31</v>
      </c>
      <c r="C252" s="177"/>
      <c r="D252" s="108" t="s">
        <v>0</v>
      </c>
      <c r="E252" s="69">
        <v>0.09</v>
      </c>
      <c r="F252" s="109">
        <f>F250*E252</f>
        <v>0.09</v>
      </c>
      <c r="G252" s="108"/>
      <c r="H252" s="109"/>
      <c r="I252" s="112"/>
      <c r="J252" s="109"/>
      <c r="K252" s="112"/>
      <c r="L252" s="109"/>
      <c r="M252" s="109"/>
    </row>
    <row r="253" spans="1:13" s="176" customFormat="1" ht="13.5">
      <c r="A253" s="106"/>
      <c r="B253" s="69" t="s">
        <v>16</v>
      </c>
      <c r="C253" s="177"/>
      <c r="D253" s="108"/>
      <c r="E253" s="69"/>
      <c r="F253" s="108"/>
      <c r="G253" s="108"/>
      <c r="H253" s="109"/>
      <c r="I253" s="112"/>
      <c r="J253" s="109"/>
      <c r="K253" s="112"/>
      <c r="L253" s="109"/>
      <c r="M253" s="109"/>
    </row>
    <row r="254" spans="1:13" s="176" customFormat="1" ht="13.5">
      <c r="A254" s="106"/>
      <c r="B254" s="107" t="s">
        <v>205</v>
      </c>
      <c r="C254" s="177"/>
      <c r="D254" s="108" t="s">
        <v>26</v>
      </c>
      <c r="E254" s="69">
        <v>1</v>
      </c>
      <c r="F254" s="108">
        <f>F250*E254</f>
        <v>1</v>
      </c>
      <c r="G254" s="108"/>
      <c r="H254" s="109"/>
      <c r="I254" s="112"/>
      <c r="J254" s="109"/>
      <c r="K254" s="112"/>
      <c r="L254" s="109"/>
      <c r="M254" s="109"/>
    </row>
    <row r="255" spans="1:13" s="176" customFormat="1" ht="13.5">
      <c r="A255" s="106"/>
      <c r="B255" s="107" t="s">
        <v>20</v>
      </c>
      <c r="C255" s="177"/>
      <c r="D255" s="108" t="s">
        <v>0</v>
      </c>
      <c r="E255" s="69">
        <v>0.68</v>
      </c>
      <c r="F255" s="108">
        <f>F250*E255</f>
        <v>0.68</v>
      </c>
      <c r="G255" s="108"/>
      <c r="H255" s="109"/>
      <c r="I255" s="112"/>
      <c r="J255" s="109"/>
      <c r="K255" s="112"/>
      <c r="L255" s="109"/>
      <c r="M255" s="109"/>
    </row>
    <row r="256" spans="1:13" ht="13.5">
      <c r="A256" s="576" t="s">
        <v>10</v>
      </c>
      <c r="B256" s="577"/>
      <c r="C256" s="577"/>
      <c r="D256" s="577"/>
      <c r="E256" s="577"/>
      <c r="F256" s="577"/>
      <c r="G256" s="578"/>
      <c r="H256" s="303"/>
      <c r="I256" s="447"/>
      <c r="J256" s="303"/>
      <c r="K256" s="447"/>
      <c r="L256" s="447"/>
      <c r="M256" s="303"/>
    </row>
    <row r="257" spans="1:13" ht="13.5">
      <c r="A257" s="573" t="s">
        <v>18</v>
      </c>
      <c r="B257" s="574"/>
      <c r="C257" s="574"/>
      <c r="D257" s="574"/>
      <c r="E257" s="574"/>
      <c r="F257" s="574"/>
      <c r="G257" s="574"/>
      <c r="H257" s="574"/>
      <c r="I257" s="574"/>
      <c r="J257" s="574"/>
      <c r="K257" s="575"/>
      <c r="L257" s="14" t="s">
        <v>476</v>
      </c>
      <c r="M257" s="291"/>
    </row>
    <row r="258" spans="1:13" ht="13.5">
      <c r="A258" s="576" t="s">
        <v>10</v>
      </c>
      <c r="B258" s="577"/>
      <c r="C258" s="577"/>
      <c r="D258" s="577"/>
      <c r="E258" s="577"/>
      <c r="F258" s="577"/>
      <c r="G258" s="577"/>
      <c r="H258" s="577"/>
      <c r="I258" s="577"/>
      <c r="J258" s="577"/>
      <c r="K258" s="577"/>
      <c r="L258" s="578"/>
      <c r="M258" s="302"/>
    </row>
    <row r="259" spans="1:13" ht="13.5" customHeight="1">
      <c r="A259" s="576" t="s">
        <v>310</v>
      </c>
      <c r="B259" s="577"/>
      <c r="C259" s="577"/>
      <c r="D259" s="577"/>
      <c r="E259" s="577"/>
      <c r="F259" s="577"/>
      <c r="G259" s="577"/>
      <c r="H259" s="577"/>
      <c r="I259" s="577"/>
      <c r="J259" s="577"/>
      <c r="K259" s="577"/>
      <c r="L259" s="578"/>
      <c r="M259" s="102"/>
    </row>
    <row r="260" spans="1:13" ht="13.5">
      <c r="A260" s="573" t="s">
        <v>309</v>
      </c>
      <c r="B260" s="574"/>
      <c r="C260" s="574"/>
      <c r="D260" s="574"/>
      <c r="E260" s="574"/>
      <c r="F260" s="574"/>
      <c r="G260" s="574"/>
      <c r="H260" s="574"/>
      <c r="I260" s="574"/>
      <c r="J260" s="574"/>
      <c r="K260" s="574"/>
      <c r="L260" s="575"/>
      <c r="M260" s="368"/>
    </row>
    <row r="261" spans="1:13" ht="19.5" customHeight="1">
      <c r="A261" s="18"/>
      <c r="B261" s="573" t="s">
        <v>308</v>
      </c>
      <c r="C261" s="574"/>
      <c r="D261" s="574"/>
      <c r="E261" s="574"/>
      <c r="F261" s="574"/>
      <c r="G261" s="574"/>
      <c r="H261" s="574"/>
      <c r="I261" s="574"/>
      <c r="J261" s="574"/>
      <c r="K261" s="575"/>
      <c r="L261" s="14" t="s">
        <v>476</v>
      </c>
      <c r="M261" s="291"/>
    </row>
    <row r="262" spans="1:13" ht="13.5">
      <c r="A262" s="573" t="s">
        <v>151</v>
      </c>
      <c r="B262" s="574"/>
      <c r="C262" s="574"/>
      <c r="D262" s="574"/>
      <c r="E262" s="574"/>
      <c r="F262" s="574"/>
      <c r="G262" s="574"/>
      <c r="H262" s="574"/>
      <c r="I262" s="574"/>
      <c r="J262" s="574"/>
      <c r="K262" s="575"/>
      <c r="L262" s="14" t="s">
        <v>476</v>
      </c>
      <c r="M262" s="291"/>
    </row>
    <row r="263" spans="1:13" ht="13.5">
      <c r="A263" s="576" t="s">
        <v>10</v>
      </c>
      <c r="B263" s="577"/>
      <c r="C263" s="577"/>
      <c r="D263" s="577"/>
      <c r="E263" s="577"/>
      <c r="F263" s="577"/>
      <c r="G263" s="577"/>
      <c r="H263" s="577"/>
      <c r="I263" s="577"/>
      <c r="J263" s="577"/>
      <c r="K263" s="577"/>
      <c r="L263" s="578"/>
      <c r="M263" s="302"/>
    </row>
    <row r="264" spans="1:13" ht="13.5">
      <c r="A264" s="448"/>
      <c r="B264" s="573" t="s">
        <v>484</v>
      </c>
      <c r="C264" s="574"/>
      <c r="D264" s="574"/>
      <c r="E264" s="574"/>
      <c r="F264" s="574"/>
      <c r="G264" s="574"/>
      <c r="H264" s="574"/>
      <c r="I264" s="574"/>
      <c r="J264" s="574"/>
      <c r="K264" s="575"/>
      <c r="L264" s="14" t="s">
        <v>476</v>
      </c>
      <c r="M264" s="291"/>
    </row>
    <row r="265" spans="1:13" ht="13.5">
      <c r="A265" s="448"/>
      <c r="B265" s="573" t="s">
        <v>21</v>
      </c>
      <c r="C265" s="574"/>
      <c r="D265" s="574"/>
      <c r="E265" s="574"/>
      <c r="F265" s="574"/>
      <c r="G265" s="574"/>
      <c r="H265" s="574"/>
      <c r="I265" s="574"/>
      <c r="J265" s="574"/>
      <c r="K265" s="575"/>
      <c r="L265" s="14" t="s">
        <v>476</v>
      </c>
      <c r="M265" s="291"/>
    </row>
    <row r="266" spans="1:13" ht="13.5">
      <c r="A266" s="576" t="s">
        <v>36</v>
      </c>
      <c r="B266" s="577"/>
      <c r="C266" s="577"/>
      <c r="D266" s="577"/>
      <c r="E266" s="577"/>
      <c r="F266" s="577"/>
      <c r="G266" s="577"/>
      <c r="H266" s="577"/>
      <c r="I266" s="577"/>
      <c r="J266" s="577"/>
      <c r="K266" s="577"/>
      <c r="L266" s="578"/>
      <c r="M266" s="302"/>
    </row>
    <row r="267" spans="1:13" ht="13.5">
      <c r="A267" s="459"/>
      <c r="B267" s="459"/>
      <c r="C267" s="460"/>
      <c r="D267" s="459"/>
      <c r="E267" s="459"/>
      <c r="F267" s="459"/>
      <c r="G267" s="459"/>
      <c r="H267" s="459"/>
      <c r="I267" s="459"/>
      <c r="J267" s="459"/>
      <c r="K267" s="459"/>
      <c r="L267" s="459"/>
      <c r="M267" s="459"/>
    </row>
    <row r="268" spans="1:13" ht="13.5">
      <c r="A268" s="459"/>
      <c r="B268" s="459"/>
      <c r="C268" s="460"/>
      <c r="D268" s="459"/>
      <c r="E268" s="459"/>
      <c r="F268" s="459"/>
      <c r="G268" s="459"/>
      <c r="H268" s="459"/>
      <c r="I268" s="459"/>
      <c r="J268" s="459"/>
      <c r="K268" s="459"/>
      <c r="L268" s="459"/>
      <c r="M268" s="459"/>
    </row>
    <row r="269" spans="1:13" ht="13.5">
      <c r="A269" s="459"/>
      <c r="B269" s="459"/>
      <c r="C269" s="460"/>
      <c r="D269" s="459"/>
      <c r="E269" s="459"/>
      <c r="F269" s="459"/>
      <c r="G269" s="459"/>
      <c r="H269" s="459"/>
      <c r="I269" s="459"/>
      <c r="J269" s="459"/>
      <c r="K269" s="459"/>
      <c r="L269" s="459"/>
      <c r="M269" s="459"/>
    </row>
    <row r="270" spans="1:13" ht="13.5">
      <c r="A270" s="459"/>
      <c r="B270" s="459"/>
      <c r="C270" s="460"/>
      <c r="D270" s="459"/>
      <c r="E270" s="459"/>
      <c r="F270" s="459"/>
      <c r="G270" s="459"/>
      <c r="H270" s="459"/>
      <c r="I270" s="459"/>
      <c r="J270" s="459"/>
      <c r="K270" s="459"/>
      <c r="L270" s="459"/>
      <c r="M270" s="459"/>
    </row>
    <row r="271" spans="1:13" ht="13.5">
      <c r="A271" s="459"/>
      <c r="B271" s="459"/>
      <c r="C271" s="460"/>
      <c r="D271" s="459"/>
      <c r="E271" s="459"/>
      <c r="F271" s="459"/>
      <c r="G271" s="459"/>
      <c r="H271" s="459"/>
      <c r="I271" s="459"/>
      <c r="J271" s="459"/>
      <c r="K271" s="459"/>
      <c r="L271" s="459"/>
      <c r="M271" s="459"/>
    </row>
    <row r="272" spans="1:13" ht="13.5">
      <c r="A272" s="459"/>
      <c r="B272" s="459"/>
      <c r="C272" s="460"/>
      <c r="D272" s="459"/>
      <c r="E272" s="459"/>
      <c r="F272" s="459"/>
      <c r="G272" s="459"/>
      <c r="H272" s="459"/>
      <c r="I272" s="459"/>
      <c r="J272" s="459"/>
      <c r="K272" s="459"/>
      <c r="L272" s="459"/>
      <c r="M272" s="459"/>
    </row>
    <row r="273" spans="1:13" ht="13.5">
      <c r="A273" s="459"/>
      <c r="B273" s="459"/>
      <c r="C273" s="460"/>
      <c r="D273" s="459"/>
      <c r="E273" s="459"/>
      <c r="F273" s="459"/>
      <c r="G273" s="459"/>
      <c r="H273" s="459"/>
      <c r="I273" s="459"/>
      <c r="J273" s="459"/>
      <c r="K273" s="459"/>
      <c r="L273" s="459"/>
      <c r="M273" s="459"/>
    </row>
    <row r="274" spans="1:13" ht="13.5">
      <c r="A274" s="459"/>
      <c r="B274" s="459"/>
      <c r="C274" s="460"/>
      <c r="D274" s="459"/>
      <c r="E274" s="459"/>
      <c r="F274" s="459"/>
      <c r="G274" s="459"/>
      <c r="H274" s="459"/>
      <c r="I274" s="459"/>
      <c r="J274" s="459"/>
      <c r="K274" s="459"/>
      <c r="L274" s="459"/>
      <c r="M274" s="459"/>
    </row>
    <row r="275" spans="1:13" ht="13.5">
      <c r="A275" s="459"/>
      <c r="B275" s="459"/>
      <c r="C275" s="460"/>
      <c r="D275" s="459"/>
      <c r="E275" s="459"/>
      <c r="F275" s="459"/>
      <c r="G275" s="459"/>
      <c r="H275" s="459"/>
      <c r="I275" s="459"/>
      <c r="J275" s="459"/>
      <c r="K275" s="459"/>
      <c r="L275" s="459"/>
      <c r="M275" s="459"/>
    </row>
    <row r="276" spans="1:13" ht="13.5">
      <c r="A276" s="459"/>
      <c r="B276" s="459"/>
      <c r="C276" s="460"/>
      <c r="D276" s="459"/>
      <c r="E276" s="459"/>
      <c r="F276" s="459"/>
      <c r="G276" s="459"/>
      <c r="H276" s="459"/>
      <c r="I276" s="459"/>
      <c r="J276" s="459"/>
      <c r="K276" s="459"/>
      <c r="L276" s="459"/>
      <c r="M276" s="459"/>
    </row>
    <row r="277" spans="1:13" ht="13.5">
      <c r="A277" s="459"/>
      <c r="B277" s="459"/>
      <c r="C277" s="460"/>
      <c r="D277" s="459"/>
      <c r="E277" s="459"/>
      <c r="F277" s="459"/>
      <c r="G277" s="459"/>
      <c r="H277" s="459"/>
      <c r="I277" s="459"/>
      <c r="J277" s="459"/>
      <c r="K277" s="459"/>
      <c r="L277" s="459"/>
      <c r="M277" s="459"/>
    </row>
    <row r="278" spans="1:13" ht="13.5">
      <c r="A278" s="459"/>
      <c r="B278" s="459"/>
      <c r="C278" s="460"/>
      <c r="D278" s="459"/>
      <c r="E278" s="459"/>
      <c r="F278" s="459"/>
      <c r="G278" s="459"/>
      <c r="H278" s="459"/>
      <c r="I278" s="459"/>
      <c r="J278" s="459"/>
      <c r="K278" s="459"/>
      <c r="L278" s="459"/>
      <c r="M278" s="459"/>
    </row>
    <row r="279" spans="1:13" ht="13.5">
      <c r="A279" s="459"/>
      <c r="B279" s="459"/>
      <c r="C279" s="460"/>
      <c r="D279" s="459"/>
      <c r="E279" s="459"/>
      <c r="F279" s="459"/>
      <c r="G279" s="459"/>
      <c r="H279" s="459"/>
      <c r="I279" s="459"/>
      <c r="J279" s="459"/>
      <c r="K279" s="459"/>
      <c r="L279" s="459"/>
      <c r="M279" s="459"/>
    </row>
    <row r="280" spans="1:13" ht="13.5">
      <c r="A280" s="459"/>
      <c r="B280" s="459"/>
      <c r="C280" s="460"/>
      <c r="D280" s="459"/>
      <c r="E280" s="459"/>
      <c r="F280" s="459"/>
      <c r="G280" s="459"/>
      <c r="H280" s="459"/>
      <c r="I280" s="459"/>
      <c r="J280" s="459"/>
      <c r="K280" s="459"/>
      <c r="L280" s="459"/>
      <c r="M280" s="459"/>
    </row>
    <row r="281" spans="1:13" ht="13.5">
      <c r="A281" s="459"/>
      <c r="B281" s="459"/>
      <c r="C281" s="460"/>
      <c r="D281" s="459"/>
      <c r="E281" s="459"/>
      <c r="F281" s="459"/>
      <c r="G281" s="459"/>
      <c r="H281" s="459"/>
      <c r="I281" s="459"/>
      <c r="J281" s="459"/>
      <c r="K281" s="459"/>
      <c r="L281" s="459"/>
      <c r="M281" s="459"/>
    </row>
    <row r="282" spans="1:13" ht="13.5">
      <c r="A282" s="459"/>
      <c r="B282" s="459"/>
      <c r="C282" s="460"/>
      <c r="D282" s="459"/>
      <c r="E282" s="459"/>
      <c r="F282" s="459"/>
      <c r="G282" s="459"/>
      <c r="H282" s="459"/>
      <c r="I282" s="459"/>
      <c r="J282" s="459"/>
      <c r="K282" s="459"/>
      <c r="L282" s="459"/>
      <c r="M282" s="459"/>
    </row>
    <row r="283" spans="1:13" ht="13.5">
      <c r="A283" s="459"/>
      <c r="B283" s="459"/>
      <c r="C283" s="460"/>
      <c r="D283" s="459"/>
      <c r="E283" s="459"/>
      <c r="F283" s="459"/>
      <c r="G283" s="459"/>
      <c r="H283" s="459"/>
      <c r="I283" s="459"/>
      <c r="J283" s="459"/>
      <c r="K283" s="459"/>
      <c r="L283" s="459"/>
      <c r="M283" s="459"/>
    </row>
  </sheetData>
  <sheetProtection/>
  <autoFilter ref="A1:A266"/>
  <mergeCells count="27">
    <mergeCell ref="A66:F66"/>
    <mergeCell ref="I4:J4"/>
    <mergeCell ref="K4:L4"/>
    <mergeCell ref="A7:M7"/>
    <mergeCell ref="A4:A5"/>
    <mergeCell ref="B4:B5"/>
    <mergeCell ref="C4:C5"/>
    <mergeCell ref="D4:D5"/>
    <mergeCell ref="E4:E5"/>
    <mergeCell ref="B264:K264"/>
    <mergeCell ref="B265:K265"/>
    <mergeCell ref="A266:L266"/>
    <mergeCell ref="A256:G256"/>
    <mergeCell ref="A257:K257"/>
    <mergeCell ref="A258:L258"/>
    <mergeCell ref="A259:L259"/>
    <mergeCell ref="A260:L260"/>
    <mergeCell ref="J1:M1"/>
    <mergeCell ref="B2:M2"/>
    <mergeCell ref="A3:M3"/>
    <mergeCell ref="B261:K261"/>
    <mergeCell ref="A262:K262"/>
    <mergeCell ref="A263:L263"/>
    <mergeCell ref="F4:F5"/>
    <mergeCell ref="G4:H4"/>
    <mergeCell ref="A8:F8"/>
    <mergeCell ref="A25:F25"/>
  </mergeCells>
  <printOptions/>
  <pageMargins left="0.38" right="0.24" top="0.27" bottom="0.36" header="0.2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00"/>
  </sheetPr>
  <dimension ref="A1:X83"/>
  <sheetViews>
    <sheetView view="pageBreakPreview" zoomScale="110" zoomScaleNormal="85" zoomScaleSheetLayoutView="110" workbookViewId="0" topLeftCell="A1">
      <pane xSplit="1" ySplit="6" topLeftCell="B82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G9" sqref="G9:M52"/>
    </sheetView>
  </sheetViews>
  <sheetFormatPr defaultColWidth="9.140625" defaultRowHeight="12.75"/>
  <cols>
    <col min="1" max="1" width="3.28125" style="3" customWidth="1"/>
    <col min="2" max="2" width="42.28125" style="3" customWidth="1"/>
    <col min="3" max="3" width="8.57421875" style="4" customWidth="1"/>
    <col min="4" max="4" width="8.28125" style="3" customWidth="1"/>
    <col min="5" max="5" width="8.421875" style="3" customWidth="1"/>
    <col min="6" max="6" width="9.7109375" style="3" customWidth="1"/>
    <col min="7" max="7" width="8.7109375" style="3" customWidth="1"/>
    <col min="8" max="8" width="10.28125" style="3" customWidth="1"/>
    <col min="9" max="9" width="8.57421875" style="3" customWidth="1"/>
    <col min="10" max="10" width="10.421875" style="3" customWidth="1"/>
    <col min="11" max="11" width="7.7109375" style="3" customWidth="1"/>
    <col min="12" max="12" width="10.7109375" style="3" customWidth="1"/>
    <col min="13" max="13" width="12.28125" style="3" customWidth="1"/>
    <col min="14" max="16384" width="9.140625" style="5" customWidth="1"/>
  </cols>
  <sheetData>
    <row r="1" spans="1:13" s="21" customFormat="1" ht="17.25" customHeight="1">
      <c r="A1" s="439"/>
      <c r="B1" s="439"/>
      <c r="C1" s="440"/>
      <c r="D1" s="439"/>
      <c r="E1" s="439"/>
      <c r="F1" s="439"/>
      <c r="G1" s="439"/>
      <c r="H1" s="439"/>
      <c r="I1" s="439"/>
      <c r="J1" s="562" t="s">
        <v>487</v>
      </c>
      <c r="K1" s="562"/>
      <c r="L1" s="562"/>
      <c r="M1" s="562"/>
    </row>
    <row r="2" spans="1:13" s="21" customFormat="1" ht="19.5" customHeight="1">
      <c r="A2" s="20"/>
      <c r="B2" s="550" t="s">
        <v>478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3" s="21" customFormat="1" ht="16.5" thickBot="1">
      <c r="A3" s="572" t="s">
        <v>488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s="21" customFormat="1" ht="11.25">
      <c r="A4" s="570" t="s">
        <v>1</v>
      </c>
      <c r="B4" s="564" t="s">
        <v>3</v>
      </c>
      <c r="C4" s="564" t="s">
        <v>2</v>
      </c>
      <c r="D4" s="564" t="s">
        <v>4</v>
      </c>
      <c r="E4" s="564" t="s">
        <v>13</v>
      </c>
      <c r="F4" s="564" t="s">
        <v>5</v>
      </c>
      <c r="G4" s="569" t="s">
        <v>19</v>
      </c>
      <c r="H4" s="569"/>
      <c r="I4" s="569" t="s">
        <v>6</v>
      </c>
      <c r="J4" s="569"/>
      <c r="K4" s="564" t="s">
        <v>7</v>
      </c>
      <c r="L4" s="564"/>
      <c r="M4" s="428" t="s">
        <v>8</v>
      </c>
    </row>
    <row r="5" spans="1:13" s="21" customFormat="1" ht="12" thickBot="1">
      <c r="A5" s="594"/>
      <c r="B5" s="590"/>
      <c r="C5" s="590"/>
      <c r="D5" s="590"/>
      <c r="E5" s="590"/>
      <c r="F5" s="590"/>
      <c r="G5" s="432" t="s">
        <v>9</v>
      </c>
      <c r="H5" s="466" t="s">
        <v>10</v>
      </c>
      <c r="I5" s="432" t="s">
        <v>9</v>
      </c>
      <c r="J5" s="466" t="s">
        <v>10</v>
      </c>
      <c r="K5" s="432" t="s">
        <v>9</v>
      </c>
      <c r="L5" s="466" t="s">
        <v>11</v>
      </c>
      <c r="M5" s="434" t="s">
        <v>12</v>
      </c>
    </row>
    <row r="6" spans="1:13" s="21" customFormat="1" ht="12" thickBot="1">
      <c r="A6" s="467">
        <v>1</v>
      </c>
      <c r="B6" s="468">
        <v>2</v>
      </c>
      <c r="C6" s="468">
        <v>3</v>
      </c>
      <c r="D6" s="468">
        <v>4</v>
      </c>
      <c r="E6" s="468">
        <v>5</v>
      </c>
      <c r="F6" s="468">
        <v>6</v>
      </c>
      <c r="G6" s="469">
        <v>7</v>
      </c>
      <c r="H6" s="470">
        <v>8</v>
      </c>
      <c r="I6" s="469">
        <v>9</v>
      </c>
      <c r="J6" s="470">
        <v>10</v>
      </c>
      <c r="K6" s="469">
        <v>11</v>
      </c>
      <c r="L6" s="470">
        <v>12</v>
      </c>
      <c r="M6" s="471">
        <v>13</v>
      </c>
    </row>
    <row r="7" spans="1:13" s="2" customFormat="1" ht="21" customHeight="1">
      <c r="A7" s="591" t="s">
        <v>175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3"/>
    </row>
    <row r="8" spans="1:13" s="37" customFormat="1" ht="15.75">
      <c r="A8" s="566" t="s">
        <v>361</v>
      </c>
      <c r="B8" s="567"/>
      <c r="C8" s="567"/>
      <c r="D8" s="567"/>
      <c r="E8" s="567"/>
      <c r="F8" s="568"/>
      <c r="G8" s="441"/>
      <c r="H8" s="442"/>
      <c r="I8" s="441"/>
      <c r="J8" s="442"/>
      <c r="K8" s="441"/>
      <c r="L8" s="442"/>
      <c r="M8" s="441"/>
    </row>
    <row r="9" spans="1:15" s="241" customFormat="1" ht="40.5">
      <c r="A9" s="234">
        <v>1</v>
      </c>
      <c r="B9" s="144" t="s">
        <v>238</v>
      </c>
      <c r="C9" s="298" t="s">
        <v>125</v>
      </c>
      <c r="D9" s="234" t="s">
        <v>49</v>
      </c>
      <c r="E9" s="234"/>
      <c r="F9" s="236">
        <f>18/100</f>
        <v>0.18</v>
      </c>
      <c r="G9" s="130"/>
      <c r="H9" s="237"/>
      <c r="I9" s="129"/>
      <c r="J9" s="237"/>
      <c r="K9" s="238"/>
      <c r="L9" s="239"/>
      <c r="M9" s="152"/>
      <c r="N9" s="240"/>
      <c r="O9" s="123"/>
    </row>
    <row r="10" spans="1:13" s="66" customFormat="1" ht="13.5">
      <c r="A10" s="7"/>
      <c r="B10" s="9" t="s">
        <v>14</v>
      </c>
      <c r="C10" s="121"/>
      <c r="D10" s="11" t="s">
        <v>15</v>
      </c>
      <c r="E10" s="11">
        <v>21.6</v>
      </c>
      <c r="F10" s="12">
        <f>E10*F9</f>
        <v>3.888</v>
      </c>
      <c r="G10" s="11"/>
      <c r="H10" s="12"/>
      <c r="I10" s="11"/>
      <c r="J10" s="12"/>
      <c r="K10" s="11"/>
      <c r="L10" s="12"/>
      <c r="M10" s="12"/>
    </row>
    <row r="11" spans="1:13" s="24" customFormat="1" ht="13.5">
      <c r="A11" s="7"/>
      <c r="B11" s="9" t="s">
        <v>126</v>
      </c>
      <c r="C11" s="121"/>
      <c r="D11" s="8" t="s">
        <v>32</v>
      </c>
      <c r="E11" s="11">
        <v>1.24</v>
      </c>
      <c r="F11" s="125">
        <f>E11*F9</f>
        <v>0.22319999999999998</v>
      </c>
      <c r="G11" s="11"/>
      <c r="H11" s="12"/>
      <c r="I11" s="11"/>
      <c r="J11" s="12"/>
      <c r="K11" s="11"/>
      <c r="L11" s="12"/>
      <c r="M11" s="12"/>
    </row>
    <row r="12" spans="1:24" s="23" customFormat="1" ht="13.5">
      <c r="A12" s="121"/>
      <c r="B12" s="16" t="s">
        <v>127</v>
      </c>
      <c r="C12" s="121"/>
      <c r="D12" s="8" t="s">
        <v>32</v>
      </c>
      <c r="E12" s="11">
        <v>2.58</v>
      </c>
      <c r="F12" s="122">
        <f>E12*F9</f>
        <v>0.4644</v>
      </c>
      <c r="G12" s="8"/>
      <c r="H12" s="8"/>
      <c r="I12" s="8"/>
      <c r="J12" s="8"/>
      <c r="K12" s="8"/>
      <c r="L12" s="14"/>
      <c r="M12" s="14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3" s="24" customFormat="1" ht="13.5">
      <c r="A13" s="7"/>
      <c r="B13" s="9" t="s">
        <v>128</v>
      </c>
      <c r="C13" s="121"/>
      <c r="D13" s="8" t="s">
        <v>32</v>
      </c>
      <c r="E13" s="11">
        <v>0.41</v>
      </c>
      <c r="F13" s="125">
        <f>E13*F9</f>
        <v>0.07379999999999999</v>
      </c>
      <c r="G13" s="11"/>
      <c r="H13" s="12"/>
      <c r="I13" s="11"/>
      <c r="J13" s="12"/>
      <c r="K13" s="11"/>
      <c r="L13" s="12"/>
      <c r="M13" s="12"/>
    </row>
    <row r="14" spans="1:13" s="24" customFormat="1" ht="13.5">
      <c r="A14" s="7"/>
      <c r="B14" s="9" t="s">
        <v>64</v>
      </c>
      <c r="C14" s="121"/>
      <c r="D14" s="8" t="s">
        <v>32</v>
      </c>
      <c r="E14" s="11">
        <v>7.6</v>
      </c>
      <c r="F14" s="125">
        <f>E14*F9</f>
        <v>1.3679999999999999</v>
      </c>
      <c r="G14" s="11"/>
      <c r="H14" s="12"/>
      <c r="I14" s="11"/>
      <c r="J14" s="12"/>
      <c r="K14" s="11"/>
      <c r="L14" s="12"/>
      <c r="M14" s="12"/>
    </row>
    <row r="15" spans="1:13" s="24" customFormat="1" ht="13.5">
      <c r="A15" s="7"/>
      <c r="B15" s="9" t="s">
        <v>65</v>
      </c>
      <c r="C15" s="121"/>
      <c r="D15" s="8" t="s">
        <v>32</v>
      </c>
      <c r="E15" s="11">
        <v>15.1</v>
      </c>
      <c r="F15" s="125">
        <f>E15*F9</f>
        <v>2.718</v>
      </c>
      <c r="G15" s="11"/>
      <c r="H15" s="12"/>
      <c r="I15" s="11"/>
      <c r="J15" s="12"/>
      <c r="K15" s="11"/>
      <c r="L15" s="12"/>
      <c r="M15" s="12"/>
    </row>
    <row r="16" spans="1:13" s="66" customFormat="1" ht="13.5">
      <c r="A16" s="7"/>
      <c r="B16" s="9" t="s">
        <v>129</v>
      </c>
      <c r="C16" s="121"/>
      <c r="D16" s="11" t="s">
        <v>32</v>
      </c>
      <c r="E16" s="11">
        <v>0.97</v>
      </c>
      <c r="F16" s="12">
        <f>F9*E16</f>
        <v>0.17459999999999998</v>
      </c>
      <c r="G16" s="11"/>
      <c r="H16" s="12"/>
      <c r="I16" s="242"/>
      <c r="J16" s="242"/>
      <c r="K16" s="11"/>
      <c r="L16" s="12"/>
      <c r="M16" s="12"/>
    </row>
    <row r="17" spans="1:13" s="66" customFormat="1" ht="13.5">
      <c r="A17" s="7"/>
      <c r="B17" s="8" t="s">
        <v>50</v>
      </c>
      <c r="C17" s="121"/>
      <c r="D17" s="11"/>
      <c r="E17" s="11" t="s">
        <v>130</v>
      </c>
      <c r="F17" s="12"/>
      <c r="G17" s="11"/>
      <c r="H17" s="12"/>
      <c r="I17" s="11"/>
      <c r="J17" s="12"/>
      <c r="K17" s="11"/>
      <c r="L17" s="12"/>
      <c r="M17" s="12"/>
    </row>
    <row r="18" spans="1:13" s="66" customFormat="1" ht="13.5">
      <c r="A18" s="7"/>
      <c r="B18" s="9" t="s">
        <v>59</v>
      </c>
      <c r="C18" s="121"/>
      <c r="D18" s="11" t="s">
        <v>23</v>
      </c>
      <c r="E18" s="11">
        <v>126</v>
      </c>
      <c r="F18" s="12">
        <f>F9*E18</f>
        <v>22.68</v>
      </c>
      <c r="G18" s="11"/>
      <c r="H18" s="12"/>
      <c r="I18" s="11"/>
      <c r="J18" s="12"/>
      <c r="K18" s="11"/>
      <c r="L18" s="12"/>
      <c r="M18" s="12"/>
    </row>
    <row r="19" spans="1:13" s="66" customFormat="1" ht="13.5">
      <c r="A19" s="7"/>
      <c r="B19" s="9" t="s">
        <v>37</v>
      </c>
      <c r="C19" s="121"/>
      <c r="D19" s="11" t="s">
        <v>23</v>
      </c>
      <c r="E19" s="11">
        <v>7</v>
      </c>
      <c r="F19" s="12">
        <f>F9*E19</f>
        <v>1.26</v>
      </c>
      <c r="G19" s="11"/>
      <c r="H19" s="12"/>
      <c r="I19" s="11"/>
      <c r="J19" s="12"/>
      <c r="K19" s="11"/>
      <c r="L19" s="12"/>
      <c r="M19" s="12"/>
    </row>
    <row r="20" spans="1:13" s="13" customFormat="1" ht="27">
      <c r="A20" s="92">
        <v>2</v>
      </c>
      <c r="B20" s="143" t="s">
        <v>235</v>
      </c>
      <c r="C20" s="298" t="s">
        <v>60</v>
      </c>
      <c r="D20" s="27" t="s">
        <v>23</v>
      </c>
      <c r="E20" s="27"/>
      <c r="F20" s="27">
        <v>3.2</v>
      </c>
      <c r="G20" s="243"/>
      <c r="H20" s="27"/>
      <c r="I20" s="27"/>
      <c r="J20" s="27"/>
      <c r="K20" s="27"/>
      <c r="L20" s="27"/>
      <c r="M20" s="27"/>
    </row>
    <row r="21" spans="1:14" s="33" customFormat="1" ht="13.5">
      <c r="A21" s="43"/>
      <c r="B21" s="44" t="s">
        <v>14</v>
      </c>
      <c r="C21" s="49"/>
      <c r="D21" s="89" t="s">
        <v>15</v>
      </c>
      <c r="E21" s="89">
        <v>0.89</v>
      </c>
      <c r="F21" s="149">
        <f>F20*E21</f>
        <v>2.8480000000000003</v>
      </c>
      <c r="G21" s="89"/>
      <c r="H21" s="89"/>
      <c r="I21" s="46"/>
      <c r="J21" s="47"/>
      <c r="K21" s="46"/>
      <c r="L21" s="47"/>
      <c r="M21" s="47"/>
      <c r="N21" s="32"/>
    </row>
    <row r="22" spans="1:13" s="13" customFormat="1" ht="13.5">
      <c r="A22" s="43"/>
      <c r="B22" s="44" t="s">
        <v>25</v>
      </c>
      <c r="C22" s="49"/>
      <c r="D22" s="89" t="s">
        <v>0</v>
      </c>
      <c r="E22" s="89">
        <v>0.37</v>
      </c>
      <c r="F22" s="149">
        <f>E22*F20</f>
        <v>1.184</v>
      </c>
      <c r="G22" s="89"/>
      <c r="H22" s="89"/>
      <c r="I22" s="46"/>
      <c r="J22" s="47"/>
      <c r="K22" s="46"/>
      <c r="L22" s="47"/>
      <c r="M22" s="47"/>
    </row>
    <row r="23" spans="1:13" s="13" customFormat="1" ht="13.5">
      <c r="A23" s="51"/>
      <c r="B23" s="49" t="s">
        <v>16</v>
      </c>
      <c r="C23" s="87"/>
      <c r="D23" s="89"/>
      <c r="E23" s="89"/>
      <c r="F23" s="149"/>
      <c r="G23" s="89"/>
      <c r="H23" s="89"/>
      <c r="I23" s="46"/>
      <c r="J23" s="53"/>
      <c r="K23" s="54"/>
      <c r="L23" s="53"/>
      <c r="M23" s="53"/>
    </row>
    <row r="24" spans="1:13" s="13" customFormat="1" ht="13.5">
      <c r="A24" s="51"/>
      <c r="B24" s="56" t="s">
        <v>61</v>
      </c>
      <c r="C24" s="87"/>
      <c r="D24" s="89" t="s">
        <v>23</v>
      </c>
      <c r="E24" s="89">
        <v>1.15</v>
      </c>
      <c r="F24" s="149">
        <f>E24*F20</f>
        <v>3.6799999999999997</v>
      </c>
      <c r="G24" s="147"/>
      <c r="H24" s="149"/>
      <c r="I24" s="46"/>
      <c r="J24" s="53"/>
      <c r="K24" s="54"/>
      <c r="L24" s="53"/>
      <c r="M24" s="53"/>
    </row>
    <row r="25" spans="1:13" s="13" customFormat="1" ht="13.5">
      <c r="A25" s="51"/>
      <c r="B25" s="44" t="s">
        <v>20</v>
      </c>
      <c r="C25" s="87"/>
      <c r="D25" s="89" t="s">
        <v>0</v>
      </c>
      <c r="E25" s="89">
        <v>0.02</v>
      </c>
      <c r="F25" s="149">
        <f>E25*F20</f>
        <v>0.064</v>
      </c>
      <c r="G25" s="89"/>
      <c r="H25" s="149"/>
      <c r="I25" s="46"/>
      <c r="J25" s="53"/>
      <c r="K25" s="54"/>
      <c r="L25" s="53"/>
      <c r="M25" s="53"/>
    </row>
    <row r="26" spans="1:13" s="241" customFormat="1" ht="27">
      <c r="A26" s="267">
        <v>3</v>
      </c>
      <c r="B26" s="235" t="s">
        <v>226</v>
      </c>
      <c r="C26" s="298" t="s">
        <v>227</v>
      </c>
      <c r="D26" s="234" t="s">
        <v>49</v>
      </c>
      <c r="E26" s="236"/>
      <c r="F26" s="281">
        <f>2/100</f>
        <v>0.02</v>
      </c>
      <c r="G26" s="236"/>
      <c r="H26" s="236"/>
      <c r="I26" s="236"/>
      <c r="J26" s="236"/>
      <c r="K26" s="236"/>
      <c r="L26" s="236"/>
      <c r="M26" s="236"/>
    </row>
    <row r="27" spans="1:13" s="13" customFormat="1" ht="13.5">
      <c r="A27" s="18"/>
      <c r="B27" s="16" t="s">
        <v>24</v>
      </c>
      <c r="C27" s="10"/>
      <c r="D27" s="11" t="s">
        <v>15</v>
      </c>
      <c r="E27" s="12">
        <v>378</v>
      </c>
      <c r="F27" s="12">
        <f>F26*E27</f>
        <v>7.5600000000000005</v>
      </c>
      <c r="G27" s="8"/>
      <c r="H27" s="14"/>
      <c r="I27" s="8"/>
      <c r="J27" s="14"/>
      <c r="K27" s="8"/>
      <c r="L27" s="8"/>
      <c r="M27" s="14"/>
    </row>
    <row r="28" spans="1:13" s="24" customFormat="1" ht="13.5">
      <c r="A28" s="121"/>
      <c r="B28" s="16" t="s">
        <v>70</v>
      </c>
      <c r="C28" s="10"/>
      <c r="D28" s="11" t="s">
        <v>0</v>
      </c>
      <c r="E28" s="8">
        <v>92</v>
      </c>
      <c r="F28" s="14">
        <f>E28*F26</f>
        <v>1.84</v>
      </c>
      <c r="G28" s="8"/>
      <c r="H28" s="8"/>
      <c r="I28" s="8"/>
      <c r="J28" s="8"/>
      <c r="K28" s="8"/>
      <c r="L28" s="14"/>
      <c r="M28" s="14"/>
    </row>
    <row r="29" spans="1:13" s="24" customFormat="1" ht="13.5">
      <c r="A29" s="8"/>
      <c r="B29" s="8" t="s">
        <v>50</v>
      </c>
      <c r="C29" s="10"/>
      <c r="D29" s="8"/>
      <c r="E29" s="268"/>
      <c r="F29" s="14"/>
      <c r="G29" s="11"/>
      <c r="H29" s="269"/>
      <c r="I29" s="11"/>
      <c r="J29" s="12"/>
      <c r="K29" s="11"/>
      <c r="L29" s="269"/>
      <c r="M29" s="14"/>
    </row>
    <row r="30" spans="1:13" s="13" customFormat="1" ht="13.5">
      <c r="A30" s="18"/>
      <c r="B30" s="16" t="s">
        <v>228</v>
      </c>
      <c r="C30" s="17"/>
      <c r="D30" s="11" t="s">
        <v>48</v>
      </c>
      <c r="E30" s="12"/>
      <c r="F30" s="125">
        <f>187.8/1000</f>
        <v>0.18780000000000002</v>
      </c>
      <c r="G30" s="147"/>
      <c r="H30" s="159"/>
      <c r="I30" s="148"/>
      <c r="J30" s="38"/>
      <c r="K30" s="147"/>
      <c r="L30" s="147"/>
      <c r="M30" s="14"/>
    </row>
    <row r="31" spans="1:13" s="24" customFormat="1" ht="13.5">
      <c r="A31" s="121"/>
      <c r="B31" s="16" t="s">
        <v>229</v>
      </c>
      <c r="C31" s="17"/>
      <c r="D31" s="8" t="s">
        <v>48</v>
      </c>
      <c r="E31" s="11"/>
      <c r="F31" s="268">
        <f>5.7/1000</f>
        <v>0.0057</v>
      </c>
      <c r="G31" s="147"/>
      <c r="H31" s="159"/>
      <c r="I31" s="148"/>
      <c r="J31" s="38"/>
      <c r="K31" s="8"/>
      <c r="L31" s="14"/>
      <c r="M31" s="14"/>
    </row>
    <row r="32" spans="1:13" s="24" customFormat="1" ht="13.5">
      <c r="A32" s="121"/>
      <c r="B32" s="16" t="s">
        <v>103</v>
      </c>
      <c r="C32" s="17"/>
      <c r="D32" s="8" t="s">
        <v>23</v>
      </c>
      <c r="E32" s="11">
        <v>101.5</v>
      </c>
      <c r="F32" s="122">
        <f>E32*F26</f>
        <v>2.0300000000000002</v>
      </c>
      <c r="G32" s="147"/>
      <c r="H32" s="159"/>
      <c r="I32" s="148"/>
      <c r="J32" s="38"/>
      <c r="K32" s="8"/>
      <c r="L32" s="14"/>
      <c r="M32" s="14"/>
    </row>
    <row r="33" spans="1:13" s="13" customFormat="1" ht="13.5">
      <c r="A33" s="18"/>
      <c r="B33" s="16" t="s">
        <v>150</v>
      </c>
      <c r="C33" s="17"/>
      <c r="D33" s="11" t="s">
        <v>76</v>
      </c>
      <c r="E33" s="12">
        <v>70.3</v>
      </c>
      <c r="F33" s="12">
        <f>E33*F26</f>
        <v>1.406</v>
      </c>
      <c r="G33" s="147"/>
      <c r="H33" s="159"/>
      <c r="I33" s="148"/>
      <c r="J33" s="38"/>
      <c r="K33" s="147"/>
      <c r="L33" s="147"/>
      <c r="M33" s="14"/>
    </row>
    <row r="34" spans="1:13" s="13" customFormat="1" ht="13.5">
      <c r="A34" s="18"/>
      <c r="B34" s="16" t="s">
        <v>138</v>
      </c>
      <c r="C34" s="17"/>
      <c r="D34" s="11" t="s">
        <v>23</v>
      </c>
      <c r="E34" s="12">
        <v>1.14</v>
      </c>
      <c r="F34" s="12">
        <f>E34*F26</f>
        <v>0.022799999999999997</v>
      </c>
      <c r="G34" s="147"/>
      <c r="H34" s="159"/>
      <c r="I34" s="148"/>
      <c r="J34" s="38"/>
      <c r="K34" s="147"/>
      <c r="L34" s="147"/>
      <c r="M34" s="14"/>
    </row>
    <row r="35" spans="1:13" s="13" customFormat="1" ht="13.5">
      <c r="A35" s="18"/>
      <c r="B35" s="16" t="s">
        <v>156</v>
      </c>
      <c r="C35" s="17"/>
      <c r="D35" s="11" t="s">
        <v>0</v>
      </c>
      <c r="E35" s="12">
        <v>60</v>
      </c>
      <c r="F35" s="12">
        <f>F26*E35</f>
        <v>1.2</v>
      </c>
      <c r="G35" s="147"/>
      <c r="H35" s="159"/>
      <c r="I35" s="148"/>
      <c r="J35" s="38"/>
      <c r="K35" s="147"/>
      <c r="L35" s="147"/>
      <c r="M35" s="14"/>
    </row>
    <row r="36" spans="1:13" s="241" customFormat="1" ht="27">
      <c r="A36" s="267">
        <v>4</v>
      </c>
      <c r="B36" s="235" t="s">
        <v>157</v>
      </c>
      <c r="C36" s="298" t="s">
        <v>230</v>
      </c>
      <c r="D36" s="234" t="s">
        <v>48</v>
      </c>
      <c r="E36" s="236"/>
      <c r="F36" s="281">
        <v>0.485</v>
      </c>
      <c r="G36" s="236"/>
      <c r="H36" s="236"/>
      <c r="I36" s="236"/>
      <c r="J36" s="236"/>
      <c r="K36" s="236"/>
      <c r="L36" s="236"/>
      <c r="M36" s="236"/>
    </row>
    <row r="37" spans="1:13" s="13" customFormat="1" ht="13.5">
      <c r="A37" s="121"/>
      <c r="B37" s="16" t="s">
        <v>24</v>
      </c>
      <c r="C37" s="8" t="s">
        <v>107</v>
      </c>
      <c r="D37" s="11" t="s">
        <v>48</v>
      </c>
      <c r="E37" s="8">
        <v>1</v>
      </c>
      <c r="F37" s="14">
        <f>E37*F36</f>
        <v>0.485</v>
      </c>
      <c r="G37" s="8"/>
      <c r="H37" s="14"/>
      <c r="I37" s="8"/>
      <c r="J37" s="14"/>
      <c r="K37" s="8"/>
      <c r="L37" s="8"/>
      <c r="M37" s="14"/>
    </row>
    <row r="38" spans="1:13" s="13" customFormat="1" ht="13.5">
      <c r="A38" s="121"/>
      <c r="B38" s="16" t="s">
        <v>231</v>
      </c>
      <c r="C38" s="8"/>
      <c r="D38" s="11" t="s">
        <v>0</v>
      </c>
      <c r="E38" s="8">
        <v>5.45</v>
      </c>
      <c r="F38" s="14">
        <f>E38*F36</f>
        <v>2.64325</v>
      </c>
      <c r="G38" s="8"/>
      <c r="H38" s="8"/>
      <c r="I38" s="8"/>
      <c r="J38" s="8"/>
      <c r="K38" s="8"/>
      <c r="L38" s="14"/>
      <c r="M38" s="14"/>
    </row>
    <row r="39" spans="1:13" s="13" customFormat="1" ht="13.5">
      <c r="A39" s="121"/>
      <c r="B39" s="16" t="s">
        <v>70</v>
      </c>
      <c r="C39" s="8"/>
      <c r="D39" s="11" t="s">
        <v>0</v>
      </c>
      <c r="E39" s="8">
        <v>1.33</v>
      </c>
      <c r="F39" s="14">
        <f>E39*F36</f>
        <v>0.64505</v>
      </c>
      <c r="G39" s="8"/>
      <c r="H39" s="8"/>
      <c r="I39" s="8"/>
      <c r="J39" s="8"/>
      <c r="K39" s="8"/>
      <c r="L39" s="14"/>
      <c r="M39" s="14"/>
    </row>
    <row r="40" spans="1:13" s="13" customFormat="1" ht="13.5">
      <c r="A40" s="121"/>
      <c r="B40" s="8" t="s">
        <v>50</v>
      </c>
      <c r="C40" s="11"/>
      <c r="D40" s="8"/>
      <c r="E40" s="11"/>
      <c r="F40" s="122"/>
      <c r="G40" s="8"/>
      <c r="H40" s="8"/>
      <c r="I40" s="8"/>
      <c r="J40" s="8"/>
      <c r="K40" s="8"/>
      <c r="L40" s="14"/>
      <c r="M40" s="14"/>
    </row>
    <row r="41" spans="1:13" s="13" customFormat="1" ht="13.5">
      <c r="A41" s="121"/>
      <c r="B41" s="16" t="s">
        <v>232</v>
      </c>
      <c r="C41" s="11"/>
      <c r="D41" s="8" t="s">
        <v>48</v>
      </c>
      <c r="E41" s="11">
        <v>1</v>
      </c>
      <c r="F41" s="268">
        <f>E41*F36</f>
        <v>0.485</v>
      </c>
      <c r="G41" s="147"/>
      <c r="H41" s="159"/>
      <c r="I41" s="148"/>
      <c r="J41" s="38"/>
      <c r="K41" s="147"/>
      <c r="L41" s="147"/>
      <c r="M41" s="14"/>
    </row>
    <row r="42" spans="1:13" s="13" customFormat="1" ht="13.5">
      <c r="A42" s="121"/>
      <c r="B42" s="16" t="s">
        <v>158</v>
      </c>
      <c r="C42" s="11"/>
      <c r="D42" s="8" t="s">
        <v>52</v>
      </c>
      <c r="E42" s="11">
        <v>1</v>
      </c>
      <c r="F42" s="122">
        <f>E42*F36</f>
        <v>0.485</v>
      </c>
      <c r="G42" s="147"/>
      <c r="H42" s="159"/>
      <c r="I42" s="148"/>
      <c r="J42" s="38"/>
      <c r="K42" s="147"/>
      <c r="L42" s="147"/>
      <c r="M42" s="14"/>
    </row>
    <row r="43" spans="1:13" s="13" customFormat="1" ht="13.5">
      <c r="A43" s="121"/>
      <c r="B43" s="16" t="s">
        <v>159</v>
      </c>
      <c r="C43" s="11"/>
      <c r="D43" s="8" t="s">
        <v>52</v>
      </c>
      <c r="E43" s="11">
        <v>13.4</v>
      </c>
      <c r="F43" s="122">
        <f>E43*F36</f>
        <v>6.499</v>
      </c>
      <c r="G43" s="147"/>
      <c r="H43" s="159"/>
      <c r="I43" s="148"/>
      <c r="J43" s="38"/>
      <c r="K43" s="147"/>
      <c r="L43" s="147"/>
      <c r="M43" s="14"/>
    </row>
    <row r="44" spans="1:13" s="13" customFormat="1" ht="13.5">
      <c r="A44" s="121"/>
      <c r="B44" s="16" t="s">
        <v>120</v>
      </c>
      <c r="C44" s="11"/>
      <c r="D44" s="8" t="s">
        <v>52</v>
      </c>
      <c r="E44" s="11">
        <v>2.4</v>
      </c>
      <c r="F44" s="122">
        <f>E44*F36</f>
        <v>1.164</v>
      </c>
      <c r="G44" s="147"/>
      <c r="H44" s="159"/>
      <c r="I44" s="148"/>
      <c r="J44" s="38"/>
      <c r="K44" s="147"/>
      <c r="L44" s="147"/>
      <c r="M44" s="14"/>
    </row>
    <row r="45" spans="1:15" s="13" customFormat="1" ht="13.5">
      <c r="A45" s="18"/>
      <c r="B45" s="16" t="s">
        <v>44</v>
      </c>
      <c r="C45" s="270"/>
      <c r="D45" s="11" t="s">
        <v>0</v>
      </c>
      <c r="E45" s="8">
        <v>2.78</v>
      </c>
      <c r="F45" s="14">
        <f>E45*F36</f>
        <v>1.3482999999999998</v>
      </c>
      <c r="G45" s="147"/>
      <c r="H45" s="159"/>
      <c r="I45" s="148"/>
      <c r="J45" s="38"/>
      <c r="K45" s="147"/>
      <c r="L45" s="147"/>
      <c r="M45" s="14"/>
      <c r="N45" s="282"/>
      <c r="O45" s="282"/>
    </row>
    <row r="46" spans="1:13" s="284" customFormat="1" ht="13.5">
      <c r="A46" s="267">
        <v>5</v>
      </c>
      <c r="B46" s="259" t="s">
        <v>160</v>
      </c>
      <c r="C46" s="298" t="s">
        <v>161</v>
      </c>
      <c r="D46" s="234" t="s">
        <v>162</v>
      </c>
      <c r="E46" s="234"/>
      <c r="F46" s="236">
        <v>0.36</v>
      </c>
      <c r="G46" s="234"/>
      <c r="H46" s="236"/>
      <c r="I46" s="283"/>
      <c r="J46" s="236"/>
      <c r="K46" s="283"/>
      <c r="L46" s="236"/>
      <c r="M46" s="236"/>
    </row>
    <row r="47" spans="1:13" s="13" customFormat="1" ht="13.5">
      <c r="A47" s="121"/>
      <c r="B47" s="16" t="s">
        <v>24</v>
      </c>
      <c r="C47" s="8"/>
      <c r="D47" s="11" t="s">
        <v>15</v>
      </c>
      <c r="E47" s="8">
        <v>136</v>
      </c>
      <c r="F47" s="14">
        <f>E47*F46</f>
        <v>48.96</v>
      </c>
      <c r="G47" s="8"/>
      <c r="H47" s="14"/>
      <c r="I47" s="8"/>
      <c r="J47" s="14"/>
      <c r="K47" s="8"/>
      <c r="L47" s="8"/>
      <c r="M47" s="14"/>
    </row>
    <row r="48" spans="1:13" s="13" customFormat="1" ht="13.5">
      <c r="A48" s="121"/>
      <c r="B48" s="16" t="s">
        <v>70</v>
      </c>
      <c r="C48" s="8"/>
      <c r="D48" s="11" t="s">
        <v>0</v>
      </c>
      <c r="E48" s="8">
        <v>4.08</v>
      </c>
      <c r="F48" s="14">
        <f>E48*F46</f>
        <v>1.4687999999999999</v>
      </c>
      <c r="G48" s="8"/>
      <c r="H48" s="8"/>
      <c r="I48" s="8"/>
      <c r="J48" s="8"/>
      <c r="K48" s="8"/>
      <c r="L48" s="14"/>
      <c r="M48" s="14"/>
    </row>
    <row r="49" spans="1:13" s="13" customFormat="1" ht="13.5">
      <c r="A49" s="121"/>
      <c r="B49" s="8" t="s">
        <v>50</v>
      </c>
      <c r="C49" s="11"/>
      <c r="D49" s="8"/>
      <c r="E49" s="11"/>
      <c r="F49" s="122"/>
      <c r="G49" s="8"/>
      <c r="H49" s="8"/>
      <c r="I49" s="8"/>
      <c r="J49" s="8"/>
      <c r="K49" s="8"/>
      <c r="L49" s="14"/>
      <c r="M49" s="14"/>
    </row>
    <row r="50" spans="1:13" s="13" customFormat="1" ht="13.5">
      <c r="A50" s="121"/>
      <c r="B50" s="16" t="s">
        <v>163</v>
      </c>
      <c r="C50" s="11"/>
      <c r="D50" s="8" t="s">
        <v>76</v>
      </c>
      <c r="E50" s="11">
        <v>103</v>
      </c>
      <c r="F50" s="268">
        <f>E50*F46</f>
        <v>37.08</v>
      </c>
      <c r="G50" s="147"/>
      <c r="H50" s="159"/>
      <c r="I50" s="148"/>
      <c r="J50" s="38"/>
      <c r="K50" s="147"/>
      <c r="L50" s="147"/>
      <c r="M50" s="14"/>
    </row>
    <row r="51" spans="1:13" s="13" customFormat="1" ht="13.5">
      <c r="A51" s="121"/>
      <c r="B51" s="16" t="s">
        <v>158</v>
      </c>
      <c r="C51" s="11"/>
      <c r="D51" s="8" t="s">
        <v>52</v>
      </c>
      <c r="E51" s="11">
        <v>6.8</v>
      </c>
      <c r="F51" s="122">
        <f>E51*F46</f>
        <v>2.448</v>
      </c>
      <c r="G51" s="147"/>
      <c r="H51" s="159"/>
      <c r="I51" s="148"/>
      <c r="J51" s="38"/>
      <c r="K51" s="147"/>
      <c r="L51" s="147"/>
      <c r="M51" s="14"/>
    </row>
    <row r="52" spans="1:13" s="13" customFormat="1" ht="13.5">
      <c r="A52" s="121"/>
      <c r="B52" s="16" t="s">
        <v>159</v>
      </c>
      <c r="C52" s="11"/>
      <c r="D52" s="8" t="s">
        <v>52</v>
      </c>
      <c r="E52" s="11">
        <v>12.6</v>
      </c>
      <c r="F52" s="122">
        <f>E52*F46</f>
        <v>4.536</v>
      </c>
      <c r="G52" s="147"/>
      <c r="H52" s="159"/>
      <c r="I52" s="148"/>
      <c r="J52" s="38"/>
      <c r="K52" s="147"/>
      <c r="L52" s="147"/>
      <c r="M52" s="14"/>
    </row>
    <row r="53" spans="1:15" s="13" customFormat="1" ht="13.5">
      <c r="A53" s="18"/>
      <c r="B53" s="16" t="s">
        <v>44</v>
      </c>
      <c r="C53" s="270"/>
      <c r="D53" s="11" t="s">
        <v>0</v>
      </c>
      <c r="E53" s="8">
        <v>5.34</v>
      </c>
      <c r="F53" s="14">
        <f>E53*F46</f>
        <v>1.9223999999999999</v>
      </c>
      <c r="G53" s="147"/>
      <c r="H53" s="159"/>
      <c r="I53" s="148"/>
      <c r="J53" s="38"/>
      <c r="K53" s="147"/>
      <c r="L53" s="147"/>
      <c r="M53" s="14"/>
      <c r="N53" s="282"/>
      <c r="O53" s="282"/>
    </row>
    <row r="54" spans="1:13" s="284" customFormat="1" ht="13.5">
      <c r="A54" s="267">
        <v>6</v>
      </c>
      <c r="B54" s="259" t="s">
        <v>164</v>
      </c>
      <c r="C54" s="298" t="s">
        <v>165</v>
      </c>
      <c r="D54" s="234" t="s">
        <v>162</v>
      </c>
      <c r="E54" s="234"/>
      <c r="F54" s="236">
        <v>0.09</v>
      </c>
      <c r="G54" s="234"/>
      <c r="H54" s="236"/>
      <c r="I54" s="283"/>
      <c r="J54" s="236"/>
      <c r="K54" s="283"/>
      <c r="L54" s="236"/>
      <c r="M54" s="236"/>
    </row>
    <row r="55" spans="1:13" s="13" customFormat="1" ht="13.5">
      <c r="A55" s="121"/>
      <c r="B55" s="16" t="s">
        <v>24</v>
      </c>
      <c r="C55" s="8"/>
      <c r="D55" s="11" t="s">
        <v>15</v>
      </c>
      <c r="E55" s="8">
        <v>24.3</v>
      </c>
      <c r="F55" s="14">
        <f>E55*F54</f>
        <v>2.187</v>
      </c>
      <c r="G55" s="8"/>
      <c r="H55" s="14"/>
      <c r="I55" s="8"/>
      <c r="J55" s="14"/>
      <c r="K55" s="8"/>
      <c r="L55" s="8"/>
      <c r="M55" s="14"/>
    </row>
    <row r="56" spans="1:13" s="13" customFormat="1" ht="13.5">
      <c r="A56" s="121"/>
      <c r="B56" s="16" t="s">
        <v>166</v>
      </c>
      <c r="C56" s="8"/>
      <c r="D56" s="11" t="s">
        <v>0</v>
      </c>
      <c r="E56" s="8">
        <v>0.6</v>
      </c>
      <c r="F56" s="14">
        <f>E56*F54</f>
        <v>0.054</v>
      </c>
      <c r="G56" s="8"/>
      <c r="H56" s="8"/>
      <c r="I56" s="8"/>
      <c r="J56" s="8"/>
      <c r="K56" s="8"/>
      <c r="L56" s="14"/>
      <c r="M56" s="14"/>
    </row>
    <row r="57" spans="1:13" s="13" customFormat="1" ht="13.5">
      <c r="A57" s="121"/>
      <c r="B57" s="16" t="s">
        <v>70</v>
      </c>
      <c r="C57" s="8"/>
      <c r="D57" s="11" t="s">
        <v>0</v>
      </c>
      <c r="E57" s="8">
        <v>4.67</v>
      </c>
      <c r="F57" s="14">
        <f>E57*F54</f>
        <v>0.42029999999999995</v>
      </c>
      <c r="G57" s="8"/>
      <c r="H57" s="8"/>
      <c r="I57" s="8"/>
      <c r="J57" s="8"/>
      <c r="K57" s="8"/>
      <c r="L57" s="14"/>
      <c r="M57" s="14"/>
    </row>
    <row r="58" spans="1:13" s="13" customFormat="1" ht="13.5">
      <c r="A58" s="121"/>
      <c r="B58" s="8" t="s">
        <v>50</v>
      </c>
      <c r="C58" s="11"/>
      <c r="D58" s="8"/>
      <c r="E58" s="11"/>
      <c r="F58" s="122"/>
      <c r="G58" s="8"/>
      <c r="H58" s="8"/>
      <c r="I58" s="8"/>
      <c r="J58" s="8"/>
      <c r="K58" s="8"/>
      <c r="L58" s="14"/>
      <c r="M58" s="14"/>
    </row>
    <row r="59" spans="1:13" s="13" customFormat="1" ht="13.5">
      <c r="A59" s="121"/>
      <c r="B59" s="16" t="s">
        <v>163</v>
      </c>
      <c r="C59" s="11"/>
      <c r="D59" s="8" t="s">
        <v>76</v>
      </c>
      <c r="E59" s="11">
        <v>103</v>
      </c>
      <c r="F59" s="268">
        <f>E59*F54</f>
        <v>9.27</v>
      </c>
      <c r="G59" s="147"/>
      <c r="H59" s="159"/>
      <c r="I59" s="148"/>
      <c r="J59" s="38"/>
      <c r="K59" s="147"/>
      <c r="L59" s="147"/>
      <c r="M59" s="14"/>
    </row>
    <row r="60" spans="1:15" s="13" customFormat="1" ht="13.5">
      <c r="A60" s="18"/>
      <c r="B60" s="16" t="s">
        <v>44</v>
      </c>
      <c r="C60" s="270"/>
      <c r="D60" s="11" t="s">
        <v>0</v>
      </c>
      <c r="E60" s="8">
        <v>0.92</v>
      </c>
      <c r="F60" s="14">
        <f>E60*F54</f>
        <v>0.0828</v>
      </c>
      <c r="G60" s="147"/>
      <c r="H60" s="159"/>
      <c r="I60" s="148"/>
      <c r="J60" s="38"/>
      <c r="K60" s="147"/>
      <c r="L60" s="147"/>
      <c r="M60" s="14"/>
      <c r="N60" s="282"/>
      <c r="O60" s="282"/>
    </row>
    <row r="61" spans="1:13" s="284" customFormat="1" ht="33.75">
      <c r="A61" s="267">
        <v>7</v>
      </c>
      <c r="B61" s="259" t="s">
        <v>462</v>
      </c>
      <c r="C61" s="298" t="s">
        <v>167</v>
      </c>
      <c r="D61" s="234" t="s">
        <v>76</v>
      </c>
      <c r="E61" s="234"/>
      <c r="F61" s="236">
        <v>0.8</v>
      </c>
      <c r="G61" s="234"/>
      <c r="H61" s="236"/>
      <c r="I61" s="283"/>
      <c r="J61" s="236"/>
      <c r="K61" s="283"/>
      <c r="L61" s="236"/>
      <c r="M61" s="236"/>
    </row>
    <row r="62" spans="1:13" s="286" customFormat="1" ht="13.5">
      <c r="A62" s="285"/>
      <c r="B62" s="85" t="s">
        <v>14</v>
      </c>
      <c r="C62" s="45"/>
      <c r="D62" s="46" t="s">
        <v>15</v>
      </c>
      <c r="E62" s="59">
        <f>7.65</f>
        <v>7.65</v>
      </c>
      <c r="F62" s="47">
        <f>F61*E62</f>
        <v>6.120000000000001</v>
      </c>
      <c r="G62" s="46"/>
      <c r="H62" s="47"/>
      <c r="I62" s="427"/>
      <c r="J62" s="47"/>
      <c r="K62" s="46"/>
      <c r="L62" s="47"/>
      <c r="M62" s="53"/>
    </row>
    <row r="63" spans="1:13" s="13" customFormat="1" ht="13.5">
      <c r="A63" s="121"/>
      <c r="B63" s="16" t="s">
        <v>70</v>
      </c>
      <c r="C63" s="8"/>
      <c r="D63" s="11" t="s">
        <v>0</v>
      </c>
      <c r="E63" s="8">
        <v>0.348</v>
      </c>
      <c r="F63" s="14">
        <f>E63*F61</f>
        <v>0.2784</v>
      </c>
      <c r="G63" s="8"/>
      <c r="H63" s="8"/>
      <c r="I63" s="8"/>
      <c r="J63" s="8"/>
      <c r="K63" s="8"/>
      <c r="L63" s="14"/>
      <c r="M63" s="14"/>
    </row>
    <row r="64" spans="1:13" s="286" customFormat="1" ht="13.5">
      <c r="A64" s="285"/>
      <c r="B64" s="49" t="s">
        <v>50</v>
      </c>
      <c r="C64" s="45"/>
      <c r="D64" s="46"/>
      <c r="E64" s="49"/>
      <c r="F64" s="46"/>
      <c r="G64" s="46"/>
      <c r="H64" s="47"/>
      <c r="I64" s="46"/>
      <c r="J64" s="46"/>
      <c r="K64" s="46"/>
      <c r="L64" s="47"/>
      <c r="M64" s="53"/>
    </row>
    <row r="65" spans="1:13" s="286" customFormat="1" ht="13.5">
      <c r="A65" s="285"/>
      <c r="B65" s="44" t="s">
        <v>168</v>
      </c>
      <c r="C65" s="287"/>
      <c r="D65" s="46" t="s">
        <v>76</v>
      </c>
      <c r="E65" s="49">
        <v>1</v>
      </c>
      <c r="F65" s="47">
        <f>E65*F61</f>
        <v>0.8</v>
      </c>
      <c r="G65" s="46"/>
      <c r="H65" s="47"/>
      <c r="I65" s="46"/>
      <c r="J65" s="46"/>
      <c r="K65" s="46"/>
      <c r="L65" s="47"/>
      <c r="M65" s="53"/>
    </row>
    <row r="66" spans="1:13" s="48" customFormat="1" ht="13.5">
      <c r="A66" s="288"/>
      <c r="B66" s="44" t="s">
        <v>44</v>
      </c>
      <c r="C66" s="289"/>
      <c r="D66" s="49" t="s">
        <v>0</v>
      </c>
      <c r="E66" s="46">
        <v>0.656</v>
      </c>
      <c r="F66" s="47">
        <f>E66*F61</f>
        <v>0.5248</v>
      </c>
      <c r="G66" s="46"/>
      <c r="H66" s="47"/>
      <c r="I66" s="46"/>
      <c r="J66" s="46"/>
      <c r="K66" s="46"/>
      <c r="L66" s="47"/>
      <c r="M66" s="47"/>
    </row>
    <row r="67" spans="1:13" s="284" customFormat="1" ht="28.5" customHeight="1">
      <c r="A67" s="267">
        <v>8</v>
      </c>
      <c r="B67" s="259" t="s">
        <v>463</v>
      </c>
      <c r="C67" s="298" t="s">
        <v>167</v>
      </c>
      <c r="D67" s="234" t="s">
        <v>76</v>
      </c>
      <c r="E67" s="234"/>
      <c r="F67" s="236">
        <v>2.1</v>
      </c>
      <c r="G67" s="234"/>
      <c r="H67" s="236"/>
      <c r="I67" s="283"/>
      <c r="J67" s="236"/>
      <c r="K67" s="283"/>
      <c r="L67" s="236"/>
      <c r="M67" s="236"/>
    </row>
    <row r="68" spans="1:13" s="286" customFormat="1" ht="13.5">
      <c r="A68" s="285"/>
      <c r="B68" s="85" t="s">
        <v>14</v>
      </c>
      <c r="C68" s="45"/>
      <c r="D68" s="46" t="s">
        <v>15</v>
      </c>
      <c r="E68" s="59">
        <f>7.65</f>
        <v>7.65</v>
      </c>
      <c r="F68" s="47">
        <f>F67*E68</f>
        <v>16.065</v>
      </c>
      <c r="G68" s="46"/>
      <c r="H68" s="47"/>
      <c r="I68" s="427"/>
      <c r="J68" s="47"/>
      <c r="K68" s="46"/>
      <c r="L68" s="47"/>
      <c r="M68" s="53"/>
    </row>
    <row r="69" spans="1:13" s="13" customFormat="1" ht="13.5">
      <c r="A69" s="121"/>
      <c r="B69" s="16" t="s">
        <v>70</v>
      </c>
      <c r="C69" s="8"/>
      <c r="D69" s="11" t="s">
        <v>0</v>
      </c>
      <c r="E69" s="8">
        <v>0.348</v>
      </c>
      <c r="F69" s="14">
        <f>E69*F67</f>
        <v>0.7308</v>
      </c>
      <c r="G69" s="8"/>
      <c r="H69" s="8"/>
      <c r="I69" s="8"/>
      <c r="J69" s="8"/>
      <c r="K69" s="8"/>
      <c r="L69" s="14"/>
      <c r="M69" s="14"/>
    </row>
    <row r="70" spans="1:13" s="286" customFormat="1" ht="13.5">
      <c r="A70" s="285"/>
      <c r="B70" s="49" t="s">
        <v>50</v>
      </c>
      <c r="C70" s="45"/>
      <c r="D70" s="46"/>
      <c r="E70" s="49"/>
      <c r="F70" s="46"/>
      <c r="G70" s="46"/>
      <c r="H70" s="47"/>
      <c r="I70" s="46"/>
      <c r="J70" s="46"/>
      <c r="K70" s="46"/>
      <c r="L70" s="47"/>
      <c r="M70" s="53"/>
    </row>
    <row r="71" spans="1:13" s="286" customFormat="1" ht="13.5">
      <c r="A71" s="285"/>
      <c r="B71" s="44" t="s">
        <v>464</v>
      </c>
      <c r="C71" s="287"/>
      <c r="D71" s="46" t="s">
        <v>76</v>
      </c>
      <c r="E71" s="49">
        <v>1</v>
      </c>
      <c r="F71" s="47">
        <f>E71*F67</f>
        <v>2.1</v>
      </c>
      <c r="G71" s="46"/>
      <c r="H71" s="47"/>
      <c r="I71" s="46"/>
      <c r="J71" s="46"/>
      <c r="K71" s="46"/>
      <c r="L71" s="47"/>
      <c r="M71" s="53"/>
    </row>
    <row r="72" spans="1:13" s="48" customFormat="1" ht="13.5">
      <c r="A72" s="288"/>
      <c r="B72" s="44" t="s">
        <v>44</v>
      </c>
      <c r="C72" s="289"/>
      <c r="D72" s="49" t="s">
        <v>0</v>
      </c>
      <c r="E72" s="46">
        <v>0.656</v>
      </c>
      <c r="F72" s="47">
        <f>E72*F67</f>
        <v>1.3776000000000002</v>
      </c>
      <c r="G72" s="46"/>
      <c r="H72" s="47"/>
      <c r="I72" s="46"/>
      <c r="J72" s="46"/>
      <c r="K72" s="46"/>
      <c r="L72" s="47"/>
      <c r="M72" s="47"/>
    </row>
    <row r="73" spans="1:13" ht="13.5">
      <c r="A73" s="558" t="s">
        <v>10</v>
      </c>
      <c r="B73" s="559"/>
      <c r="C73" s="559"/>
      <c r="D73" s="559"/>
      <c r="E73" s="559"/>
      <c r="F73" s="559"/>
      <c r="G73" s="560"/>
      <c r="H73" s="435"/>
      <c r="I73" s="436"/>
      <c r="J73" s="436"/>
      <c r="K73" s="436"/>
      <c r="L73" s="436"/>
      <c r="M73" s="35"/>
    </row>
    <row r="74" spans="1:13" ht="13.5">
      <c r="A74" s="555" t="s">
        <v>475</v>
      </c>
      <c r="B74" s="556"/>
      <c r="C74" s="556"/>
      <c r="D74" s="556"/>
      <c r="E74" s="556"/>
      <c r="F74" s="556"/>
      <c r="G74" s="556"/>
      <c r="H74" s="556"/>
      <c r="I74" s="556"/>
      <c r="J74" s="556"/>
      <c r="K74" s="557"/>
      <c r="L74" s="14" t="s">
        <v>476</v>
      </c>
      <c r="M74" s="26"/>
    </row>
    <row r="75" spans="1:13" ht="13.5">
      <c r="A75" s="558" t="s">
        <v>10</v>
      </c>
      <c r="B75" s="559"/>
      <c r="C75" s="559"/>
      <c r="D75" s="559"/>
      <c r="E75" s="559"/>
      <c r="F75" s="559"/>
      <c r="G75" s="559"/>
      <c r="H75" s="559"/>
      <c r="I75" s="559"/>
      <c r="J75" s="559"/>
      <c r="K75" s="559"/>
      <c r="L75" s="560"/>
      <c r="M75" s="36"/>
    </row>
    <row r="76" spans="1:13" ht="13.5">
      <c r="A76" s="555" t="s">
        <v>22</v>
      </c>
      <c r="B76" s="556"/>
      <c r="C76" s="556"/>
      <c r="D76" s="556"/>
      <c r="E76" s="556"/>
      <c r="F76" s="556"/>
      <c r="G76" s="556"/>
      <c r="H76" s="556"/>
      <c r="I76" s="556"/>
      <c r="J76" s="556"/>
      <c r="K76" s="557"/>
      <c r="L76" s="14" t="s">
        <v>476</v>
      </c>
      <c r="M76" s="26"/>
    </row>
    <row r="77" spans="1:13" ht="13.5">
      <c r="A77" s="558" t="s">
        <v>10</v>
      </c>
      <c r="B77" s="559"/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36"/>
    </row>
    <row r="78" spans="1:13" ht="14.25" thickBot="1">
      <c r="A78" s="555" t="s">
        <v>21</v>
      </c>
      <c r="B78" s="556"/>
      <c r="C78" s="556"/>
      <c r="D78" s="556"/>
      <c r="E78" s="556"/>
      <c r="F78" s="556"/>
      <c r="G78" s="556"/>
      <c r="H78" s="556"/>
      <c r="I78" s="556"/>
      <c r="J78" s="556"/>
      <c r="K78" s="557"/>
      <c r="L78" s="14" t="s">
        <v>476</v>
      </c>
      <c r="M78" s="437"/>
    </row>
    <row r="79" spans="1:13" ht="14.25" thickBot="1">
      <c r="A79" s="561" t="s">
        <v>36</v>
      </c>
      <c r="B79" s="561"/>
      <c r="C79" s="561"/>
      <c r="D79" s="561"/>
      <c r="E79" s="561"/>
      <c r="F79" s="561"/>
      <c r="G79" s="561"/>
      <c r="H79" s="561"/>
      <c r="I79" s="561"/>
      <c r="J79" s="561"/>
      <c r="K79" s="561"/>
      <c r="L79" s="558"/>
      <c r="M79" s="438"/>
    </row>
    <row r="80" spans="1:13" s="386" customFormat="1" ht="15.75">
      <c r="A80" s="566" t="s">
        <v>362</v>
      </c>
      <c r="B80" s="567"/>
      <c r="C80" s="567"/>
      <c r="D80" s="567"/>
      <c r="E80" s="567"/>
      <c r="F80" s="568"/>
      <c r="G80" s="461"/>
      <c r="H80" s="462"/>
      <c r="I80" s="461"/>
      <c r="J80" s="462"/>
      <c r="K80" s="461"/>
      <c r="L80" s="462"/>
      <c r="M80" s="461"/>
    </row>
    <row r="81" spans="1:13" s="284" customFormat="1" ht="28.5" customHeight="1">
      <c r="A81" s="267">
        <v>1</v>
      </c>
      <c r="B81" s="259" t="s">
        <v>234</v>
      </c>
      <c r="C81" s="298" t="s">
        <v>233</v>
      </c>
      <c r="D81" s="234" t="s">
        <v>113</v>
      </c>
      <c r="E81" s="234"/>
      <c r="F81" s="236">
        <v>1</v>
      </c>
      <c r="G81" s="234"/>
      <c r="H81" s="236"/>
      <c r="I81" s="283"/>
      <c r="J81" s="236"/>
      <c r="K81" s="283"/>
      <c r="L81" s="236"/>
      <c r="M81" s="236"/>
    </row>
    <row r="82" spans="1:13" s="24" customFormat="1" ht="13.5">
      <c r="A82" s="558" t="s">
        <v>10</v>
      </c>
      <c r="B82" s="559"/>
      <c r="C82" s="559"/>
      <c r="D82" s="559"/>
      <c r="E82" s="559"/>
      <c r="F82" s="559"/>
      <c r="G82" s="559"/>
      <c r="H82" s="559"/>
      <c r="I82" s="559"/>
      <c r="J82" s="559"/>
      <c r="K82" s="559"/>
      <c r="L82" s="560"/>
      <c r="M82" s="303"/>
    </row>
    <row r="83" spans="1:13" s="24" customFormat="1" ht="13.5">
      <c r="A83" s="558" t="s">
        <v>489</v>
      </c>
      <c r="B83" s="559"/>
      <c r="C83" s="559"/>
      <c r="D83" s="559"/>
      <c r="E83" s="559"/>
      <c r="F83" s="559"/>
      <c r="G83" s="559"/>
      <c r="H83" s="559"/>
      <c r="I83" s="559"/>
      <c r="J83" s="559"/>
      <c r="K83" s="559"/>
      <c r="L83" s="560"/>
      <c r="M83" s="302"/>
    </row>
  </sheetData>
  <sheetProtection/>
  <autoFilter ref="A1:A79"/>
  <mergeCells count="24">
    <mergeCell ref="K4:L4"/>
    <mergeCell ref="A4:A5"/>
    <mergeCell ref="B4:B5"/>
    <mergeCell ref="C4:C5"/>
    <mergeCell ref="D4:D5"/>
    <mergeCell ref="E4:E5"/>
    <mergeCell ref="J1:M1"/>
    <mergeCell ref="B2:M2"/>
    <mergeCell ref="A3:M3"/>
    <mergeCell ref="A8:F8"/>
    <mergeCell ref="F4:F5"/>
    <mergeCell ref="G4:H4"/>
    <mergeCell ref="A7:M7"/>
    <mergeCell ref="I4:J4"/>
    <mergeCell ref="A79:L79"/>
    <mergeCell ref="A80:F80"/>
    <mergeCell ref="A82:L82"/>
    <mergeCell ref="A83:L83"/>
    <mergeCell ref="A73:G73"/>
    <mergeCell ref="A74:K74"/>
    <mergeCell ref="A75:L75"/>
    <mergeCell ref="A76:K76"/>
    <mergeCell ref="A77:L77"/>
    <mergeCell ref="A78:K78"/>
  </mergeCells>
  <printOptions/>
  <pageMargins left="0.34" right="0.34" top="0.27" bottom="0.36" header="0.2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00"/>
  </sheetPr>
  <dimension ref="A1:O91"/>
  <sheetViews>
    <sheetView view="pageBreakPreview" zoomScale="110" zoomScaleNormal="85" zoomScaleSheetLayoutView="110" workbookViewId="0" topLeftCell="A1">
      <pane xSplit="1" ySplit="6" topLeftCell="B7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A76" sqref="A76:M82"/>
    </sheetView>
  </sheetViews>
  <sheetFormatPr defaultColWidth="9.140625" defaultRowHeight="12.75"/>
  <cols>
    <col min="1" max="1" width="3.28125" style="292" customWidth="1"/>
    <col min="2" max="2" width="43.57421875" style="292" customWidth="1"/>
    <col min="3" max="3" width="8.57421875" style="301" customWidth="1"/>
    <col min="4" max="4" width="8.28125" style="292" customWidth="1"/>
    <col min="5" max="5" width="8.421875" style="292" customWidth="1"/>
    <col min="6" max="6" width="9.7109375" style="292" customWidth="1"/>
    <col min="7" max="7" width="8.7109375" style="292" customWidth="1"/>
    <col min="8" max="8" width="10.28125" style="292" customWidth="1"/>
    <col min="9" max="9" width="8.57421875" style="292" customWidth="1"/>
    <col min="10" max="10" width="10.421875" style="292" customWidth="1"/>
    <col min="11" max="11" width="7.7109375" style="292" customWidth="1"/>
    <col min="12" max="12" width="10.7109375" style="292" customWidth="1"/>
    <col min="13" max="13" width="12.28125" style="292" customWidth="1"/>
    <col min="14" max="16384" width="9.140625" style="293" customWidth="1"/>
  </cols>
  <sheetData>
    <row r="1" spans="1:13" s="328" customFormat="1" ht="20.25" customHeight="1">
      <c r="A1" s="439"/>
      <c r="B1" s="439"/>
      <c r="C1" s="440"/>
      <c r="D1" s="439"/>
      <c r="E1" s="439"/>
      <c r="F1" s="439"/>
      <c r="G1" s="439"/>
      <c r="H1" s="439"/>
      <c r="I1" s="439"/>
      <c r="J1" s="562" t="s">
        <v>490</v>
      </c>
      <c r="K1" s="562"/>
      <c r="L1" s="562"/>
      <c r="M1" s="562"/>
    </row>
    <row r="2" spans="1:13" s="328" customFormat="1" ht="33.75" customHeight="1">
      <c r="A2" s="20"/>
      <c r="B2" s="550" t="s">
        <v>478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5" s="328" customFormat="1" ht="16.5" thickBot="1">
      <c r="A3" s="572" t="s">
        <v>491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O3" s="328">
        <v>1</v>
      </c>
    </row>
    <row r="4" spans="1:13" s="328" customFormat="1" ht="11.25">
      <c r="A4" s="588" t="s">
        <v>1</v>
      </c>
      <c r="B4" s="579" t="s">
        <v>3</v>
      </c>
      <c r="C4" s="579" t="s">
        <v>2</v>
      </c>
      <c r="D4" s="579" t="s">
        <v>4</v>
      </c>
      <c r="E4" s="579" t="s">
        <v>13</v>
      </c>
      <c r="F4" s="579" t="s">
        <v>5</v>
      </c>
      <c r="G4" s="581" t="s">
        <v>19</v>
      </c>
      <c r="H4" s="581"/>
      <c r="I4" s="581" t="s">
        <v>6</v>
      </c>
      <c r="J4" s="581"/>
      <c r="K4" s="579" t="s">
        <v>7</v>
      </c>
      <c r="L4" s="579"/>
      <c r="M4" s="453" t="s">
        <v>8</v>
      </c>
    </row>
    <row r="5" spans="1:13" s="328" customFormat="1" ht="11.25">
      <c r="A5" s="597"/>
      <c r="B5" s="598"/>
      <c r="C5" s="598"/>
      <c r="D5" s="598"/>
      <c r="E5" s="598"/>
      <c r="F5" s="598"/>
      <c r="G5" s="329" t="s">
        <v>9</v>
      </c>
      <c r="H5" s="332" t="s">
        <v>10</v>
      </c>
      <c r="I5" s="329" t="s">
        <v>9</v>
      </c>
      <c r="J5" s="332" t="s">
        <v>10</v>
      </c>
      <c r="K5" s="329" t="s">
        <v>9</v>
      </c>
      <c r="L5" s="332" t="s">
        <v>11</v>
      </c>
      <c r="M5" s="464" t="s">
        <v>12</v>
      </c>
    </row>
    <row r="6" spans="1:13" s="328" customFormat="1" ht="12" thickBot="1">
      <c r="A6" s="454">
        <v>1</v>
      </c>
      <c r="B6" s="455">
        <v>2</v>
      </c>
      <c r="C6" s="455">
        <v>3</v>
      </c>
      <c r="D6" s="455">
        <v>4</v>
      </c>
      <c r="E6" s="455">
        <v>5</v>
      </c>
      <c r="F6" s="455">
        <v>6</v>
      </c>
      <c r="G6" s="456">
        <v>7</v>
      </c>
      <c r="H6" s="465">
        <v>8</v>
      </c>
      <c r="I6" s="456">
        <v>9</v>
      </c>
      <c r="J6" s="465">
        <v>10</v>
      </c>
      <c r="K6" s="456">
        <v>11</v>
      </c>
      <c r="L6" s="465">
        <v>12</v>
      </c>
      <c r="M6" s="458">
        <v>13</v>
      </c>
    </row>
    <row r="7" spans="1:13" s="264" customFormat="1" ht="18" customHeight="1">
      <c r="A7" s="595" t="s">
        <v>305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6"/>
    </row>
    <row r="8" spans="1:13" s="261" customFormat="1" ht="40.5">
      <c r="A8" s="166">
        <v>1</v>
      </c>
      <c r="B8" s="166" t="s">
        <v>304</v>
      </c>
      <c r="C8" s="346" t="s">
        <v>303</v>
      </c>
      <c r="D8" s="165" t="s">
        <v>40</v>
      </c>
      <c r="E8" s="93"/>
      <c r="F8" s="344">
        <f>15/100</f>
        <v>0.15</v>
      </c>
      <c r="G8" s="343"/>
      <c r="H8" s="342"/>
      <c r="I8" s="343"/>
      <c r="J8" s="342"/>
      <c r="K8" s="343"/>
      <c r="L8" s="342"/>
      <c r="M8" s="342"/>
    </row>
    <row r="9" spans="1:13" s="261" customFormat="1" ht="13.5">
      <c r="A9" s="97"/>
      <c r="B9" s="98" t="s">
        <v>14</v>
      </c>
      <c r="C9" s="339"/>
      <c r="D9" s="38" t="s">
        <v>15</v>
      </c>
      <c r="E9" s="38">
        <f>123*1.1</f>
        <v>135.3</v>
      </c>
      <c r="F9" s="70">
        <f>F8*E9</f>
        <v>20.295</v>
      </c>
      <c r="G9" s="38"/>
      <c r="H9" s="70"/>
      <c r="I9" s="38"/>
      <c r="J9" s="70"/>
      <c r="K9" s="38"/>
      <c r="L9" s="70"/>
      <c r="M9" s="70"/>
    </row>
    <row r="10" spans="1:13" s="261" customFormat="1" ht="17.25" customHeight="1">
      <c r="A10" s="97"/>
      <c r="B10" s="98" t="s">
        <v>285</v>
      </c>
      <c r="C10" s="339"/>
      <c r="D10" s="38" t="s">
        <v>32</v>
      </c>
      <c r="E10" s="38">
        <f>58.1*1.1</f>
        <v>63.910000000000004</v>
      </c>
      <c r="F10" s="70">
        <f>F8*E10</f>
        <v>9.586500000000001</v>
      </c>
      <c r="G10" s="38"/>
      <c r="H10" s="70"/>
      <c r="I10" s="366"/>
      <c r="J10" s="366"/>
      <c r="K10" s="38"/>
      <c r="L10" s="70"/>
      <c r="M10" s="70"/>
    </row>
    <row r="11" spans="1:13" s="351" customFormat="1" ht="13.5">
      <c r="A11" s="355"/>
      <c r="B11" s="340" t="s">
        <v>25</v>
      </c>
      <c r="C11" s="339"/>
      <c r="D11" s="262" t="s">
        <v>0</v>
      </c>
      <c r="E11" s="309">
        <f>0.12*1.1</f>
        <v>0.132</v>
      </c>
      <c r="F11" s="353">
        <f>E11*F8</f>
        <v>0.0198</v>
      </c>
      <c r="G11" s="309"/>
      <c r="H11" s="352"/>
      <c r="I11" s="309"/>
      <c r="J11" s="352"/>
      <c r="K11" s="309"/>
      <c r="L11" s="70"/>
      <c r="M11" s="70"/>
    </row>
    <row r="12" spans="1:13" s="261" customFormat="1" ht="13.5">
      <c r="A12" s="97"/>
      <c r="B12" s="341" t="s">
        <v>50</v>
      </c>
      <c r="C12" s="339"/>
      <c r="D12" s="38"/>
      <c r="E12" s="38"/>
      <c r="F12" s="70"/>
      <c r="G12" s="38"/>
      <c r="H12" s="70"/>
      <c r="I12" s="38"/>
      <c r="J12" s="70"/>
      <c r="K12" s="38"/>
      <c r="L12" s="70"/>
      <c r="M12" s="70"/>
    </row>
    <row r="13" spans="1:13" s="261" customFormat="1" ht="13.5">
      <c r="A13" s="97"/>
      <c r="B13" s="98" t="s">
        <v>298</v>
      </c>
      <c r="C13" s="339"/>
      <c r="D13" s="38" t="s">
        <v>17</v>
      </c>
      <c r="E13" s="38">
        <f>1.1*1.4</f>
        <v>1.54</v>
      </c>
      <c r="F13" s="70">
        <f>F8*E13</f>
        <v>0.23099999999999998</v>
      </c>
      <c r="G13" s="307"/>
      <c r="H13" s="307"/>
      <c r="I13" s="309"/>
      <c r="J13" s="307"/>
      <c r="K13" s="308"/>
      <c r="L13" s="307"/>
      <c r="M13" s="70"/>
    </row>
    <row r="14" spans="1:13" s="261" customFormat="1" ht="13.5">
      <c r="A14" s="97"/>
      <c r="B14" s="98" t="s">
        <v>297</v>
      </c>
      <c r="C14" s="339"/>
      <c r="D14" s="38" t="s">
        <v>26</v>
      </c>
      <c r="E14" s="38">
        <f>1.1*0.01</f>
        <v>0.011000000000000001</v>
      </c>
      <c r="F14" s="364">
        <f>F8*E14</f>
        <v>0.0016500000000000002</v>
      </c>
      <c r="G14" s="69"/>
      <c r="H14" s="307"/>
      <c r="I14" s="309"/>
      <c r="J14" s="307"/>
      <c r="K14" s="308"/>
      <c r="L14" s="307"/>
      <c r="M14" s="70"/>
    </row>
    <row r="15" spans="1:13" s="261" customFormat="1" ht="13.5">
      <c r="A15" s="97"/>
      <c r="B15" s="98" t="s">
        <v>474</v>
      </c>
      <c r="C15" s="339"/>
      <c r="D15" s="38" t="s">
        <v>26</v>
      </c>
      <c r="E15" s="38">
        <v>0.8</v>
      </c>
      <c r="F15" s="70">
        <f>F8*E15</f>
        <v>0.12</v>
      </c>
      <c r="G15" s="38"/>
      <c r="H15" s="307"/>
      <c r="I15" s="38"/>
      <c r="J15" s="70"/>
      <c r="K15" s="38"/>
      <c r="L15" s="70"/>
      <c r="M15" s="70"/>
    </row>
    <row r="16" spans="1:13" s="338" customFormat="1" ht="15.75">
      <c r="A16" s="247"/>
      <c r="B16" s="340" t="s">
        <v>20</v>
      </c>
      <c r="C16" s="339"/>
      <c r="D16" s="262" t="s">
        <v>0</v>
      </c>
      <c r="E16" s="348">
        <f>1.1*12</f>
        <v>13.200000000000001</v>
      </c>
      <c r="F16" s="307">
        <f>E16*F8</f>
        <v>1.98</v>
      </c>
      <c r="G16" s="262"/>
      <c r="H16" s="307"/>
      <c r="I16" s="309"/>
      <c r="J16" s="307"/>
      <c r="K16" s="308"/>
      <c r="L16" s="307"/>
      <c r="M16" s="70"/>
    </row>
    <row r="17" spans="1:13" s="96" customFormat="1" ht="40.5">
      <c r="A17" s="165">
        <v>2</v>
      </c>
      <c r="B17" s="166" t="s">
        <v>302</v>
      </c>
      <c r="C17" s="346" t="s">
        <v>301</v>
      </c>
      <c r="D17" s="165" t="s">
        <v>40</v>
      </c>
      <c r="E17" s="93"/>
      <c r="F17" s="344">
        <f>35/100</f>
        <v>0.35</v>
      </c>
      <c r="G17" s="343"/>
      <c r="H17" s="342"/>
      <c r="I17" s="343"/>
      <c r="J17" s="342"/>
      <c r="K17" s="343"/>
      <c r="L17" s="342"/>
      <c r="M17" s="342"/>
    </row>
    <row r="18" spans="1:13" s="261" customFormat="1" ht="13.5">
      <c r="A18" s="97"/>
      <c r="B18" s="98" t="s">
        <v>14</v>
      </c>
      <c r="C18" s="339"/>
      <c r="D18" s="38" t="s">
        <v>15</v>
      </c>
      <c r="E18" s="38">
        <f>243*1.1</f>
        <v>267.3</v>
      </c>
      <c r="F18" s="70">
        <f>F17*E18</f>
        <v>93.55499999999999</v>
      </c>
      <c r="G18" s="38"/>
      <c r="H18" s="70"/>
      <c r="I18" s="38"/>
      <c r="J18" s="70"/>
      <c r="K18" s="38"/>
      <c r="L18" s="70"/>
      <c r="M18" s="70"/>
    </row>
    <row r="19" spans="1:13" s="261" customFormat="1" ht="17.25" customHeight="1">
      <c r="A19" s="97"/>
      <c r="B19" s="98" t="s">
        <v>285</v>
      </c>
      <c r="C19" s="339"/>
      <c r="D19" s="38" t="s">
        <v>32</v>
      </c>
      <c r="E19" s="38">
        <f>118*1.1</f>
        <v>129.8</v>
      </c>
      <c r="F19" s="70">
        <f>F17*E19</f>
        <v>45.43</v>
      </c>
      <c r="G19" s="38"/>
      <c r="H19" s="70"/>
      <c r="I19" s="366"/>
      <c r="J19" s="366"/>
      <c r="K19" s="38"/>
      <c r="L19" s="70"/>
      <c r="M19" s="70"/>
    </row>
    <row r="20" spans="1:13" s="351" customFormat="1" ht="13.5">
      <c r="A20" s="355"/>
      <c r="B20" s="340" t="s">
        <v>25</v>
      </c>
      <c r="C20" s="339"/>
      <c r="D20" s="262" t="s">
        <v>0</v>
      </c>
      <c r="E20" s="309">
        <f>0.3*1.1</f>
        <v>0.33</v>
      </c>
      <c r="F20" s="353">
        <f>E20*F17</f>
        <v>0.11549999999999999</v>
      </c>
      <c r="G20" s="309"/>
      <c r="H20" s="352"/>
      <c r="I20" s="309"/>
      <c r="J20" s="352"/>
      <c r="K20" s="309"/>
      <c r="L20" s="70"/>
      <c r="M20" s="70"/>
    </row>
    <row r="21" spans="1:13" s="261" customFormat="1" ht="13.5">
      <c r="A21" s="97"/>
      <c r="B21" s="341" t="s">
        <v>50</v>
      </c>
      <c r="C21" s="339"/>
      <c r="D21" s="38"/>
      <c r="E21" s="38"/>
      <c r="F21" s="70"/>
      <c r="G21" s="38"/>
      <c r="H21" s="70"/>
      <c r="I21" s="38"/>
      <c r="J21" s="70"/>
      <c r="K21" s="38"/>
      <c r="L21" s="70"/>
      <c r="M21" s="70"/>
    </row>
    <row r="22" spans="1:13" s="261" customFormat="1" ht="13.5">
      <c r="A22" s="97"/>
      <c r="B22" s="98" t="s">
        <v>298</v>
      </c>
      <c r="C22" s="339"/>
      <c r="D22" s="38" t="s">
        <v>17</v>
      </c>
      <c r="E22" s="38">
        <f>1.1*2.7</f>
        <v>2.9700000000000006</v>
      </c>
      <c r="F22" s="70">
        <f>F17*E22</f>
        <v>1.0395</v>
      </c>
      <c r="G22" s="307"/>
      <c r="H22" s="307"/>
      <c r="I22" s="309"/>
      <c r="J22" s="307"/>
      <c r="K22" s="308"/>
      <c r="L22" s="307"/>
      <c r="M22" s="70"/>
    </row>
    <row r="23" spans="1:13" s="261" customFormat="1" ht="13.5">
      <c r="A23" s="97"/>
      <c r="B23" s="98" t="s">
        <v>297</v>
      </c>
      <c r="C23" s="339"/>
      <c r="D23" s="38" t="s">
        <v>26</v>
      </c>
      <c r="E23" s="38">
        <f>1.1*0.02</f>
        <v>0.022000000000000002</v>
      </c>
      <c r="F23" s="364">
        <f>F17*E23</f>
        <v>0.0077</v>
      </c>
      <c r="G23" s="69"/>
      <c r="H23" s="307"/>
      <c r="I23" s="309"/>
      <c r="J23" s="307"/>
      <c r="K23" s="308"/>
      <c r="L23" s="307"/>
      <c r="M23" s="70"/>
    </row>
    <row r="24" spans="1:13" s="261" customFormat="1" ht="13.5">
      <c r="A24" s="97"/>
      <c r="B24" s="98" t="s">
        <v>474</v>
      </c>
      <c r="C24" s="339"/>
      <c r="D24" s="38" t="s">
        <v>26</v>
      </c>
      <c r="E24" s="38">
        <v>2.4</v>
      </c>
      <c r="F24" s="70">
        <f>F17*E24</f>
        <v>0.84</v>
      </c>
      <c r="G24" s="38"/>
      <c r="H24" s="307"/>
      <c r="I24" s="38"/>
      <c r="J24" s="70"/>
      <c r="K24" s="38"/>
      <c r="L24" s="70"/>
      <c r="M24" s="70"/>
    </row>
    <row r="25" spans="1:13" s="338" customFormat="1" ht="15.75">
      <c r="A25" s="247"/>
      <c r="B25" s="340" t="s">
        <v>20</v>
      </c>
      <c r="C25" s="339"/>
      <c r="D25" s="262" t="s">
        <v>0</v>
      </c>
      <c r="E25" s="348">
        <f>1.1*30.2</f>
        <v>33.22</v>
      </c>
      <c r="F25" s="307">
        <f>E25*F17</f>
        <v>11.626999999999999</v>
      </c>
      <c r="G25" s="262"/>
      <c r="H25" s="307"/>
      <c r="I25" s="309"/>
      <c r="J25" s="307"/>
      <c r="K25" s="308"/>
      <c r="L25" s="307"/>
      <c r="M25" s="70"/>
    </row>
    <row r="26" spans="1:13" s="96" customFormat="1" ht="40.5">
      <c r="A26" s="165">
        <v>3</v>
      </c>
      <c r="B26" s="166" t="s">
        <v>300</v>
      </c>
      <c r="C26" s="346" t="s">
        <v>299</v>
      </c>
      <c r="D26" s="165" t="s">
        <v>40</v>
      </c>
      <c r="E26" s="93"/>
      <c r="F26" s="344">
        <f>45/100</f>
        <v>0.45</v>
      </c>
      <c r="G26" s="343"/>
      <c r="H26" s="342"/>
      <c r="I26" s="343"/>
      <c r="J26" s="342"/>
      <c r="K26" s="343"/>
      <c r="L26" s="342"/>
      <c r="M26" s="342"/>
    </row>
    <row r="27" spans="1:13" s="261" customFormat="1" ht="13.5">
      <c r="A27" s="97"/>
      <c r="B27" s="98" t="s">
        <v>14</v>
      </c>
      <c r="C27" s="339"/>
      <c r="D27" s="38" t="s">
        <v>15</v>
      </c>
      <c r="E27" s="38">
        <f>401*1.1</f>
        <v>441.1</v>
      </c>
      <c r="F27" s="70">
        <f>F26*E27</f>
        <v>198.495</v>
      </c>
      <c r="G27" s="38"/>
      <c r="H27" s="70"/>
      <c r="I27" s="38"/>
      <c r="J27" s="70"/>
      <c r="K27" s="38"/>
      <c r="L27" s="70"/>
      <c r="M27" s="70"/>
    </row>
    <row r="28" spans="1:13" s="261" customFormat="1" ht="17.25" customHeight="1">
      <c r="A28" s="97"/>
      <c r="B28" s="98" t="s">
        <v>285</v>
      </c>
      <c r="C28" s="339"/>
      <c r="D28" s="38" t="s">
        <v>32</v>
      </c>
      <c r="E28" s="38">
        <f>202*1.1</f>
        <v>222.20000000000002</v>
      </c>
      <c r="F28" s="70">
        <f>F26*E28</f>
        <v>99.99000000000001</v>
      </c>
      <c r="G28" s="38"/>
      <c r="H28" s="70"/>
      <c r="I28" s="366"/>
      <c r="J28" s="366"/>
      <c r="K28" s="38"/>
      <c r="L28" s="70"/>
      <c r="M28" s="70"/>
    </row>
    <row r="29" spans="1:13" s="351" customFormat="1" ht="13.5">
      <c r="A29" s="355"/>
      <c r="B29" s="340" t="s">
        <v>25</v>
      </c>
      <c r="C29" s="339"/>
      <c r="D29" s="262" t="s">
        <v>0</v>
      </c>
      <c r="E29" s="309">
        <f>0.55*1.1</f>
        <v>0.6050000000000001</v>
      </c>
      <c r="F29" s="353">
        <f>E29*F26</f>
        <v>0.27225000000000005</v>
      </c>
      <c r="G29" s="309"/>
      <c r="H29" s="352"/>
      <c r="I29" s="309"/>
      <c r="J29" s="352"/>
      <c r="K29" s="309"/>
      <c r="L29" s="70"/>
      <c r="M29" s="70"/>
    </row>
    <row r="30" spans="1:13" s="261" customFormat="1" ht="13.5">
      <c r="A30" s="97"/>
      <c r="B30" s="341" t="s">
        <v>50</v>
      </c>
      <c r="C30" s="339"/>
      <c r="D30" s="38"/>
      <c r="E30" s="38"/>
      <c r="F30" s="70"/>
      <c r="G30" s="38"/>
      <c r="H30" s="70"/>
      <c r="I30" s="38"/>
      <c r="J30" s="70"/>
      <c r="K30" s="38"/>
      <c r="L30" s="70"/>
      <c r="M30" s="70"/>
    </row>
    <row r="31" spans="1:13" s="261" customFormat="1" ht="13.5">
      <c r="A31" s="97"/>
      <c r="B31" s="98" t="s">
        <v>298</v>
      </c>
      <c r="C31" s="339"/>
      <c r="D31" s="38" t="s">
        <v>17</v>
      </c>
      <c r="E31" s="38">
        <f>1.1*4.6</f>
        <v>5.06</v>
      </c>
      <c r="F31" s="70">
        <f>F26*E31</f>
        <v>2.2769999999999997</v>
      </c>
      <c r="G31" s="307"/>
      <c r="H31" s="307"/>
      <c r="I31" s="309"/>
      <c r="J31" s="307"/>
      <c r="K31" s="308"/>
      <c r="L31" s="307"/>
      <c r="M31" s="70"/>
    </row>
    <row r="32" spans="1:13" s="261" customFormat="1" ht="13.5">
      <c r="A32" s="97"/>
      <c r="B32" s="98" t="s">
        <v>297</v>
      </c>
      <c r="C32" s="339"/>
      <c r="D32" s="38" t="s">
        <v>26</v>
      </c>
      <c r="E32" s="38">
        <f>1.1*0.04</f>
        <v>0.044000000000000004</v>
      </c>
      <c r="F32" s="364">
        <f>F26*E32</f>
        <v>0.0198</v>
      </c>
      <c r="G32" s="69"/>
      <c r="H32" s="307"/>
      <c r="I32" s="309"/>
      <c r="J32" s="307"/>
      <c r="K32" s="308"/>
      <c r="L32" s="307"/>
      <c r="M32" s="70"/>
    </row>
    <row r="33" spans="1:13" s="261" customFormat="1" ht="13.5">
      <c r="A33" s="97"/>
      <c r="B33" s="98" t="s">
        <v>474</v>
      </c>
      <c r="C33" s="339"/>
      <c r="D33" s="38" t="s">
        <v>26</v>
      </c>
      <c r="E33" s="38">
        <v>4.5</v>
      </c>
      <c r="F33" s="70">
        <f>F26*E33</f>
        <v>2.025</v>
      </c>
      <c r="G33" s="38"/>
      <c r="H33" s="307"/>
      <c r="I33" s="38"/>
      <c r="J33" s="70"/>
      <c r="K33" s="38"/>
      <c r="L33" s="70"/>
      <c r="M33" s="70"/>
    </row>
    <row r="34" spans="1:13" s="338" customFormat="1" ht="15.75">
      <c r="A34" s="247"/>
      <c r="B34" s="340" t="s">
        <v>20</v>
      </c>
      <c r="C34" s="339"/>
      <c r="D34" s="262" t="s">
        <v>0</v>
      </c>
      <c r="E34" s="348">
        <f>1.1*30.2</f>
        <v>33.22</v>
      </c>
      <c r="F34" s="307">
        <f>E34*F26</f>
        <v>14.949</v>
      </c>
      <c r="G34" s="262"/>
      <c r="H34" s="307"/>
      <c r="I34" s="309"/>
      <c r="J34" s="307"/>
      <c r="K34" s="308"/>
      <c r="L34" s="307"/>
      <c r="M34" s="70"/>
    </row>
    <row r="35" spans="1:13" s="96" customFormat="1" ht="40.5">
      <c r="A35" s="165">
        <v>4</v>
      </c>
      <c r="B35" s="166" t="s">
        <v>366</v>
      </c>
      <c r="C35" s="346" t="s">
        <v>367</v>
      </c>
      <c r="D35" s="165" t="s">
        <v>40</v>
      </c>
      <c r="E35" s="93"/>
      <c r="F35" s="344">
        <f>35/100</f>
        <v>0.35</v>
      </c>
      <c r="G35" s="343"/>
      <c r="H35" s="342"/>
      <c r="I35" s="343"/>
      <c r="J35" s="342"/>
      <c r="K35" s="343"/>
      <c r="L35" s="342"/>
      <c r="M35" s="342"/>
    </row>
    <row r="36" spans="1:13" s="261" customFormat="1" ht="13.5">
      <c r="A36" s="97"/>
      <c r="B36" s="98" t="s">
        <v>14</v>
      </c>
      <c r="C36" s="339"/>
      <c r="D36" s="38" t="s">
        <v>15</v>
      </c>
      <c r="E36" s="38">
        <f>599*1.1</f>
        <v>658.9000000000001</v>
      </c>
      <c r="F36" s="70">
        <f>F35*E36</f>
        <v>230.615</v>
      </c>
      <c r="G36" s="38"/>
      <c r="H36" s="70"/>
      <c r="I36" s="38"/>
      <c r="J36" s="70"/>
      <c r="K36" s="38"/>
      <c r="L36" s="70"/>
      <c r="M36" s="70"/>
    </row>
    <row r="37" spans="1:13" s="261" customFormat="1" ht="17.25" customHeight="1">
      <c r="A37" s="97"/>
      <c r="B37" s="98" t="s">
        <v>285</v>
      </c>
      <c r="C37" s="339"/>
      <c r="D37" s="38" t="s">
        <v>32</v>
      </c>
      <c r="E37" s="38">
        <f>305*1.1</f>
        <v>335.5</v>
      </c>
      <c r="F37" s="70">
        <f>F35*E37</f>
        <v>117.425</v>
      </c>
      <c r="G37" s="38"/>
      <c r="H37" s="70"/>
      <c r="I37" s="366"/>
      <c r="J37" s="366"/>
      <c r="K37" s="38"/>
      <c r="L37" s="70"/>
      <c r="M37" s="70"/>
    </row>
    <row r="38" spans="1:13" s="351" customFormat="1" ht="13.5">
      <c r="A38" s="355"/>
      <c r="B38" s="340" t="s">
        <v>25</v>
      </c>
      <c r="C38" s="339"/>
      <c r="D38" s="262" t="s">
        <v>0</v>
      </c>
      <c r="E38" s="309">
        <f>0.89*1.1</f>
        <v>0.9790000000000001</v>
      </c>
      <c r="F38" s="353">
        <f>E38*F35</f>
        <v>0.34265</v>
      </c>
      <c r="G38" s="309"/>
      <c r="H38" s="352"/>
      <c r="I38" s="309"/>
      <c r="J38" s="352"/>
      <c r="K38" s="309"/>
      <c r="L38" s="70"/>
      <c r="M38" s="70"/>
    </row>
    <row r="39" spans="1:13" s="261" customFormat="1" ht="13.5">
      <c r="A39" s="97"/>
      <c r="B39" s="341" t="s">
        <v>50</v>
      </c>
      <c r="C39" s="339"/>
      <c r="D39" s="38"/>
      <c r="E39" s="38"/>
      <c r="F39" s="70"/>
      <c r="G39" s="38"/>
      <c r="H39" s="70"/>
      <c r="I39" s="38"/>
      <c r="J39" s="70"/>
      <c r="K39" s="38"/>
      <c r="L39" s="70"/>
      <c r="M39" s="70"/>
    </row>
    <row r="40" spans="1:13" s="261" customFormat="1" ht="13.5">
      <c r="A40" s="97"/>
      <c r="B40" s="98" t="s">
        <v>298</v>
      </c>
      <c r="C40" s="339"/>
      <c r="D40" s="38" t="s">
        <v>17</v>
      </c>
      <c r="E40" s="38">
        <f>1.1*6.6</f>
        <v>7.26</v>
      </c>
      <c r="F40" s="70">
        <f>F35*E40</f>
        <v>2.541</v>
      </c>
      <c r="G40" s="307"/>
      <c r="H40" s="307"/>
      <c r="I40" s="309"/>
      <c r="J40" s="307"/>
      <c r="K40" s="308"/>
      <c r="L40" s="307"/>
      <c r="M40" s="70"/>
    </row>
    <row r="41" spans="1:13" s="261" customFormat="1" ht="13.5">
      <c r="A41" s="97"/>
      <c r="B41" s="98" t="s">
        <v>297</v>
      </c>
      <c r="C41" s="339"/>
      <c r="D41" s="38" t="s">
        <v>26</v>
      </c>
      <c r="E41" s="38">
        <f>1.1*0.06</f>
        <v>0.066</v>
      </c>
      <c r="F41" s="364">
        <f>F35*E41</f>
        <v>0.0231</v>
      </c>
      <c r="G41" s="69"/>
      <c r="H41" s="307"/>
      <c r="I41" s="309"/>
      <c r="J41" s="307"/>
      <c r="K41" s="308"/>
      <c r="L41" s="307"/>
      <c r="M41" s="70"/>
    </row>
    <row r="42" spans="1:13" s="261" customFormat="1" ht="13.5">
      <c r="A42" s="97"/>
      <c r="B42" s="98" t="s">
        <v>474</v>
      </c>
      <c r="C42" s="339"/>
      <c r="D42" s="38" t="s">
        <v>26</v>
      </c>
      <c r="E42" s="38">
        <v>7.5</v>
      </c>
      <c r="F42" s="70">
        <f>F35*E42</f>
        <v>2.625</v>
      </c>
      <c r="G42" s="38"/>
      <c r="H42" s="307"/>
      <c r="I42" s="38"/>
      <c r="J42" s="70"/>
      <c r="K42" s="38"/>
      <c r="L42" s="70"/>
      <c r="M42" s="70"/>
    </row>
    <row r="43" spans="1:13" s="338" customFormat="1" ht="15.75">
      <c r="A43" s="247"/>
      <c r="B43" s="340" t="s">
        <v>20</v>
      </c>
      <c r="C43" s="339"/>
      <c r="D43" s="262" t="s">
        <v>0</v>
      </c>
      <c r="E43" s="348">
        <f>1.1*49</f>
        <v>53.900000000000006</v>
      </c>
      <c r="F43" s="307">
        <f>E43*F35</f>
        <v>18.865000000000002</v>
      </c>
      <c r="G43" s="262"/>
      <c r="H43" s="307"/>
      <c r="I43" s="309"/>
      <c r="J43" s="307"/>
      <c r="K43" s="308"/>
      <c r="L43" s="307"/>
      <c r="M43" s="70"/>
    </row>
    <row r="44" spans="1:13" s="96" customFormat="1" ht="40.5">
      <c r="A44" s="165">
        <v>5</v>
      </c>
      <c r="B44" s="166" t="s">
        <v>368</v>
      </c>
      <c r="C44" s="346" t="s">
        <v>369</v>
      </c>
      <c r="D44" s="165" t="s">
        <v>40</v>
      </c>
      <c r="E44" s="93"/>
      <c r="F44" s="344">
        <f>20/100</f>
        <v>0.2</v>
      </c>
      <c r="G44" s="343"/>
      <c r="H44" s="342"/>
      <c r="I44" s="343"/>
      <c r="J44" s="342"/>
      <c r="K44" s="343"/>
      <c r="L44" s="342"/>
      <c r="M44" s="342"/>
    </row>
    <row r="45" spans="1:13" s="261" customFormat="1" ht="13.5">
      <c r="A45" s="97"/>
      <c r="B45" s="98" t="s">
        <v>14</v>
      </c>
      <c r="C45" s="339"/>
      <c r="D45" s="38" t="s">
        <v>15</v>
      </c>
      <c r="E45" s="38">
        <f>872*1.1</f>
        <v>959.2</v>
      </c>
      <c r="F45" s="70">
        <f>F44*E45</f>
        <v>191.84000000000003</v>
      </c>
      <c r="G45" s="38"/>
      <c r="H45" s="70"/>
      <c r="I45" s="38"/>
      <c r="J45" s="70"/>
      <c r="K45" s="38"/>
      <c r="L45" s="70"/>
      <c r="M45" s="70"/>
    </row>
    <row r="46" spans="1:13" s="261" customFormat="1" ht="17.25" customHeight="1">
      <c r="A46" s="97"/>
      <c r="B46" s="98" t="s">
        <v>285</v>
      </c>
      <c r="C46" s="339"/>
      <c r="D46" s="38" t="s">
        <v>32</v>
      </c>
      <c r="E46" s="38">
        <f>447*1.1</f>
        <v>491.70000000000005</v>
      </c>
      <c r="F46" s="70">
        <f>F44*E46</f>
        <v>98.34000000000002</v>
      </c>
      <c r="G46" s="38"/>
      <c r="H46" s="70"/>
      <c r="I46" s="366"/>
      <c r="J46" s="366"/>
      <c r="K46" s="38"/>
      <c r="L46" s="70"/>
      <c r="M46" s="70"/>
    </row>
    <row r="47" spans="1:13" s="351" customFormat="1" ht="13.5">
      <c r="A47" s="355"/>
      <c r="B47" s="340" t="s">
        <v>25</v>
      </c>
      <c r="C47" s="339"/>
      <c r="D47" s="262" t="s">
        <v>0</v>
      </c>
      <c r="E47" s="309">
        <f>1.43*1.1</f>
        <v>1.573</v>
      </c>
      <c r="F47" s="353">
        <f>E47*F44</f>
        <v>0.3146</v>
      </c>
      <c r="G47" s="309"/>
      <c r="H47" s="352"/>
      <c r="I47" s="309"/>
      <c r="J47" s="352"/>
      <c r="K47" s="309"/>
      <c r="L47" s="70"/>
      <c r="M47" s="70"/>
    </row>
    <row r="48" spans="1:13" s="261" customFormat="1" ht="13.5">
      <c r="A48" s="97"/>
      <c r="B48" s="341" t="s">
        <v>50</v>
      </c>
      <c r="C48" s="339"/>
      <c r="D48" s="38"/>
      <c r="E48" s="38"/>
      <c r="F48" s="70"/>
      <c r="G48" s="38"/>
      <c r="H48" s="70"/>
      <c r="I48" s="38"/>
      <c r="J48" s="70"/>
      <c r="K48" s="38"/>
      <c r="L48" s="70"/>
      <c r="M48" s="70"/>
    </row>
    <row r="49" spans="1:13" s="261" customFormat="1" ht="13.5">
      <c r="A49" s="97"/>
      <c r="B49" s="98" t="s">
        <v>298</v>
      </c>
      <c r="C49" s="339"/>
      <c r="D49" s="38" t="s">
        <v>17</v>
      </c>
      <c r="E49" s="38">
        <f>1.1*10</f>
        <v>11</v>
      </c>
      <c r="F49" s="70">
        <f>F44*E49</f>
        <v>2.2</v>
      </c>
      <c r="G49" s="307"/>
      <c r="H49" s="307"/>
      <c r="I49" s="309"/>
      <c r="J49" s="307"/>
      <c r="K49" s="308"/>
      <c r="L49" s="307"/>
      <c r="M49" s="70"/>
    </row>
    <row r="50" spans="1:13" s="261" customFormat="1" ht="13.5">
      <c r="A50" s="97"/>
      <c r="B50" s="98" t="s">
        <v>297</v>
      </c>
      <c r="C50" s="339"/>
      <c r="D50" s="38" t="s">
        <v>26</v>
      </c>
      <c r="E50" s="38">
        <f>1.1*0.09</f>
        <v>0.099</v>
      </c>
      <c r="F50" s="364">
        <f>F44*E50</f>
        <v>0.0198</v>
      </c>
      <c r="G50" s="69"/>
      <c r="H50" s="307"/>
      <c r="I50" s="309"/>
      <c r="J50" s="307"/>
      <c r="K50" s="308"/>
      <c r="L50" s="307"/>
      <c r="M50" s="70"/>
    </row>
    <row r="51" spans="1:13" s="261" customFormat="1" ht="13.5">
      <c r="A51" s="97"/>
      <c r="B51" s="98" t="s">
        <v>474</v>
      </c>
      <c r="C51" s="339"/>
      <c r="D51" s="38" t="s">
        <v>26</v>
      </c>
      <c r="E51" s="38">
        <v>11</v>
      </c>
      <c r="F51" s="70">
        <f>F44*E51</f>
        <v>2.2</v>
      </c>
      <c r="G51" s="38"/>
      <c r="H51" s="307"/>
      <c r="I51" s="38"/>
      <c r="J51" s="70"/>
      <c r="K51" s="38"/>
      <c r="L51" s="70"/>
      <c r="M51" s="70"/>
    </row>
    <row r="52" spans="1:13" s="338" customFormat="1" ht="15.75">
      <c r="A52" s="247"/>
      <c r="B52" s="340" t="s">
        <v>20</v>
      </c>
      <c r="C52" s="339"/>
      <c r="D52" s="262" t="s">
        <v>0</v>
      </c>
      <c r="E52" s="348">
        <f>1.1*66.5</f>
        <v>73.15</v>
      </c>
      <c r="F52" s="307">
        <f>E52*F44</f>
        <v>14.630000000000003</v>
      </c>
      <c r="G52" s="262"/>
      <c r="H52" s="307"/>
      <c r="I52" s="309"/>
      <c r="J52" s="307"/>
      <c r="K52" s="308"/>
      <c r="L52" s="307"/>
      <c r="M52" s="70"/>
    </row>
    <row r="53" spans="1:13" s="96" customFormat="1" ht="27">
      <c r="A53" s="165">
        <v>6</v>
      </c>
      <c r="B53" s="166" t="s">
        <v>370</v>
      </c>
      <c r="C53" s="346" t="s">
        <v>296</v>
      </c>
      <c r="D53" s="165" t="s">
        <v>40</v>
      </c>
      <c r="E53" s="93"/>
      <c r="F53" s="344">
        <f>150/100</f>
        <v>1.5</v>
      </c>
      <c r="G53" s="343"/>
      <c r="H53" s="342"/>
      <c r="I53" s="343"/>
      <c r="J53" s="342"/>
      <c r="K53" s="343"/>
      <c r="L53" s="342"/>
      <c r="M53" s="342"/>
    </row>
    <row r="54" spans="1:13" s="261" customFormat="1" ht="13.5">
      <c r="A54" s="97"/>
      <c r="B54" s="98" t="s">
        <v>14</v>
      </c>
      <c r="C54" s="339"/>
      <c r="D54" s="38" t="s">
        <v>15</v>
      </c>
      <c r="E54" s="38">
        <v>13.9</v>
      </c>
      <c r="F54" s="70">
        <f>F53*E54</f>
        <v>20.85</v>
      </c>
      <c r="G54" s="38"/>
      <c r="H54" s="70"/>
      <c r="I54" s="38"/>
      <c r="J54" s="70"/>
      <c r="K54" s="38"/>
      <c r="L54" s="70"/>
      <c r="M54" s="70"/>
    </row>
    <row r="55" spans="1:13" s="351" customFormat="1" ht="13.5">
      <c r="A55" s="355"/>
      <c r="B55" s="340" t="s">
        <v>294</v>
      </c>
      <c r="C55" s="339"/>
      <c r="D55" s="262" t="s">
        <v>32</v>
      </c>
      <c r="E55" s="309">
        <v>6.32</v>
      </c>
      <c r="F55" s="353">
        <f>E55*F53</f>
        <v>9.48</v>
      </c>
      <c r="G55" s="309"/>
      <c r="H55" s="352"/>
      <c r="I55" s="309"/>
      <c r="J55" s="352"/>
      <c r="K55" s="38"/>
      <c r="L55" s="352"/>
      <c r="M55" s="70"/>
    </row>
    <row r="56" spans="1:13" s="261" customFormat="1" ht="13.5">
      <c r="A56" s="97"/>
      <c r="B56" s="341" t="s">
        <v>50</v>
      </c>
      <c r="C56" s="339"/>
      <c r="D56" s="38"/>
      <c r="E56" s="38"/>
      <c r="F56" s="70"/>
      <c r="G56" s="38"/>
      <c r="H56" s="70"/>
      <c r="I56" s="38"/>
      <c r="J56" s="70"/>
      <c r="K56" s="38"/>
      <c r="L56" s="70"/>
      <c r="M56" s="70"/>
    </row>
    <row r="57" spans="1:13" s="338" customFormat="1" ht="15.75">
      <c r="A57" s="247"/>
      <c r="B57" s="340" t="s">
        <v>371</v>
      </c>
      <c r="C57" s="339"/>
      <c r="D57" s="262" t="s">
        <v>17</v>
      </c>
      <c r="E57" s="310">
        <v>100</v>
      </c>
      <c r="F57" s="307">
        <f>F53*E57</f>
        <v>150</v>
      </c>
      <c r="G57" s="262"/>
      <c r="H57" s="307"/>
      <c r="I57" s="309"/>
      <c r="J57" s="307"/>
      <c r="K57" s="308"/>
      <c r="L57" s="307"/>
      <c r="M57" s="307"/>
    </row>
    <row r="58" spans="1:13" s="338" customFormat="1" ht="15.75">
      <c r="A58" s="247"/>
      <c r="B58" s="340" t="s">
        <v>20</v>
      </c>
      <c r="C58" s="339"/>
      <c r="D58" s="262" t="s">
        <v>0</v>
      </c>
      <c r="E58" s="310">
        <v>2.65</v>
      </c>
      <c r="F58" s="307">
        <f>E58*F53</f>
        <v>3.9749999999999996</v>
      </c>
      <c r="G58" s="262"/>
      <c r="H58" s="307"/>
      <c r="I58" s="309"/>
      <c r="J58" s="307"/>
      <c r="K58" s="308"/>
      <c r="L58" s="307"/>
      <c r="M58" s="307"/>
    </row>
    <row r="59" spans="1:13" s="96" customFormat="1" ht="40.5">
      <c r="A59" s="165">
        <v>8</v>
      </c>
      <c r="B59" s="166" t="s">
        <v>372</v>
      </c>
      <c r="C59" s="346" t="s">
        <v>295</v>
      </c>
      <c r="D59" s="165" t="s">
        <v>40</v>
      </c>
      <c r="E59" s="93"/>
      <c r="F59" s="344">
        <f>50/100</f>
        <v>0.5</v>
      </c>
      <c r="G59" s="343"/>
      <c r="H59" s="342"/>
      <c r="I59" s="343"/>
      <c r="J59" s="342"/>
      <c r="K59" s="343"/>
      <c r="L59" s="342"/>
      <c r="M59" s="342"/>
    </row>
    <row r="60" spans="1:13" s="261" customFormat="1" ht="13.5">
      <c r="A60" s="97"/>
      <c r="B60" s="98" t="s">
        <v>14</v>
      </c>
      <c r="C60" s="339"/>
      <c r="D60" s="38" t="s">
        <v>15</v>
      </c>
      <c r="E60" s="38">
        <v>13.9</v>
      </c>
      <c r="F60" s="70">
        <f>F59*E60</f>
        <v>6.95</v>
      </c>
      <c r="G60" s="38"/>
      <c r="H60" s="70"/>
      <c r="I60" s="38"/>
      <c r="J60" s="70"/>
      <c r="K60" s="38"/>
      <c r="L60" s="70"/>
      <c r="M60" s="70"/>
    </row>
    <row r="61" spans="1:13" s="351" customFormat="1" ht="13.5">
      <c r="A61" s="355"/>
      <c r="B61" s="340" t="s">
        <v>294</v>
      </c>
      <c r="C61" s="339"/>
      <c r="D61" s="262" t="s">
        <v>32</v>
      </c>
      <c r="E61" s="309">
        <v>6.32</v>
      </c>
      <c r="F61" s="353">
        <f>E61*F59</f>
        <v>3.16</v>
      </c>
      <c r="G61" s="309"/>
      <c r="H61" s="352"/>
      <c r="I61" s="309"/>
      <c r="J61" s="352"/>
      <c r="K61" s="38"/>
      <c r="L61" s="352"/>
      <c r="M61" s="70"/>
    </row>
    <row r="62" spans="1:13" s="261" customFormat="1" ht="13.5">
      <c r="A62" s="97"/>
      <c r="B62" s="341" t="s">
        <v>50</v>
      </c>
      <c r="C62" s="339"/>
      <c r="D62" s="38"/>
      <c r="E62" s="38"/>
      <c r="F62" s="70"/>
      <c r="G62" s="38"/>
      <c r="H62" s="70"/>
      <c r="I62" s="38"/>
      <c r="J62" s="70"/>
      <c r="K62" s="38"/>
      <c r="L62" s="70"/>
      <c r="M62" s="70"/>
    </row>
    <row r="63" spans="1:13" s="338" customFormat="1" ht="15.75">
      <c r="A63" s="247"/>
      <c r="B63" s="340" t="s">
        <v>373</v>
      </c>
      <c r="C63" s="339"/>
      <c r="D63" s="262" t="s">
        <v>17</v>
      </c>
      <c r="E63" s="310">
        <v>100</v>
      </c>
      <c r="F63" s="307">
        <f>F59*E63</f>
        <v>50</v>
      </c>
      <c r="G63" s="307"/>
      <c r="H63" s="307"/>
      <c r="I63" s="309"/>
      <c r="J63" s="307"/>
      <c r="K63" s="308"/>
      <c r="L63" s="307"/>
      <c r="M63" s="307"/>
    </row>
    <row r="64" spans="1:13" s="338" customFormat="1" ht="15.75">
      <c r="A64" s="247"/>
      <c r="B64" s="340" t="s">
        <v>20</v>
      </c>
      <c r="C64" s="339"/>
      <c r="D64" s="262" t="s">
        <v>0</v>
      </c>
      <c r="E64" s="310">
        <v>2.65</v>
      </c>
      <c r="F64" s="307">
        <f>E64*F59</f>
        <v>1.325</v>
      </c>
      <c r="G64" s="262"/>
      <c r="H64" s="307"/>
      <c r="I64" s="309"/>
      <c r="J64" s="307"/>
      <c r="K64" s="308"/>
      <c r="L64" s="307"/>
      <c r="M64" s="307"/>
    </row>
    <row r="65" spans="1:13" s="96" customFormat="1" ht="27">
      <c r="A65" s="165">
        <v>9</v>
      </c>
      <c r="B65" s="333" t="s">
        <v>293</v>
      </c>
      <c r="C65" s="346" t="s">
        <v>292</v>
      </c>
      <c r="D65" s="165" t="s">
        <v>291</v>
      </c>
      <c r="E65" s="93"/>
      <c r="F65" s="367">
        <f>200/10</f>
        <v>20</v>
      </c>
      <c r="G65" s="343"/>
      <c r="H65" s="342"/>
      <c r="I65" s="343"/>
      <c r="J65" s="342"/>
      <c r="K65" s="343"/>
      <c r="L65" s="342"/>
      <c r="M65" s="342"/>
    </row>
    <row r="66" spans="1:13" s="261" customFormat="1" ht="13.5">
      <c r="A66" s="97"/>
      <c r="B66" s="98" t="s">
        <v>14</v>
      </c>
      <c r="C66" s="339"/>
      <c r="D66" s="38" t="s">
        <v>15</v>
      </c>
      <c r="E66" s="38">
        <f>0.43*0.8</f>
        <v>0.34400000000000003</v>
      </c>
      <c r="F66" s="70">
        <f>F65*E66</f>
        <v>6.880000000000001</v>
      </c>
      <c r="G66" s="38"/>
      <c r="H66" s="70"/>
      <c r="I66" s="38"/>
      <c r="J66" s="70"/>
      <c r="K66" s="38"/>
      <c r="L66" s="70"/>
      <c r="M66" s="70"/>
    </row>
    <row r="67" spans="1:13" s="261" customFormat="1" ht="17.25" customHeight="1">
      <c r="A67" s="97"/>
      <c r="B67" s="98" t="s">
        <v>285</v>
      </c>
      <c r="C67" s="339"/>
      <c r="D67" s="38" t="s">
        <v>32</v>
      </c>
      <c r="E67" s="38">
        <f>0.22*0.8</f>
        <v>0.17600000000000002</v>
      </c>
      <c r="F67" s="70">
        <f>F65*E67</f>
        <v>3.5200000000000005</v>
      </c>
      <c r="G67" s="38"/>
      <c r="H67" s="70"/>
      <c r="I67" s="366"/>
      <c r="J67" s="366"/>
      <c r="K67" s="38"/>
      <c r="L67" s="70"/>
      <c r="M67" s="70"/>
    </row>
    <row r="68" spans="1:15" s="96" customFormat="1" ht="40.5">
      <c r="A68" s="165">
        <v>10</v>
      </c>
      <c r="B68" s="166" t="s">
        <v>290</v>
      </c>
      <c r="C68" s="145" t="s">
        <v>289</v>
      </c>
      <c r="D68" s="93" t="s">
        <v>23</v>
      </c>
      <c r="E68" s="93"/>
      <c r="F68" s="139">
        <v>4.8</v>
      </c>
      <c r="G68" s="94"/>
      <c r="H68" s="95"/>
      <c r="I68" s="93"/>
      <c r="J68" s="95"/>
      <c r="K68" s="93"/>
      <c r="L68" s="95"/>
      <c r="M68" s="120"/>
      <c r="N68" s="140"/>
      <c r="O68" s="140"/>
    </row>
    <row r="69" spans="1:15" s="99" customFormat="1" ht="13.5">
      <c r="A69" s="97"/>
      <c r="B69" s="98" t="s">
        <v>171</v>
      </c>
      <c r="C69" s="69"/>
      <c r="D69" s="38" t="s">
        <v>15</v>
      </c>
      <c r="E69" s="38">
        <f>92.7/10</f>
        <v>9.27</v>
      </c>
      <c r="F69" s="70">
        <f>F68*E69</f>
        <v>44.495999999999995</v>
      </c>
      <c r="G69" s="38"/>
      <c r="H69" s="70"/>
      <c r="I69" s="38"/>
      <c r="J69" s="70"/>
      <c r="K69" s="38"/>
      <c r="L69" s="70"/>
      <c r="M69" s="70"/>
      <c r="N69" s="141"/>
      <c r="O69" s="141"/>
    </row>
    <row r="70" spans="1:15" s="104" customFormat="1" ht="13.5">
      <c r="A70" s="19"/>
      <c r="B70" s="69" t="s">
        <v>16</v>
      </c>
      <c r="C70" s="101"/>
      <c r="D70" s="69"/>
      <c r="E70" s="69"/>
      <c r="F70" s="102"/>
      <c r="G70" s="69"/>
      <c r="H70" s="102"/>
      <c r="I70" s="38"/>
      <c r="J70" s="102"/>
      <c r="K70" s="103"/>
      <c r="L70" s="102"/>
      <c r="M70" s="102"/>
      <c r="N70" s="141"/>
      <c r="O70" s="141"/>
    </row>
    <row r="71" spans="1:15" s="104" customFormat="1" ht="13.5">
      <c r="A71" s="19"/>
      <c r="B71" s="105" t="s">
        <v>131</v>
      </c>
      <c r="C71" s="101"/>
      <c r="D71" s="69" t="s">
        <v>23</v>
      </c>
      <c r="E71" s="69">
        <f>10.1/10</f>
        <v>1.01</v>
      </c>
      <c r="F71" s="102">
        <f>E71*F68</f>
        <v>4.848</v>
      </c>
      <c r="G71" s="102"/>
      <c r="H71" s="102"/>
      <c r="I71" s="38"/>
      <c r="J71" s="102"/>
      <c r="K71" s="103"/>
      <c r="L71" s="102"/>
      <c r="M71" s="142"/>
      <c r="N71" s="141"/>
      <c r="O71" s="141"/>
    </row>
    <row r="72" spans="1:13" s="96" customFormat="1" ht="27">
      <c r="A72" s="165">
        <v>11</v>
      </c>
      <c r="B72" s="166" t="s">
        <v>288</v>
      </c>
      <c r="C72" s="346" t="s">
        <v>287</v>
      </c>
      <c r="D72" s="345" t="s">
        <v>286</v>
      </c>
      <c r="E72" s="93"/>
      <c r="F72" s="344">
        <v>2</v>
      </c>
      <c r="G72" s="343"/>
      <c r="H72" s="342"/>
      <c r="I72" s="343"/>
      <c r="J72" s="342"/>
      <c r="K72" s="343"/>
      <c r="L72" s="342"/>
      <c r="M72" s="342"/>
    </row>
    <row r="73" spans="1:13" s="261" customFormat="1" ht="13.5">
      <c r="A73" s="97"/>
      <c r="B73" s="98" t="s">
        <v>14</v>
      </c>
      <c r="C73" s="339"/>
      <c r="D73" s="38" t="s">
        <v>15</v>
      </c>
      <c r="E73" s="38">
        <v>31.4</v>
      </c>
      <c r="F73" s="70">
        <f>F72*E73</f>
        <v>62.8</v>
      </c>
      <c r="G73" s="38"/>
      <c r="H73" s="70"/>
      <c r="I73" s="38"/>
      <c r="J73" s="70"/>
      <c r="K73" s="38"/>
      <c r="L73" s="70"/>
      <c r="M73" s="70"/>
    </row>
    <row r="74" spans="1:13" s="261" customFormat="1" ht="17.25" customHeight="1">
      <c r="A74" s="97"/>
      <c r="B74" s="98" t="s">
        <v>285</v>
      </c>
      <c r="C74" s="339"/>
      <c r="D74" s="38" t="s">
        <v>32</v>
      </c>
      <c r="E74" s="38">
        <v>1.7</v>
      </c>
      <c r="F74" s="70">
        <f>F72*E74</f>
        <v>3.4</v>
      </c>
      <c r="G74" s="38"/>
      <c r="H74" s="70"/>
      <c r="I74" s="366"/>
      <c r="J74" s="366"/>
      <c r="K74" s="38"/>
      <c r="L74" s="70"/>
      <c r="M74" s="70"/>
    </row>
    <row r="75" spans="1:13" s="261" customFormat="1" ht="17.25" customHeight="1">
      <c r="A75" s="97"/>
      <c r="B75" s="98" t="s">
        <v>284</v>
      </c>
      <c r="C75" s="339"/>
      <c r="D75" s="38" t="s">
        <v>32</v>
      </c>
      <c r="E75" s="38">
        <v>24</v>
      </c>
      <c r="F75" s="70">
        <f>F72*E75</f>
        <v>48</v>
      </c>
      <c r="G75" s="38"/>
      <c r="H75" s="70"/>
      <c r="I75" s="366"/>
      <c r="J75" s="366"/>
      <c r="K75" s="38"/>
      <c r="L75" s="70"/>
      <c r="M75" s="70"/>
    </row>
    <row r="76" spans="1:13" s="463" customFormat="1" ht="13.5">
      <c r="A76" s="558" t="s">
        <v>10</v>
      </c>
      <c r="B76" s="559"/>
      <c r="C76" s="559"/>
      <c r="D76" s="559"/>
      <c r="E76" s="559"/>
      <c r="F76" s="559"/>
      <c r="G76" s="560"/>
      <c r="H76" s="435"/>
      <c r="I76" s="436"/>
      <c r="J76" s="436"/>
      <c r="K76" s="436"/>
      <c r="L76" s="436"/>
      <c r="M76" s="35"/>
    </row>
    <row r="77" spans="1:13" s="463" customFormat="1" ht="13.5">
      <c r="A77" s="555" t="s">
        <v>475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7"/>
      <c r="L77" s="14" t="s">
        <v>476</v>
      </c>
      <c r="M77" s="26"/>
    </row>
    <row r="78" spans="1:13" s="463" customFormat="1" ht="13.5">
      <c r="A78" s="558" t="s">
        <v>10</v>
      </c>
      <c r="B78" s="559"/>
      <c r="C78" s="559"/>
      <c r="D78" s="559"/>
      <c r="E78" s="559"/>
      <c r="F78" s="559"/>
      <c r="G78" s="559"/>
      <c r="H78" s="559"/>
      <c r="I78" s="559"/>
      <c r="J78" s="559"/>
      <c r="K78" s="559"/>
      <c r="L78" s="560"/>
      <c r="M78" s="36"/>
    </row>
    <row r="79" spans="1:13" s="463" customFormat="1" ht="13.5">
      <c r="A79" s="555" t="s">
        <v>22</v>
      </c>
      <c r="B79" s="556"/>
      <c r="C79" s="556"/>
      <c r="D79" s="556"/>
      <c r="E79" s="556"/>
      <c r="F79" s="556"/>
      <c r="G79" s="556"/>
      <c r="H79" s="556"/>
      <c r="I79" s="556"/>
      <c r="J79" s="556"/>
      <c r="K79" s="557"/>
      <c r="L79" s="14" t="s">
        <v>476</v>
      </c>
      <c r="M79" s="26"/>
    </row>
    <row r="80" spans="1:13" s="463" customFormat="1" ht="13.5">
      <c r="A80" s="558" t="s">
        <v>10</v>
      </c>
      <c r="B80" s="559"/>
      <c r="C80" s="559"/>
      <c r="D80" s="559"/>
      <c r="E80" s="559"/>
      <c r="F80" s="559"/>
      <c r="G80" s="559"/>
      <c r="H80" s="559"/>
      <c r="I80" s="559"/>
      <c r="J80" s="559"/>
      <c r="K80" s="559"/>
      <c r="L80" s="560"/>
      <c r="M80" s="36"/>
    </row>
    <row r="81" spans="1:13" s="463" customFormat="1" ht="14.25" thickBot="1">
      <c r="A81" s="555" t="s">
        <v>21</v>
      </c>
      <c r="B81" s="556"/>
      <c r="C81" s="556"/>
      <c r="D81" s="556"/>
      <c r="E81" s="556"/>
      <c r="F81" s="556"/>
      <c r="G81" s="556"/>
      <c r="H81" s="556"/>
      <c r="I81" s="556"/>
      <c r="J81" s="556"/>
      <c r="K81" s="557"/>
      <c r="L81" s="14" t="s">
        <v>476</v>
      </c>
      <c r="M81" s="437"/>
    </row>
    <row r="82" spans="1:13" s="463" customFormat="1" ht="14.25" thickBot="1">
      <c r="A82" s="561" t="s">
        <v>36</v>
      </c>
      <c r="B82" s="561"/>
      <c r="C82" s="561"/>
      <c r="D82" s="561"/>
      <c r="E82" s="561"/>
      <c r="F82" s="561"/>
      <c r="G82" s="561"/>
      <c r="H82" s="561"/>
      <c r="I82" s="561"/>
      <c r="J82" s="561"/>
      <c r="K82" s="561"/>
      <c r="L82" s="558"/>
      <c r="M82" s="438"/>
    </row>
    <row r="83" spans="1:13" s="463" customFormat="1" ht="13.5">
      <c r="A83" s="459"/>
      <c r="B83" s="459"/>
      <c r="C83" s="460"/>
      <c r="D83" s="459"/>
      <c r="E83" s="459"/>
      <c r="F83" s="459"/>
      <c r="G83" s="459"/>
      <c r="H83" s="459"/>
      <c r="I83" s="459"/>
      <c r="J83" s="459"/>
      <c r="K83" s="459"/>
      <c r="L83" s="459"/>
      <c r="M83" s="459"/>
    </row>
    <row r="84" spans="1:13" s="463" customFormat="1" ht="13.5">
      <c r="A84" s="459"/>
      <c r="B84" s="459"/>
      <c r="C84" s="460"/>
      <c r="D84" s="459"/>
      <c r="E84" s="459"/>
      <c r="F84" s="459"/>
      <c r="G84" s="459"/>
      <c r="H84" s="459"/>
      <c r="I84" s="459"/>
      <c r="J84" s="459"/>
      <c r="K84" s="459"/>
      <c r="L84" s="459"/>
      <c r="M84" s="459"/>
    </row>
    <row r="85" spans="1:13" s="463" customFormat="1" ht="13.5">
      <c r="A85" s="459"/>
      <c r="B85" s="459"/>
      <c r="C85" s="460"/>
      <c r="D85" s="459"/>
      <c r="E85" s="459"/>
      <c r="F85" s="459"/>
      <c r="G85" s="459"/>
      <c r="H85" s="459"/>
      <c r="I85" s="459"/>
      <c r="J85" s="459"/>
      <c r="K85" s="459"/>
      <c r="L85" s="459"/>
      <c r="M85" s="459"/>
    </row>
    <row r="86" spans="1:13" s="463" customFormat="1" ht="13.5">
      <c r="A86" s="459"/>
      <c r="B86" s="459"/>
      <c r="C86" s="460"/>
      <c r="D86" s="459"/>
      <c r="E86" s="459"/>
      <c r="F86" s="459"/>
      <c r="G86" s="459"/>
      <c r="H86" s="459"/>
      <c r="I86" s="459"/>
      <c r="J86" s="459"/>
      <c r="K86" s="459"/>
      <c r="L86" s="459"/>
      <c r="M86" s="459"/>
    </row>
    <row r="87" spans="1:13" s="463" customFormat="1" ht="13.5">
      <c r="A87" s="459"/>
      <c r="B87" s="459"/>
      <c r="C87" s="460"/>
      <c r="D87" s="459"/>
      <c r="E87" s="459"/>
      <c r="F87" s="459"/>
      <c r="G87" s="459"/>
      <c r="H87" s="459"/>
      <c r="I87" s="459"/>
      <c r="J87" s="459"/>
      <c r="K87" s="459"/>
      <c r="L87" s="459"/>
      <c r="M87" s="459"/>
    </row>
    <row r="88" spans="1:13" s="463" customFormat="1" ht="13.5">
      <c r="A88" s="459"/>
      <c r="B88" s="459"/>
      <c r="C88" s="460"/>
      <c r="D88" s="459"/>
      <c r="E88" s="459"/>
      <c r="F88" s="459"/>
      <c r="G88" s="459"/>
      <c r="H88" s="459"/>
      <c r="I88" s="459"/>
      <c r="J88" s="459"/>
      <c r="K88" s="459"/>
      <c r="L88" s="459"/>
      <c r="M88" s="459"/>
    </row>
    <row r="89" spans="1:13" s="463" customFormat="1" ht="13.5">
      <c r="A89" s="459"/>
      <c r="B89" s="459"/>
      <c r="C89" s="460"/>
      <c r="D89" s="459"/>
      <c r="E89" s="459"/>
      <c r="F89" s="459"/>
      <c r="G89" s="459"/>
      <c r="H89" s="459"/>
      <c r="I89" s="459"/>
      <c r="J89" s="459"/>
      <c r="K89" s="459"/>
      <c r="L89" s="459"/>
      <c r="M89" s="459"/>
    </row>
    <row r="90" spans="1:13" s="463" customFormat="1" ht="13.5">
      <c r="A90" s="459"/>
      <c r="B90" s="459"/>
      <c r="C90" s="460"/>
      <c r="D90" s="459"/>
      <c r="E90" s="459"/>
      <c r="F90" s="459"/>
      <c r="G90" s="459"/>
      <c r="H90" s="459"/>
      <c r="I90" s="459"/>
      <c r="J90" s="459"/>
      <c r="K90" s="459"/>
      <c r="L90" s="459"/>
      <c r="M90" s="459"/>
    </row>
    <row r="91" spans="1:13" s="463" customFormat="1" ht="13.5">
      <c r="A91" s="459"/>
      <c r="B91" s="459"/>
      <c r="C91" s="460"/>
      <c r="D91" s="459"/>
      <c r="E91" s="459"/>
      <c r="F91" s="459"/>
      <c r="G91" s="459"/>
      <c r="H91" s="459"/>
      <c r="I91" s="459"/>
      <c r="J91" s="459"/>
      <c r="K91" s="459"/>
      <c r="L91" s="459"/>
      <c r="M91" s="459"/>
    </row>
  </sheetData>
  <sheetProtection/>
  <autoFilter ref="A1:A75"/>
  <mergeCells count="20">
    <mergeCell ref="D4:D5"/>
    <mergeCell ref="E4:E5"/>
    <mergeCell ref="F4:F5"/>
    <mergeCell ref="A7:M7"/>
    <mergeCell ref="G4:H4"/>
    <mergeCell ref="I4:J4"/>
    <mergeCell ref="K4:L4"/>
    <mergeCell ref="J1:M1"/>
    <mergeCell ref="B2:M2"/>
    <mergeCell ref="A3:M3"/>
    <mergeCell ref="A4:A5"/>
    <mergeCell ref="B4:B5"/>
    <mergeCell ref="C4:C5"/>
    <mergeCell ref="A82:L82"/>
    <mergeCell ref="A76:G76"/>
    <mergeCell ref="A77:K77"/>
    <mergeCell ref="A78:L78"/>
    <mergeCell ref="A79:K79"/>
    <mergeCell ref="A80:L80"/>
    <mergeCell ref="A81:K81"/>
  </mergeCells>
  <printOptions/>
  <pageMargins left="0.36" right="0.27" top="0.27" bottom="0.36" header="0.2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AK193"/>
  <sheetViews>
    <sheetView view="pageBreakPreview" zoomScale="110" zoomScaleNormal="85" zoomScaleSheetLayoutView="110" workbookViewId="0" topLeftCell="A1">
      <pane xSplit="1" ySplit="6" topLeftCell="B196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A168" sqref="A168:M174"/>
    </sheetView>
  </sheetViews>
  <sheetFormatPr defaultColWidth="9.140625" defaultRowHeight="12.75"/>
  <cols>
    <col min="1" max="1" width="3.28125" style="292" customWidth="1"/>
    <col min="2" max="2" width="42.57421875" style="292" customWidth="1"/>
    <col min="3" max="3" width="8.57421875" style="301" customWidth="1"/>
    <col min="4" max="4" width="8.28125" style="292" customWidth="1"/>
    <col min="5" max="5" width="8.421875" style="292" customWidth="1"/>
    <col min="6" max="6" width="9.7109375" style="292" customWidth="1"/>
    <col min="7" max="7" width="8.7109375" style="292" customWidth="1"/>
    <col min="8" max="8" width="10.28125" style="292" customWidth="1"/>
    <col min="9" max="9" width="8.57421875" style="292" customWidth="1"/>
    <col min="10" max="10" width="10.421875" style="292" customWidth="1"/>
    <col min="11" max="11" width="7.7109375" style="292" customWidth="1"/>
    <col min="12" max="12" width="10.7109375" style="292" customWidth="1"/>
    <col min="13" max="13" width="12.28125" style="292" customWidth="1"/>
    <col min="14" max="16384" width="9.140625" style="293" customWidth="1"/>
  </cols>
  <sheetData>
    <row r="1" spans="1:13" s="328" customFormat="1" ht="19.5" customHeight="1">
      <c r="A1" s="439"/>
      <c r="B1" s="439"/>
      <c r="C1" s="440"/>
      <c r="D1" s="439"/>
      <c r="E1" s="439"/>
      <c r="F1" s="439"/>
      <c r="G1" s="439"/>
      <c r="H1" s="439"/>
      <c r="I1" s="439"/>
      <c r="J1" s="562" t="s">
        <v>492</v>
      </c>
      <c r="K1" s="562"/>
      <c r="L1" s="562"/>
      <c r="M1" s="562"/>
    </row>
    <row r="2" spans="1:13" s="328" customFormat="1" ht="24" customHeight="1">
      <c r="A2" s="20"/>
      <c r="B2" s="550" t="s">
        <v>478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3" s="328" customFormat="1" ht="15.75">
      <c r="A3" s="572" t="s">
        <v>493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s="328" customFormat="1" ht="11.25">
      <c r="A4" s="598" t="s">
        <v>1</v>
      </c>
      <c r="B4" s="598" t="s">
        <v>3</v>
      </c>
      <c r="C4" s="598" t="s">
        <v>2</v>
      </c>
      <c r="D4" s="598" t="s">
        <v>4</v>
      </c>
      <c r="E4" s="598" t="s">
        <v>13</v>
      </c>
      <c r="F4" s="598" t="s">
        <v>5</v>
      </c>
      <c r="G4" s="603" t="s">
        <v>19</v>
      </c>
      <c r="H4" s="603"/>
      <c r="I4" s="603" t="s">
        <v>6</v>
      </c>
      <c r="J4" s="603"/>
      <c r="K4" s="598" t="s">
        <v>7</v>
      </c>
      <c r="L4" s="598"/>
      <c r="M4" s="329" t="s">
        <v>8</v>
      </c>
    </row>
    <row r="5" spans="1:13" s="328" customFormat="1" ht="11.25">
      <c r="A5" s="598"/>
      <c r="B5" s="598"/>
      <c r="C5" s="598"/>
      <c r="D5" s="598"/>
      <c r="E5" s="598"/>
      <c r="F5" s="598"/>
      <c r="G5" s="329" t="s">
        <v>9</v>
      </c>
      <c r="H5" s="332" t="s">
        <v>10</v>
      </c>
      <c r="I5" s="329" t="s">
        <v>9</v>
      </c>
      <c r="J5" s="332" t="s">
        <v>10</v>
      </c>
      <c r="K5" s="329" t="s">
        <v>9</v>
      </c>
      <c r="L5" s="332" t="s">
        <v>11</v>
      </c>
      <c r="M5" s="329" t="s">
        <v>12</v>
      </c>
    </row>
    <row r="6" spans="1:13" s="328" customFormat="1" ht="11.25">
      <c r="A6" s="331">
        <v>1</v>
      </c>
      <c r="B6" s="331">
        <v>2</v>
      </c>
      <c r="C6" s="331">
        <v>3</v>
      </c>
      <c r="D6" s="331">
        <v>4</v>
      </c>
      <c r="E6" s="331">
        <v>5</v>
      </c>
      <c r="F6" s="331">
        <v>6</v>
      </c>
      <c r="G6" s="329">
        <v>7</v>
      </c>
      <c r="H6" s="330">
        <v>8</v>
      </c>
      <c r="I6" s="329">
        <v>9</v>
      </c>
      <c r="J6" s="330">
        <v>10</v>
      </c>
      <c r="K6" s="329">
        <v>11</v>
      </c>
      <c r="L6" s="330">
        <v>12</v>
      </c>
      <c r="M6" s="329">
        <v>13</v>
      </c>
    </row>
    <row r="7" spans="1:13" s="264" customFormat="1" ht="21.75" customHeight="1">
      <c r="A7" s="604" t="s">
        <v>358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6"/>
    </row>
    <row r="8" spans="1:13" s="327" customFormat="1" ht="15.75">
      <c r="A8" s="582" t="s">
        <v>360</v>
      </c>
      <c r="B8" s="583"/>
      <c r="C8" s="583"/>
      <c r="D8" s="583"/>
      <c r="E8" s="583"/>
      <c r="F8" s="584"/>
      <c r="G8" s="445"/>
      <c r="H8" s="446"/>
      <c r="I8" s="445"/>
      <c r="J8" s="446"/>
      <c r="K8" s="445"/>
      <c r="L8" s="446"/>
      <c r="M8" s="445"/>
    </row>
    <row r="9" spans="1:13" s="314" customFormat="1" ht="27">
      <c r="A9" s="27">
        <v>1</v>
      </c>
      <c r="B9" s="326" t="s">
        <v>269</v>
      </c>
      <c r="C9" s="27" t="s">
        <v>268</v>
      </c>
      <c r="D9" s="27" t="s">
        <v>17</v>
      </c>
      <c r="E9" s="27"/>
      <c r="F9" s="27">
        <v>6</v>
      </c>
      <c r="G9" s="27"/>
      <c r="H9" s="27"/>
      <c r="I9" s="27"/>
      <c r="J9" s="27"/>
      <c r="K9" s="27"/>
      <c r="L9" s="27"/>
      <c r="M9" s="27"/>
    </row>
    <row r="10" spans="1:13" s="314" customFormat="1" ht="15.75">
      <c r="A10" s="325"/>
      <c r="B10" s="320" t="s">
        <v>14</v>
      </c>
      <c r="C10" s="324"/>
      <c r="D10" s="91" t="s">
        <v>15</v>
      </c>
      <c r="E10" s="91">
        <f>318/1000</f>
        <v>0.318</v>
      </c>
      <c r="F10" s="322">
        <f>F9*E10</f>
        <v>1.908</v>
      </c>
      <c r="G10" s="91"/>
      <c r="H10" s="322"/>
      <c r="I10" s="91"/>
      <c r="J10" s="322"/>
      <c r="K10" s="91"/>
      <c r="L10" s="322"/>
      <c r="M10" s="322"/>
    </row>
    <row r="11" spans="1:13" s="314" customFormat="1" ht="15.75">
      <c r="A11" s="325"/>
      <c r="B11" s="320" t="s">
        <v>25</v>
      </c>
      <c r="C11" s="324"/>
      <c r="D11" s="318" t="s">
        <v>0</v>
      </c>
      <c r="E11" s="91">
        <f>22.3/1000</f>
        <v>0.0223</v>
      </c>
      <c r="F11" s="323">
        <f>E11*F9</f>
        <v>0.1338</v>
      </c>
      <c r="G11" s="91"/>
      <c r="H11" s="322"/>
      <c r="I11" s="91"/>
      <c r="J11" s="322"/>
      <c r="K11" s="91"/>
      <c r="L11" s="322"/>
      <c r="M11" s="322"/>
    </row>
    <row r="12" spans="1:13" s="314" customFormat="1" ht="15.75">
      <c r="A12" s="51"/>
      <c r="B12" s="318" t="s">
        <v>16</v>
      </c>
      <c r="C12" s="319"/>
      <c r="D12" s="318"/>
      <c r="E12" s="318"/>
      <c r="F12" s="316"/>
      <c r="G12" s="318"/>
      <c r="H12" s="316"/>
      <c r="I12" s="91"/>
      <c r="J12" s="316"/>
      <c r="K12" s="317"/>
      <c r="L12" s="316"/>
      <c r="M12" s="316"/>
    </row>
    <row r="13" spans="1:13" s="314" customFormat="1" ht="15.75">
      <c r="A13" s="51"/>
      <c r="B13" s="321" t="s">
        <v>265</v>
      </c>
      <c r="C13" s="319"/>
      <c r="D13" s="318" t="s">
        <v>17</v>
      </c>
      <c r="E13" s="318">
        <f>998/1000</f>
        <v>0.998</v>
      </c>
      <c r="F13" s="316">
        <f>E13*F9</f>
        <v>5.9879999999999995</v>
      </c>
      <c r="G13" s="102"/>
      <c r="H13" s="316"/>
      <c r="I13" s="91"/>
      <c r="J13" s="316"/>
      <c r="K13" s="317"/>
      <c r="L13" s="316"/>
      <c r="M13" s="316"/>
    </row>
    <row r="14" spans="1:13" s="314" customFormat="1" ht="15.75">
      <c r="A14" s="51"/>
      <c r="B14" s="320" t="s">
        <v>20</v>
      </c>
      <c r="C14" s="319"/>
      <c r="D14" s="318" t="s">
        <v>0</v>
      </c>
      <c r="E14" s="318">
        <f>54.8/1000</f>
        <v>0.054799999999999995</v>
      </c>
      <c r="F14" s="315">
        <f>E14*F9</f>
        <v>0.3288</v>
      </c>
      <c r="G14" s="69"/>
      <c r="H14" s="315"/>
      <c r="I14" s="91"/>
      <c r="J14" s="316"/>
      <c r="K14" s="317"/>
      <c r="L14" s="316"/>
      <c r="M14" s="315"/>
    </row>
    <row r="15" spans="1:13" s="314" customFormat="1" ht="27">
      <c r="A15" s="27">
        <v>2</v>
      </c>
      <c r="B15" s="326" t="s">
        <v>267</v>
      </c>
      <c r="C15" s="27" t="s">
        <v>266</v>
      </c>
      <c r="D15" s="27" t="s">
        <v>17</v>
      </c>
      <c r="E15" s="27"/>
      <c r="F15" s="27">
        <v>1</v>
      </c>
      <c r="G15" s="27"/>
      <c r="H15" s="27"/>
      <c r="I15" s="27"/>
      <c r="J15" s="27"/>
      <c r="K15" s="27"/>
      <c r="L15" s="27"/>
      <c r="M15" s="27"/>
    </row>
    <row r="16" spans="1:13" s="314" customFormat="1" ht="15.75">
      <c r="A16" s="325"/>
      <c r="B16" s="320" t="s">
        <v>14</v>
      </c>
      <c r="C16" s="324"/>
      <c r="D16" s="91" t="s">
        <v>15</v>
      </c>
      <c r="E16" s="91">
        <f>594/1000</f>
        <v>0.594</v>
      </c>
      <c r="F16" s="322">
        <f>F15*E16</f>
        <v>0.594</v>
      </c>
      <c r="G16" s="91"/>
      <c r="H16" s="322"/>
      <c r="I16" s="91"/>
      <c r="J16" s="322"/>
      <c r="K16" s="91"/>
      <c r="L16" s="322"/>
      <c r="M16" s="322"/>
    </row>
    <row r="17" spans="1:13" s="314" customFormat="1" ht="15.75">
      <c r="A17" s="325"/>
      <c r="B17" s="320" t="s">
        <v>25</v>
      </c>
      <c r="C17" s="324"/>
      <c r="D17" s="318" t="s">
        <v>0</v>
      </c>
      <c r="E17" s="91">
        <f>282/1000</f>
        <v>0.282</v>
      </c>
      <c r="F17" s="323">
        <f>E17*F15</f>
        <v>0.282</v>
      </c>
      <c r="G17" s="91"/>
      <c r="H17" s="322"/>
      <c r="I17" s="91"/>
      <c r="J17" s="322"/>
      <c r="K17" s="91"/>
      <c r="L17" s="322"/>
      <c r="M17" s="322"/>
    </row>
    <row r="18" spans="1:13" s="314" customFormat="1" ht="15.75">
      <c r="A18" s="51"/>
      <c r="B18" s="318" t="s">
        <v>16</v>
      </c>
      <c r="C18" s="319"/>
      <c r="D18" s="318"/>
      <c r="E18" s="318"/>
      <c r="F18" s="316"/>
      <c r="G18" s="318"/>
      <c r="H18" s="316"/>
      <c r="I18" s="91"/>
      <c r="J18" s="316"/>
      <c r="K18" s="317"/>
      <c r="L18" s="316"/>
      <c r="M18" s="316"/>
    </row>
    <row r="19" spans="1:13" s="314" customFormat="1" ht="15.75">
      <c r="A19" s="51"/>
      <c r="B19" s="321" t="s">
        <v>265</v>
      </c>
      <c r="C19" s="319"/>
      <c r="D19" s="318" t="s">
        <v>17</v>
      </c>
      <c r="E19" s="318">
        <f>995/1000</f>
        <v>0.995</v>
      </c>
      <c r="F19" s="316">
        <f>E19*F15</f>
        <v>0.995</v>
      </c>
      <c r="G19" s="102"/>
      <c r="H19" s="316"/>
      <c r="I19" s="91"/>
      <c r="J19" s="316"/>
      <c r="K19" s="317"/>
      <c r="L19" s="316"/>
      <c r="M19" s="316"/>
    </row>
    <row r="20" spans="1:13" s="314" customFormat="1" ht="15.75">
      <c r="A20" s="51"/>
      <c r="B20" s="320" t="s">
        <v>20</v>
      </c>
      <c r="C20" s="319"/>
      <c r="D20" s="318" t="s">
        <v>0</v>
      </c>
      <c r="E20" s="318">
        <f>140/1000</f>
        <v>0.14</v>
      </c>
      <c r="F20" s="315">
        <f>E20*F15</f>
        <v>0.14</v>
      </c>
      <c r="G20" s="69"/>
      <c r="H20" s="315"/>
      <c r="I20" s="91"/>
      <c r="J20" s="316"/>
      <c r="K20" s="317"/>
      <c r="L20" s="316"/>
      <c r="M20" s="315"/>
    </row>
    <row r="21" spans="1:17" s="132" customFormat="1" ht="27">
      <c r="A21" s="92">
        <v>3</v>
      </c>
      <c r="B21" s="143" t="s">
        <v>264</v>
      </c>
      <c r="C21" s="27" t="s">
        <v>134</v>
      </c>
      <c r="D21" s="27" t="s">
        <v>48</v>
      </c>
      <c r="E21" s="27"/>
      <c r="F21" s="27">
        <v>0.001</v>
      </c>
      <c r="G21" s="27"/>
      <c r="H21" s="27"/>
      <c r="I21" s="27"/>
      <c r="J21" s="27"/>
      <c r="K21" s="27"/>
      <c r="L21" s="27"/>
      <c r="M21" s="27"/>
      <c r="O21" s="133"/>
      <c r="P21" s="133"/>
      <c r="Q21" s="133"/>
    </row>
    <row r="22" spans="1:16" s="99" customFormat="1" ht="15" customHeight="1">
      <c r="A22" s="97"/>
      <c r="B22" s="98" t="s">
        <v>14</v>
      </c>
      <c r="C22" s="69"/>
      <c r="D22" s="38" t="s">
        <v>15</v>
      </c>
      <c r="E22" s="38">
        <v>305</v>
      </c>
      <c r="F22" s="70">
        <f>F21*E22</f>
        <v>0.305</v>
      </c>
      <c r="G22" s="38"/>
      <c r="H22" s="70"/>
      <c r="I22" s="38"/>
      <c r="J22" s="70"/>
      <c r="K22" s="38"/>
      <c r="L22" s="70"/>
      <c r="M22" s="118"/>
      <c r="N22" s="160"/>
      <c r="O22" s="141"/>
      <c r="P22" s="141"/>
    </row>
    <row r="23" spans="1:16" s="99" customFormat="1" ht="15" customHeight="1">
      <c r="A23" s="97"/>
      <c r="B23" s="98" t="s">
        <v>25</v>
      </c>
      <c r="C23" s="69"/>
      <c r="D23" s="69" t="s">
        <v>0</v>
      </c>
      <c r="E23" s="38">
        <v>162</v>
      </c>
      <c r="F23" s="100">
        <f>E23*F21</f>
        <v>0.162</v>
      </c>
      <c r="G23" s="38"/>
      <c r="H23" s="70"/>
      <c r="I23" s="38"/>
      <c r="J23" s="70"/>
      <c r="K23" s="38"/>
      <c r="L23" s="70"/>
      <c r="M23" s="118"/>
      <c r="N23" s="160"/>
      <c r="O23" s="141"/>
      <c r="P23" s="141"/>
    </row>
    <row r="24" spans="1:16" s="104" customFormat="1" ht="15" customHeight="1">
      <c r="A24" s="19"/>
      <c r="B24" s="69" t="s">
        <v>16</v>
      </c>
      <c r="C24" s="101"/>
      <c r="D24" s="69"/>
      <c r="E24" s="69"/>
      <c r="F24" s="102"/>
      <c r="G24" s="69"/>
      <c r="H24" s="102"/>
      <c r="I24" s="38"/>
      <c r="J24" s="102"/>
      <c r="K24" s="103"/>
      <c r="L24" s="102"/>
      <c r="M24" s="142"/>
      <c r="N24" s="161"/>
      <c r="O24" s="141"/>
      <c r="P24" s="141"/>
    </row>
    <row r="25" spans="1:16" s="104" customFormat="1" ht="15" customHeight="1">
      <c r="A25" s="247"/>
      <c r="B25" s="312" t="s">
        <v>263</v>
      </c>
      <c r="C25" s="311"/>
      <c r="D25" s="262" t="s">
        <v>48</v>
      </c>
      <c r="E25" s="262">
        <v>1</v>
      </c>
      <c r="F25" s="313">
        <f>E25*F21</f>
        <v>0.001</v>
      </c>
      <c r="G25" s="307"/>
      <c r="H25" s="307"/>
      <c r="I25" s="309"/>
      <c r="J25" s="307"/>
      <c r="K25" s="308"/>
      <c r="L25" s="307"/>
      <c r="M25" s="306"/>
      <c r="N25" s="161"/>
      <c r="O25" s="141"/>
      <c r="P25" s="141"/>
    </row>
    <row r="26" spans="1:16" s="104" customFormat="1" ht="15" customHeight="1">
      <c r="A26" s="19"/>
      <c r="B26" s="98" t="s">
        <v>20</v>
      </c>
      <c r="C26" s="101"/>
      <c r="D26" s="69" t="s">
        <v>0</v>
      </c>
      <c r="E26" s="69">
        <v>49.2</v>
      </c>
      <c r="F26" s="102">
        <f>E26*F21</f>
        <v>0.0492</v>
      </c>
      <c r="G26" s="69"/>
      <c r="H26" s="102"/>
      <c r="I26" s="38"/>
      <c r="J26" s="102"/>
      <c r="K26" s="103"/>
      <c r="L26" s="102"/>
      <c r="M26" s="142"/>
      <c r="N26" s="161"/>
      <c r="O26" s="141"/>
      <c r="P26" s="141"/>
    </row>
    <row r="27" spans="1:17" s="132" customFormat="1" ht="27">
      <c r="A27" s="92">
        <v>4</v>
      </c>
      <c r="B27" s="143" t="s">
        <v>262</v>
      </c>
      <c r="C27" s="27" t="s">
        <v>134</v>
      </c>
      <c r="D27" s="27" t="s">
        <v>48</v>
      </c>
      <c r="E27" s="27"/>
      <c r="F27" s="27">
        <f>0.0005*3</f>
        <v>0.0015</v>
      </c>
      <c r="G27" s="27"/>
      <c r="H27" s="27"/>
      <c r="I27" s="27"/>
      <c r="J27" s="27"/>
      <c r="K27" s="27"/>
      <c r="L27" s="27"/>
      <c r="M27" s="27"/>
      <c r="O27" s="133"/>
      <c r="P27" s="133"/>
      <c r="Q27" s="133"/>
    </row>
    <row r="28" spans="1:16" s="99" customFormat="1" ht="15" customHeight="1">
      <c r="A28" s="97"/>
      <c r="B28" s="98" t="s">
        <v>14</v>
      </c>
      <c r="C28" s="69"/>
      <c r="D28" s="38" t="s">
        <v>15</v>
      </c>
      <c r="E28" s="38">
        <v>305</v>
      </c>
      <c r="F28" s="70">
        <f>F27*E28</f>
        <v>0.4575</v>
      </c>
      <c r="G28" s="38"/>
      <c r="H28" s="70"/>
      <c r="I28" s="38"/>
      <c r="J28" s="70"/>
      <c r="K28" s="38"/>
      <c r="L28" s="70"/>
      <c r="M28" s="118"/>
      <c r="N28" s="160"/>
      <c r="O28" s="141"/>
      <c r="P28" s="141"/>
    </row>
    <row r="29" spans="1:16" s="99" customFormat="1" ht="15" customHeight="1">
      <c r="A29" s="97"/>
      <c r="B29" s="98" t="s">
        <v>25</v>
      </c>
      <c r="C29" s="69"/>
      <c r="D29" s="69" t="s">
        <v>0</v>
      </c>
      <c r="E29" s="38">
        <v>162</v>
      </c>
      <c r="F29" s="100">
        <f>E29*F27</f>
        <v>0.243</v>
      </c>
      <c r="G29" s="38"/>
      <c r="H29" s="70"/>
      <c r="I29" s="38"/>
      <c r="J29" s="70"/>
      <c r="K29" s="38"/>
      <c r="L29" s="70"/>
      <c r="M29" s="118"/>
      <c r="N29" s="160"/>
      <c r="O29" s="141"/>
      <c r="P29" s="141"/>
    </row>
    <row r="30" spans="1:16" s="104" customFormat="1" ht="15" customHeight="1">
      <c r="A30" s="19"/>
      <c r="B30" s="69" t="s">
        <v>16</v>
      </c>
      <c r="C30" s="101"/>
      <c r="D30" s="69"/>
      <c r="E30" s="69"/>
      <c r="F30" s="102"/>
      <c r="G30" s="69"/>
      <c r="H30" s="102"/>
      <c r="I30" s="38"/>
      <c r="J30" s="102"/>
      <c r="K30" s="103"/>
      <c r="L30" s="102"/>
      <c r="M30" s="142"/>
      <c r="N30" s="161"/>
      <c r="O30" s="141"/>
      <c r="P30" s="141"/>
    </row>
    <row r="31" spans="1:16" s="104" customFormat="1" ht="15" customHeight="1">
      <c r="A31" s="247"/>
      <c r="B31" s="312" t="s">
        <v>261</v>
      </c>
      <c r="C31" s="311"/>
      <c r="D31" s="262" t="s">
        <v>48</v>
      </c>
      <c r="E31" s="262">
        <v>1</v>
      </c>
      <c r="F31" s="313">
        <f>E31*F27</f>
        <v>0.0015</v>
      </c>
      <c r="G31" s="307"/>
      <c r="H31" s="307"/>
      <c r="I31" s="309"/>
      <c r="J31" s="307"/>
      <c r="K31" s="308"/>
      <c r="L31" s="307"/>
      <c r="M31" s="306"/>
      <c r="N31" s="161"/>
      <c r="O31" s="141"/>
      <c r="P31" s="141"/>
    </row>
    <row r="32" spans="1:16" s="104" customFormat="1" ht="15" customHeight="1">
      <c r="A32" s="19"/>
      <c r="B32" s="98" t="s">
        <v>20</v>
      </c>
      <c r="C32" s="101"/>
      <c r="D32" s="69" t="s">
        <v>0</v>
      </c>
      <c r="E32" s="69">
        <v>49.2</v>
      </c>
      <c r="F32" s="102">
        <f>E32*F27</f>
        <v>0.0738</v>
      </c>
      <c r="G32" s="69"/>
      <c r="H32" s="102"/>
      <c r="I32" s="38"/>
      <c r="J32" s="102"/>
      <c r="K32" s="103"/>
      <c r="L32" s="102"/>
      <c r="M32" s="142"/>
      <c r="N32" s="161"/>
      <c r="O32" s="141"/>
      <c r="P32" s="141"/>
    </row>
    <row r="33" spans="1:17" s="132" customFormat="1" ht="27">
      <c r="A33" s="92">
        <v>5</v>
      </c>
      <c r="B33" s="326" t="s">
        <v>270</v>
      </c>
      <c r="C33" s="27" t="s">
        <v>134</v>
      </c>
      <c r="D33" s="27" t="s">
        <v>48</v>
      </c>
      <c r="E33" s="27"/>
      <c r="F33" s="27">
        <f>0.9/1000</f>
        <v>0.0009</v>
      </c>
      <c r="G33" s="27"/>
      <c r="H33" s="27"/>
      <c r="I33" s="27"/>
      <c r="J33" s="27"/>
      <c r="K33" s="27"/>
      <c r="L33" s="27"/>
      <c r="M33" s="27"/>
      <c r="O33" s="133"/>
      <c r="P33" s="133"/>
      <c r="Q33" s="133"/>
    </row>
    <row r="34" spans="1:16" s="99" customFormat="1" ht="15" customHeight="1">
      <c r="A34" s="97"/>
      <c r="B34" s="98" t="s">
        <v>14</v>
      </c>
      <c r="C34" s="69"/>
      <c r="D34" s="38" t="s">
        <v>15</v>
      </c>
      <c r="E34" s="38">
        <v>305</v>
      </c>
      <c r="F34" s="70">
        <f>F33*E34</f>
        <v>0.27449999999999997</v>
      </c>
      <c r="G34" s="38"/>
      <c r="H34" s="70"/>
      <c r="I34" s="38"/>
      <c r="J34" s="70"/>
      <c r="K34" s="38"/>
      <c r="L34" s="70"/>
      <c r="M34" s="118"/>
      <c r="N34" s="160"/>
      <c r="O34" s="141"/>
      <c r="P34" s="141"/>
    </row>
    <row r="35" spans="1:16" s="99" customFormat="1" ht="15" customHeight="1">
      <c r="A35" s="97"/>
      <c r="B35" s="98" t="s">
        <v>25</v>
      </c>
      <c r="C35" s="69"/>
      <c r="D35" s="69" t="s">
        <v>0</v>
      </c>
      <c r="E35" s="38">
        <v>162</v>
      </c>
      <c r="F35" s="100">
        <f>E35*F33</f>
        <v>0.14579999999999999</v>
      </c>
      <c r="G35" s="38"/>
      <c r="H35" s="70"/>
      <c r="I35" s="38"/>
      <c r="J35" s="70"/>
      <c r="K35" s="38"/>
      <c r="L35" s="70"/>
      <c r="M35" s="118"/>
      <c r="N35" s="160"/>
      <c r="O35" s="141"/>
      <c r="P35" s="141"/>
    </row>
    <row r="36" spans="1:16" s="104" customFormat="1" ht="15" customHeight="1">
      <c r="A36" s="19"/>
      <c r="B36" s="69" t="s">
        <v>16</v>
      </c>
      <c r="C36" s="101"/>
      <c r="D36" s="69"/>
      <c r="E36" s="69"/>
      <c r="F36" s="102"/>
      <c r="G36" s="69"/>
      <c r="H36" s="102"/>
      <c r="I36" s="38"/>
      <c r="J36" s="102"/>
      <c r="K36" s="103"/>
      <c r="L36" s="102"/>
      <c r="M36" s="142"/>
      <c r="N36" s="161"/>
      <c r="O36" s="141"/>
      <c r="P36" s="141"/>
    </row>
    <row r="37" spans="1:16" s="104" customFormat="1" ht="15" customHeight="1">
      <c r="A37" s="247"/>
      <c r="B37" s="312" t="s">
        <v>87</v>
      </c>
      <c r="C37" s="311"/>
      <c r="D37" s="262" t="s">
        <v>48</v>
      </c>
      <c r="E37" s="262">
        <v>1</v>
      </c>
      <c r="F37" s="313">
        <f>E37*F33</f>
        <v>0.0009</v>
      </c>
      <c r="G37" s="307"/>
      <c r="H37" s="307"/>
      <c r="I37" s="309"/>
      <c r="J37" s="307"/>
      <c r="K37" s="308"/>
      <c r="L37" s="307"/>
      <c r="M37" s="306"/>
      <c r="N37" s="161"/>
      <c r="O37" s="141"/>
      <c r="P37" s="141"/>
    </row>
    <row r="38" spans="1:16" s="104" customFormat="1" ht="15" customHeight="1">
      <c r="A38" s="19"/>
      <c r="B38" s="98" t="s">
        <v>20</v>
      </c>
      <c r="C38" s="101"/>
      <c r="D38" s="69" t="s">
        <v>0</v>
      </c>
      <c r="E38" s="69">
        <v>49.2</v>
      </c>
      <c r="F38" s="102">
        <f>E38*F33</f>
        <v>0.04428</v>
      </c>
      <c r="G38" s="69"/>
      <c r="H38" s="102"/>
      <c r="I38" s="38"/>
      <c r="J38" s="102"/>
      <c r="K38" s="103"/>
      <c r="L38" s="102"/>
      <c r="M38" s="142"/>
      <c r="N38" s="161"/>
      <c r="O38" s="141"/>
      <c r="P38" s="141"/>
    </row>
    <row r="39" spans="1:17" s="132" customFormat="1" ht="27">
      <c r="A39" s="92">
        <v>6</v>
      </c>
      <c r="B39" s="326" t="s">
        <v>271</v>
      </c>
      <c r="C39" s="27" t="s">
        <v>134</v>
      </c>
      <c r="D39" s="27" t="s">
        <v>48</v>
      </c>
      <c r="E39" s="27"/>
      <c r="F39" s="27">
        <f>0.75/1000</f>
        <v>0.00075</v>
      </c>
      <c r="G39" s="27"/>
      <c r="H39" s="27"/>
      <c r="I39" s="27"/>
      <c r="J39" s="27"/>
      <c r="K39" s="27"/>
      <c r="L39" s="27"/>
      <c r="M39" s="27"/>
      <c r="O39" s="133"/>
      <c r="P39" s="133"/>
      <c r="Q39" s="133"/>
    </row>
    <row r="40" spans="1:16" s="99" customFormat="1" ht="15" customHeight="1">
      <c r="A40" s="97"/>
      <c r="B40" s="98" t="s">
        <v>14</v>
      </c>
      <c r="C40" s="69"/>
      <c r="D40" s="38" t="s">
        <v>15</v>
      </c>
      <c r="E40" s="38">
        <v>305</v>
      </c>
      <c r="F40" s="70">
        <f>F39*E40</f>
        <v>0.22875</v>
      </c>
      <c r="G40" s="38"/>
      <c r="H40" s="70"/>
      <c r="I40" s="38"/>
      <c r="J40" s="70"/>
      <c r="K40" s="38"/>
      <c r="L40" s="70"/>
      <c r="M40" s="118"/>
      <c r="N40" s="160"/>
      <c r="O40" s="141"/>
      <c r="P40" s="141"/>
    </row>
    <row r="41" spans="1:16" s="99" customFormat="1" ht="15" customHeight="1">
      <c r="A41" s="97"/>
      <c r="B41" s="98" t="s">
        <v>25</v>
      </c>
      <c r="C41" s="69"/>
      <c r="D41" s="69" t="s">
        <v>0</v>
      </c>
      <c r="E41" s="38">
        <v>162</v>
      </c>
      <c r="F41" s="100">
        <f>E41*F39</f>
        <v>0.1215</v>
      </c>
      <c r="G41" s="38"/>
      <c r="H41" s="70"/>
      <c r="I41" s="38"/>
      <c r="J41" s="70"/>
      <c r="K41" s="38"/>
      <c r="L41" s="70"/>
      <c r="M41" s="118"/>
      <c r="N41" s="160"/>
      <c r="O41" s="141"/>
      <c r="P41" s="141"/>
    </row>
    <row r="42" spans="1:16" s="104" customFormat="1" ht="15" customHeight="1">
      <c r="A42" s="19"/>
      <c r="B42" s="69" t="s">
        <v>16</v>
      </c>
      <c r="C42" s="101"/>
      <c r="D42" s="69"/>
      <c r="E42" s="69"/>
      <c r="F42" s="102"/>
      <c r="G42" s="69"/>
      <c r="H42" s="102"/>
      <c r="I42" s="38"/>
      <c r="J42" s="102"/>
      <c r="K42" s="103"/>
      <c r="L42" s="102"/>
      <c r="M42" s="142"/>
      <c r="N42" s="161"/>
      <c r="O42" s="141"/>
      <c r="P42" s="141"/>
    </row>
    <row r="43" spans="1:16" s="104" customFormat="1" ht="15" customHeight="1">
      <c r="A43" s="247"/>
      <c r="B43" s="312" t="s">
        <v>87</v>
      </c>
      <c r="C43" s="311"/>
      <c r="D43" s="262" t="s">
        <v>48</v>
      </c>
      <c r="E43" s="262">
        <v>1</v>
      </c>
      <c r="F43" s="313">
        <f>E43*F39</f>
        <v>0.00075</v>
      </c>
      <c r="G43" s="307"/>
      <c r="H43" s="307"/>
      <c r="I43" s="309"/>
      <c r="J43" s="307"/>
      <c r="K43" s="308"/>
      <c r="L43" s="307"/>
      <c r="M43" s="306"/>
      <c r="N43" s="161"/>
      <c r="O43" s="141"/>
      <c r="P43" s="141"/>
    </row>
    <row r="44" spans="1:16" s="104" customFormat="1" ht="15" customHeight="1">
      <c r="A44" s="19"/>
      <c r="B44" s="98" t="s">
        <v>20</v>
      </c>
      <c r="C44" s="101"/>
      <c r="D44" s="69" t="s">
        <v>0</v>
      </c>
      <c r="E44" s="69">
        <v>49.2</v>
      </c>
      <c r="F44" s="102">
        <f>E44*F39</f>
        <v>0.0369</v>
      </c>
      <c r="G44" s="69"/>
      <c r="H44" s="102"/>
      <c r="I44" s="38"/>
      <c r="J44" s="102"/>
      <c r="K44" s="103"/>
      <c r="L44" s="102"/>
      <c r="M44" s="142"/>
      <c r="N44" s="161"/>
      <c r="O44" s="141"/>
      <c r="P44" s="141"/>
    </row>
    <row r="45" spans="1:13" s="104" customFormat="1" ht="27">
      <c r="A45" s="254">
        <v>7</v>
      </c>
      <c r="B45" s="166" t="s">
        <v>260</v>
      </c>
      <c r="C45" s="257" t="s">
        <v>198</v>
      </c>
      <c r="D45" s="165" t="s">
        <v>113</v>
      </c>
      <c r="E45" s="165"/>
      <c r="F45" s="167">
        <v>1</v>
      </c>
      <c r="G45" s="168"/>
      <c r="H45" s="169"/>
      <c r="I45" s="170"/>
      <c r="J45" s="169"/>
      <c r="K45" s="170"/>
      <c r="L45" s="169"/>
      <c r="M45" s="255"/>
    </row>
    <row r="46" spans="1:13" s="104" customFormat="1" ht="13.5">
      <c r="A46" s="106"/>
      <c r="B46" s="107" t="s">
        <v>62</v>
      </c>
      <c r="C46" s="155"/>
      <c r="D46" s="108" t="s">
        <v>15</v>
      </c>
      <c r="E46" s="69">
        <v>2.08</v>
      </c>
      <c r="F46" s="109">
        <f>F45*E46</f>
        <v>2.08</v>
      </c>
      <c r="G46" s="110"/>
      <c r="H46" s="111"/>
      <c r="I46" s="112"/>
      <c r="J46" s="109"/>
      <c r="K46" s="112"/>
      <c r="L46" s="109"/>
      <c r="M46" s="256"/>
    </row>
    <row r="47" spans="1:13" s="104" customFormat="1" ht="13.5">
      <c r="A47" s="106"/>
      <c r="B47" s="107" t="s">
        <v>31</v>
      </c>
      <c r="C47" s="177"/>
      <c r="D47" s="108" t="s">
        <v>0</v>
      </c>
      <c r="E47" s="69">
        <v>0.2</v>
      </c>
      <c r="F47" s="109">
        <f>F45*E47</f>
        <v>0.2</v>
      </c>
      <c r="G47" s="108"/>
      <c r="H47" s="109"/>
      <c r="I47" s="112"/>
      <c r="J47" s="109"/>
      <c r="K47" s="112"/>
      <c r="L47" s="109"/>
      <c r="M47" s="256"/>
    </row>
    <row r="48" spans="1:13" s="104" customFormat="1" ht="13.5">
      <c r="A48" s="106"/>
      <c r="B48" s="69" t="s">
        <v>16</v>
      </c>
      <c r="C48" s="177"/>
      <c r="D48" s="108"/>
      <c r="E48" s="69"/>
      <c r="F48" s="108"/>
      <c r="G48" s="108"/>
      <c r="H48" s="109"/>
      <c r="I48" s="112"/>
      <c r="J48" s="109"/>
      <c r="K48" s="112"/>
      <c r="L48" s="109"/>
      <c r="M48" s="256"/>
    </row>
    <row r="49" spans="1:13" s="104" customFormat="1" ht="13.5">
      <c r="A49" s="106"/>
      <c r="B49" s="107" t="s">
        <v>199</v>
      </c>
      <c r="C49" s="177"/>
      <c r="D49" s="108" t="s">
        <v>113</v>
      </c>
      <c r="E49" s="69">
        <v>1</v>
      </c>
      <c r="F49" s="108">
        <f>F45*E49</f>
        <v>1</v>
      </c>
      <c r="G49" s="108"/>
      <c r="H49" s="109"/>
      <c r="I49" s="112"/>
      <c r="J49" s="109"/>
      <c r="K49" s="112"/>
      <c r="L49" s="109"/>
      <c r="M49" s="256"/>
    </row>
    <row r="50" spans="1:13" s="104" customFormat="1" ht="13.5">
      <c r="A50" s="106"/>
      <c r="B50" s="107" t="s">
        <v>20</v>
      </c>
      <c r="C50" s="177"/>
      <c r="D50" s="108" t="s">
        <v>0</v>
      </c>
      <c r="E50" s="69">
        <v>0.44</v>
      </c>
      <c r="F50" s="108">
        <f>F45*E50</f>
        <v>0.44</v>
      </c>
      <c r="G50" s="108"/>
      <c r="H50" s="109"/>
      <c r="I50" s="112"/>
      <c r="J50" s="109"/>
      <c r="K50" s="112"/>
      <c r="L50" s="109"/>
      <c r="M50" s="256"/>
    </row>
    <row r="51" spans="1:13" s="104" customFormat="1" ht="27">
      <c r="A51" s="254">
        <v>8</v>
      </c>
      <c r="B51" s="166" t="s">
        <v>259</v>
      </c>
      <c r="C51" s="257" t="s">
        <v>246</v>
      </c>
      <c r="D51" s="165" t="s">
        <v>113</v>
      </c>
      <c r="E51" s="165"/>
      <c r="F51" s="167">
        <v>1</v>
      </c>
      <c r="G51" s="168"/>
      <c r="H51" s="169"/>
      <c r="I51" s="170"/>
      <c r="J51" s="169"/>
      <c r="K51" s="170"/>
      <c r="L51" s="169"/>
      <c r="M51" s="255"/>
    </row>
    <row r="52" spans="1:13" s="104" customFormat="1" ht="13.5">
      <c r="A52" s="106"/>
      <c r="B52" s="107" t="s">
        <v>62</v>
      </c>
      <c r="C52" s="155"/>
      <c r="D52" s="108" t="s">
        <v>15</v>
      </c>
      <c r="E52" s="69">
        <f>1.38</f>
        <v>1.38</v>
      </c>
      <c r="F52" s="109">
        <f>F51*E52</f>
        <v>1.38</v>
      </c>
      <c r="G52" s="110"/>
      <c r="H52" s="111"/>
      <c r="I52" s="112"/>
      <c r="J52" s="109"/>
      <c r="K52" s="112"/>
      <c r="L52" s="109"/>
      <c r="M52" s="256"/>
    </row>
    <row r="53" spans="1:13" s="104" customFormat="1" ht="13.5">
      <c r="A53" s="106"/>
      <c r="B53" s="107" t="s">
        <v>31</v>
      </c>
      <c r="C53" s="177"/>
      <c r="D53" s="108" t="s">
        <v>0</v>
      </c>
      <c r="E53" s="69">
        <v>0.06</v>
      </c>
      <c r="F53" s="109">
        <f>F51*E53</f>
        <v>0.06</v>
      </c>
      <c r="G53" s="108"/>
      <c r="H53" s="109"/>
      <c r="I53" s="112"/>
      <c r="J53" s="109"/>
      <c r="K53" s="112"/>
      <c r="L53" s="109"/>
      <c r="M53" s="256"/>
    </row>
    <row r="54" spans="1:13" s="104" customFormat="1" ht="13.5">
      <c r="A54" s="106"/>
      <c r="B54" s="69" t="s">
        <v>16</v>
      </c>
      <c r="C54" s="177"/>
      <c r="D54" s="108"/>
      <c r="E54" s="69"/>
      <c r="F54" s="108"/>
      <c r="G54" s="108"/>
      <c r="H54" s="109"/>
      <c r="I54" s="112"/>
      <c r="J54" s="109"/>
      <c r="K54" s="112"/>
      <c r="L54" s="109"/>
      <c r="M54" s="256"/>
    </row>
    <row r="55" spans="1:13" s="104" customFormat="1" ht="13.5">
      <c r="A55" s="106"/>
      <c r="B55" s="107" t="s">
        <v>176</v>
      </c>
      <c r="C55" s="177"/>
      <c r="D55" s="108" t="s">
        <v>113</v>
      </c>
      <c r="E55" s="69">
        <v>1</v>
      </c>
      <c r="F55" s="108">
        <f>F51*E55</f>
        <v>1</v>
      </c>
      <c r="G55" s="108"/>
      <c r="H55" s="109"/>
      <c r="I55" s="112"/>
      <c r="J55" s="109"/>
      <c r="K55" s="112"/>
      <c r="L55" s="109"/>
      <c r="M55" s="256"/>
    </row>
    <row r="56" spans="1:13" s="104" customFormat="1" ht="13.5">
      <c r="A56" s="106"/>
      <c r="B56" s="107" t="s">
        <v>20</v>
      </c>
      <c r="C56" s="177"/>
      <c r="D56" s="108" t="s">
        <v>0</v>
      </c>
      <c r="E56" s="69">
        <v>0.38</v>
      </c>
      <c r="F56" s="108">
        <f>F51*E56</f>
        <v>0.38</v>
      </c>
      <c r="G56" s="108"/>
      <c r="H56" s="109"/>
      <c r="I56" s="112"/>
      <c r="J56" s="109"/>
      <c r="K56" s="112"/>
      <c r="L56" s="109"/>
      <c r="M56" s="256"/>
    </row>
    <row r="57" spans="1:13" s="104" customFormat="1" ht="27">
      <c r="A57" s="254">
        <v>9</v>
      </c>
      <c r="B57" s="166" t="s">
        <v>258</v>
      </c>
      <c r="C57" s="257" t="s">
        <v>246</v>
      </c>
      <c r="D57" s="165" t="s">
        <v>113</v>
      </c>
      <c r="E57" s="165"/>
      <c r="F57" s="167">
        <v>1</v>
      </c>
      <c r="G57" s="168"/>
      <c r="H57" s="169"/>
      <c r="I57" s="170"/>
      <c r="J57" s="169"/>
      <c r="K57" s="170"/>
      <c r="L57" s="169"/>
      <c r="M57" s="255"/>
    </row>
    <row r="58" spans="1:13" s="104" customFormat="1" ht="13.5">
      <c r="A58" s="106"/>
      <c r="B58" s="107" t="s">
        <v>62</v>
      </c>
      <c r="C58" s="155"/>
      <c r="D58" s="108" t="s">
        <v>15</v>
      </c>
      <c r="E58" s="69">
        <v>1.38</v>
      </c>
      <c r="F58" s="109">
        <f>F57*E58</f>
        <v>1.38</v>
      </c>
      <c r="G58" s="110"/>
      <c r="H58" s="111"/>
      <c r="I58" s="112"/>
      <c r="J58" s="109"/>
      <c r="K58" s="112"/>
      <c r="L58" s="109"/>
      <c r="M58" s="256"/>
    </row>
    <row r="59" spans="1:13" s="104" customFormat="1" ht="13.5">
      <c r="A59" s="106"/>
      <c r="B59" s="107" t="s">
        <v>31</v>
      </c>
      <c r="C59" s="177"/>
      <c r="D59" s="108" t="s">
        <v>0</v>
      </c>
      <c r="E59" s="69">
        <v>0.06</v>
      </c>
      <c r="F59" s="109">
        <f>F57*E59</f>
        <v>0.06</v>
      </c>
      <c r="G59" s="108"/>
      <c r="H59" s="109"/>
      <c r="I59" s="112"/>
      <c r="J59" s="109"/>
      <c r="K59" s="112"/>
      <c r="L59" s="109"/>
      <c r="M59" s="256"/>
    </row>
    <row r="60" spans="1:13" s="104" customFormat="1" ht="13.5">
      <c r="A60" s="106"/>
      <c r="B60" s="69" t="s">
        <v>16</v>
      </c>
      <c r="C60" s="177"/>
      <c r="D60" s="108"/>
      <c r="E60" s="69"/>
      <c r="F60" s="108"/>
      <c r="G60" s="108"/>
      <c r="H60" s="109"/>
      <c r="I60" s="112"/>
      <c r="J60" s="109"/>
      <c r="K60" s="112"/>
      <c r="L60" s="109"/>
      <c r="M60" s="256"/>
    </row>
    <row r="61" spans="1:13" s="104" customFormat="1" ht="13.5">
      <c r="A61" s="106"/>
      <c r="B61" s="107" t="s">
        <v>176</v>
      </c>
      <c r="C61" s="177"/>
      <c r="D61" s="108" t="s">
        <v>113</v>
      </c>
      <c r="E61" s="69">
        <v>1</v>
      </c>
      <c r="F61" s="108">
        <f>F57*E61</f>
        <v>1</v>
      </c>
      <c r="G61" s="108"/>
      <c r="H61" s="109"/>
      <c r="I61" s="112"/>
      <c r="J61" s="109"/>
      <c r="K61" s="112"/>
      <c r="L61" s="109"/>
      <c r="M61" s="256"/>
    </row>
    <row r="62" spans="1:13" s="104" customFormat="1" ht="13.5">
      <c r="A62" s="106"/>
      <c r="B62" s="107" t="s">
        <v>20</v>
      </c>
      <c r="C62" s="177"/>
      <c r="D62" s="108" t="s">
        <v>0</v>
      </c>
      <c r="E62" s="69">
        <v>0.38</v>
      </c>
      <c r="F62" s="108">
        <f>F57*E62</f>
        <v>0.38</v>
      </c>
      <c r="G62" s="108"/>
      <c r="H62" s="109"/>
      <c r="I62" s="112"/>
      <c r="J62" s="109"/>
      <c r="K62" s="112"/>
      <c r="L62" s="109"/>
      <c r="M62" s="256"/>
    </row>
    <row r="63" spans="1:13" s="104" customFormat="1" ht="13.5">
      <c r="A63" s="254">
        <v>10</v>
      </c>
      <c r="B63" s="333" t="s">
        <v>257</v>
      </c>
      <c r="C63" s="257" t="s">
        <v>246</v>
      </c>
      <c r="D63" s="165" t="s">
        <v>113</v>
      </c>
      <c r="E63" s="165"/>
      <c r="F63" s="167">
        <v>1</v>
      </c>
      <c r="G63" s="168"/>
      <c r="H63" s="169"/>
      <c r="I63" s="170"/>
      <c r="J63" s="169"/>
      <c r="K63" s="170"/>
      <c r="L63" s="169"/>
      <c r="M63" s="255"/>
    </row>
    <row r="64" spans="1:13" s="104" customFormat="1" ht="13.5">
      <c r="A64" s="106"/>
      <c r="B64" s="107" t="s">
        <v>62</v>
      </c>
      <c r="C64" s="155"/>
      <c r="D64" s="108" t="s">
        <v>15</v>
      </c>
      <c r="E64" s="69">
        <v>1.38</v>
      </c>
      <c r="F64" s="109">
        <f>F63*E64</f>
        <v>1.38</v>
      </c>
      <c r="G64" s="110"/>
      <c r="H64" s="111"/>
      <c r="I64" s="112"/>
      <c r="J64" s="109"/>
      <c r="K64" s="112"/>
      <c r="L64" s="109"/>
      <c r="M64" s="256"/>
    </row>
    <row r="65" spans="1:13" s="104" customFormat="1" ht="13.5">
      <c r="A65" s="106"/>
      <c r="B65" s="107" t="s">
        <v>31</v>
      </c>
      <c r="C65" s="177"/>
      <c r="D65" s="108" t="s">
        <v>0</v>
      </c>
      <c r="E65" s="69">
        <v>0.06</v>
      </c>
      <c r="F65" s="109">
        <f>F63*E65</f>
        <v>0.06</v>
      </c>
      <c r="G65" s="108"/>
      <c r="H65" s="109"/>
      <c r="I65" s="112"/>
      <c r="J65" s="109"/>
      <c r="K65" s="112"/>
      <c r="L65" s="109"/>
      <c r="M65" s="256"/>
    </row>
    <row r="66" spans="1:13" s="104" customFormat="1" ht="13.5">
      <c r="A66" s="106"/>
      <c r="B66" s="69" t="s">
        <v>16</v>
      </c>
      <c r="C66" s="177"/>
      <c r="D66" s="108"/>
      <c r="E66" s="69"/>
      <c r="F66" s="108"/>
      <c r="G66" s="108"/>
      <c r="H66" s="109"/>
      <c r="I66" s="112"/>
      <c r="J66" s="109"/>
      <c r="K66" s="112"/>
      <c r="L66" s="109"/>
      <c r="M66" s="256"/>
    </row>
    <row r="67" spans="1:13" s="104" customFormat="1" ht="13.5">
      <c r="A67" s="106"/>
      <c r="B67" s="107" t="s">
        <v>204</v>
      </c>
      <c r="C67" s="177"/>
      <c r="D67" s="108" t="s">
        <v>113</v>
      </c>
      <c r="E67" s="69">
        <v>1</v>
      </c>
      <c r="F67" s="108">
        <f>F63*E67</f>
        <v>1</v>
      </c>
      <c r="G67" s="108"/>
      <c r="H67" s="109"/>
      <c r="I67" s="112"/>
      <c r="J67" s="109"/>
      <c r="K67" s="112"/>
      <c r="L67" s="109"/>
      <c r="M67" s="256"/>
    </row>
    <row r="68" spans="1:13" s="104" customFormat="1" ht="13.5">
      <c r="A68" s="106"/>
      <c r="B68" s="107" t="s">
        <v>20</v>
      </c>
      <c r="C68" s="177"/>
      <c r="D68" s="108" t="s">
        <v>0</v>
      </c>
      <c r="E68" s="69">
        <v>0.38</v>
      </c>
      <c r="F68" s="108">
        <f>F63*E68</f>
        <v>0.38</v>
      </c>
      <c r="G68" s="108"/>
      <c r="H68" s="109"/>
      <c r="I68" s="112"/>
      <c r="J68" s="109"/>
      <c r="K68" s="112"/>
      <c r="L68" s="109"/>
      <c r="M68" s="256"/>
    </row>
    <row r="69" spans="1:13" s="96" customFormat="1" ht="13.5">
      <c r="A69" s="165">
        <v>11</v>
      </c>
      <c r="B69" s="166" t="s">
        <v>256</v>
      </c>
      <c r="C69" s="257" t="s">
        <v>255</v>
      </c>
      <c r="D69" s="93" t="s">
        <v>49</v>
      </c>
      <c r="E69" s="93"/>
      <c r="F69" s="305">
        <f>2/100</f>
        <v>0.02</v>
      </c>
      <c r="G69" s="94"/>
      <c r="H69" s="95"/>
      <c r="I69" s="93"/>
      <c r="J69" s="95"/>
      <c r="K69" s="93"/>
      <c r="L69" s="95"/>
      <c r="M69" s="95"/>
    </row>
    <row r="70" spans="1:13" s="261" customFormat="1" ht="13.5">
      <c r="A70" s="97"/>
      <c r="B70" s="98" t="s">
        <v>14</v>
      </c>
      <c r="C70" s="260"/>
      <c r="D70" s="38" t="s">
        <v>15</v>
      </c>
      <c r="E70" s="38">
        <v>137</v>
      </c>
      <c r="F70" s="70">
        <f>F69*E70</f>
        <v>2.74</v>
      </c>
      <c r="G70" s="38"/>
      <c r="H70" s="70"/>
      <c r="I70" s="38"/>
      <c r="J70" s="70"/>
      <c r="K70" s="38"/>
      <c r="L70" s="70"/>
      <c r="M70" s="70"/>
    </row>
    <row r="71" spans="1:13" s="99" customFormat="1" ht="13.5">
      <c r="A71" s="97"/>
      <c r="B71" s="98" t="s">
        <v>25</v>
      </c>
      <c r="C71" s="260"/>
      <c r="D71" s="69" t="s">
        <v>0</v>
      </c>
      <c r="E71" s="38">
        <v>28.3</v>
      </c>
      <c r="F71" s="100">
        <f>E71*F69</f>
        <v>0.5660000000000001</v>
      </c>
      <c r="G71" s="38"/>
      <c r="H71" s="70"/>
      <c r="I71" s="38"/>
      <c r="J71" s="70"/>
      <c r="K71" s="38"/>
      <c r="L71" s="70"/>
      <c r="M71" s="70"/>
    </row>
    <row r="72" spans="1:13" s="261" customFormat="1" ht="13.5">
      <c r="A72" s="97"/>
      <c r="B72" s="69" t="s">
        <v>50</v>
      </c>
      <c r="C72" s="260"/>
      <c r="D72" s="38"/>
      <c r="E72" s="38"/>
      <c r="F72" s="70"/>
      <c r="G72" s="38"/>
      <c r="H72" s="70"/>
      <c r="I72" s="38"/>
      <c r="J72" s="70"/>
      <c r="K72" s="38"/>
      <c r="L72" s="70"/>
      <c r="M72" s="70"/>
    </row>
    <row r="73" spans="1:13" s="261" customFormat="1" ht="13.5">
      <c r="A73" s="97"/>
      <c r="B73" s="98" t="s">
        <v>140</v>
      </c>
      <c r="C73" s="260"/>
      <c r="D73" s="38" t="s">
        <v>23</v>
      </c>
      <c r="E73" s="38">
        <v>102</v>
      </c>
      <c r="F73" s="70">
        <f>F69*E73</f>
        <v>2.04</v>
      </c>
      <c r="G73" s="69"/>
      <c r="H73" s="102"/>
      <c r="I73" s="38"/>
      <c r="J73" s="102"/>
      <c r="K73" s="103"/>
      <c r="L73" s="102"/>
      <c r="M73" s="102"/>
    </row>
    <row r="74" spans="1:13" s="264" customFormat="1" ht="15.75">
      <c r="A74" s="19"/>
      <c r="B74" s="98" t="s">
        <v>20</v>
      </c>
      <c r="C74" s="260"/>
      <c r="D74" s="69" t="s">
        <v>0</v>
      </c>
      <c r="E74" s="263">
        <v>62</v>
      </c>
      <c r="F74" s="102">
        <f>E74*F69</f>
        <v>1.24</v>
      </c>
      <c r="G74" s="69"/>
      <c r="H74" s="102"/>
      <c r="I74" s="38"/>
      <c r="J74" s="102"/>
      <c r="K74" s="103"/>
      <c r="L74" s="102"/>
      <c r="M74" s="142"/>
    </row>
    <row r="75" spans="1:16" s="96" customFormat="1" ht="13.5">
      <c r="A75" s="165">
        <v>12</v>
      </c>
      <c r="B75" s="166" t="s">
        <v>254</v>
      </c>
      <c r="C75" s="257" t="s">
        <v>134</v>
      </c>
      <c r="D75" s="93" t="s">
        <v>48</v>
      </c>
      <c r="E75" s="93"/>
      <c r="F75" s="305">
        <v>0.004</v>
      </c>
      <c r="G75" s="94"/>
      <c r="H75" s="95"/>
      <c r="I75" s="93"/>
      <c r="J75" s="95"/>
      <c r="K75" s="93"/>
      <c r="L75" s="95"/>
      <c r="M75" s="120"/>
      <c r="N75" s="140"/>
      <c r="O75" s="158"/>
      <c r="P75" s="140"/>
    </row>
    <row r="76" spans="1:16" s="99" customFormat="1" ht="13.5">
      <c r="A76" s="97"/>
      <c r="B76" s="98" t="s">
        <v>14</v>
      </c>
      <c r="C76" s="69"/>
      <c r="D76" s="38" t="s">
        <v>15</v>
      </c>
      <c r="E76" s="38">
        <v>305</v>
      </c>
      <c r="F76" s="70">
        <f>F75*E76</f>
        <v>1.22</v>
      </c>
      <c r="G76" s="38"/>
      <c r="H76" s="70"/>
      <c r="I76" s="38"/>
      <c r="J76" s="70"/>
      <c r="K76" s="38"/>
      <c r="L76" s="70"/>
      <c r="M76" s="118"/>
      <c r="N76" s="160"/>
      <c r="O76" s="141"/>
      <c r="P76" s="141"/>
    </row>
    <row r="77" spans="1:16" s="99" customFormat="1" ht="13.5">
      <c r="A77" s="97"/>
      <c r="B77" s="98" t="s">
        <v>25</v>
      </c>
      <c r="C77" s="69"/>
      <c r="D77" s="69" t="s">
        <v>0</v>
      </c>
      <c r="E77" s="38">
        <v>162</v>
      </c>
      <c r="F77" s="100">
        <f>E77*F75</f>
        <v>0.648</v>
      </c>
      <c r="G77" s="38"/>
      <c r="H77" s="70"/>
      <c r="I77" s="38"/>
      <c r="J77" s="70"/>
      <c r="K77" s="38"/>
      <c r="L77" s="70"/>
      <c r="M77" s="118"/>
      <c r="N77" s="160"/>
      <c r="O77" s="141"/>
      <c r="P77" s="141"/>
    </row>
    <row r="78" spans="1:16" s="104" customFormat="1" ht="13.5">
      <c r="A78" s="19"/>
      <c r="B78" s="69" t="s">
        <v>16</v>
      </c>
      <c r="C78" s="101"/>
      <c r="D78" s="69"/>
      <c r="E78" s="69"/>
      <c r="F78" s="102"/>
      <c r="G78" s="69"/>
      <c r="H78" s="102"/>
      <c r="I78" s="38"/>
      <c r="J78" s="102"/>
      <c r="K78" s="103"/>
      <c r="L78" s="102"/>
      <c r="M78" s="142"/>
      <c r="N78" s="161"/>
      <c r="O78" s="141"/>
      <c r="P78" s="141"/>
    </row>
    <row r="79" spans="1:16" s="104" customFormat="1" ht="13.5">
      <c r="A79" s="19"/>
      <c r="B79" s="150" t="s">
        <v>253</v>
      </c>
      <c r="C79" s="101"/>
      <c r="D79" s="69" t="s">
        <v>48</v>
      </c>
      <c r="E79" s="69">
        <v>1</v>
      </c>
      <c r="F79" s="304">
        <f>E79*F75</f>
        <v>0.004</v>
      </c>
      <c r="G79" s="102"/>
      <c r="H79" s="102"/>
      <c r="I79" s="38"/>
      <c r="J79" s="102"/>
      <c r="K79" s="103"/>
      <c r="L79" s="102"/>
      <c r="M79" s="142"/>
      <c r="N79" s="161"/>
      <c r="O79" s="141"/>
      <c r="P79" s="141"/>
    </row>
    <row r="80" spans="1:16" s="104" customFormat="1" ht="13.5">
      <c r="A80" s="19"/>
      <c r="B80" s="98" t="s">
        <v>20</v>
      </c>
      <c r="C80" s="101"/>
      <c r="D80" s="69" t="s">
        <v>0</v>
      </c>
      <c r="E80" s="69">
        <v>49.2</v>
      </c>
      <c r="F80" s="102">
        <f>E80*F75</f>
        <v>0.1968</v>
      </c>
      <c r="G80" s="69"/>
      <c r="H80" s="102"/>
      <c r="I80" s="38"/>
      <c r="J80" s="102"/>
      <c r="K80" s="103"/>
      <c r="L80" s="102"/>
      <c r="M80" s="142"/>
      <c r="N80" s="161"/>
      <c r="O80" s="141"/>
      <c r="P80" s="141"/>
    </row>
    <row r="81" spans="1:15" s="96" customFormat="1" ht="13.5">
      <c r="A81" s="165">
        <v>13</v>
      </c>
      <c r="B81" s="166" t="s">
        <v>252</v>
      </c>
      <c r="C81" s="145" t="s">
        <v>251</v>
      </c>
      <c r="D81" s="93" t="s">
        <v>26</v>
      </c>
      <c r="E81" s="93"/>
      <c r="F81" s="139">
        <v>1</v>
      </c>
      <c r="G81" s="94"/>
      <c r="H81" s="95"/>
      <c r="I81" s="93"/>
      <c r="J81" s="95"/>
      <c r="K81" s="93"/>
      <c r="L81" s="95"/>
      <c r="M81" s="120"/>
      <c r="N81" s="140"/>
      <c r="O81" s="140"/>
    </row>
    <row r="82" spans="1:15" s="99" customFormat="1" ht="13.5">
      <c r="A82" s="97"/>
      <c r="B82" s="98" t="s">
        <v>171</v>
      </c>
      <c r="C82" s="69"/>
      <c r="D82" s="38" t="s">
        <v>15</v>
      </c>
      <c r="E82" s="38">
        <v>1.51</v>
      </c>
      <c r="F82" s="70">
        <f>F81*E82</f>
        <v>1.51</v>
      </c>
      <c r="G82" s="38"/>
      <c r="H82" s="70"/>
      <c r="I82" s="38"/>
      <c r="J82" s="70"/>
      <c r="K82" s="38"/>
      <c r="L82" s="70"/>
      <c r="M82" s="70"/>
      <c r="N82" s="141"/>
      <c r="O82" s="141"/>
    </row>
    <row r="83" spans="1:15" s="99" customFormat="1" ht="13.5">
      <c r="A83" s="97"/>
      <c r="B83" s="98" t="s">
        <v>172</v>
      </c>
      <c r="C83" s="69"/>
      <c r="D83" s="69" t="s">
        <v>0</v>
      </c>
      <c r="E83" s="38">
        <v>0.13</v>
      </c>
      <c r="F83" s="100">
        <f>F81*E83</f>
        <v>0.13</v>
      </c>
      <c r="G83" s="38"/>
      <c r="H83" s="70"/>
      <c r="I83" s="38"/>
      <c r="J83" s="70"/>
      <c r="K83" s="38"/>
      <c r="L83" s="70"/>
      <c r="M83" s="70"/>
      <c r="N83" s="141"/>
      <c r="O83" s="141"/>
    </row>
    <row r="84" spans="1:15" s="104" customFormat="1" ht="13.5">
      <c r="A84" s="19"/>
      <c r="B84" s="69" t="s">
        <v>16</v>
      </c>
      <c r="C84" s="101"/>
      <c r="D84" s="69"/>
      <c r="E84" s="69"/>
      <c r="F84" s="102"/>
      <c r="G84" s="69"/>
      <c r="H84" s="102"/>
      <c r="I84" s="38"/>
      <c r="J84" s="102"/>
      <c r="K84" s="103"/>
      <c r="L84" s="102"/>
      <c r="M84" s="102"/>
      <c r="N84" s="141"/>
      <c r="O84" s="141"/>
    </row>
    <row r="85" spans="1:15" s="104" customFormat="1" ht="13.5">
      <c r="A85" s="19"/>
      <c r="B85" s="105" t="s">
        <v>250</v>
      </c>
      <c r="C85" s="101"/>
      <c r="D85" s="69" t="s">
        <v>26</v>
      </c>
      <c r="E85" s="69">
        <v>1</v>
      </c>
      <c r="F85" s="102">
        <f>E85*F81</f>
        <v>1</v>
      </c>
      <c r="G85" s="102"/>
      <c r="H85" s="102"/>
      <c r="I85" s="38"/>
      <c r="J85" s="102"/>
      <c r="K85" s="103"/>
      <c r="L85" s="102"/>
      <c r="M85" s="102"/>
      <c r="N85" s="141"/>
      <c r="O85" s="141"/>
    </row>
    <row r="86" spans="1:15" s="104" customFormat="1" ht="13.5">
      <c r="A86" s="19"/>
      <c r="B86" s="105" t="s">
        <v>249</v>
      </c>
      <c r="C86" s="101"/>
      <c r="D86" s="69" t="s">
        <v>26</v>
      </c>
      <c r="E86" s="69">
        <v>2</v>
      </c>
      <c r="F86" s="102">
        <f>E86*F81</f>
        <v>2</v>
      </c>
      <c r="G86" s="102"/>
      <c r="H86" s="102"/>
      <c r="I86" s="38"/>
      <c r="J86" s="102"/>
      <c r="K86" s="103"/>
      <c r="L86" s="102"/>
      <c r="M86" s="142"/>
      <c r="N86" s="141"/>
      <c r="O86" s="141"/>
    </row>
    <row r="87" spans="1:15" s="104" customFormat="1" ht="13.5">
      <c r="A87" s="19"/>
      <c r="B87" s="105" t="s">
        <v>248</v>
      </c>
      <c r="C87" s="101"/>
      <c r="D87" s="69" t="s">
        <v>52</v>
      </c>
      <c r="E87" s="69">
        <v>1.1</v>
      </c>
      <c r="F87" s="102">
        <f>E87*F81</f>
        <v>1.1</v>
      </c>
      <c r="G87" s="102"/>
      <c r="H87" s="102"/>
      <c r="I87" s="38"/>
      <c r="J87" s="102"/>
      <c r="K87" s="103"/>
      <c r="L87" s="102"/>
      <c r="M87" s="142"/>
      <c r="N87" s="141"/>
      <c r="O87" s="141"/>
    </row>
    <row r="88" spans="1:15" s="104" customFormat="1" ht="13.5">
      <c r="A88" s="19"/>
      <c r="B88" s="105" t="s">
        <v>20</v>
      </c>
      <c r="C88" s="101"/>
      <c r="D88" s="69" t="s">
        <v>0</v>
      </c>
      <c r="E88" s="69">
        <v>0.07</v>
      </c>
      <c r="F88" s="102">
        <f>E88*F81</f>
        <v>0.07</v>
      </c>
      <c r="G88" s="102"/>
      <c r="H88" s="102"/>
      <c r="I88" s="38"/>
      <c r="J88" s="102"/>
      <c r="K88" s="103"/>
      <c r="L88" s="102"/>
      <c r="M88" s="142"/>
      <c r="N88" s="141"/>
      <c r="O88" s="141"/>
    </row>
    <row r="89" spans="1:13" s="104" customFormat="1" ht="40.5">
      <c r="A89" s="254">
        <v>15</v>
      </c>
      <c r="B89" s="166" t="s">
        <v>247</v>
      </c>
      <c r="C89" s="145" t="s">
        <v>246</v>
      </c>
      <c r="D89" s="165" t="s">
        <v>113</v>
      </c>
      <c r="E89" s="165"/>
      <c r="F89" s="167">
        <v>1</v>
      </c>
      <c r="G89" s="168"/>
      <c r="H89" s="169"/>
      <c r="I89" s="170"/>
      <c r="J89" s="169"/>
      <c r="K89" s="170"/>
      <c r="L89" s="169"/>
      <c r="M89" s="255"/>
    </row>
    <row r="90" spans="1:13" s="104" customFormat="1" ht="13.5">
      <c r="A90" s="106"/>
      <c r="B90" s="107" t="s">
        <v>62</v>
      </c>
      <c r="C90" s="155"/>
      <c r="D90" s="108" t="s">
        <v>15</v>
      </c>
      <c r="E90" s="69">
        <f>1.38</f>
        <v>1.38</v>
      </c>
      <c r="F90" s="109">
        <f>F89*E90</f>
        <v>1.38</v>
      </c>
      <c r="G90" s="110"/>
      <c r="H90" s="111"/>
      <c r="I90" s="112"/>
      <c r="J90" s="109"/>
      <c r="K90" s="112"/>
      <c r="L90" s="109"/>
      <c r="M90" s="256"/>
    </row>
    <row r="91" spans="1:13" s="104" customFormat="1" ht="13.5">
      <c r="A91" s="106"/>
      <c r="B91" s="107" t="s">
        <v>31</v>
      </c>
      <c r="C91" s="177"/>
      <c r="D91" s="108" t="s">
        <v>0</v>
      </c>
      <c r="E91" s="69">
        <v>0.06</v>
      </c>
      <c r="F91" s="109">
        <f>F89*E91</f>
        <v>0.06</v>
      </c>
      <c r="G91" s="108"/>
      <c r="H91" s="109"/>
      <c r="I91" s="112"/>
      <c r="J91" s="109"/>
      <c r="K91" s="112"/>
      <c r="L91" s="109"/>
      <c r="M91" s="256"/>
    </row>
    <row r="92" spans="1:13" s="104" customFormat="1" ht="13.5">
      <c r="A92" s="106"/>
      <c r="B92" s="69" t="s">
        <v>16</v>
      </c>
      <c r="C92" s="177"/>
      <c r="D92" s="108"/>
      <c r="E92" s="69"/>
      <c r="F92" s="108"/>
      <c r="G92" s="108"/>
      <c r="H92" s="109"/>
      <c r="I92" s="112"/>
      <c r="J92" s="109"/>
      <c r="K92" s="112"/>
      <c r="L92" s="109"/>
      <c r="M92" s="256"/>
    </row>
    <row r="93" spans="1:13" s="104" customFormat="1" ht="13.5">
      <c r="A93" s="106"/>
      <c r="B93" s="107" t="s">
        <v>245</v>
      </c>
      <c r="C93" s="177"/>
      <c r="D93" s="108" t="s">
        <v>113</v>
      </c>
      <c r="E93" s="69">
        <v>1</v>
      </c>
      <c r="F93" s="108">
        <f>F89*E93</f>
        <v>1</v>
      </c>
      <c r="G93" s="108"/>
      <c r="H93" s="109"/>
      <c r="I93" s="112"/>
      <c r="J93" s="109"/>
      <c r="K93" s="112"/>
      <c r="L93" s="109"/>
      <c r="M93" s="256"/>
    </row>
    <row r="94" spans="1:13" s="104" customFormat="1" ht="13.5">
      <c r="A94" s="106"/>
      <c r="B94" s="107" t="s">
        <v>20</v>
      </c>
      <c r="C94" s="177"/>
      <c r="D94" s="108" t="s">
        <v>0</v>
      </c>
      <c r="E94" s="69">
        <v>0.38</v>
      </c>
      <c r="F94" s="108">
        <f>F89*E94</f>
        <v>0.38</v>
      </c>
      <c r="G94" s="108"/>
      <c r="H94" s="109"/>
      <c r="I94" s="112"/>
      <c r="J94" s="109"/>
      <c r="K94" s="112"/>
      <c r="L94" s="109"/>
      <c r="M94" s="256"/>
    </row>
    <row r="95" spans="1:15" s="172" customFormat="1" ht="27">
      <c r="A95" s="165">
        <v>16</v>
      </c>
      <c r="B95" s="166" t="s">
        <v>272</v>
      </c>
      <c r="C95" s="294" t="s">
        <v>80</v>
      </c>
      <c r="D95" s="165" t="s">
        <v>26</v>
      </c>
      <c r="E95" s="165"/>
      <c r="F95" s="167">
        <v>1</v>
      </c>
      <c r="G95" s="168"/>
      <c r="H95" s="169"/>
      <c r="I95" s="170"/>
      <c r="J95" s="169"/>
      <c r="K95" s="170"/>
      <c r="L95" s="169"/>
      <c r="M95" s="169"/>
      <c r="N95" s="140" t="s">
        <v>78</v>
      </c>
      <c r="O95" s="171"/>
    </row>
    <row r="96" spans="1:15" s="176" customFormat="1" ht="13.5">
      <c r="A96" s="106"/>
      <c r="B96" s="107" t="s">
        <v>62</v>
      </c>
      <c r="C96" s="173"/>
      <c r="D96" s="108" t="s">
        <v>15</v>
      </c>
      <c r="E96" s="69">
        <v>1.01</v>
      </c>
      <c r="F96" s="109">
        <f>F95*E96</f>
        <v>1.01</v>
      </c>
      <c r="G96" s="110"/>
      <c r="H96" s="111"/>
      <c r="I96" s="112"/>
      <c r="J96" s="109"/>
      <c r="K96" s="112"/>
      <c r="L96" s="109"/>
      <c r="M96" s="109"/>
      <c r="N96" s="174"/>
      <c r="O96" s="175"/>
    </row>
    <row r="97" spans="1:15" s="180" customFormat="1" ht="13.5">
      <c r="A97" s="106"/>
      <c r="B97" s="107" t="s">
        <v>31</v>
      </c>
      <c r="C97" s="177"/>
      <c r="D97" s="108" t="s">
        <v>0</v>
      </c>
      <c r="E97" s="69">
        <v>0.02</v>
      </c>
      <c r="F97" s="109">
        <f>F95*E97</f>
        <v>0.02</v>
      </c>
      <c r="G97" s="108"/>
      <c r="H97" s="109"/>
      <c r="I97" s="112"/>
      <c r="J97" s="109"/>
      <c r="K97" s="112"/>
      <c r="L97" s="109"/>
      <c r="M97" s="109"/>
      <c r="N97" s="178"/>
      <c r="O97" s="179"/>
    </row>
    <row r="98" spans="1:15" s="176" customFormat="1" ht="13.5">
      <c r="A98" s="106"/>
      <c r="B98" s="69" t="s">
        <v>16</v>
      </c>
      <c r="C98" s="177"/>
      <c r="D98" s="108"/>
      <c r="E98" s="69"/>
      <c r="F98" s="108"/>
      <c r="G98" s="108"/>
      <c r="H98" s="109"/>
      <c r="I98" s="112"/>
      <c r="J98" s="109"/>
      <c r="K98" s="112"/>
      <c r="L98" s="109"/>
      <c r="M98" s="109"/>
      <c r="N98" s="174"/>
      <c r="O98" s="175"/>
    </row>
    <row r="99" spans="1:15" s="176" customFormat="1" ht="13.5">
      <c r="A99" s="106"/>
      <c r="B99" s="107" t="s">
        <v>79</v>
      </c>
      <c r="C99" s="177"/>
      <c r="D99" s="108" t="s">
        <v>26</v>
      </c>
      <c r="E99" s="69">
        <v>1</v>
      </c>
      <c r="F99" s="108">
        <f>F95*E99</f>
        <v>1</v>
      </c>
      <c r="G99" s="108"/>
      <c r="H99" s="109"/>
      <c r="I99" s="112"/>
      <c r="J99" s="109"/>
      <c r="K99" s="112"/>
      <c r="L99" s="109"/>
      <c r="M99" s="109"/>
      <c r="N99" s="174"/>
      <c r="O99" s="175"/>
    </row>
    <row r="100" spans="1:15" s="176" customFormat="1" ht="13.5">
      <c r="A100" s="106"/>
      <c r="B100" s="107" t="s">
        <v>20</v>
      </c>
      <c r="C100" s="177"/>
      <c r="D100" s="108" t="s">
        <v>0</v>
      </c>
      <c r="E100" s="69">
        <v>0.49</v>
      </c>
      <c r="F100" s="108">
        <f>F95*E100</f>
        <v>0.49</v>
      </c>
      <c r="G100" s="108"/>
      <c r="H100" s="109"/>
      <c r="I100" s="112"/>
      <c r="J100" s="109"/>
      <c r="K100" s="112"/>
      <c r="L100" s="109"/>
      <c r="M100" s="109"/>
      <c r="N100" s="174"/>
      <c r="O100" s="175"/>
    </row>
    <row r="101" spans="1:13" s="96" customFormat="1" ht="13.5">
      <c r="A101" s="165">
        <v>17</v>
      </c>
      <c r="B101" s="166" t="s">
        <v>283</v>
      </c>
      <c r="C101" s="296" t="s">
        <v>282</v>
      </c>
      <c r="D101" s="165" t="s">
        <v>49</v>
      </c>
      <c r="E101" s="93"/>
      <c r="F101" s="365">
        <f>0.02</f>
        <v>0.02</v>
      </c>
      <c r="G101" s="343"/>
      <c r="H101" s="342"/>
      <c r="I101" s="343"/>
      <c r="J101" s="342"/>
      <c r="K101" s="343"/>
      <c r="L101" s="342"/>
      <c r="M101" s="342"/>
    </row>
    <row r="102" spans="1:13" s="261" customFormat="1" ht="13.5">
      <c r="A102" s="97"/>
      <c r="B102" s="98" t="s">
        <v>14</v>
      </c>
      <c r="C102" s="260"/>
      <c r="D102" s="38" t="s">
        <v>15</v>
      </c>
      <c r="E102" s="38">
        <v>450</v>
      </c>
      <c r="F102" s="70">
        <f>F101*E102</f>
        <v>9</v>
      </c>
      <c r="G102" s="38"/>
      <c r="H102" s="70"/>
      <c r="I102" s="38"/>
      <c r="J102" s="70"/>
      <c r="K102" s="38"/>
      <c r="L102" s="70"/>
      <c r="M102" s="70"/>
    </row>
    <row r="103" spans="1:13" s="99" customFormat="1" ht="13.5">
      <c r="A103" s="97"/>
      <c r="B103" s="98" t="s">
        <v>25</v>
      </c>
      <c r="C103" s="260"/>
      <c r="D103" s="69" t="s">
        <v>0</v>
      </c>
      <c r="E103" s="38">
        <v>37</v>
      </c>
      <c r="F103" s="100">
        <f>E103*F101</f>
        <v>0.74</v>
      </c>
      <c r="G103" s="38"/>
      <c r="H103" s="70"/>
      <c r="I103" s="38"/>
      <c r="J103" s="70"/>
      <c r="K103" s="38"/>
      <c r="L103" s="70"/>
      <c r="M103" s="70"/>
    </row>
    <row r="104" spans="1:13" s="261" customFormat="1" ht="13.5">
      <c r="A104" s="97"/>
      <c r="B104" s="69" t="s">
        <v>50</v>
      </c>
      <c r="C104" s="260"/>
      <c r="D104" s="38"/>
      <c r="E104" s="38"/>
      <c r="F104" s="70"/>
      <c r="G104" s="38"/>
      <c r="H104" s="70"/>
      <c r="I104" s="38"/>
      <c r="J104" s="70"/>
      <c r="K104" s="38"/>
      <c r="L104" s="70"/>
      <c r="M104" s="70"/>
    </row>
    <row r="105" spans="1:13" s="261" customFormat="1" ht="13.5">
      <c r="A105" s="97"/>
      <c r="B105" s="98" t="s">
        <v>281</v>
      </c>
      <c r="C105" s="260"/>
      <c r="D105" s="38" t="s">
        <v>23</v>
      </c>
      <c r="E105" s="38">
        <v>102</v>
      </c>
      <c r="F105" s="70">
        <f>F101*E105</f>
        <v>2.04</v>
      </c>
      <c r="G105" s="69"/>
      <c r="H105" s="102"/>
      <c r="I105" s="38"/>
      <c r="J105" s="102"/>
      <c r="K105" s="103"/>
      <c r="L105" s="102"/>
      <c r="M105" s="102"/>
    </row>
    <row r="106" spans="1:13" s="261" customFormat="1" ht="13.5">
      <c r="A106" s="97"/>
      <c r="B106" s="98" t="s">
        <v>150</v>
      </c>
      <c r="C106" s="260"/>
      <c r="D106" s="38" t="s">
        <v>76</v>
      </c>
      <c r="E106" s="38">
        <v>161</v>
      </c>
      <c r="F106" s="364">
        <f>F101*E106</f>
        <v>3.22</v>
      </c>
      <c r="G106" s="69"/>
      <c r="H106" s="102"/>
      <c r="I106" s="38"/>
      <c r="J106" s="102"/>
      <c r="K106" s="103"/>
      <c r="L106" s="102"/>
      <c r="M106" s="102"/>
    </row>
    <row r="107" spans="1:13" s="261" customFormat="1" ht="13.5">
      <c r="A107" s="97"/>
      <c r="B107" s="98" t="s">
        <v>364</v>
      </c>
      <c r="C107" s="260"/>
      <c r="D107" s="38" t="s">
        <v>23</v>
      </c>
      <c r="E107" s="38">
        <v>1.72</v>
      </c>
      <c r="F107" s="364">
        <f>F101*E107</f>
        <v>0.0344</v>
      </c>
      <c r="G107" s="69"/>
      <c r="H107" s="102"/>
      <c r="I107" s="38"/>
      <c r="J107" s="102"/>
      <c r="K107" s="103"/>
      <c r="L107" s="102"/>
      <c r="M107" s="102"/>
    </row>
    <row r="108" spans="1:13" s="264" customFormat="1" ht="15.75">
      <c r="A108" s="19"/>
      <c r="B108" s="98" t="s">
        <v>20</v>
      </c>
      <c r="C108" s="260"/>
      <c r="D108" s="69" t="s">
        <v>0</v>
      </c>
      <c r="E108" s="263">
        <v>28</v>
      </c>
      <c r="F108" s="102">
        <f>E108*F101</f>
        <v>0.56</v>
      </c>
      <c r="G108" s="69"/>
      <c r="H108" s="102"/>
      <c r="I108" s="38"/>
      <c r="J108" s="102"/>
      <c r="K108" s="103"/>
      <c r="L108" s="102"/>
      <c r="M108" s="102"/>
    </row>
    <row r="109" spans="1:13" s="96" customFormat="1" ht="13.5">
      <c r="A109" s="165">
        <v>18</v>
      </c>
      <c r="B109" s="166" t="s">
        <v>279</v>
      </c>
      <c r="C109" s="346" t="s">
        <v>107</v>
      </c>
      <c r="D109" s="345" t="s">
        <v>26</v>
      </c>
      <c r="E109" s="93"/>
      <c r="F109" s="344">
        <f>1</f>
        <v>1</v>
      </c>
      <c r="G109" s="362"/>
      <c r="H109" s="362"/>
      <c r="I109" s="343"/>
      <c r="J109" s="362"/>
      <c r="K109" s="363"/>
      <c r="L109" s="362"/>
      <c r="M109" s="362"/>
    </row>
    <row r="110" spans="1:13" s="356" customFormat="1" ht="27">
      <c r="A110" s="138">
        <v>19</v>
      </c>
      <c r="B110" s="333" t="s">
        <v>307</v>
      </c>
      <c r="C110" s="361" t="s">
        <v>92</v>
      </c>
      <c r="D110" s="358" t="s">
        <v>17</v>
      </c>
      <c r="E110" s="358"/>
      <c r="F110" s="360">
        <v>103</v>
      </c>
      <c r="G110" s="359"/>
      <c r="H110" s="357"/>
      <c r="I110" s="358"/>
      <c r="J110" s="357"/>
      <c r="K110" s="358"/>
      <c r="L110" s="357"/>
      <c r="M110" s="357"/>
    </row>
    <row r="111" spans="1:13" s="351" customFormat="1" ht="13.5">
      <c r="A111" s="355"/>
      <c r="B111" s="340" t="s">
        <v>14</v>
      </c>
      <c r="C111" s="354"/>
      <c r="D111" s="309" t="s">
        <v>15</v>
      </c>
      <c r="E111" s="309">
        <f>105/1000</f>
        <v>0.105</v>
      </c>
      <c r="F111" s="352">
        <f>F110*E111</f>
        <v>10.815</v>
      </c>
      <c r="G111" s="309"/>
      <c r="H111" s="352"/>
      <c r="I111" s="309"/>
      <c r="J111" s="352"/>
      <c r="K111" s="309"/>
      <c r="L111" s="352"/>
      <c r="M111" s="352"/>
    </row>
    <row r="112" spans="1:13" s="351" customFormat="1" ht="13.5">
      <c r="A112" s="355"/>
      <c r="B112" s="340" t="s">
        <v>25</v>
      </c>
      <c r="C112" s="354"/>
      <c r="D112" s="262" t="s">
        <v>0</v>
      </c>
      <c r="E112" s="309">
        <f>53.8/1000</f>
        <v>0.0538</v>
      </c>
      <c r="F112" s="353">
        <f>E112*F110</f>
        <v>5.5414</v>
      </c>
      <c r="G112" s="309"/>
      <c r="H112" s="352"/>
      <c r="I112" s="309"/>
      <c r="J112" s="352"/>
      <c r="K112" s="309"/>
      <c r="L112" s="352"/>
      <c r="M112" s="352"/>
    </row>
    <row r="113" spans="1:13" s="338" customFormat="1" ht="15.75">
      <c r="A113" s="247"/>
      <c r="B113" s="262" t="s">
        <v>16</v>
      </c>
      <c r="C113" s="349"/>
      <c r="D113" s="262"/>
      <c r="E113" s="262"/>
      <c r="F113" s="307"/>
      <c r="G113" s="262"/>
      <c r="H113" s="307"/>
      <c r="I113" s="309"/>
      <c r="J113" s="307"/>
      <c r="K113" s="308"/>
      <c r="L113" s="307"/>
      <c r="M113" s="307"/>
    </row>
    <row r="114" spans="1:13" s="338" customFormat="1" ht="15.75">
      <c r="A114" s="247"/>
      <c r="B114" s="350" t="s">
        <v>365</v>
      </c>
      <c r="C114" s="349"/>
      <c r="D114" s="262" t="s">
        <v>17</v>
      </c>
      <c r="E114" s="262">
        <v>1.01</v>
      </c>
      <c r="F114" s="307">
        <f>E114*F110</f>
        <v>104.03</v>
      </c>
      <c r="G114" s="307"/>
      <c r="H114" s="307"/>
      <c r="I114" s="309"/>
      <c r="J114" s="307"/>
      <c r="K114" s="308"/>
      <c r="L114" s="307"/>
      <c r="M114" s="307"/>
    </row>
    <row r="115" spans="1:13" s="338" customFormat="1" ht="15.75">
      <c r="A115" s="247"/>
      <c r="B115" s="340" t="s">
        <v>20</v>
      </c>
      <c r="C115" s="349"/>
      <c r="D115" s="262" t="s">
        <v>0</v>
      </c>
      <c r="E115" s="262">
        <f>1.2/1000</f>
        <v>0.0012</v>
      </c>
      <c r="F115" s="348">
        <f>E115*F110</f>
        <v>0.12359999999999999</v>
      </c>
      <c r="G115" s="262"/>
      <c r="H115" s="348"/>
      <c r="I115" s="309"/>
      <c r="J115" s="307"/>
      <c r="K115" s="308"/>
      <c r="L115" s="307"/>
      <c r="M115" s="348"/>
    </row>
    <row r="116" spans="1:13" s="37" customFormat="1" ht="15.75">
      <c r="A116" s="566" t="s">
        <v>359</v>
      </c>
      <c r="B116" s="567"/>
      <c r="C116" s="567"/>
      <c r="D116" s="567"/>
      <c r="E116" s="567"/>
      <c r="F116" s="568"/>
      <c r="G116" s="441"/>
      <c r="H116" s="442"/>
      <c r="I116" s="441"/>
      <c r="J116" s="442"/>
      <c r="K116" s="441"/>
      <c r="L116" s="442"/>
      <c r="M116" s="441"/>
    </row>
    <row r="117" spans="1:13" s="184" customFormat="1" ht="27">
      <c r="A117" s="27">
        <v>1</v>
      </c>
      <c r="B117" s="144" t="s">
        <v>94</v>
      </c>
      <c r="C117" s="294" t="s">
        <v>95</v>
      </c>
      <c r="D117" s="28" t="s">
        <v>23</v>
      </c>
      <c r="E117" s="28"/>
      <c r="F117" s="28">
        <v>3.5</v>
      </c>
      <c r="G117" s="28"/>
      <c r="H117" s="183"/>
      <c r="I117" s="28"/>
      <c r="J117" s="183"/>
      <c r="K117" s="28"/>
      <c r="L117" s="183"/>
      <c r="M117" s="183"/>
    </row>
    <row r="118" spans="1:13" s="190" customFormat="1" ht="13.5">
      <c r="A118" s="185"/>
      <c r="B118" s="186" t="s">
        <v>14</v>
      </c>
      <c r="C118" s="187"/>
      <c r="D118" s="188" t="s">
        <v>15</v>
      </c>
      <c r="E118" s="188">
        <v>6.15</v>
      </c>
      <c r="F118" s="189">
        <f>F117*E118</f>
        <v>21.525000000000002</v>
      </c>
      <c r="G118" s="188"/>
      <c r="H118" s="189"/>
      <c r="I118" s="188"/>
      <c r="J118" s="189"/>
      <c r="K118" s="188"/>
      <c r="L118" s="189"/>
      <c r="M118" s="189"/>
    </row>
    <row r="119" spans="1:13" s="192" customFormat="1" ht="40.5">
      <c r="A119" s="27">
        <v>2</v>
      </c>
      <c r="B119" s="144" t="s">
        <v>96</v>
      </c>
      <c r="C119" s="294" t="s">
        <v>97</v>
      </c>
      <c r="D119" s="28" t="s">
        <v>17</v>
      </c>
      <c r="E119" s="28"/>
      <c r="F119" s="151">
        <v>38</v>
      </c>
      <c r="G119" s="191"/>
      <c r="H119" s="183"/>
      <c r="I119" s="28"/>
      <c r="J119" s="183"/>
      <c r="K119" s="28"/>
      <c r="L119" s="183"/>
      <c r="M119" s="183"/>
    </row>
    <row r="120" spans="1:15" s="196" customFormat="1" ht="13.5">
      <c r="A120" s="187"/>
      <c r="B120" s="193" t="s">
        <v>24</v>
      </c>
      <c r="C120" s="194"/>
      <c r="D120" s="188" t="s">
        <v>15</v>
      </c>
      <c r="E120" s="185">
        <v>2.23</v>
      </c>
      <c r="F120" s="195">
        <f>E120*F119</f>
        <v>84.74</v>
      </c>
      <c r="G120" s="185"/>
      <c r="H120" s="195"/>
      <c r="I120" s="185"/>
      <c r="J120" s="195"/>
      <c r="K120" s="185"/>
      <c r="L120" s="185"/>
      <c r="M120" s="195"/>
      <c r="O120" s="197"/>
    </row>
    <row r="121" spans="1:15" s="196" customFormat="1" ht="13.5">
      <c r="A121" s="187"/>
      <c r="B121" s="193" t="s">
        <v>70</v>
      </c>
      <c r="C121" s="194"/>
      <c r="D121" s="188" t="s">
        <v>0</v>
      </c>
      <c r="E121" s="185">
        <v>0.05</v>
      </c>
      <c r="F121" s="195">
        <f>E121*F119</f>
        <v>1.9000000000000001</v>
      </c>
      <c r="G121" s="185"/>
      <c r="H121" s="185"/>
      <c r="I121" s="185"/>
      <c r="J121" s="185"/>
      <c r="K121" s="185"/>
      <c r="L121" s="195"/>
      <c r="M121" s="195"/>
      <c r="O121" s="197"/>
    </row>
    <row r="122" spans="1:15" s="196" customFormat="1" ht="13.5">
      <c r="A122" s="198"/>
      <c r="B122" s="185" t="s">
        <v>16</v>
      </c>
      <c r="C122" s="199"/>
      <c r="D122" s="185"/>
      <c r="E122" s="185"/>
      <c r="F122" s="195"/>
      <c r="G122" s="185"/>
      <c r="H122" s="195"/>
      <c r="I122" s="200"/>
      <c r="J122" s="195"/>
      <c r="K122" s="200"/>
      <c r="L122" s="195"/>
      <c r="M122" s="195"/>
      <c r="O122" s="197"/>
    </row>
    <row r="123" spans="1:15" s="196" customFormat="1" ht="26.25">
      <c r="A123" s="198"/>
      <c r="B123" s="193" t="s">
        <v>98</v>
      </c>
      <c r="C123" s="201"/>
      <c r="D123" s="188" t="s">
        <v>26</v>
      </c>
      <c r="E123" s="185"/>
      <c r="F123" s="185">
        <v>15</v>
      </c>
      <c r="G123" s="159"/>
      <c r="H123" s="159"/>
      <c r="I123" s="148"/>
      <c r="J123" s="38"/>
      <c r="K123" s="147"/>
      <c r="L123" s="147"/>
      <c r="M123" s="195"/>
      <c r="O123" s="197"/>
    </row>
    <row r="124" spans="1:15" s="196" customFormat="1" ht="13.5">
      <c r="A124" s="198"/>
      <c r="B124" s="193" t="s">
        <v>100</v>
      </c>
      <c r="C124" s="201"/>
      <c r="D124" s="188" t="s">
        <v>26</v>
      </c>
      <c r="E124" s="185"/>
      <c r="F124" s="185">
        <v>12</v>
      </c>
      <c r="G124" s="159"/>
      <c r="H124" s="159"/>
      <c r="I124" s="148"/>
      <c r="J124" s="38"/>
      <c r="K124" s="147"/>
      <c r="L124" s="147"/>
      <c r="M124" s="195"/>
      <c r="O124" s="197"/>
    </row>
    <row r="125" spans="1:15" s="196" customFormat="1" ht="27">
      <c r="A125" s="198"/>
      <c r="B125" s="193" t="s">
        <v>225</v>
      </c>
      <c r="C125" s="201"/>
      <c r="D125" s="188" t="s">
        <v>76</v>
      </c>
      <c r="E125" s="185"/>
      <c r="F125" s="195">
        <v>57</v>
      </c>
      <c r="G125" s="159"/>
      <c r="H125" s="159"/>
      <c r="I125" s="148"/>
      <c r="J125" s="38"/>
      <c r="K125" s="147"/>
      <c r="L125" s="147"/>
      <c r="M125" s="195"/>
      <c r="O125" s="197"/>
    </row>
    <row r="126" spans="1:15" s="196" customFormat="1" ht="13.5">
      <c r="A126" s="198"/>
      <c r="B126" s="193" t="s">
        <v>101</v>
      </c>
      <c r="C126" s="201"/>
      <c r="D126" s="188" t="s">
        <v>17</v>
      </c>
      <c r="E126" s="185"/>
      <c r="F126" s="195">
        <v>114</v>
      </c>
      <c r="G126" s="147"/>
      <c r="H126" s="159"/>
      <c r="I126" s="148"/>
      <c r="J126" s="38"/>
      <c r="K126" s="147"/>
      <c r="L126" s="147"/>
      <c r="M126" s="195"/>
      <c r="O126" s="197"/>
    </row>
    <row r="127" spans="1:15" s="196" customFormat="1" ht="13.5">
      <c r="A127" s="198"/>
      <c r="B127" s="193" t="s">
        <v>102</v>
      </c>
      <c r="C127" s="201"/>
      <c r="D127" s="188" t="s">
        <v>17</v>
      </c>
      <c r="E127" s="185"/>
      <c r="F127" s="195">
        <v>38</v>
      </c>
      <c r="G127" s="147"/>
      <c r="H127" s="159"/>
      <c r="I127" s="148"/>
      <c r="J127" s="38"/>
      <c r="K127" s="147"/>
      <c r="L127" s="147"/>
      <c r="M127" s="195"/>
      <c r="O127" s="197"/>
    </row>
    <row r="128" spans="1:15" s="196" customFormat="1" ht="15.75">
      <c r="A128" s="198"/>
      <c r="B128" s="193" t="s">
        <v>103</v>
      </c>
      <c r="C128" s="201"/>
      <c r="D128" s="188" t="s">
        <v>35</v>
      </c>
      <c r="E128" s="185"/>
      <c r="F128" s="195">
        <v>3.5</v>
      </c>
      <c r="G128" s="147"/>
      <c r="H128" s="159"/>
      <c r="I128" s="148"/>
      <c r="J128" s="38"/>
      <c r="K128" s="147"/>
      <c r="L128" s="147"/>
      <c r="M128" s="195"/>
      <c r="O128" s="197"/>
    </row>
    <row r="129" spans="1:15" s="196" customFormat="1" ht="13.5">
      <c r="A129" s="198"/>
      <c r="B129" s="193" t="s">
        <v>104</v>
      </c>
      <c r="C129" s="202"/>
      <c r="D129" s="188" t="s">
        <v>48</v>
      </c>
      <c r="E129" s="185">
        <f>0.002/100</f>
        <v>2E-05</v>
      </c>
      <c r="F129" s="203">
        <f>E129*F119</f>
        <v>0.00076</v>
      </c>
      <c r="G129" s="147"/>
      <c r="H129" s="159"/>
      <c r="I129" s="148"/>
      <c r="J129" s="38"/>
      <c r="K129" s="147"/>
      <c r="L129" s="147"/>
      <c r="M129" s="195"/>
      <c r="O129" s="197"/>
    </row>
    <row r="130" spans="1:15" s="196" customFormat="1" ht="13.5">
      <c r="A130" s="198"/>
      <c r="B130" s="193" t="s">
        <v>105</v>
      </c>
      <c r="C130" s="202"/>
      <c r="D130" s="188" t="s">
        <v>48</v>
      </c>
      <c r="E130" s="185">
        <f>0.152/100</f>
        <v>0.0015199999999999999</v>
      </c>
      <c r="F130" s="203">
        <f>E130*F119</f>
        <v>0.05775999999999999</v>
      </c>
      <c r="G130" s="147"/>
      <c r="H130" s="159"/>
      <c r="I130" s="148"/>
      <c r="J130" s="38"/>
      <c r="K130" s="147"/>
      <c r="L130" s="147"/>
      <c r="M130" s="204"/>
      <c r="N130" s="205"/>
      <c r="O130" s="206"/>
    </row>
    <row r="131" spans="1:15" s="196" customFormat="1" ht="13.5">
      <c r="A131" s="207"/>
      <c r="B131" s="208" t="s">
        <v>20</v>
      </c>
      <c r="C131" s="209"/>
      <c r="D131" s="210" t="s">
        <v>0</v>
      </c>
      <c r="E131" s="211">
        <v>0.04</v>
      </c>
      <c r="F131" s="212">
        <f>E131*F119</f>
        <v>1.52</v>
      </c>
      <c r="G131" s="213"/>
      <c r="H131" s="214"/>
      <c r="I131" s="215"/>
      <c r="J131" s="216"/>
      <c r="K131" s="213"/>
      <c r="L131" s="213"/>
      <c r="M131" s="217"/>
      <c r="N131" s="205"/>
      <c r="O131" s="206"/>
    </row>
    <row r="132" spans="1:25" s="221" customFormat="1" ht="13.5">
      <c r="A132" s="27">
        <v>3</v>
      </c>
      <c r="B132" s="144" t="s">
        <v>106</v>
      </c>
      <c r="C132" s="294" t="s">
        <v>107</v>
      </c>
      <c r="D132" s="28" t="s">
        <v>26</v>
      </c>
      <c r="E132" s="28"/>
      <c r="F132" s="218">
        <v>1</v>
      </c>
      <c r="G132" s="28"/>
      <c r="H132" s="183"/>
      <c r="I132" s="28"/>
      <c r="J132" s="183"/>
      <c r="K132" s="28"/>
      <c r="L132" s="183"/>
      <c r="M132" s="219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220"/>
    </row>
    <row r="133" spans="1:15" s="196" customFormat="1" ht="13.5">
      <c r="A133" s="187"/>
      <c r="B133" s="193" t="s">
        <v>24</v>
      </c>
      <c r="C133" s="194" t="s">
        <v>107</v>
      </c>
      <c r="D133" s="188" t="s">
        <v>26</v>
      </c>
      <c r="E133" s="185">
        <v>1</v>
      </c>
      <c r="F133" s="195">
        <f>E133*F132</f>
        <v>1</v>
      </c>
      <c r="G133" s="185"/>
      <c r="H133" s="195"/>
      <c r="I133" s="185"/>
      <c r="J133" s="195"/>
      <c r="K133" s="185"/>
      <c r="L133" s="185"/>
      <c r="M133" s="204"/>
      <c r="N133" s="205"/>
      <c r="O133" s="206"/>
    </row>
    <row r="134" spans="1:15" s="196" customFormat="1" ht="13.5">
      <c r="A134" s="198"/>
      <c r="B134" s="185" t="s">
        <v>16</v>
      </c>
      <c r="C134" s="199"/>
      <c r="D134" s="185"/>
      <c r="E134" s="185"/>
      <c r="F134" s="195"/>
      <c r="G134" s="185"/>
      <c r="H134" s="195"/>
      <c r="I134" s="200"/>
      <c r="J134" s="195"/>
      <c r="K134" s="200"/>
      <c r="L134" s="195"/>
      <c r="M134" s="204"/>
      <c r="N134" s="205"/>
      <c r="O134" s="206"/>
    </row>
    <row r="135" spans="1:15" s="196" customFormat="1" ht="27">
      <c r="A135" s="198"/>
      <c r="B135" s="193" t="s">
        <v>108</v>
      </c>
      <c r="C135" s="201"/>
      <c r="D135" s="188" t="s">
        <v>76</v>
      </c>
      <c r="E135" s="185"/>
      <c r="F135" s="195">
        <v>7</v>
      </c>
      <c r="G135" s="159"/>
      <c r="H135" s="159"/>
      <c r="I135" s="148"/>
      <c r="J135" s="38"/>
      <c r="K135" s="147"/>
      <c r="L135" s="147"/>
      <c r="M135" s="195"/>
      <c r="O135" s="197"/>
    </row>
    <row r="136" spans="1:15" s="196" customFormat="1" ht="13.5">
      <c r="A136" s="198"/>
      <c r="B136" s="222" t="s">
        <v>109</v>
      </c>
      <c r="C136" s="201" t="s">
        <v>99</v>
      </c>
      <c r="D136" s="188" t="s">
        <v>17</v>
      </c>
      <c r="E136" s="185"/>
      <c r="F136" s="159">
        <v>9</v>
      </c>
      <c r="G136" s="159"/>
      <c r="H136" s="159"/>
      <c r="I136" s="148"/>
      <c r="J136" s="38"/>
      <c r="K136" s="147"/>
      <c r="L136" s="147"/>
      <c r="M136" s="195"/>
      <c r="O136" s="197"/>
    </row>
    <row r="137" spans="1:15" s="196" customFormat="1" ht="13.5">
      <c r="A137" s="198"/>
      <c r="B137" s="223" t="s">
        <v>110</v>
      </c>
      <c r="C137" s="201" t="s">
        <v>99</v>
      </c>
      <c r="D137" s="188" t="s">
        <v>17</v>
      </c>
      <c r="E137" s="185"/>
      <c r="F137" s="159">
        <v>24</v>
      </c>
      <c r="G137" s="159"/>
      <c r="H137" s="159"/>
      <c r="I137" s="148"/>
      <c r="J137" s="38"/>
      <c r="K137" s="147"/>
      <c r="L137" s="147"/>
      <c r="M137" s="195"/>
      <c r="O137" s="197"/>
    </row>
    <row r="138" spans="1:15" s="196" customFormat="1" ht="13.5">
      <c r="A138" s="198"/>
      <c r="B138" s="223" t="s">
        <v>111</v>
      </c>
      <c r="C138" s="201" t="s">
        <v>99</v>
      </c>
      <c r="D138" s="188" t="s">
        <v>17</v>
      </c>
      <c r="E138" s="185"/>
      <c r="F138" s="159">
        <v>24</v>
      </c>
      <c r="G138" s="147"/>
      <c r="H138" s="159"/>
      <c r="I138" s="148"/>
      <c r="J138" s="38"/>
      <c r="K138" s="147"/>
      <c r="L138" s="147"/>
      <c r="M138" s="195"/>
      <c r="O138" s="197"/>
    </row>
    <row r="139" spans="1:15" s="196" customFormat="1" ht="13.5">
      <c r="A139" s="198"/>
      <c r="B139" s="223" t="s">
        <v>112</v>
      </c>
      <c r="C139" s="201" t="s">
        <v>99</v>
      </c>
      <c r="D139" s="188" t="s">
        <v>113</v>
      </c>
      <c r="E139" s="185"/>
      <c r="F139" s="159">
        <v>2</v>
      </c>
      <c r="G139" s="159"/>
      <c r="H139" s="159"/>
      <c r="I139" s="148"/>
      <c r="J139" s="38"/>
      <c r="K139" s="147"/>
      <c r="L139" s="147"/>
      <c r="M139" s="195"/>
      <c r="O139" s="197"/>
    </row>
    <row r="140" spans="1:15" s="196" customFormat="1" ht="13.5">
      <c r="A140" s="198"/>
      <c r="B140" s="223" t="s">
        <v>114</v>
      </c>
      <c r="C140" s="201" t="s">
        <v>99</v>
      </c>
      <c r="D140" s="188" t="s">
        <v>26</v>
      </c>
      <c r="E140" s="185"/>
      <c r="F140" s="159">
        <v>6</v>
      </c>
      <c r="G140" s="159"/>
      <c r="H140" s="159"/>
      <c r="I140" s="148"/>
      <c r="J140" s="38"/>
      <c r="K140" s="147"/>
      <c r="L140" s="147"/>
      <c r="M140" s="195"/>
      <c r="O140" s="197"/>
    </row>
    <row r="141" spans="1:25" s="196" customFormat="1" ht="13.5">
      <c r="A141" s="198"/>
      <c r="B141" s="223" t="s">
        <v>115</v>
      </c>
      <c r="C141" s="201" t="s">
        <v>99</v>
      </c>
      <c r="D141" s="188" t="s">
        <v>113</v>
      </c>
      <c r="E141" s="185"/>
      <c r="F141" s="159">
        <v>2</v>
      </c>
      <c r="G141" s="159"/>
      <c r="H141" s="159"/>
      <c r="I141" s="148"/>
      <c r="J141" s="38"/>
      <c r="K141" s="147"/>
      <c r="L141" s="147"/>
      <c r="M141" s="195"/>
      <c r="N141" s="205"/>
      <c r="O141" s="197"/>
      <c r="W141" s="205"/>
      <c r="X141" s="205"/>
      <c r="Y141" s="205"/>
    </row>
    <row r="142" spans="1:15" s="196" customFormat="1" ht="15.75">
      <c r="A142" s="198"/>
      <c r="B142" s="193" t="s">
        <v>103</v>
      </c>
      <c r="C142" s="201" t="s">
        <v>99</v>
      </c>
      <c r="D142" s="188" t="s">
        <v>35</v>
      </c>
      <c r="E142" s="185"/>
      <c r="F142" s="195">
        <v>0.7</v>
      </c>
      <c r="G142" s="147"/>
      <c r="H142" s="159"/>
      <c r="I142" s="148"/>
      <c r="J142" s="38"/>
      <c r="K142" s="147"/>
      <c r="L142" s="147"/>
      <c r="M142" s="204"/>
      <c r="N142" s="205"/>
      <c r="O142" s="197"/>
    </row>
    <row r="143" spans="1:15" s="196" customFormat="1" ht="13.5">
      <c r="A143" s="198"/>
      <c r="B143" s="193" t="s">
        <v>116</v>
      </c>
      <c r="C143" s="201" t="s">
        <v>99</v>
      </c>
      <c r="D143" s="188" t="s">
        <v>26</v>
      </c>
      <c r="E143" s="185"/>
      <c r="F143" s="185">
        <v>2</v>
      </c>
      <c r="G143" s="159"/>
      <c r="H143" s="159"/>
      <c r="I143" s="148"/>
      <c r="J143" s="38"/>
      <c r="K143" s="147"/>
      <c r="L143" s="147"/>
      <c r="M143" s="204"/>
      <c r="N143" s="205"/>
      <c r="O143" s="197"/>
    </row>
    <row r="144" spans="1:23" s="221" customFormat="1" ht="22.5">
      <c r="A144" s="27">
        <v>4</v>
      </c>
      <c r="B144" s="144" t="s">
        <v>117</v>
      </c>
      <c r="C144" s="294" t="s">
        <v>118</v>
      </c>
      <c r="D144" s="28" t="s">
        <v>26</v>
      </c>
      <c r="E144" s="28"/>
      <c r="F144" s="218">
        <v>1</v>
      </c>
      <c r="G144" s="28"/>
      <c r="H144" s="183"/>
      <c r="I144" s="28"/>
      <c r="J144" s="183"/>
      <c r="K144" s="28"/>
      <c r="L144" s="183"/>
      <c r="M144" s="219"/>
      <c r="N144" s="192"/>
      <c r="O144" s="192"/>
      <c r="P144" s="192"/>
      <c r="Q144" s="192"/>
      <c r="R144" s="192"/>
      <c r="S144" s="192"/>
      <c r="T144" s="192"/>
      <c r="U144" s="192"/>
      <c r="V144" s="192"/>
      <c r="W144" s="220"/>
    </row>
    <row r="145" spans="1:14" s="196" customFormat="1" ht="13.5">
      <c r="A145" s="187"/>
      <c r="B145" s="193" t="s">
        <v>24</v>
      </c>
      <c r="C145" s="194"/>
      <c r="D145" s="188" t="s">
        <v>15</v>
      </c>
      <c r="E145" s="185">
        <v>7.33</v>
      </c>
      <c r="F145" s="195">
        <f>E145*F144</f>
        <v>7.33</v>
      </c>
      <c r="G145" s="185"/>
      <c r="H145" s="195"/>
      <c r="I145" s="185"/>
      <c r="J145" s="195"/>
      <c r="K145" s="185"/>
      <c r="L145" s="185"/>
      <c r="M145" s="204"/>
      <c r="N145" s="205"/>
    </row>
    <row r="146" spans="1:14" s="196" customFormat="1" ht="13.5">
      <c r="A146" s="187"/>
      <c r="B146" s="193" t="s">
        <v>70</v>
      </c>
      <c r="C146" s="194"/>
      <c r="D146" s="188" t="s">
        <v>0</v>
      </c>
      <c r="E146" s="185">
        <v>0.11</v>
      </c>
      <c r="F146" s="195">
        <f>E146*F144</f>
        <v>0.11</v>
      </c>
      <c r="G146" s="185"/>
      <c r="H146" s="185"/>
      <c r="I146" s="185"/>
      <c r="J146" s="185"/>
      <c r="K146" s="185"/>
      <c r="L146" s="195"/>
      <c r="M146" s="204"/>
      <c r="N146" s="205"/>
    </row>
    <row r="147" spans="1:14" s="196" customFormat="1" ht="13.5">
      <c r="A147" s="198"/>
      <c r="B147" s="185" t="s">
        <v>16</v>
      </c>
      <c r="C147" s="199"/>
      <c r="D147" s="185"/>
      <c r="E147" s="185"/>
      <c r="F147" s="195"/>
      <c r="G147" s="185"/>
      <c r="H147" s="195"/>
      <c r="I147" s="200"/>
      <c r="J147" s="195"/>
      <c r="K147" s="200"/>
      <c r="L147" s="195"/>
      <c r="M147" s="204"/>
      <c r="N147" s="205"/>
    </row>
    <row r="148" spans="1:13" s="196" customFormat="1" ht="13.5">
      <c r="A148" s="198"/>
      <c r="B148" s="193" t="s">
        <v>119</v>
      </c>
      <c r="C148" s="201" t="s">
        <v>99</v>
      </c>
      <c r="D148" s="188" t="s">
        <v>26</v>
      </c>
      <c r="E148" s="185"/>
      <c r="F148" s="185">
        <v>1</v>
      </c>
      <c r="G148" s="159"/>
      <c r="H148" s="159"/>
      <c r="I148" s="148"/>
      <c r="J148" s="38"/>
      <c r="K148" s="147"/>
      <c r="L148" s="147"/>
      <c r="M148" s="195"/>
    </row>
    <row r="149" spans="1:13" s="196" customFormat="1" ht="13.5">
      <c r="A149" s="198"/>
      <c r="B149" s="193" t="s">
        <v>120</v>
      </c>
      <c r="C149" s="202"/>
      <c r="D149" s="188" t="s">
        <v>52</v>
      </c>
      <c r="E149" s="185">
        <f>0.02*1000/100</f>
        <v>0.2</v>
      </c>
      <c r="F149" s="224">
        <f>E149*F144</f>
        <v>0.2</v>
      </c>
      <c r="G149" s="147"/>
      <c r="H149" s="159"/>
      <c r="I149" s="148"/>
      <c r="J149" s="38"/>
      <c r="K149" s="147"/>
      <c r="L149" s="147"/>
      <c r="M149" s="195"/>
    </row>
    <row r="150" spans="1:13" s="229" customFormat="1" ht="15.75">
      <c r="A150" s="225"/>
      <c r="B150" s="79" t="s">
        <v>20</v>
      </c>
      <c r="C150" s="226"/>
      <c r="D150" s="78" t="s">
        <v>0</v>
      </c>
      <c r="E150" s="78">
        <v>0.02</v>
      </c>
      <c r="F150" s="227">
        <f>E150*F144</f>
        <v>0.02</v>
      </c>
      <c r="G150" s="78"/>
      <c r="H150" s="227"/>
      <c r="I150" s="81"/>
      <c r="J150" s="227"/>
      <c r="K150" s="228"/>
      <c r="L150" s="227"/>
      <c r="M150" s="227"/>
    </row>
    <row r="151" spans="1:14" s="33" customFormat="1" ht="27">
      <c r="A151" s="27">
        <v>5</v>
      </c>
      <c r="B151" s="144" t="s">
        <v>121</v>
      </c>
      <c r="C151" s="294" t="s">
        <v>81</v>
      </c>
      <c r="D151" s="28" t="s">
        <v>76</v>
      </c>
      <c r="E151" s="28"/>
      <c r="F151" s="154">
        <v>2</v>
      </c>
      <c r="G151" s="28"/>
      <c r="H151" s="181"/>
      <c r="I151" s="28"/>
      <c r="J151" s="152"/>
      <c r="K151" s="28"/>
      <c r="L151" s="181"/>
      <c r="M151" s="152"/>
      <c r="N151" s="32"/>
    </row>
    <row r="152" spans="1:13" s="48" customFormat="1" ht="13.5">
      <c r="A152" s="43"/>
      <c r="B152" s="44" t="s">
        <v>14</v>
      </c>
      <c r="C152" s="45"/>
      <c r="D152" s="46" t="s">
        <v>15</v>
      </c>
      <c r="E152" s="46">
        <f>38.8/100</f>
        <v>0.38799999999999996</v>
      </c>
      <c r="F152" s="47">
        <f>F151*E152</f>
        <v>0.7759999999999999</v>
      </c>
      <c r="G152" s="46"/>
      <c r="H152" s="47"/>
      <c r="I152" s="11"/>
      <c r="J152" s="47"/>
      <c r="K152" s="46"/>
      <c r="L152" s="47"/>
      <c r="M152" s="47"/>
    </row>
    <row r="153" spans="1:13" s="48" customFormat="1" ht="13.5">
      <c r="A153" s="43"/>
      <c r="B153" s="44" t="s">
        <v>25</v>
      </c>
      <c r="C153" s="45"/>
      <c r="D153" s="49" t="s">
        <v>0</v>
      </c>
      <c r="E153" s="46">
        <f>0.03/100</f>
        <v>0.0003</v>
      </c>
      <c r="F153" s="50">
        <f>E153*F151</f>
        <v>0.0006</v>
      </c>
      <c r="G153" s="46"/>
      <c r="H153" s="47"/>
      <c r="I153" s="46"/>
      <c r="J153" s="47"/>
      <c r="K153" s="46"/>
      <c r="L153" s="47"/>
      <c r="M153" s="47"/>
    </row>
    <row r="154" spans="1:13" s="55" customFormat="1" ht="15.75">
      <c r="A154" s="51"/>
      <c r="B154" s="49" t="s">
        <v>16</v>
      </c>
      <c r="C154" s="52"/>
      <c r="D154" s="49"/>
      <c r="E154" s="49"/>
      <c r="F154" s="53"/>
      <c r="G154" s="49"/>
      <c r="H154" s="53"/>
      <c r="I154" s="46"/>
      <c r="J154" s="53"/>
      <c r="K154" s="54"/>
      <c r="L154" s="53"/>
      <c r="M154" s="53"/>
    </row>
    <row r="155" spans="1:13" s="55" customFormat="1" ht="15.75">
      <c r="A155" s="51"/>
      <c r="B155" s="56" t="s">
        <v>82</v>
      </c>
      <c r="C155" s="52"/>
      <c r="D155" s="49" t="s">
        <v>52</v>
      </c>
      <c r="E155" s="59">
        <f>(2.7+0.2+25.1)/100</f>
        <v>0.28</v>
      </c>
      <c r="F155" s="53">
        <f>E155*F151</f>
        <v>0.56</v>
      </c>
      <c r="G155" s="128"/>
      <c r="H155" s="53"/>
      <c r="I155" s="46"/>
      <c r="J155" s="53"/>
      <c r="K155" s="54"/>
      <c r="L155" s="53"/>
      <c r="M155" s="53"/>
    </row>
    <row r="156" spans="1:13" s="55" customFormat="1" ht="15.75">
      <c r="A156" s="51"/>
      <c r="B156" s="44" t="s">
        <v>20</v>
      </c>
      <c r="C156" s="52"/>
      <c r="D156" s="49" t="s">
        <v>0</v>
      </c>
      <c r="E156" s="49">
        <f>0.19/100</f>
        <v>0.0019</v>
      </c>
      <c r="F156" s="53">
        <f>E156*F151</f>
        <v>0.0038</v>
      </c>
      <c r="G156" s="49"/>
      <c r="H156" s="53"/>
      <c r="I156" s="46"/>
      <c r="J156" s="53"/>
      <c r="K156" s="54"/>
      <c r="L156" s="53"/>
      <c r="M156" s="53"/>
    </row>
    <row r="157" spans="1:15" s="241" customFormat="1" ht="40.5">
      <c r="A157" s="234">
        <v>6</v>
      </c>
      <c r="B157" s="144" t="s">
        <v>132</v>
      </c>
      <c r="C157" s="294" t="s">
        <v>125</v>
      </c>
      <c r="D157" s="234" t="s">
        <v>49</v>
      </c>
      <c r="E157" s="234"/>
      <c r="F157" s="236">
        <f>14.4/100</f>
        <v>0.14400000000000002</v>
      </c>
      <c r="G157" s="130"/>
      <c r="H157" s="237"/>
      <c r="I157" s="129"/>
      <c r="J157" s="237"/>
      <c r="K157" s="238"/>
      <c r="L157" s="239"/>
      <c r="M157" s="152"/>
      <c r="N157" s="240"/>
      <c r="O157" s="123"/>
    </row>
    <row r="158" spans="1:13" s="66" customFormat="1" ht="13.5">
      <c r="A158" s="7"/>
      <c r="B158" s="9" t="s">
        <v>14</v>
      </c>
      <c r="C158" s="121"/>
      <c r="D158" s="11" t="s">
        <v>15</v>
      </c>
      <c r="E158" s="11">
        <v>21.6</v>
      </c>
      <c r="F158" s="12">
        <f>E158*F157</f>
        <v>3.1104000000000007</v>
      </c>
      <c r="G158" s="11"/>
      <c r="H158" s="12"/>
      <c r="I158" s="11"/>
      <c r="J158" s="12"/>
      <c r="K158" s="11"/>
      <c r="L158" s="12"/>
      <c r="M158" s="12"/>
    </row>
    <row r="159" spans="1:13" s="24" customFormat="1" ht="13.5">
      <c r="A159" s="7"/>
      <c r="B159" s="9" t="s">
        <v>126</v>
      </c>
      <c r="C159" s="121"/>
      <c r="D159" s="8" t="s">
        <v>32</v>
      </c>
      <c r="E159" s="11">
        <v>1.24</v>
      </c>
      <c r="F159" s="125">
        <f>E159*F157</f>
        <v>0.17856000000000002</v>
      </c>
      <c r="G159" s="11"/>
      <c r="H159" s="12"/>
      <c r="I159" s="11"/>
      <c r="J159" s="12"/>
      <c r="K159" s="11"/>
      <c r="L159" s="12"/>
      <c r="M159" s="12"/>
    </row>
    <row r="160" spans="1:24" s="23" customFormat="1" ht="13.5">
      <c r="A160" s="121"/>
      <c r="B160" s="16" t="s">
        <v>127</v>
      </c>
      <c r="C160" s="121"/>
      <c r="D160" s="8" t="s">
        <v>32</v>
      </c>
      <c r="E160" s="11">
        <v>2.58</v>
      </c>
      <c r="F160" s="122">
        <f>E160*F157</f>
        <v>0.3715200000000001</v>
      </c>
      <c r="G160" s="8"/>
      <c r="H160" s="8"/>
      <c r="I160" s="8"/>
      <c r="J160" s="8"/>
      <c r="K160" s="8"/>
      <c r="L160" s="14"/>
      <c r="M160" s="14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13" s="24" customFormat="1" ht="13.5">
      <c r="A161" s="7"/>
      <c r="B161" s="9" t="s">
        <v>128</v>
      </c>
      <c r="C161" s="121"/>
      <c r="D161" s="8" t="s">
        <v>32</v>
      </c>
      <c r="E161" s="11">
        <v>0.41</v>
      </c>
      <c r="F161" s="125">
        <f>E161*F157</f>
        <v>0.05904</v>
      </c>
      <c r="G161" s="11"/>
      <c r="H161" s="12"/>
      <c r="I161" s="11"/>
      <c r="J161" s="12"/>
      <c r="K161" s="11"/>
      <c r="L161" s="12"/>
      <c r="M161" s="12"/>
    </row>
    <row r="162" spans="1:13" s="24" customFormat="1" ht="13.5">
      <c r="A162" s="7"/>
      <c r="B162" s="9" t="s">
        <v>64</v>
      </c>
      <c r="C162" s="121"/>
      <c r="D162" s="8" t="s">
        <v>32</v>
      </c>
      <c r="E162" s="11">
        <v>7.6</v>
      </c>
      <c r="F162" s="125">
        <f>E162*F157</f>
        <v>1.0944</v>
      </c>
      <c r="G162" s="11"/>
      <c r="H162" s="12"/>
      <c r="I162" s="11"/>
      <c r="J162" s="12"/>
      <c r="K162" s="11"/>
      <c r="L162" s="12"/>
      <c r="M162" s="12"/>
    </row>
    <row r="163" spans="1:13" s="24" customFormat="1" ht="13.5">
      <c r="A163" s="7"/>
      <c r="B163" s="9" t="s">
        <v>65</v>
      </c>
      <c r="C163" s="121"/>
      <c r="D163" s="8" t="s">
        <v>32</v>
      </c>
      <c r="E163" s="11">
        <v>15.1</v>
      </c>
      <c r="F163" s="125">
        <f>E163*F157</f>
        <v>2.1744000000000003</v>
      </c>
      <c r="G163" s="11"/>
      <c r="H163" s="12"/>
      <c r="I163" s="11"/>
      <c r="J163" s="12"/>
      <c r="K163" s="11"/>
      <c r="L163" s="12"/>
      <c r="M163" s="12"/>
    </row>
    <row r="164" spans="1:13" s="66" customFormat="1" ht="13.5">
      <c r="A164" s="7"/>
      <c r="B164" s="9" t="s">
        <v>129</v>
      </c>
      <c r="C164" s="121"/>
      <c r="D164" s="11" t="s">
        <v>32</v>
      </c>
      <c r="E164" s="11">
        <v>0.97</v>
      </c>
      <c r="F164" s="12">
        <f>F157*E164</f>
        <v>0.13968000000000003</v>
      </c>
      <c r="G164" s="11"/>
      <c r="H164" s="12"/>
      <c r="I164" s="242"/>
      <c r="J164" s="242"/>
      <c r="K164" s="11"/>
      <c r="L164" s="12"/>
      <c r="M164" s="12"/>
    </row>
    <row r="165" spans="1:13" s="66" customFormat="1" ht="13.5">
      <c r="A165" s="7"/>
      <c r="B165" s="8" t="s">
        <v>50</v>
      </c>
      <c r="C165" s="121"/>
      <c r="D165" s="11"/>
      <c r="E165" s="11" t="s">
        <v>130</v>
      </c>
      <c r="F165" s="12"/>
      <c r="G165" s="11"/>
      <c r="H165" s="12"/>
      <c r="I165" s="11"/>
      <c r="J165" s="12"/>
      <c r="K165" s="11"/>
      <c r="L165" s="12"/>
      <c r="M165" s="12"/>
    </row>
    <row r="166" spans="1:13" s="66" customFormat="1" ht="13.5">
      <c r="A166" s="7"/>
      <c r="B166" s="9" t="s">
        <v>131</v>
      </c>
      <c r="C166" s="121"/>
      <c r="D166" s="11" t="s">
        <v>23</v>
      </c>
      <c r="E166" s="11">
        <v>126</v>
      </c>
      <c r="F166" s="12">
        <f>F157*E166</f>
        <v>18.144000000000002</v>
      </c>
      <c r="G166" s="11"/>
      <c r="H166" s="12"/>
      <c r="I166" s="11"/>
      <c r="J166" s="12"/>
      <c r="K166" s="11"/>
      <c r="L166" s="12"/>
      <c r="M166" s="12"/>
    </row>
    <row r="167" spans="1:13" s="66" customFormat="1" ht="13.5">
      <c r="A167" s="7"/>
      <c r="B167" s="9" t="s">
        <v>37</v>
      </c>
      <c r="C167" s="121"/>
      <c r="D167" s="11" t="s">
        <v>23</v>
      </c>
      <c r="E167" s="11">
        <v>7</v>
      </c>
      <c r="F167" s="12">
        <f>F157*E167</f>
        <v>1.008</v>
      </c>
      <c r="G167" s="11"/>
      <c r="H167" s="12"/>
      <c r="I167" s="11"/>
      <c r="J167" s="12"/>
      <c r="K167" s="11"/>
      <c r="L167" s="12"/>
      <c r="M167" s="12"/>
    </row>
    <row r="168" spans="1:13" ht="13.5">
      <c r="A168" s="558" t="s">
        <v>10</v>
      </c>
      <c r="B168" s="559"/>
      <c r="C168" s="559"/>
      <c r="D168" s="559"/>
      <c r="E168" s="559"/>
      <c r="F168" s="559"/>
      <c r="G168" s="560"/>
      <c r="H168" s="435"/>
      <c r="I168" s="436"/>
      <c r="J168" s="436"/>
      <c r="K168" s="436"/>
      <c r="L168" s="436"/>
      <c r="M168" s="35"/>
    </row>
    <row r="169" spans="1:13" ht="13.5">
      <c r="A169" s="555" t="s">
        <v>475</v>
      </c>
      <c r="B169" s="556"/>
      <c r="C169" s="556"/>
      <c r="D169" s="556"/>
      <c r="E169" s="556"/>
      <c r="F169" s="556"/>
      <c r="G169" s="556"/>
      <c r="H169" s="556"/>
      <c r="I169" s="556"/>
      <c r="J169" s="556"/>
      <c r="K169" s="557"/>
      <c r="L169" s="14" t="s">
        <v>476</v>
      </c>
      <c r="M169" s="26"/>
    </row>
    <row r="170" spans="1:13" ht="13.5">
      <c r="A170" s="558" t="s">
        <v>10</v>
      </c>
      <c r="B170" s="559"/>
      <c r="C170" s="559"/>
      <c r="D170" s="559"/>
      <c r="E170" s="559"/>
      <c r="F170" s="559"/>
      <c r="G170" s="559"/>
      <c r="H170" s="559"/>
      <c r="I170" s="559"/>
      <c r="J170" s="559"/>
      <c r="K170" s="559"/>
      <c r="L170" s="560"/>
      <c r="M170" s="36"/>
    </row>
    <row r="171" spans="1:13" ht="13.5">
      <c r="A171" s="555" t="s">
        <v>22</v>
      </c>
      <c r="B171" s="556"/>
      <c r="C171" s="556"/>
      <c r="D171" s="556"/>
      <c r="E171" s="556"/>
      <c r="F171" s="556"/>
      <c r="G171" s="556"/>
      <c r="H171" s="556"/>
      <c r="I171" s="556"/>
      <c r="J171" s="556"/>
      <c r="K171" s="557"/>
      <c r="L171" s="14" t="s">
        <v>476</v>
      </c>
      <c r="M171" s="26"/>
    </row>
    <row r="172" spans="1:13" ht="13.5">
      <c r="A172" s="558" t="s">
        <v>10</v>
      </c>
      <c r="B172" s="559"/>
      <c r="C172" s="559"/>
      <c r="D172" s="559"/>
      <c r="E172" s="559"/>
      <c r="F172" s="559"/>
      <c r="G172" s="559"/>
      <c r="H172" s="559"/>
      <c r="I172" s="559"/>
      <c r="J172" s="559"/>
      <c r="K172" s="559"/>
      <c r="L172" s="560"/>
      <c r="M172" s="36"/>
    </row>
    <row r="173" spans="1:13" ht="14.25" thickBot="1">
      <c r="A173" s="555" t="s">
        <v>21</v>
      </c>
      <c r="B173" s="556"/>
      <c r="C173" s="556"/>
      <c r="D173" s="556"/>
      <c r="E173" s="556"/>
      <c r="F173" s="556"/>
      <c r="G173" s="556"/>
      <c r="H173" s="556"/>
      <c r="I173" s="556"/>
      <c r="J173" s="556"/>
      <c r="K173" s="557"/>
      <c r="L173" s="14" t="s">
        <v>476</v>
      </c>
      <c r="M173" s="437"/>
    </row>
    <row r="174" spans="1:13" ht="14.25" thickBot="1">
      <c r="A174" s="561" t="s">
        <v>36</v>
      </c>
      <c r="B174" s="561"/>
      <c r="C174" s="561"/>
      <c r="D174" s="561"/>
      <c r="E174" s="561"/>
      <c r="F174" s="561"/>
      <c r="G174" s="561"/>
      <c r="H174" s="561"/>
      <c r="I174" s="561"/>
      <c r="J174" s="561"/>
      <c r="K174" s="561"/>
      <c r="L174" s="558"/>
      <c r="M174" s="438"/>
    </row>
    <row r="175" spans="1:13" s="347" customFormat="1" ht="13.5" customHeight="1">
      <c r="A175" s="600" t="s">
        <v>278</v>
      </c>
      <c r="B175" s="601"/>
      <c r="C175" s="601"/>
      <c r="D175" s="601"/>
      <c r="E175" s="601"/>
      <c r="F175" s="602"/>
      <c r="G175" s="472"/>
      <c r="H175" s="473"/>
      <c r="I175" s="473"/>
      <c r="J175" s="473"/>
      <c r="K175" s="473"/>
      <c r="L175" s="473"/>
      <c r="M175" s="474"/>
    </row>
    <row r="176" spans="1:13" s="96" customFormat="1" ht="94.5">
      <c r="A176" s="165">
        <v>15</v>
      </c>
      <c r="B176" s="166" t="s">
        <v>306</v>
      </c>
      <c r="C176" s="346" t="s">
        <v>107</v>
      </c>
      <c r="D176" s="345" t="s">
        <v>113</v>
      </c>
      <c r="E176" s="93"/>
      <c r="F176" s="344">
        <f>1</f>
        <v>1</v>
      </c>
      <c r="G176" s="343"/>
      <c r="H176" s="342"/>
      <c r="I176" s="343"/>
      <c r="J176" s="342"/>
      <c r="K176" s="343"/>
      <c r="L176" s="342"/>
      <c r="M176" s="342"/>
    </row>
    <row r="177" spans="1:13" s="261" customFormat="1" ht="13.5">
      <c r="A177" s="97"/>
      <c r="B177" s="98" t="s">
        <v>14</v>
      </c>
      <c r="C177" s="339" t="s">
        <v>107</v>
      </c>
      <c r="D177" s="38" t="s">
        <v>113</v>
      </c>
      <c r="E177" s="38">
        <v>1</v>
      </c>
      <c r="F177" s="70">
        <f>F176*E177</f>
        <v>1</v>
      </c>
      <c r="G177" s="38"/>
      <c r="H177" s="70"/>
      <c r="I177" s="38"/>
      <c r="J177" s="148"/>
      <c r="K177" s="38"/>
      <c r="L177" s="70"/>
      <c r="M177" s="70"/>
    </row>
    <row r="178" spans="1:13" s="261" customFormat="1" ht="13.5">
      <c r="A178" s="97"/>
      <c r="B178" s="341" t="s">
        <v>50</v>
      </c>
      <c r="C178" s="339"/>
      <c r="D178" s="38"/>
      <c r="E178" s="38"/>
      <c r="F178" s="70"/>
      <c r="G178" s="38"/>
      <c r="H178" s="70"/>
      <c r="I178" s="38"/>
      <c r="J178" s="70"/>
      <c r="K178" s="38"/>
      <c r="L178" s="70"/>
      <c r="M178" s="70"/>
    </row>
    <row r="179" spans="1:13" s="338" customFormat="1" ht="15.75">
      <c r="A179" s="247"/>
      <c r="B179" s="340" t="s">
        <v>277</v>
      </c>
      <c r="C179" s="339"/>
      <c r="D179" s="262" t="s">
        <v>26</v>
      </c>
      <c r="E179" s="310">
        <v>1</v>
      </c>
      <c r="F179" s="307">
        <f>E179*F176</f>
        <v>1</v>
      </c>
      <c r="G179" s="262"/>
      <c r="H179" s="307"/>
      <c r="I179" s="309"/>
      <c r="J179" s="307"/>
      <c r="K179" s="308"/>
      <c r="L179" s="307"/>
      <c r="M179" s="307"/>
    </row>
    <row r="180" spans="1:37" s="233" customFormat="1" ht="13.5">
      <c r="A180" s="155"/>
      <c r="B180" s="337" t="s">
        <v>276</v>
      </c>
      <c r="C180" s="336"/>
      <c r="D180" s="262" t="s">
        <v>26</v>
      </c>
      <c r="E180" s="310">
        <v>1</v>
      </c>
      <c r="F180" s="307">
        <f>E180*F177</f>
        <v>1</v>
      </c>
      <c r="G180" s="262"/>
      <c r="H180" s="307"/>
      <c r="I180" s="309"/>
      <c r="J180" s="307"/>
      <c r="K180" s="308"/>
      <c r="L180" s="307"/>
      <c r="M180" s="307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</row>
    <row r="181" spans="1:14" s="233" customFormat="1" ht="13.5">
      <c r="A181" s="38"/>
      <c r="B181" s="337" t="s">
        <v>275</v>
      </c>
      <c r="C181" s="336"/>
      <c r="D181" s="262" t="s">
        <v>17</v>
      </c>
      <c r="E181" s="310"/>
      <c r="F181" s="307">
        <v>102</v>
      </c>
      <c r="G181" s="262"/>
      <c r="H181" s="307"/>
      <c r="I181" s="309"/>
      <c r="J181" s="307"/>
      <c r="K181" s="308"/>
      <c r="L181" s="307"/>
      <c r="M181" s="307"/>
      <c r="N181" s="104"/>
    </row>
    <row r="182" spans="1:14" s="233" customFormat="1" ht="13.5">
      <c r="A182" s="38"/>
      <c r="B182" s="337" t="s">
        <v>274</v>
      </c>
      <c r="C182" s="336"/>
      <c r="D182" s="262" t="s">
        <v>17</v>
      </c>
      <c r="E182" s="310"/>
      <c r="F182" s="307">
        <v>250</v>
      </c>
      <c r="G182" s="262"/>
      <c r="H182" s="307"/>
      <c r="I182" s="309"/>
      <c r="J182" s="307"/>
      <c r="K182" s="308"/>
      <c r="L182" s="307"/>
      <c r="M182" s="307"/>
      <c r="N182" s="104"/>
    </row>
    <row r="183" spans="1:14" s="334" customFormat="1" ht="13.5">
      <c r="A183" s="576" t="s">
        <v>10</v>
      </c>
      <c r="B183" s="577"/>
      <c r="C183" s="577"/>
      <c r="D183" s="577"/>
      <c r="E183" s="577"/>
      <c r="F183" s="577"/>
      <c r="G183" s="578"/>
      <c r="H183" s="475"/>
      <c r="I183" s="476"/>
      <c r="J183" s="475"/>
      <c r="K183" s="476"/>
      <c r="L183" s="475"/>
      <c r="M183" s="475"/>
      <c r="N183" s="335"/>
    </row>
    <row r="184" spans="1:13" s="334" customFormat="1" ht="13.5">
      <c r="A184" s="555" t="s">
        <v>475</v>
      </c>
      <c r="B184" s="556"/>
      <c r="C184" s="556"/>
      <c r="D184" s="556"/>
      <c r="E184" s="556"/>
      <c r="F184" s="556"/>
      <c r="G184" s="556"/>
      <c r="H184" s="556"/>
      <c r="I184" s="556"/>
      <c r="J184" s="556"/>
      <c r="K184" s="557"/>
      <c r="L184" s="477" t="s">
        <v>476</v>
      </c>
      <c r="M184" s="478"/>
    </row>
    <row r="185" spans="1:15" s="334" customFormat="1" ht="13.5">
      <c r="A185" s="558" t="s">
        <v>10</v>
      </c>
      <c r="B185" s="559"/>
      <c r="C185" s="559"/>
      <c r="D185" s="559"/>
      <c r="E185" s="559"/>
      <c r="F185" s="559"/>
      <c r="G185" s="559"/>
      <c r="H185" s="559"/>
      <c r="I185" s="559"/>
      <c r="J185" s="559"/>
      <c r="K185" s="559"/>
      <c r="L185" s="560"/>
      <c r="M185" s="479"/>
      <c r="O185" s="335"/>
    </row>
    <row r="186" spans="1:13" s="334" customFormat="1" ht="13.5">
      <c r="A186" s="573" t="s">
        <v>273</v>
      </c>
      <c r="B186" s="574"/>
      <c r="C186" s="574"/>
      <c r="D186" s="574"/>
      <c r="E186" s="574"/>
      <c r="F186" s="574"/>
      <c r="G186" s="574"/>
      <c r="H186" s="574"/>
      <c r="I186" s="574"/>
      <c r="J186" s="574"/>
      <c r="K186" s="575"/>
      <c r="L186" s="477" t="s">
        <v>476</v>
      </c>
      <c r="M186" s="449"/>
    </row>
    <row r="187" spans="1:13" s="334" customFormat="1" ht="13.5" customHeight="1">
      <c r="A187" s="573" t="s">
        <v>494</v>
      </c>
      <c r="B187" s="574"/>
      <c r="C187" s="574"/>
      <c r="D187" s="574"/>
      <c r="E187" s="574"/>
      <c r="F187" s="574"/>
      <c r="G187" s="574"/>
      <c r="H187" s="574"/>
      <c r="I187" s="574"/>
      <c r="J187" s="574"/>
      <c r="K187" s="574"/>
      <c r="L187" s="575"/>
      <c r="M187" s="475"/>
    </row>
    <row r="188" spans="1:13" ht="13.5">
      <c r="A188" s="599" t="s">
        <v>495</v>
      </c>
      <c r="B188" s="599"/>
      <c r="C188" s="599"/>
      <c r="D188" s="599"/>
      <c r="E188" s="599"/>
      <c r="F188" s="599"/>
      <c r="G188" s="599"/>
      <c r="H188" s="599"/>
      <c r="I188" s="599"/>
      <c r="J188" s="599"/>
      <c r="K188" s="599"/>
      <c r="L188" s="599"/>
      <c r="M188" s="420"/>
    </row>
    <row r="189" spans="1:13" ht="13.5">
      <c r="A189" s="459"/>
      <c r="B189" s="459"/>
      <c r="C189" s="460"/>
      <c r="D189" s="459"/>
      <c r="E189" s="459"/>
      <c r="F189" s="459"/>
      <c r="G189" s="459"/>
      <c r="H189" s="459"/>
      <c r="I189" s="459"/>
      <c r="J189" s="459"/>
      <c r="K189" s="459"/>
      <c r="L189" s="459"/>
      <c r="M189" s="459"/>
    </row>
    <row r="190" spans="1:13" ht="13.5">
      <c r="A190" s="459"/>
      <c r="B190" s="459"/>
      <c r="C190" s="460"/>
      <c r="D190" s="459"/>
      <c r="E190" s="459"/>
      <c r="F190" s="459"/>
      <c r="G190" s="459"/>
      <c r="H190" s="459"/>
      <c r="I190" s="459"/>
      <c r="J190" s="459"/>
      <c r="K190" s="459"/>
      <c r="L190" s="459"/>
      <c r="M190" s="459"/>
    </row>
    <row r="191" spans="1:13" ht="13.5">
      <c r="A191" s="459"/>
      <c r="B191" s="459"/>
      <c r="C191" s="460"/>
      <c r="D191" s="459"/>
      <c r="E191" s="459"/>
      <c r="F191" s="459"/>
      <c r="G191" s="459"/>
      <c r="H191" s="459"/>
      <c r="I191" s="459"/>
      <c r="J191" s="459"/>
      <c r="K191" s="459"/>
      <c r="L191" s="459"/>
      <c r="M191" s="459"/>
    </row>
    <row r="192" spans="1:13" ht="13.5">
      <c r="A192" s="459"/>
      <c r="B192" s="459"/>
      <c r="C192" s="460"/>
      <c r="D192" s="459"/>
      <c r="E192" s="459"/>
      <c r="F192" s="459"/>
      <c r="G192" s="459"/>
      <c r="H192" s="459"/>
      <c r="I192" s="459"/>
      <c r="J192" s="459"/>
      <c r="K192" s="459"/>
      <c r="L192" s="459"/>
      <c r="M192" s="459"/>
    </row>
    <row r="193" spans="1:13" ht="13.5">
      <c r="A193" s="459"/>
      <c r="B193" s="459"/>
      <c r="C193" s="460"/>
      <c r="D193" s="459"/>
      <c r="E193" s="459"/>
      <c r="F193" s="459"/>
      <c r="G193" s="459"/>
      <c r="H193" s="459"/>
      <c r="I193" s="459"/>
      <c r="J193" s="459"/>
      <c r="K193" s="459"/>
      <c r="L193" s="459"/>
      <c r="M193" s="459"/>
    </row>
  </sheetData>
  <sheetProtection/>
  <autoFilter ref="A1:A174"/>
  <mergeCells count="29">
    <mergeCell ref="B4:B5"/>
    <mergeCell ref="C4:C5"/>
    <mergeCell ref="D4:D5"/>
    <mergeCell ref="E4:E5"/>
    <mergeCell ref="F4:F5"/>
    <mergeCell ref="G4:H4"/>
    <mergeCell ref="A8:F8"/>
    <mergeCell ref="J1:M1"/>
    <mergeCell ref="B2:M2"/>
    <mergeCell ref="A3:M3"/>
    <mergeCell ref="I4:J4"/>
    <mergeCell ref="K4:L4"/>
    <mergeCell ref="A7:M7"/>
    <mergeCell ref="A4:A5"/>
    <mergeCell ref="A116:F116"/>
    <mergeCell ref="A168:G168"/>
    <mergeCell ref="A169:K169"/>
    <mergeCell ref="A170:L170"/>
    <mergeCell ref="A171:K171"/>
    <mergeCell ref="A172:L172"/>
    <mergeCell ref="A186:K186"/>
    <mergeCell ref="A187:L187"/>
    <mergeCell ref="A188:L188"/>
    <mergeCell ref="A173:K173"/>
    <mergeCell ref="A174:L174"/>
    <mergeCell ref="A175:F175"/>
    <mergeCell ref="A183:G183"/>
    <mergeCell ref="A184:K184"/>
    <mergeCell ref="A185:L185"/>
  </mergeCells>
  <printOptions/>
  <pageMargins left="0.37" right="0.31" top="0.27" bottom="0.36" header="0.2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X205"/>
  <sheetViews>
    <sheetView tabSelected="1" view="pageBreakPreview" zoomScale="110" zoomScaleNormal="85" zoomScaleSheetLayoutView="110" workbookViewId="0" topLeftCell="A1">
      <pane xSplit="1" ySplit="6" topLeftCell="B40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R44" sqref="R44"/>
    </sheetView>
  </sheetViews>
  <sheetFormatPr defaultColWidth="9.140625" defaultRowHeight="12.75"/>
  <cols>
    <col min="1" max="1" width="3.28125" style="292" customWidth="1"/>
    <col min="2" max="2" width="44.57421875" style="292" customWidth="1"/>
    <col min="3" max="3" width="8.57421875" style="301" customWidth="1"/>
    <col min="4" max="4" width="8.28125" style="292" customWidth="1"/>
    <col min="5" max="5" width="8.421875" style="292" customWidth="1"/>
    <col min="6" max="6" width="9.7109375" style="292" customWidth="1"/>
    <col min="7" max="7" width="8.7109375" style="292" customWidth="1"/>
    <col min="8" max="8" width="10.28125" style="292" customWidth="1"/>
    <col min="9" max="9" width="8.57421875" style="292" customWidth="1"/>
    <col min="10" max="10" width="10.421875" style="292" customWidth="1"/>
    <col min="11" max="11" width="7.7109375" style="292" customWidth="1"/>
    <col min="12" max="12" width="10.7109375" style="292" customWidth="1"/>
    <col min="13" max="13" width="12.28125" style="292" customWidth="1"/>
    <col min="14" max="16384" width="9.140625" style="293" customWidth="1"/>
  </cols>
  <sheetData>
    <row r="1" spans="1:13" s="328" customFormat="1" ht="22.5" customHeight="1">
      <c r="A1" s="439"/>
      <c r="B1" s="439"/>
      <c r="C1" s="440"/>
      <c r="D1" s="439"/>
      <c r="E1" s="439"/>
      <c r="F1" s="439"/>
      <c r="G1" s="439"/>
      <c r="H1" s="439"/>
      <c r="I1" s="439"/>
      <c r="J1" s="562" t="s">
        <v>496</v>
      </c>
      <c r="K1" s="562"/>
      <c r="L1" s="562"/>
      <c r="M1" s="562"/>
    </row>
    <row r="2" spans="1:13" s="328" customFormat="1" ht="21" customHeight="1">
      <c r="A2" s="20"/>
      <c r="B2" s="550" t="s">
        <v>478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3" s="328" customFormat="1" ht="16.5" thickBot="1">
      <c r="A3" s="572" t="s">
        <v>497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s="328" customFormat="1" ht="11.25">
      <c r="A4" s="588" t="s">
        <v>1</v>
      </c>
      <c r="B4" s="579" t="s">
        <v>3</v>
      </c>
      <c r="C4" s="579" t="s">
        <v>2</v>
      </c>
      <c r="D4" s="579" t="s">
        <v>4</v>
      </c>
      <c r="E4" s="579" t="s">
        <v>13</v>
      </c>
      <c r="F4" s="579" t="s">
        <v>5</v>
      </c>
      <c r="G4" s="581" t="s">
        <v>19</v>
      </c>
      <c r="H4" s="581"/>
      <c r="I4" s="581" t="s">
        <v>6</v>
      </c>
      <c r="J4" s="581"/>
      <c r="K4" s="579" t="s">
        <v>7</v>
      </c>
      <c r="L4" s="579"/>
      <c r="M4" s="453" t="s">
        <v>8</v>
      </c>
    </row>
    <row r="5" spans="1:13" s="328" customFormat="1" ht="11.25">
      <c r="A5" s="597"/>
      <c r="B5" s="598"/>
      <c r="C5" s="598"/>
      <c r="D5" s="598"/>
      <c r="E5" s="598"/>
      <c r="F5" s="598"/>
      <c r="G5" s="329" t="s">
        <v>9</v>
      </c>
      <c r="H5" s="332" t="s">
        <v>10</v>
      </c>
      <c r="I5" s="329" t="s">
        <v>9</v>
      </c>
      <c r="J5" s="332" t="s">
        <v>10</v>
      </c>
      <c r="K5" s="329" t="s">
        <v>9</v>
      </c>
      <c r="L5" s="332" t="s">
        <v>11</v>
      </c>
      <c r="M5" s="464" t="s">
        <v>12</v>
      </c>
    </row>
    <row r="6" spans="1:13" s="328" customFormat="1" ht="12" thickBot="1">
      <c r="A6" s="454">
        <v>1</v>
      </c>
      <c r="B6" s="455">
        <v>2</v>
      </c>
      <c r="C6" s="455">
        <v>3</v>
      </c>
      <c r="D6" s="455">
        <v>4</v>
      </c>
      <c r="E6" s="455">
        <v>5</v>
      </c>
      <c r="F6" s="455">
        <v>6</v>
      </c>
      <c r="G6" s="456">
        <v>7</v>
      </c>
      <c r="H6" s="465">
        <v>8</v>
      </c>
      <c r="I6" s="456">
        <v>9</v>
      </c>
      <c r="J6" s="465">
        <v>10</v>
      </c>
      <c r="K6" s="456">
        <v>11</v>
      </c>
      <c r="L6" s="465">
        <v>12</v>
      </c>
      <c r="M6" s="458">
        <v>13</v>
      </c>
    </row>
    <row r="7" spans="1:13" s="264" customFormat="1" ht="16.5" customHeight="1">
      <c r="A7" s="604" t="s">
        <v>155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6"/>
    </row>
    <row r="8" spans="1:13" s="241" customFormat="1" ht="27">
      <c r="A8" s="129">
        <v>1</v>
      </c>
      <c r="B8" s="235" t="s">
        <v>439</v>
      </c>
      <c r="C8" s="388" t="s">
        <v>374</v>
      </c>
      <c r="D8" s="234" t="s">
        <v>113</v>
      </c>
      <c r="E8" s="234"/>
      <c r="F8" s="234">
        <v>2</v>
      </c>
      <c r="G8" s="129"/>
      <c r="H8" s="237"/>
      <c r="I8" s="129"/>
      <c r="J8" s="237"/>
      <c r="K8" s="129"/>
      <c r="L8" s="237"/>
      <c r="M8" s="129"/>
    </row>
    <row r="9" spans="1:13" s="23" customFormat="1" ht="13.5">
      <c r="A9" s="18"/>
      <c r="B9" s="9" t="s">
        <v>375</v>
      </c>
      <c r="C9" s="10"/>
      <c r="D9" s="11" t="s">
        <v>15</v>
      </c>
      <c r="E9" s="11">
        <v>2</v>
      </c>
      <c r="F9" s="12">
        <f>F8*E9</f>
        <v>4</v>
      </c>
      <c r="G9" s="11"/>
      <c r="H9" s="12"/>
      <c r="I9" s="11"/>
      <c r="J9" s="12"/>
      <c r="K9" s="11"/>
      <c r="L9" s="12"/>
      <c r="M9" s="12"/>
    </row>
    <row r="10" spans="1:13" s="2" customFormat="1" ht="15.75">
      <c r="A10" s="71"/>
      <c r="B10" s="9" t="s">
        <v>25</v>
      </c>
      <c r="C10" s="10"/>
      <c r="D10" s="11" t="s">
        <v>0</v>
      </c>
      <c r="E10" s="17">
        <v>0.45</v>
      </c>
      <c r="F10" s="11">
        <f>E10*F8</f>
        <v>0.9</v>
      </c>
      <c r="G10" s="11"/>
      <c r="H10" s="12"/>
      <c r="I10" s="11"/>
      <c r="J10" s="11"/>
      <c r="K10" s="11"/>
      <c r="L10" s="12"/>
      <c r="M10" s="12"/>
    </row>
    <row r="11" spans="1:13" s="2" customFormat="1" ht="15.75">
      <c r="A11" s="71"/>
      <c r="B11" s="389" t="s">
        <v>50</v>
      </c>
      <c r="C11" s="10"/>
      <c r="D11" s="11"/>
      <c r="E11" s="17"/>
      <c r="F11" s="12"/>
      <c r="G11" s="11"/>
      <c r="H11" s="12"/>
      <c r="I11" s="11"/>
      <c r="J11" s="11"/>
      <c r="K11" s="11"/>
      <c r="L11" s="11"/>
      <c r="M11" s="11"/>
    </row>
    <row r="12" spans="1:13" s="2" customFormat="1" ht="15.75">
      <c r="A12" s="71"/>
      <c r="B12" s="9" t="s">
        <v>376</v>
      </c>
      <c r="C12" s="10"/>
      <c r="D12" s="11" t="s">
        <v>113</v>
      </c>
      <c r="E12" s="17">
        <v>1</v>
      </c>
      <c r="F12" s="125">
        <f>E12*F8</f>
        <v>2</v>
      </c>
      <c r="G12" s="11"/>
      <c r="H12" s="12"/>
      <c r="I12" s="11"/>
      <c r="J12" s="11"/>
      <c r="K12" s="11"/>
      <c r="L12" s="12"/>
      <c r="M12" s="12"/>
    </row>
    <row r="13" spans="1:13" s="2" customFormat="1" ht="15.75">
      <c r="A13" s="71"/>
      <c r="B13" s="9" t="s">
        <v>20</v>
      </c>
      <c r="C13" s="10"/>
      <c r="D13" s="11" t="s">
        <v>0</v>
      </c>
      <c r="E13" s="17">
        <v>0.13</v>
      </c>
      <c r="F13" s="12">
        <f>F8*E13</f>
        <v>0.26</v>
      </c>
      <c r="G13" s="11"/>
      <c r="H13" s="12"/>
      <c r="I13" s="11"/>
      <c r="J13" s="11"/>
      <c r="K13" s="11"/>
      <c r="L13" s="12"/>
      <c r="M13" s="12"/>
    </row>
    <row r="14" spans="1:13" s="393" customFormat="1" ht="13.5">
      <c r="A14" s="93">
        <v>2</v>
      </c>
      <c r="B14" s="390" t="s">
        <v>377</v>
      </c>
      <c r="C14" s="391" t="s">
        <v>378</v>
      </c>
      <c r="D14" s="165" t="s">
        <v>26</v>
      </c>
      <c r="E14" s="165"/>
      <c r="F14" s="165">
        <v>3</v>
      </c>
      <c r="G14" s="93"/>
      <c r="H14" s="392"/>
      <c r="I14" s="93"/>
      <c r="J14" s="392"/>
      <c r="K14" s="93"/>
      <c r="L14" s="392"/>
      <c r="M14" s="93"/>
    </row>
    <row r="15" spans="1:13" s="233" customFormat="1" ht="13.5">
      <c r="A15" s="18"/>
      <c r="B15" s="98" t="s">
        <v>375</v>
      </c>
      <c r="C15" s="331"/>
      <c r="D15" s="38" t="s">
        <v>15</v>
      </c>
      <c r="E15" s="38">
        <v>3</v>
      </c>
      <c r="F15" s="70">
        <f>F14*E15</f>
        <v>9</v>
      </c>
      <c r="G15" s="38"/>
      <c r="H15" s="70"/>
      <c r="I15" s="38"/>
      <c r="J15" s="70"/>
      <c r="K15" s="38"/>
      <c r="L15" s="70"/>
      <c r="M15" s="70"/>
    </row>
    <row r="16" spans="1:13" s="394" customFormat="1" ht="13.5">
      <c r="A16" s="67"/>
      <c r="B16" s="68" t="s">
        <v>70</v>
      </c>
      <c r="C16" s="69"/>
      <c r="D16" s="38" t="s">
        <v>0</v>
      </c>
      <c r="E16" s="70">
        <v>0.03</v>
      </c>
      <c r="F16" s="70">
        <f>E16*F14</f>
        <v>0.09</v>
      </c>
      <c r="G16" s="70"/>
      <c r="H16" s="70"/>
      <c r="I16" s="70"/>
      <c r="J16" s="70"/>
      <c r="K16" s="70"/>
      <c r="L16" s="70"/>
      <c r="M16" s="70"/>
    </row>
    <row r="17" spans="1:13" s="264" customFormat="1" ht="15.75">
      <c r="A17" s="395"/>
      <c r="B17" s="396" t="s">
        <v>50</v>
      </c>
      <c r="C17" s="331"/>
      <c r="D17" s="38"/>
      <c r="E17" s="329"/>
      <c r="F17" s="70"/>
      <c r="G17" s="38"/>
      <c r="H17" s="70"/>
      <c r="I17" s="38"/>
      <c r="J17" s="38"/>
      <c r="K17" s="38"/>
      <c r="L17" s="38"/>
      <c r="M17" s="38"/>
    </row>
    <row r="18" spans="1:13" s="264" customFormat="1" ht="15.75">
      <c r="A18" s="395"/>
      <c r="B18" s="98" t="s">
        <v>379</v>
      </c>
      <c r="C18" s="331"/>
      <c r="D18" s="38" t="s">
        <v>26</v>
      </c>
      <c r="E18" s="100">
        <v>1</v>
      </c>
      <c r="F18" s="100">
        <f>E18*F14</f>
        <v>3</v>
      </c>
      <c r="G18" s="38"/>
      <c r="H18" s="70"/>
      <c r="I18" s="38"/>
      <c r="J18" s="38"/>
      <c r="K18" s="38"/>
      <c r="L18" s="70"/>
      <c r="M18" s="70"/>
    </row>
    <row r="19" spans="1:13" s="264" customFormat="1" ht="15.75">
      <c r="A19" s="395"/>
      <c r="B19" s="98" t="s">
        <v>20</v>
      </c>
      <c r="C19" s="331"/>
      <c r="D19" s="38" t="s">
        <v>0</v>
      </c>
      <c r="E19" s="100">
        <v>2.55</v>
      </c>
      <c r="F19" s="70">
        <f>F14*E19</f>
        <v>7.6499999999999995</v>
      </c>
      <c r="G19" s="38"/>
      <c r="H19" s="70"/>
      <c r="I19" s="38"/>
      <c r="J19" s="38"/>
      <c r="K19" s="38"/>
      <c r="L19" s="70"/>
      <c r="M19" s="70"/>
    </row>
    <row r="20" spans="1:13" s="393" customFormat="1" ht="13.5">
      <c r="A20" s="93">
        <v>3</v>
      </c>
      <c r="B20" s="390" t="s">
        <v>380</v>
      </c>
      <c r="C20" s="391" t="s">
        <v>378</v>
      </c>
      <c r="D20" s="165" t="s">
        <v>26</v>
      </c>
      <c r="E20" s="165"/>
      <c r="F20" s="165">
        <v>2</v>
      </c>
      <c r="G20" s="93"/>
      <c r="H20" s="392"/>
      <c r="I20" s="93"/>
      <c r="J20" s="392"/>
      <c r="K20" s="93"/>
      <c r="L20" s="392"/>
      <c r="M20" s="93"/>
    </row>
    <row r="21" spans="1:13" s="233" customFormat="1" ht="13.5">
      <c r="A21" s="18"/>
      <c r="B21" s="98" t="s">
        <v>375</v>
      </c>
      <c r="C21" s="331"/>
      <c r="D21" s="38" t="s">
        <v>15</v>
      </c>
      <c r="E21" s="38">
        <v>3</v>
      </c>
      <c r="F21" s="70">
        <f>F20*E21</f>
        <v>6</v>
      </c>
      <c r="G21" s="38"/>
      <c r="H21" s="70"/>
      <c r="I21" s="38"/>
      <c r="J21" s="70"/>
      <c r="K21" s="38"/>
      <c r="L21" s="70"/>
      <c r="M21" s="70"/>
    </row>
    <row r="22" spans="1:13" s="394" customFormat="1" ht="13.5">
      <c r="A22" s="67"/>
      <c r="B22" s="68" t="s">
        <v>70</v>
      </c>
      <c r="C22" s="69"/>
      <c r="D22" s="38" t="s">
        <v>0</v>
      </c>
      <c r="E22" s="70">
        <v>0.03</v>
      </c>
      <c r="F22" s="70">
        <f>E22*F20</f>
        <v>0.06</v>
      </c>
      <c r="G22" s="70"/>
      <c r="H22" s="70"/>
      <c r="I22" s="70"/>
      <c r="J22" s="70"/>
      <c r="K22" s="70"/>
      <c r="L22" s="70"/>
      <c r="M22" s="70"/>
    </row>
    <row r="23" spans="1:13" s="264" customFormat="1" ht="15.75">
      <c r="A23" s="395"/>
      <c r="B23" s="396" t="s">
        <v>50</v>
      </c>
      <c r="C23" s="331"/>
      <c r="D23" s="38"/>
      <c r="E23" s="329"/>
      <c r="F23" s="70"/>
      <c r="G23" s="38"/>
      <c r="H23" s="70"/>
      <c r="I23" s="38"/>
      <c r="J23" s="38"/>
      <c r="K23" s="38"/>
      <c r="L23" s="38"/>
      <c r="M23" s="38"/>
    </row>
    <row r="24" spans="1:13" s="264" customFormat="1" ht="15.75">
      <c r="A24" s="395"/>
      <c r="B24" s="98" t="s">
        <v>379</v>
      </c>
      <c r="C24" s="331"/>
      <c r="D24" s="38" t="s">
        <v>26</v>
      </c>
      <c r="E24" s="100">
        <v>1</v>
      </c>
      <c r="F24" s="100">
        <f>E24*F20</f>
        <v>2</v>
      </c>
      <c r="G24" s="38"/>
      <c r="H24" s="70"/>
      <c r="I24" s="38"/>
      <c r="J24" s="38"/>
      <c r="K24" s="38"/>
      <c r="L24" s="70"/>
      <c r="M24" s="70"/>
    </row>
    <row r="25" spans="1:13" s="264" customFormat="1" ht="15.75">
      <c r="A25" s="395"/>
      <c r="B25" s="98" t="s">
        <v>20</v>
      </c>
      <c r="C25" s="331"/>
      <c r="D25" s="38" t="s">
        <v>0</v>
      </c>
      <c r="E25" s="100">
        <v>2.55</v>
      </c>
      <c r="F25" s="100">
        <f>F20*E25</f>
        <v>5.1</v>
      </c>
      <c r="G25" s="38"/>
      <c r="H25" s="70"/>
      <c r="I25" s="38"/>
      <c r="J25" s="38"/>
      <c r="K25" s="38"/>
      <c r="L25" s="70"/>
      <c r="M25" s="70"/>
    </row>
    <row r="26" spans="1:13" s="393" customFormat="1" ht="13.5">
      <c r="A26" s="93">
        <v>4</v>
      </c>
      <c r="B26" s="390" t="s">
        <v>381</v>
      </c>
      <c r="C26" s="391" t="s">
        <v>382</v>
      </c>
      <c r="D26" s="165" t="s">
        <v>26</v>
      </c>
      <c r="E26" s="165"/>
      <c r="F26" s="165">
        <v>4</v>
      </c>
      <c r="G26" s="93"/>
      <c r="H26" s="392"/>
      <c r="I26" s="93"/>
      <c r="J26" s="392"/>
      <c r="K26" s="93"/>
      <c r="L26" s="392"/>
      <c r="M26" s="93"/>
    </row>
    <row r="27" spans="1:13" s="233" customFormat="1" ht="13.5">
      <c r="A27" s="18"/>
      <c r="B27" s="98" t="s">
        <v>375</v>
      </c>
      <c r="C27" s="331"/>
      <c r="D27" s="38" t="s">
        <v>15</v>
      </c>
      <c r="E27" s="38">
        <v>2</v>
      </c>
      <c r="F27" s="70">
        <f>F26*E27</f>
        <v>8</v>
      </c>
      <c r="G27" s="38"/>
      <c r="H27" s="70"/>
      <c r="I27" s="38"/>
      <c r="J27" s="70"/>
      <c r="K27" s="38"/>
      <c r="L27" s="70"/>
      <c r="M27" s="70"/>
    </row>
    <row r="28" spans="1:13" s="394" customFormat="1" ht="13.5">
      <c r="A28" s="67"/>
      <c r="B28" s="68" t="s">
        <v>70</v>
      </c>
      <c r="C28" s="69"/>
      <c r="D28" s="38" t="s">
        <v>0</v>
      </c>
      <c r="E28" s="70">
        <v>0.02</v>
      </c>
      <c r="F28" s="70">
        <f>E28*F26</f>
        <v>0.08</v>
      </c>
      <c r="G28" s="70"/>
      <c r="H28" s="70"/>
      <c r="I28" s="70"/>
      <c r="J28" s="70"/>
      <c r="K28" s="70"/>
      <c r="L28" s="70"/>
      <c r="M28" s="70"/>
    </row>
    <row r="29" spans="1:13" s="264" customFormat="1" ht="15.75">
      <c r="A29" s="395"/>
      <c r="B29" s="396" t="s">
        <v>50</v>
      </c>
      <c r="C29" s="331"/>
      <c r="D29" s="38"/>
      <c r="E29" s="329"/>
      <c r="F29" s="70"/>
      <c r="G29" s="38"/>
      <c r="H29" s="70"/>
      <c r="I29" s="38"/>
      <c r="J29" s="38"/>
      <c r="K29" s="38"/>
      <c r="L29" s="38"/>
      <c r="M29" s="38"/>
    </row>
    <row r="30" spans="1:13" s="264" customFormat="1" ht="15.75">
      <c r="A30" s="395"/>
      <c r="B30" s="98" t="s">
        <v>379</v>
      </c>
      <c r="C30" s="331"/>
      <c r="D30" s="38" t="s">
        <v>26</v>
      </c>
      <c r="E30" s="100">
        <v>1</v>
      </c>
      <c r="F30" s="100">
        <f>E30*F26</f>
        <v>4</v>
      </c>
      <c r="G30" s="38"/>
      <c r="H30" s="70"/>
      <c r="I30" s="38"/>
      <c r="J30" s="38"/>
      <c r="K30" s="38"/>
      <c r="L30" s="70"/>
      <c r="M30" s="70"/>
    </row>
    <row r="31" spans="1:13" s="264" customFormat="1" ht="15.75">
      <c r="A31" s="395"/>
      <c r="B31" s="98" t="s">
        <v>20</v>
      </c>
      <c r="C31" s="331"/>
      <c r="D31" s="38" t="s">
        <v>0</v>
      </c>
      <c r="E31" s="100">
        <v>1.36</v>
      </c>
      <c r="F31" s="100">
        <f>F26*E31</f>
        <v>5.44</v>
      </c>
      <c r="G31" s="38"/>
      <c r="H31" s="70"/>
      <c r="I31" s="38"/>
      <c r="J31" s="38"/>
      <c r="K31" s="38"/>
      <c r="L31" s="70"/>
      <c r="M31" s="70"/>
    </row>
    <row r="32" spans="1:13" s="393" customFormat="1" ht="27">
      <c r="A32" s="93">
        <v>5</v>
      </c>
      <c r="B32" s="390" t="s">
        <v>383</v>
      </c>
      <c r="C32" s="391" t="s">
        <v>382</v>
      </c>
      <c r="D32" s="165" t="s">
        <v>26</v>
      </c>
      <c r="E32" s="165"/>
      <c r="F32" s="165">
        <v>1</v>
      </c>
      <c r="G32" s="93"/>
      <c r="H32" s="392"/>
      <c r="I32" s="93"/>
      <c r="J32" s="392"/>
      <c r="K32" s="93"/>
      <c r="L32" s="392"/>
      <c r="M32" s="93"/>
    </row>
    <row r="33" spans="1:13" s="233" customFormat="1" ht="13.5">
      <c r="A33" s="18"/>
      <c r="B33" s="98" t="s">
        <v>375</v>
      </c>
      <c r="C33" s="331"/>
      <c r="D33" s="38" t="s">
        <v>15</v>
      </c>
      <c r="E33" s="38">
        <v>2</v>
      </c>
      <c r="F33" s="70">
        <f>F32*E33</f>
        <v>2</v>
      </c>
      <c r="G33" s="38"/>
      <c r="H33" s="70"/>
      <c r="I33" s="38"/>
      <c r="J33" s="70"/>
      <c r="K33" s="38"/>
      <c r="L33" s="70"/>
      <c r="M33" s="70"/>
    </row>
    <row r="34" spans="1:13" s="394" customFormat="1" ht="13.5">
      <c r="A34" s="67"/>
      <c r="B34" s="68" t="s">
        <v>70</v>
      </c>
      <c r="C34" s="69"/>
      <c r="D34" s="38" t="s">
        <v>0</v>
      </c>
      <c r="E34" s="70">
        <v>0.02</v>
      </c>
      <c r="F34" s="70">
        <f>E34*F32</f>
        <v>0.02</v>
      </c>
      <c r="G34" s="70"/>
      <c r="H34" s="70"/>
      <c r="I34" s="70"/>
      <c r="J34" s="70"/>
      <c r="K34" s="70"/>
      <c r="L34" s="70"/>
      <c r="M34" s="70"/>
    </row>
    <row r="35" spans="1:13" s="264" customFormat="1" ht="15.75">
      <c r="A35" s="395"/>
      <c r="B35" s="396" t="s">
        <v>50</v>
      </c>
      <c r="C35" s="331"/>
      <c r="D35" s="38"/>
      <c r="E35" s="329"/>
      <c r="F35" s="70"/>
      <c r="G35" s="38"/>
      <c r="H35" s="70"/>
      <c r="I35" s="38"/>
      <c r="J35" s="38"/>
      <c r="K35" s="38"/>
      <c r="L35" s="38"/>
      <c r="M35" s="38"/>
    </row>
    <row r="36" spans="1:13" s="264" customFormat="1" ht="15.75">
      <c r="A36" s="395"/>
      <c r="B36" s="98" t="s">
        <v>379</v>
      </c>
      <c r="C36" s="331"/>
      <c r="D36" s="38" t="s">
        <v>26</v>
      </c>
      <c r="E36" s="100">
        <v>1</v>
      </c>
      <c r="F36" s="100">
        <f>E36*F32</f>
        <v>1</v>
      </c>
      <c r="G36" s="38"/>
      <c r="H36" s="70"/>
      <c r="I36" s="38"/>
      <c r="J36" s="38"/>
      <c r="K36" s="38"/>
      <c r="L36" s="70"/>
      <c r="M36" s="70"/>
    </row>
    <row r="37" spans="1:13" s="264" customFormat="1" ht="15.75">
      <c r="A37" s="395"/>
      <c r="B37" s="98" t="s">
        <v>20</v>
      </c>
      <c r="C37" s="331"/>
      <c r="D37" s="38" t="s">
        <v>0</v>
      </c>
      <c r="E37" s="100">
        <v>1.36</v>
      </c>
      <c r="F37" s="100">
        <f>F32*E37</f>
        <v>1.36</v>
      </c>
      <c r="G37" s="38"/>
      <c r="H37" s="70"/>
      <c r="I37" s="38"/>
      <c r="J37" s="38"/>
      <c r="K37" s="38"/>
      <c r="L37" s="70"/>
      <c r="M37" s="70"/>
    </row>
    <row r="38" spans="1:13" s="393" customFormat="1" ht="13.5">
      <c r="A38" s="93">
        <v>6</v>
      </c>
      <c r="B38" s="390" t="s">
        <v>384</v>
      </c>
      <c r="C38" s="391" t="s">
        <v>382</v>
      </c>
      <c r="D38" s="165" t="s">
        <v>26</v>
      </c>
      <c r="E38" s="165"/>
      <c r="F38" s="165">
        <v>4</v>
      </c>
      <c r="G38" s="93"/>
      <c r="H38" s="392"/>
      <c r="I38" s="93"/>
      <c r="J38" s="392"/>
      <c r="K38" s="93"/>
      <c r="L38" s="392"/>
      <c r="M38" s="93"/>
    </row>
    <row r="39" spans="1:13" s="233" customFormat="1" ht="13.5">
      <c r="A39" s="18"/>
      <c r="B39" s="98" t="s">
        <v>375</v>
      </c>
      <c r="C39" s="331"/>
      <c r="D39" s="38" t="s">
        <v>15</v>
      </c>
      <c r="E39" s="38">
        <v>2</v>
      </c>
      <c r="F39" s="70">
        <f>F38*E39</f>
        <v>8</v>
      </c>
      <c r="G39" s="38"/>
      <c r="H39" s="70"/>
      <c r="I39" s="38"/>
      <c r="J39" s="70"/>
      <c r="K39" s="38"/>
      <c r="L39" s="70"/>
      <c r="M39" s="70"/>
    </row>
    <row r="40" spans="1:13" s="394" customFormat="1" ht="13.5">
      <c r="A40" s="67"/>
      <c r="B40" s="68" t="s">
        <v>70</v>
      </c>
      <c r="C40" s="69"/>
      <c r="D40" s="38" t="s">
        <v>0</v>
      </c>
      <c r="E40" s="70">
        <v>0.02</v>
      </c>
      <c r="F40" s="70">
        <f>E40*F38</f>
        <v>0.08</v>
      </c>
      <c r="G40" s="70"/>
      <c r="H40" s="70"/>
      <c r="I40" s="70"/>
      <c r="J40" s="70"/>
      <c r="K40" s="70"/>
      <c r="L40" s="70"/>
      <c r="M40" s="70"/>
    </row>
    <row r="41" spans="1:13" s="264" customFormat="1" ht="15.75">
      <c r="A41" s="395"/>
      <c r="B41" s="396" t="s">
        <v>50</v>
      </c>
      <c r="C41" s="331"/>
      <c r="D41" s="38"/>
      <c r="E41" s="329"/>
      <c r="F41" s="70"/>
      <c r="G41" s="38"/>
      <c r="H41" s="70"/>
      <c r="I41" s="38"/>
      <c r="J41" s="38"/>
      <c r="K41" s="38"/>
      <c r="L41" s="38"/>
      <c r="M41" s="38"/>
    </row>
    <row r="42" spans="1:13" s="264" customFormat="1" ht="15.75">
      <c r="A42" s="395"/>
      <c r="B42" s="98" t="s">
        <v>379</v>
      </c>
      <c r="C42" s="331"/>
      <c r="D42" s="38" t="s">
        <v>26</v>
      </c>
      <c r="E42" s="100">
        <v>1</v>
      </c>
      <c r="F42" s="100">
        <f>E42*F38</f>
        <v>4</v>
      </c>
      <c r="G42" s="38"/>
      <c r="H42" s="70"/>
      <c r="I42" s="38"/>
      <c r="J42" s="38"/>
      <c r="K42" s="38"/>
      <c r="L42" s="70"/>
      <c r="M42" s="70"/>
    </row>
    <row r="43" spans="1:13" s="264" customFormat="1" ht="15.75">
      <c r="A43" s="395"/>
      <c r="B43" s="98" t="s">
        <v>20</v>
      </c>
      <c r="C43" s="331"/>
      <c r="D43" s="38" t="s">
        <v>0</v>
      </c>
      <c r="E43" s="100">
        <v>1.36</v>
      </c>
      <c r="F43" s="100">
        <f>F38*E43</f>
        <v>5.44</v>
      </c>
      <c r="G43" s="38"/>
      <c r="H43" s="70"/>
      <c r="I43" s="38"/>
      <c r="J43" s="38"/>
      <c r="K43" s="38"/>
      <c r="L43" s="70"/>
      <c r="M43" s="70"/>
    </row>
    <row r="44" spans="1:13" s="241" customFormat="1" ht="13.5">
      <c r="A44" s="129">
        <v>7</v>
      </c>
      <c r="B44" s="235" t="s">
        <v>386</v>
      </c>
      <c r="C44" s="388" t="s">
        <v>385</v>
      </c>
      <c r="D44" s="234" t="s">
        <v>26</v>
      </c>
      <c r="E44" s="234"/>
      <c r="F44" s="234">
        <v>1</v>
      </c>
      <c r="G44" s="129"/>
      <c r="H44" s="237"/>
      <c r="I44" s="129"/>
      <c r="J44" s="237"/>
      <c r="K44" s="129"/>
      <c r="L44" s="237"/>
      <c r="M44" s="129"/>
    </row>
    <row r="45" spans="1:13" s="23" customFormat="1" ht="13.5">
      <c r="A45" s="18"/>
      <c r="B45" s="9" t="s">
        <v>375</v>
      </c>
      <c r="C45" s="10"/>
      <c r="D45" s="11" t="s">
        <v>15</v>
      </c>
      <c r="E45" s="11">
        <v>2</v>
      </c>
      <c r="F45" s="12">
        <f>F44*E45</f>
        <v>2</v>
      </c>
      <c r="G45" s="11"/>
      <c r="H45" s="12"/>
      <c r="I45" s="11"/>
      <c r="J45" s="12"/>
      <c r="K45" s="11"/>
      <c r="L45" s="12"/>
      <c r="M45" s="12"/>
    </row>
    <row r="46" spans="1:13" s="2" customFormat="1" ht="15.75">
      <c r="A46" s="71"/>
      <c r="B46" s="9" t="s">
        <v>25</v>
      </c>
      <c r="C46" s="10"/>
      <c r="D46" s="11" t="s">
        <v>0</v>
      </c>
      <c r="E46" s="17">
        <v>0.01</v>
      </c>
      <c r="F46" s="11">
        <f>E46*F44</f>
        <v>0.01</v>
      </c>
      <c r="G46" s="11"/>
      <c r="H46" s="12"/>
      <c r="I46" s="11"/>
      <c r="J46" s="11"/>
      <c r="K46" s="11"/>
      <c r="L46" s="12"/>
      <c r="M46" s="12"/>
    </row>
    <row r="47" spans="1:13" s="2" customFormat="1" ht="15.75">
      <c r="A47" s="71"/>
      <c r="B47" s="389" t="s">
        <v>50</v>
      </c>
      <c r="C47" s="10"/>
      <c r="D47" s="11"/>
      <c r="E47" s="17"/>
      <c r="F47" s="12"/>
      <c r="G47" s="11"/>
      <c r="H47" s="12"/>
      <c r="I47" s="11"/>
      <c r="J47" s="11"/>
      <c r="K47" s="11"/>
      <c r="L47" s="11"/>
      <c r="M47" s="11"/>
    </row>
    <row r="48" spans="1:13" s="2" customFormat="1" ht="15.75">
      <c r="A48" s="71"/>
      <c r="B48" s="9" t="s">
        <v>245</v>
      </c>
      <c r="C48" s="10"/>
      <c r="D48" s="11" t="s">
        <v>113</v>
      </c>
      <c r="E48" s="17">
        <v>1</v>
      </c>
      <c r="F48" s="125">
        <f>E48*F44</f>
        <v>1</v>
      </c>
      <c r="G48" s="11"/>
      <c r="H48" s="12"/>
      <c r="I48" s="11"/>
      <c r="J48" s="11"/>
      <c r="K48" s="11"/>
      <c r="L48" s="12"/>
      <c r="M48" s="12"/>
    </row>
    <row r="49" spans="1:13" s="2" customFormat="1" ht="15.75">
      <c r="A49" s="71"/>
      <c r="B49" s="9" t="s">
        <v>20</v>
      </c>
      <c r="C49" s="10"/>
      <c r="D49" s="11" t="s">
        <v>0</v>
      </c>
      <c r="E49" s="17">
        <v>2.14</v>
      </c>
      <c r="F49" s="12">
        <f>F44*E49</f>
        <v>2.14</v>
      </c>
      <c r="G49" s="11"/>
      <c r="H49" s="12"/>
      <c r="I49" s="11"/>
      <c r="J49" s="11"/>
      <c r="K49" s="11"/>
      <c r="L49" s="12"/>
      <c r="M49" s="12"/>
    </row>
    <row r="50" spans="1:13" s="241" customFormat="1" ht="13.5">
      <c r="A50" s="129">
        <v>8</v>
      </c>
      <c r="B50" s="235" t="s">
        <v>387</v>
      </c>
      <c r="C50" s="388" t="s">
        <v>385</v>
      </c>
      <c r="D50" s="234" t="s">
        <v>26</v>
      </c>
      <c r="E50" s="234"/>
      <c r="F50" s="234">
        <v>2</v>
      </c>
      <c r="G50" s="129"/>
      <c r="H50" s="237"/>
      <c r="I50" s="129"/>
      <c r="J50" s="237"/>
      <c r="K50" s="129"/>
      <c r="L50" s="237"/>
      <c r="M50" s="129"/>
    </row>
    <row r="51" spans="1:13" s="23" customFormat="1" ht="13.5">
      <c r="A51" s="18"/>
      <c r="B51" s="9" t="s">
        <v>375</v>
      </c>
      <c r="C51" s="10"/>
      <c r="D51" s="11" t="s">
        <v>15</v>
      </c>
      <c r="E51" s="11">
        <v>2</v>
      </c>
      <c r="F51" s="12">
        <f>F50*E51</f>
        <v>4</v>
      </c>
      <c r="G51" s="11"/>
      <c r="H51" s="12"/>
      <c r="I51" s="11"/>
      <c r="J51" s="12"/>
      <c r="K51" s="11"/>
      <c r="L51" s="12"/>
      <c r="M51" s="12"/>
    </row>
    <row r="52" spans="1:13" s="2" customFormat="1" ht="15.75">
      <c r="A52" s="71"/>
      <c r="B52" s="9" t="s">
        <v>25</v>
      </c>
      <c r="C52" s="10"/>
      <c r="D52" s="11" t="s">
        <v>0</v>
      </c>
      <c r="E52" s="17">
        <v>0.01</v>
      </c>
      <c r="F52" s="11">
        <f>E52*F50</f>
        <v>0.02</v>
      </c>
      <c r="G52" s="11"/>
      <c r="H52" s="12"/>
      <c r="I52" s="11"/>
      <c r="J52" s="11"/>
      <c r="K52" s="11"/>
      <c r="L52" s="12"/>
      <c r="M52" s="12"/>
    </row>
    <row r="53" spans="1:13" s="2" customFormat="1" ht="15.75">
      <c r="A53" s="71"/>
      <c r="B53" s="389" t="s">
        <v>50</v>
      </c>
      <c r="C53" s="10"/>
      <c r="D53" s="11"/>
      <c r="E53" s="17"/>
      <c r="F53" s="12"/>
      <c r="G53" s="11"/>
      <c r="H53" s="12"/>
      <c r="I53" s="11"/>
      <c r="J53" s="11"/>
      <c r="K53" s="11"/>
      <c r="L53" s="11"/>
      <c r="M53" s="11"/>
    </row>
    <row r="54" spans="1:13" s="2" customFormat="1" ht="15.75">
      <c r="A54" s="71"/>
      <c r="B54" s="9" t="s">
        <v>245</v>
      </c>
      <c r="C54" s="10"/>
      <c r="D54" s="11" t="s">
        <v>113</v>
      </c>
      <c r="E54" s="17">
        <v>1</v>
      </c>
      <c r="F54" s="125">
        <f>E54*F50</f>
        <v>2</v>
      </c>
      <c r="G54" s="11"/>
      <c r="H54" s="12"/>
      <c r="I54" s="11"/>
      <c r="J54" s="11"/>
      <c r="K54" s="11"/>
      <c r="L54" s="12"/>
      <c r="M54" s="12"/>
    </row>
    <row r="55" spans="1:13" s="2" customFormat="1" ht="15.75">
      <c r="A55" s="71"/>
      <c r="B55" s="9" t="s">
        <v>20</v>
      </c>
      <c r="C55" s="10"/>
      <c r="D55" s="11" t="s">
        <v>0</v>
      </c>
      <c r="E55" s="17">
        <v>2.14</v>
      </c>
      <c r="F55" s="12">
        <f>F50*E55</f>
        <v>4.28</v>
      </c>
      <c r="G55" s="11"/>
      <c r="H55" s="12"/>
      <c r="I55" s="11"/>
      <c r="J55" s="11"/>
      <c r="K55" s="11"/>
      <c r="L55" s="12"/>
      <c r="M55" s="12"/>
    </row>
    <row r="56" spans="1:13" s="393" customFormat="1" ht="27">
      <c r="A56" s="93">
        <v>9</v>
      </c>
      <c r="B56" s="390" t="s">
        <v>388</v>
      </c>
      <c r="C56" s="388" t="s">
        <v>389</v>
      </c>
      <c r="D56" s="234" t="s">
        <v>17</v>
      </c>
      <c r="E56" s="234"/>
      <c r="F56" s="165">
        <f>50+30</f>
        <v>80</v>
      </c>
      <c r="G56" s="93"/>
      <c r="H56" s="392"/>
      <c r="I56" s="93"/>
      <c r="J56" s="392"/>
      <c r="K56" s="93"/>
      <c r="L56" s="392"/>
      <c r="M56" s="93"/>
    </row>
    <row r="57" spans="1:13" s="264" customFormat="1" ht="15.75">
      <c r="A57" s="387"/>
      <c r="B57" s="98" t="s">
        <v>14</v>
      </c>
      <c r="C57" s="10"/>
      <c r="D57" s="11" t="s">
        <v>15</v>
      </c>
      <c r="E57" s="11">
        <v>0.13</v>
      </c>
      <c r="F57" s="70">
        <f>F56*E57</f>
        <v>10.4</v>
      </c>
      <c r="G57" s="38"/>
      <c r="H57" s="70"/>
      <c r="I57" s="38"/>
      <c r="J57" s="70"/>
      <c r="K57" s="38"/>
      <c r="L57" s="70"/>
      <c r="M57" s="70"/>
    </row>
    <row r="58" spans="1:13" s="402" customFormat="1" ht="14.25">
      <c r="A58" s="397"/>
      <c r="B58" s="9" t="s">
        <v>70</v>
      </c>
      <c r="C58" s="398"/>
      <c r="D58" s="399" t="s">
        <v>0</v>
      </c>
      <c r="E58" s="400">
        <v>0.0043</v>
      </c>
      <c r="F58" s="399">
        <f>E58*F56</f>
        <v>0.344</v>
      </c>
      <c r="G58" s="399"/>
      <c r="H58" s="399"/>
      <c r="I58" s="399"/>
      <c r="J58" s="401"/>
      <c r="K58" s="401"/>
      <c r="L58" s="401"/>
      <c r="M58" s="401"/>
    </row>
    <row r="59" spans="1:13" s="264" customFormat="1" ht="15.75">
      <c r="A59" s="387"/>
      <c r="B59" s="396" t="s">
        <v>50</v>
      </c>
      <c r="C59" s="10"/>
      <c r="D59" s="11"/>
      <c r="E59" s="17"/>
      <c r="F59" s="38"/>
      <c r="G59" s="38"/>
      <c r="H59" s="70"/>
      <c r="I59" s="38"/>
      <c r="J59" s="38"/>
      <c r="K59" s="38"/>
      <c r="L59" s="70"/>
      <c r="M59" s="70"/>
    </row>
    <row r="60" spans="1:13" s="264" customFormat="1" ht="15.75">
      <c r="A60" s="387"/>
      <c r="B60" s="98" t="s">
        <v>390</v>
      </c>
      <c r="C60" s="10"/>
      <c r="D60" s="11" t="s">
        <v>17</v>
      </c>
      <c r="E60" s="17">
        <v>1.02</v>
      </c>
      <c r="F60" s="70">
        <f>F56*E60</f>
        <v>81.6</v>
      </c>
      <c r="G60" s="38"/>
      <c r="H60" s="70"/>
      <c r="I60" s="38"/>
      <c r="J60" s="38"/>
      <c r="K60" s="38"/>
      <c r="L60" s="38"/>
      <c r="M60" s="38"/>
    </row>
    <row r="61" spans="1:13" s="264" customFormat="1" ht="15.75">
      <c r="A61" s="387"/>
      <c r="B61" s="98" t="s">
        <v>391</v>
      </c>
      <c r="C61" s="10"/>
      <c r="D61" s="11" t="s">
        <v>0</v>
      </c>
      <c r="E61" s="17">
        <v>0.0514</v>
      </c>
      <c r="F61" s="70">
        <f>F56*E61</f>
        <v>4.112</v>
      </c>
      <c r="G61" s="38"/>
      <c r="H61" s="70"/>
      <c r="I61" s="38"/>
      <c r="J61" s="38"/>
      <c r="K61" s="38"/>
      <c r="L61" s="70"/>
      <c r="M61" s="70"/>
    </row>
    <row r="62" spans="1:13" s="393" customFormat="1" ht="27">
      <c r="A62" s="93">
        <v>10</v>
      </c>
      <c r="B62" s="390" t="s">
        <v>440</v>
      </c>
      <c r="C62" s="388" t="s">
        <v>389</v>
      </c>
      <c r="D62" s="234" t="s">
        <v>17</v>
      </c>
      <c r="E62" s="234"/>
      <c r="F62" s="165">
        <v>5</v>
      </c>
      <c r="G62" s="93"/>
      <c r="H62" s="392"/>
      <c r="I62" s="93"/>
      <c r="J62" s="392"/>
      <c r="K62" s="93"/>
      <c r="L62" s="392"/>
      <c r="M62" s="93"/>
    </row>
    <row r="63" spans="1:13" s="264" customFormat="1" ht="15.75">
      <c r="A63" s="387"/>
      <c r="B63" s="98" t="s">
        <v>14</v>
      </c>
      <c r="C63" s="10"/>
      <c r="D63" s="11" t="s">
        <v>15</v>
      </c>
      <c r="E63" s="11">
        <v>0.13</v>
      </c>
      <c r="F63" s="70">
        <f>F62*E63</f>
        <v>0.65</v>
      </c>
      <c r="G63" s="38"/>
      <c r="H63" s="70"/>
      <c r="I63" s="38"/>
      <c r="J63" s="70"/>
      <c r="K63" s="38"/>
      <c r="L63" s="70"/>
      <c r="M63" s="70"/>
    </row>
    <row r="64" spans="1:13" s="402" customFormat="1" ht="14.25">
      <c r="A64" s="397"/>
      <c r="B64" s="9" t="s">
        <v>70</v>
      </c>
      <c r="C64" s="398"/>
      <c r="D64" s="399" t="s">
        <v>0</v>
      </c>
      <c r="E64" s="400">
        <v>0.0043</v>
      </c>
      <c r="F64" s="399">
        <f>E64*F62</f>
        <v>0.0215</v>
      </c>
      <c r="G64" s="399"/>
      <c r="H64" s="399"/>
      <c r="I64" s="399"/>
      <c r="J64" s="401"/>
      <c r="K64" s="401"/>
      <c r="L64" s="401"/>
      <c r="M64" s="401"/>
    </row>
    <row r="65" spans="1:13" s="264" customFormat="1" ht="15.75">
      <c r="A65" s="387"/>
      <c r="B65" s="396" t="s">
        <v>50</v>
      </c>
      <c r="C65" s="10"/>
      <c r="D65" s="11"/>
      <c r="E65" s="17"/>
      <c r="F65" s="38"/>
      <c r="G65" s="38"/>
      <c r="H65" s="70"/>
      <c r="I65" s="38"/>
      <c r="J65" s="38"/>
      <c r="K65" s="38"/>
      <c r="L65" s="70"/>
      <c r="M65" s="70"/>
    </row>
    <row r="66" spans="1:13" s="264" customFormat="1" ht="15.75">
      <c r="A66" s="387"/>
      <c r="B66" s="98" t="s">
        <v>441</v>
      </c>
      <c r="C66" s="10"/>
      <c r="D66" s="11" t="s">
        <v>17</v>
      </c>
      <c r="E66" s="17">
        <v>1.02</v>
      </c>
      <c r="F66" s="70">
        <f>F62*E66</f>
        <v>5.1</v>
      </c>
      <c r="G66" s="38"/>
      <c r="H66" s="70"/>
      <c r="I66" s="38"/>
      <c r="J66" s="38"/>
      <c r="K66" s="38"/>
      <c r="L66" s="38"/>
      <c r="M66" s="38"/>
    </row>
    <row r="67" spans="1:13" s="264" customFormat="1" ht="15.75">
      <c r="A67" s="387"/>
      <c r="B67" s="98" t="s">
        <v>391</v>
      </c>
      <c r="C67" s="10"/>
      <c r="D67" s="11" t="s">
        <v>0</v>
      </c>
      <c r="E67" s="17">
        <v>0.0514</v>
      </c>
      <c r="F67" s="70">
        <f>F62*E67</f>
        <v>0.257</v>
      </c>
      <c r="G67" s="38"/>
      <c r="H67" s="70"/>
      <c r="I67" s="38"/>
      <c r="J67" s="38"/>
      <c r="K67" s="38"/>
      <c r="L67" s="70"/>
      <c r="M67" s="70"/>
    </row>
    <row r="68" spans="1:13" s="393" customFormat="1" ht="27">
      <c r="A68" s="93">
        <v>11</v>
      </c>
      <c r="B68" s="390" t="s">
        <v>392</v>
      </c>
      <c r="C68" s="388" t="s">
        <v>389</v>
      </c>
      <c r="D68" s="234" t="s">
        <v>17</v>
      </c>
      <c r="E68" s="234"/>
      <c r="F68" s="165">
        <f>120+45</f>
        <v>165</v>
      </c>
      <c r="G68" s="93"/>
      <c r="H68" s="392"/>
      <c r="I68" s="93"/>
      <c r="J68" s="392"/>
      <c r="K68" s="93"/>
      <c r="L68" s="392"/>
      <c r="M68" s="93"/>
    </row>
    <row r="69" spans="1:13" s="264" customFormat="1" ht="15.75">
      <c r="A69" s="387"/>
      <c r="B69" s="98" t="s">
        <v>14</v>
      </c>
      <c r="C69" s="10"/>
      <c r="D69" s="11" t="s">
        <v>15</v>
      </c>
      <c r="E69" s="11">
        <v>0.13</v>
      </c>
      <c r="F69" s="70">
        <f>F68*E69</f>
        <v>21.45</v>
      </c>
      <c r="G69" s="38"/>
      <c r="H69" s="70"/>
      <c r="I69" s="38"/>
      <c r="J69" s="70"/>
      <c r="K69" s="38"/>
      <c r="L69" s="70"/>
      <c r="M69" s="70"/>
    </row>
    <row r="70" spans="1:13" s="402" customFormat="1" ht="14.25">
      <c r="A70" s="397"/>
      <c r="B70" s="9" t="s">
        <v>70</v>
      </c>
      <c r="C70" s="398"/>
      <c r="D70" s="399" t="s">
        <v>0</v>
      </c>
      <c r="E70" s="400">
        <v>0.0043</v>
      </c>
      <c r="F70" s="399">
        <f>E70*F68</f>
        <v>0.7095</v>
      </c>
      <c r="G70" s="399"/>
      <c r="H70" s="399"/>
      <c r="I70" s="399"/>
      <c r="J70" s="401"/>
      <c r="K70" s="401"/>
      <c r="L70" s="401"/>
      <c r="M70" s="401"/>
    </row>
    <row r="71" spans="1:13" s="264" customFormat="1" ht="15.75">
      <c r="A71" s="387"/>
      <c r="B71" s="396" t="s">
        <v>50</v>
      </c>
      <c r="C71" s="10"/>
      <c r="D71" s="11"/>
      <c r="E71" s="17"/>
      <c r="F71" s="38"/>
      <c r="G71" s="38"/>
      <c r="H71" s="70"/>
      <c r="I71" s="38"/>
      <c r="J71" s="38"/>
      <c r="K71" s="38"/>
      <c r="L71" s="70"/>
      <c r="M71" s="70"/>
    </row>
    <row r="72" spans="1:13" s="264" customFormat="1" ht="15.75">
      <c r="A72" s="387"/>
      <c r="B72" s="98" t="s">
        <v>393</v>
      </c>
      <c r="C72" s="10"/>
      <c r="D72" s="11" t="s">
        <v>17</v>
      </c>
      <c r="E72" s="17">
        <v>1.02</v>
      </c>
      <c r="F72" s="70">
        <f>F68*E72</f>
        <v>168.3</v>
      </c>
      <c r="G72" s="38"/>
      <c r="H72" s="70"/>
      <c r="I72" s="38"/>
      <c r="J72" s="38"/>
      <c r="K72" s="38"/>
      <c r="L72" s="38"/>
      <c r="M72" s="38"/>
    </row>
    <row r="73" spans="1:13" s="264" customFormat="1" ht="15.75">
      <c r="A73" s="387"/>
      <c r="B73" s="98" t="s">
        <v>391</v>
      </c>
      <c r="C73" s="10"/>
      <c r="D73" s="11" t="s">
        <v>0</v>
      </c>
      <c r="E73" s="17">
        <v>0.0514</v>
      </c>
      <c r="F73" s="70">
        <f>F68*E73</f>
        <v>8.481</v>
      </c>
      <c r="G73" s="38"/>
      <c r="H73" s="70"/>
      <c r="I73" s="38"/>
      <c r="J73" s="38"/>
      <c r="K73" s="38"/>
      <c r="L73" s="70"/>
      <c r="M73" s="70"/>
    </row>
    <row r="74" spans="1:13" s="393" customFormat="1" ht="27">
      <c r="A74" s="93">
        <v>12</v>
      </c>
      <c r="B74" s="390" t="s">
        <v>394</v>
      </c>
      <c r="C74" s="388" t="s">
        <v>389</v>
      </c>
      <c r="D74" s="234" t="s">
        <v>17</v>
      </c>
      <c r="E74" s="234"/>
      <c r="F74" s="165">
        <f>35+20</f>
        <v>55</v>
      </c>
      <c r="G74" s="93"/>
      <c r="H74" s="392"/>
      <c r="I74" s="93"/>
      <c r="J74" s="392"/>
      <c r="K74" s="93"/>
      <c r="L74" s="392"/>
      <c r="M74" s="93"/>
    </row>
    <row r="75" spans="1:13" s="264" customFormat="1" ht="15.75">
      <c r="A75" s="387"/>
      <c r="B75" s="98" t="s">
        <v>14</v>
      </c>
      <c r="C75" s="10"/>
      <c r="D75" s="11" t="s">
        <v>15</v>
      </c>
      <c r="E75" s="11">
        <v>0.13</v>
      </c>
      <c r="F75" s="70">
        <f>F74*E75</f>
        <v>7.15</v>
      </c>
      <c r="G75" s="38"/>
      <c r="H75" s="70"/>
      <c r="I75" s="38"/>
      <c r="J75" s="70"/>
      <c r="K75" s="38"/>
      <c r="L75" s="70"/>
      <c r="M75" s="70"/>
    </row>
    <row r="76" spans="1:13" s="402" customFormat="1" ht="14.25">
      <c r="A76" s="397"/>
      <c r="B76" s="9" t="s">
        <v>70</v>
      </c>
      <c r="C76" s="398"/>
      <c r="D76" s="399" t="s">
        <v>0</v>
      </c>
      <c r="E76" s="400">
        <v>0.0043</v>
      </c>
      <c r="F76" s="399">
        <f>E76*F74</f>
        <v>0.2365</v>
      </c>
      <c r="G76" s="399"/>
      <c r="H76" s="399"/>
      <c r="I76" s="399"/>
      <c r="J76" s="401"/>
      <c r="K76" s="401"/>
      <c r="L76" s="401"/>
      <c r="M76" s="401"/>
    </row>
    <row r="77" spans="1:13" s="264" customFormat="1" ht="15.75">
      <c r="A77" s="387"/>
      <c r="B77" s="396" t="s">
        <v>50</v>
      </c>
      <c r="C77" s="10"/>
      <c r="D77" s="11"/>
      <c r="E77" s="17"/>
      <c r="F77" s="38"/>
      <c r="G77" s="38"/>
      <c r="H77" s="70"/>
      <c r="I77" s="38"/>
      <c r="J77" s="38"/>
      <c r="K77" s="38"/>
      <c r="L77" s="70"/>
      <c r="M77" s="70"/>
    </row>
    <row r="78" spans="1:13" s="264" customFormat="1" ht="15.75">
      <c r="A78" s="387"/>
      <c r="B78" s="98" t="s">
        <v>395</v>
      </c>
      <c r="C78" s="10"/>
      <c r="D78" s="11" t="s">
        <v>17</v>
      </c>
      <c r="E78" s="17">
        <v>1.02</v>
      </c>
      <c r="F78" s="70">
        <f>F74*E78</f>
        <v>56.1</v>
      </c>
      <c r="G78" s="38"/>
      <c r="H78" s="70"/>
      <c r="I78" s="38"/>
      <c r="J78" s="38"/>
      <c r="K78" s="38"/>
      <c r="L78" s="38"/>
      <c r="M78" s="38"/>
    </row>
    <row r="79" spans="1:13" s="264" customFormat="1" ht="15.75">
      <c r="A79" s="387"/>
      <c r="B79" s="98" t="s">
        <v>391</v>
      </c>
      <c r="C79" s="10"/>
      <c r="D79" s="11" t="s">
        <v>0</v>
      </c>
      <c r="E79" s="17">
        <v>0.0514</v>
      </c>
      <c r="F79" s="70">
        <f>F74*E79</f>
        <v>2.827</v>
      </c>
      <c r="G79" s="38"/>
      <c r="H79" s="70"/>
      <c r="I79" s="38"/>
      <c r="J79" s="38"/>
      <c r="K79" s="38"/>
      <c r="L79" s="70"/>
      <c r="M79" s="70"/>
    </row>
    <row r="80" spans="1:13" s="393" customFormat="1" ht="27">
      <c r="A80" s="93">
        <v>13</v>
      </c>
      <c r="B80" s="390" t="s">
        <v>396</v>
      </c>
      <c r="C80" s="391" t="s">
        <v>397</v>
      </c>
      <c r="D80" s="165" t="s">
        <v>26</v>
      </c>
      <c r="E80" s="165"/>
      <c r="F80" s="165">
        <v>1</v>
      </c>
      <c r="G80" s="93"/>
      <c r="H80" s="392"/>
      <c r="I80" s="93"/>
      <c r="J80" s="392"/>
      <c r="K80" s="93"/>
      <c r="L80" s="392"/>
      <c r="M80" s="93"/>
    </row>
    <row r="81" spans="1:13" s="233" customFormat="1" ht="13.5">
      <c r="A81" s="18"/>
      <c r="B81" s="98" t="s">
        <v>375</v>
      </c>
      <c r="C81" s="331"/>
      <c r="D81" s="38" t="s">
        <v>15</v>
      </c>
      <c r="E81" s="38">
        <v>0.2</v>
      </c>
      <c r="F81" s="70">
        <f>F80*E81</f>
        <v>0.2</v>
      </c>
      <c r="G81" s="38"/>
      <c r="H81" s="70"/>
      <c r="I81" s="38"/>
      <c r="J81" s="70"/>
      <c r="K81" s="38"/>
      <c r="L81" s="70"/>
      <c r="M81" s="70"/>
    </row>
    <row r="82" spans="1:13" s="405" customFormat="1" ht="13.5">
      <c r="A82" s="403"/>
      <c r="B82" s="270" t="s">
        <v>70</v>
      </c>
      <c r="C82" s="8"/>
      <c r="D82" s="11" t="s">
        <v>0</v>
      </c>
      <c r="E82" s="404">
        <v>0.0005</v>
      </c>
      <c r="F82" s="12">
        <f>E82*F80</f>
        <v>0.0005</v>
      </c>
      <c r="G82" s="12"/>
      <c r="H82" s="12"/>
      <c r="I82" s="12"/>
      <c r="J82" s="12"/>
      <c r="K82" s="12"/>
      <c r="L82" s="12"/>
      <c r="M82" s="12"/>
    </row>
    <row r="83" spans="1:13" s="233" customFormat="1" ht="13.5">
      <c r="A83" s="18"/>
      <c r="B83" s="396" t="s">
        <v>50</v>
      </c>
      <c r="C83" s="331"/>
      <c r="D83" s="38"/>
      <c r="E83" s="38"/>
      <c r="F83" s="38"/>
      <c r="G83" s="38"/>
      <c r="H83" s="70"/>
      <c r="I83" s="38"/>
      <c r="J83" s="38"/>
      <c r="K83" s="38"/>
      <c r="L83" s="70"/>
      <c r="M83" s="70"/>
    </row>
    <row r="84" spans="1:13" s="233" customFormat="1" ht="13.5">
      <c r="A84" s="18"/>
      <c r="B84" s="98" t="s">
        <v>398</v>
      </c>
      <c r="C84" s="331"/>
      <c r="D84" s="38" t="s">
        <v>26</v>
      </c>
      <c r="E84" s="38">
        <v>1</v>
      </c>
      <c r="F84" s="70">
        <f>F80*E84</f>
        <v>1</v>
      </c>
      <c r="G84" s="148"/>
      <c r="H84" s="70"/>
      <c r="I84" s="38"/>
      <c r="J84" s="38"/>
      <c r="K84" s="38"/>
      <c r="L84" s="38"/>
      <c r="M84" s="38"/>
    </row>
    <row r="85" spans="1:13" s="377" customFormat="1" ht="13.5">
      <c r="A85" s="18"/>
      <c r="B85" s="98" t="s">
        <v>44</v>
      </c>
      <c r="C85" s="331"/>
      <c r="D85" s="69" t="s">
        <v>0</v>
      </c>
      <c r="E85" s="38">
        <v>0.0825</v>
      </c>
      <c r="F85" s="70">
        <f>E85*F80</f>
        <v>0.0825</v>
      </c>
      <c r="G85" s="38"/>
      <c r="H85" s="70"/>
      <c r="I85" s="38"/>
      <c r="J85" s="38"/>
      <c r="K85" s="38"/>
      <c r="L85" s="70"/>
      <c r="M85" s="70"/>
    </row>
    <row r="86" spans="1:13" s="382" customFormat="1" ht="40.5">
      <c r="A86" s="267">
        <v>14</v>
      </c>
      <c r="B86" s="390" t="s">
        <v>399</v>
      </c>
      <c r="C86" s="391" t="s">
        <v>400</v>
      </c>
      <c r="D86" s="165" t="s">
        <v>26</v>
      </c>
      <c r="E86" s="165"/>
      <c r="F86" s="165">
        <v>3</v>
      </c>
      <c r="G86" s="93"/>
      <c r="H86" s="392"/>
      <c r="I86" s="93"/>
      <c r="J86" s="392"/>
      <c r="K86" s="93"/>
      <c r="L86" s="392"/>
      <c r="M86" s="93"/>
    </row>
    <row r="87" spans="1:13" s="233" customFormat="1" ht="13.5">
      <c r="A87" s="18"/>
      <c r="B87" s="98" t="s">
        <v>375</v>
      </c>
      <c r="C87" s="331"/>
      <c r="D87" s="38" t="s">
        <v>15</v>
      </c>
      <c r="E87" s="38">
        <v>0.34</v>
      </c>
      <c r="F87" s="70">
        <f>F86*E87</f>
        <v>1.02</v>
      </c>
      <c r="G87" s="38"/>
      <c r="H87" s="70"/>
      <c r="I87" s="38"/>
      <c r="J87" s="70"/>
      <c r="K87" s="38"/>
      <c r="L87" s="70"/>
      <c r="M87" s="70"/>
    </row>
    <row r="88" spans="1:13" s="405" customFormat="1" ht="13.5">
      <c r="A88" s="403"/>
      <c r="B88" s="270" t="s">
        <v>70</v>
      </c>
      <c r="C88" s="8"/>
      <c r="D88" s="11" t="s">
        <v>0</v>
      </c>
      <c r="E88" s="404">
        <v>0.0113</v>
      </c>
      <c r="F88" s="12">
        <f>E88*F86</f>
        <v>0.0339</v>
      </c>
      <c r="G88" s="12"/>
      <c r="H88" s="12"/>
      <c r="I88" s="12"/>
      <c r="J88" s="12"/>
      <c r="K88" s="12"/>
      <c r="L88" s="12"/>
      <c r="M88" s="12"/>
    </row>
    <row r="89" spans="1:13" s="233" customFormat="1" ht="13.5">
      <c r="A89" s="18"/>
      <c r="B89" s="396" t="s">
        <v>50</v>
      </c>
      <c r="C89" s="331"/>
      <c r="D89" s="38"/>
      <c r="E89" s="38"/>
      <c r="F89" s="38"/>
      <c r="G89" s="38"/>
      <c r="H89" s="70"/>
      <c r="I89" s="38"/>
      <c r="J89" s="38"/>
      <c r="K89" s="38"/>
      <c r="L89" s="70"/>
      <c r="M89" s="70"/>
    </row>
    <row r="90" spans="1:13" s="233" customFormat="1" ht="27">
      <c r="A90" s="18"/>
      <c r="B90" s="98" t="s">
        <v>401</v>
      </c>
      <c r="C90" s="331"/>
      <c r="D90" s="38" t="s">
        <v>26</v>
      </c>
      <c r="E90" s="38">
        <v>1</v>
      </c>
      <c r="F90" s="70">
        <f>F86*E90</f>
        <v>3</v>
      </c>
      <c r="G90" s="38"/>
      <c r="H90" s="70"/>
      <c r="I90" s="38"/>
      <c r="J90" s="38"/>
      <c r="K90" s="38"/>
      <c r="L90" s="38"/>
      <c r="M90" s="38"/>
    </row>
    <row r="91" spans="1:13" s="377" customFormat="1" ht="13.5">
      <c r="A91" s="18"/>
      <c r="B91" s="98" t="s">
        <v>44</v>
      </c>
      <c r="C91" s="331"/>
      <c r="D91" s="69" t="s">
        <v>0</v>
      </c>
      <c r="E91" s="38">
        <v>0.0937</v>
      </c>
      <c r="F91" s="70">
        <f>E91*F86</f>
        <v>0.2811</v>
      </c>
      <c r="G91" s="38"/>
      <c r="H91" s="70"/>
      <c r="I91" s="38"/>
      <c r="J91" s="38"/>
      <c r="K91" s="38"/>
      <c r="L91" s="70"/>
      <c r="M91" s="70"/>
    </row>
    <row r="92" spans="1:13" s="241" customFormat="1" ht="40.5">
      <c r="A92" s="129">
        <v>15</v>
      </c>
      <c r="B92" s="235" t="s">
        <v>404</v>
      </c>
      <c r="C92" s="388" t="s">
        <v>402</v>
      </c>
      <c r="D92" s="234" t="s">
        <v>26</v>
      </c>
      <c r="E92" s="234"/>
      <c r="F92" s="234">
        <v>4</v>
      </c>
      <c r="G92" s="129"/>
      <c r="H92" s="237"/>
      <c r="I92" s="129"/>
      <c r="J92" s="237"/>
      <c r="K92" s="129"/>
      <c r="L92" s="237"/>
      <c r="M92" s="129"/>
    </row>
    <row r="93" spans="1:13" s="23" customFormat="1" ht="13.5">
      <c r="A93" s="18"/>
      <c r="B93" s="9" t="s">
        <v>375</v>
      </c>
      <c r="C93" s="10"/>
      <c r="D93" s="11" t="s">
        <v>15</v>
      </c>
      <c r="E93" s="11">
        <v>2</v>
      </c>
      <c r="F93" s="12">
        <f>F92*E93</f>
        <v>8</v>
      </c>
      <c r="G93" s="11"/>
      <c r="H93" s="12"/>
      <c r="I93" s="11"/>
      <c r="J93" s="12"/>
      <c r="K93" s="11"/>
      <c r="L93" s="12"/>
      <c r="M93" s="12"/>
    </row>
    <row r="94" spans="1:13" s="405" customFormat="1" ht="13.5">
      <c r="A94" s="403"/>
      <c r="B94" s="270" t="s">
        <v>70</v>
      </c>
      <c r="C94" s="8"/>
      <c r="D94" s="11" t="s">
        <v>0</v>
      </c>
      <c r="E94" s="12">
        <v>0.01</v>
      </c>
      <c r="F94" s="12">
        <f>E94*F92</f>
        <v>0.04</v>
      </c>
      <c r="G94" s="12"/>
      <c r="H94" s="12"/>
      <c r="I94" s="12"/>
      <c r="J94" s="12"/>
      <c r="K94" s="12"/>
      <c r="L94" s="12"/>
      <c r="M94" s="12"/>
    </row>
    <row r="95" spans="1:13" s="2" customFormat="1" ht="15.75">
      <c r="A95" s="71"/>
      <c r="B95" s="389" t="s">
        <v>50</v>
      </c>
      <c r="C95" s="10"/>
      <c r="D95" s="11"/>
      <c r="E95" s="17"/>
      <c r="F95" s="12"/>
      <c r="G95" s="11"/>
      <c r="H95" s="12"/>
      <c r="I95" s="11"/>
      <c r="J95" s="11"/>
      <c r="K95" s="11"/>
      <c r="L95" s="11"/>
      <c r="M95" s="11"/>
    </row>
    <row r="96" spans="1:13" s="2" customFormat="1" ht="15.75">
      <c r="A96" s="71"/>
      <c r="B96" s="9" t="s">
        <v>403</v>
      </c>
      <c r="C96" s="10"/>
      <c r="D96" s="11" t="s">
        <v>26</v>
      </c>
      <c r="E96" s="17">
        <v>1</v>
      </c>
      <c r="F96" s="125">
        <f>E96*F92</f>
        <v>4</v>
      </c>
      <c r="G96" s="11"/>
      <c r="H96" s="12"/>
      <c r="I96" s="11"/>
      <c r="J96" s="11"/>
      <c r="K96" s="11"/>
      <c r="L96" s="12"/>
      <c r="M96" s="12"/>
    </row>
    <row r="97" spans="1:13" s="2" customFormat="1" ht="15.75">
      <c r="A97" s="71"/>
      <c r="B97" s="9" t="s">
        <v>20</v>
      </c>
      <c r="C97" s="10"/>
      <c r="D97" s="11" t="s">
        <v>0</v>
      </c>
      <c r="E97" s="17">
        <v>1.53</v>
      </c>
      <c r="F97" s="12">
        <f>F92*E97</f>
        <v>6.12</v>
      </c>
      <c r="G97" s="11"/>
      <c r="H97" s="12"/>
      <c r="I97" s="11"/>
      <c r="J97" s="11"/>
      <c r="K97" s="11"/>
      <c r="L97" s="12"/>
      <c r="M97" s="12"/>
    </row>
    <row r="98" spans="1:13" s="241" customFormat="1" ht="27">
      <c r="A98" s="129">
        <v>16</v>
      </c>
      <c r="B98" s="235" t="s">
        <v>405</v>
      </c>
      <c r="C98" s="388" t="s">
        <v>402</v>
      </c>
      <c r="D98" s="234" t="s">
        <v>26</v>
      </c>
      <c r="E98" s="234"/>
      <c r="F98" s="234">
        <f>8+4</f>
        <v>12</v>
      </c>
      <c r="G98" s="129"/>
      <c r="H98" s="237"/>
      <c r="I98" s="129"/>
      <c r="J98" s="237"/>
      <c r="K98" s="129"/>
      <c r="L98" s="237"/>
      <c r="M98" s="129"/>
    </row>
    <row r="99" spans="1:13" s="23" customFormat="1" ht="13.5">
      <c r="A99" s="18"/>
      <c r="B99" s="9" t="s">
        <v>375</v>
      </c>
      <c r="C99" s="10"/>
      <c r="D99" s="11" t="s">
        <v>15</v>
      </c>
      <c r="E99" s="11">
        <v>2</v>
      </c>
      <c r="F99" s="12">
        <f>F98*E99</f>
        <v>24</v>
      </c>
      <c r="G99" s="11"/>
      <c r="H99" s="12"/>
      <c r="I99" s="11"/>
      <c r="J99" s="12"/>
      <c r="K99" s="11"/>
      <c r="L99" s="12"/>
      <c r="M99" s="12"/>
    </row>
    <row r="100" spans="1:13" s="405" customFormat="1" ht="13.5">
      <c r="A100" s="403"/>
      <c r="B100" s="270" t="s">
        <v>70</v>
      </c>
      <c r="C100" s="8"/>
      <c r="D100" s="11" t="s">
        <v>0</v>
      </c>
      <c r="E100" s="12">
        <v>0.01</v>
      </c>
      <c r="F100" s="12">
        <f>E100*F98</f>
        <v>0.12</v>
      </c>
      <c r="G100" s="12"/>
      <c r="H100" s="12"/>
      <c r="I100" s="12"/>
      <c r="J100" s="12"/>
      <c r="K100" s="12"/>
      <c r="L100" s="12"/>
      <c r="M100" s="12"/>
    </row>
    <row r="101" spans="1:13" s="2" customFormat="1" ht="15.75">
      <c r="A101" s="71"/>
      <c r="B101" s="389" t="s">
        <v>50</v>
      </c>
      <c r="C101" s="10"/>
      <c r="D101" s="11"/>
      <c r="E101" s="17"/>
      <c r="F101" s="12"/>
      <c r="G101" s="11"/>
      <c r="H101" s="12"/>
      <c r="I101" s="11"/>
      <c r="J101" s="11"/>
      <c r="K101" s="11"/>
      <c r="L101" s="11"/>
      <c r="M101" s="11"/>
    </row>
    <row r="102" spans="1:13" s="2" customFormat="1" ht="15.75">
      <c r="A102" s="71"/>
      <c r="B102" s="9" t="s">
        <v>403</v>
      </c>
      <c r="C102" s="10"/>
      <c r="D102" s="11" t="s">
        <v>26</v>
      </c>
      <c r="E102" s="17">
        <v>1</v>
      </c>
      <c r="F102" s="125">
        <f>E102*F98</f>
        <v>12</v>
      </c>
      <c r="G102" s="11"/>
      <c r="H102" s="12"/>
      <c r="I102" s="11"/>
      <c r="J102" s="11"/>
      <c r="K102" s="11"/>
      <c r="L102" s="12"/>
      <c r="M102" s="12"/>
    </row>
    <row r="103" spans="1:13" s="2" customFormat="1" ht="15.75">
      <c r="A103" s="71"/>
      <c r="B103" s="9" t="s">
        <v>20</v>
      </c>
      <c r="C103" s="10"/>
      <c r="D103" s="11" t="s">
        <v>0</v>
      </c>
      <c r="E103" s="17">
        <v>1.53</v>
      </c>
      <c r="F103" s="12">
        <f>F98*E103</f>
        <v>18.36</v>
      </c>
      <c r="G103" s="11"/>
      <c r="H103" s="12"/>
      <c r="I103" s="11"/>
      <c r="J103" s="11"/>
      <c r="K103" s="11"/>
      <c r="L103" s="12"/>
      <c r="M103" s="12"/>
    </row>
    <row r="104" spans="1:13" s="241" customFormat="1" ht="27">
      <c r="A104" s="234">
        <v>17</v>
      </c>
      <c r="B104" s="235" t="s">
        <v>428</v>
      </c>
      <c r="C104" s="388" t="s">
        <v>425</v>
      </c>
      <c r="D104" s="234" t="s">
        <v>426</v>
      </c>
      <c r="E104" s="234"/>
      <c r="F104" s="234">
        <f>4/100</f>
        <v>0.04</v>
      </c>
      <c r="G104" s="129"/>
      <c r="H104" s="237"/>
      <c r="I104" s="129"/>
      <c r="J104" s="237"/>
      <c r="K104" s="129"/>
      <c r="L104" s="237"/>
      <c r="M104" s="129"/>
    </row>
    <row r="105" spans="1:13" s="23" customFormat="1" ht="13.5">
      <c r="A105" s="18"/>
      <c r="B105" s="9" t="s">
        <v>375</v>
      </c>
      <c r="C105" s="8"/>
      <c r="D105" s="11" t="s">
        <v>15</v>
      </c>
      <c r="E105" s="11">
        <v>101</v>
      </c>
      <c r="F105" s="12">
        <f>F104*E105</f>
        <v>4.04</v>
      </c>
      <c r="G105" s="11"/>
      <c r="H105" s="12"/>
      <c r="I105" s="11"/>
      <c r="J105" s="12"/>
      <c r="K105" s="11"/>
      <c r="L105" s="12"/>
      <c r="M105" s="12"/>
    </row>
    <row r="106" spans="1:13" s="23" customFormat="1" ht="13.5">
      <c r="A106" s="18"/>
      <c r="B106" s="389" t="s">
        <v>50</v>
      </c>
      <c r="C106" s="121"/>
      <c r="D106" s="11"/>
      <c r="E106" s="11"/>
      <c r="F106" s="11"/>
      <c r="G106" s="11"/>
      <c r="H106" s="12"/>
      <c r="I106" s="11"/>
      <c r="J106" s="11"/>
      <c r="K106" s="11"/>
      <c r="L106" s="12"/>
      <c r="M106" s="12"/>
    </row>
    <row r="107" spans="1:13" s="23" customFormat="1" ht="13.5">
      <c r="A107" s="18"/>
      <c r="B107" s="9" t="s">
        <v>427</v>
      </c>
      <c r="C107" s="121"/>
      <c r="D107" s="11" t="s">
        <v>26</v>
      </c>
      <c r="E107" s="11">
        <v>100</v>
      </c>
      <c r="F107" s="12">
        <f>F104*E107</f>
        <v>4</v>
      </c>
      <c r="G107" s="11"/>
      <c r="H107" s="12"/>
      <c r="I107" s="11"/>
      <c r="J107" s="11"/>
      <c r="K107" s="11"/>
      <c r="L107" s="11"/>
      <c r="M107" s="11"/>
    </row>
    <row r="108" spans="1:13" s="424" customFormat="1" ht="13.5">
      <c r="A108" s="18"/>
      <c r="B108" s="9" t="s">
        <v>44</v>
      </c>
      <c r="C108" s="16"/>
      <c r="D108" s="8" t="s">
        <v>0</v>
      </c>
      <c r="E108" s="11">
        <v>12.3</v>
      </c>
      <c r="F108" s="12">
        <f>E108*F104</f>
        <v>0.49200000000000005</v>
      </c>
      <c r="G108" s="11"/>
      <c r="H108" s="12"/>
      <c r="I108" s="11"/>
      <c r="J108" s="11"/>
      <c r="K108" s="11"/>
      <c r="L108" s="12"/>
      <c r="M108" s="12"/>
    </row>
    <row r="109" spans="1:13" s="241" customFormat="1" ht="40.5">
      <c r="A109" s="234">
        <v>18</v>
      </c>
      <c r="B109" s="235" t="s">
        <v>429</v>
      </c>
      <c r="C109" s="388" t="s">
        <v>425</v>
      </c>
      <c r="D109" s="234" t="s">
        <v>426</v>
      </c>
      <c r="E109" s="234"/>
      <c r="F109" s="234">
        <f>1/100</f>
        <v>0.01</v>
      </c>
      <c r="G109" s="129"/>
      <c r="H109" s="237"/>
      <c r="I109" s="129"/>
      <c r="J109" s="237"/>
      <c r="K109" s="129"/>
      <c r="L109" s="237"/>
      <c r="M109" s="129"/>
    </row>
    <row r="110" spans="1:13" s="23" customFormat="1" ht="13.5">
      <c r="A110" s="18"/>
      <c r="B110" s="9" t="s">
        <v>375</v>
      </c>
      <c r="C110" s="8"/>
      <c r="D110" s="11" t="s">
        <v>15</v>
      </c>
      <c r="E110" s="11">
        <v>101</v>
      </c>
      <c r="F110" s="12">
        <f>F109*E110</f>
        <v>1.01</v>
      </c>
      <c r="G110" s="11"/>
      <c r="H110" s="12"/>
      <c r="I110" s="11"/>
      <c r="J110" s="12"/>
      <c r="K110" s="11"/>
      <c r="L110" s="12"/>
      <c r="M110" s="12"/>
    </row>
    <row r="111" spans="1:13" s="23" customFormat="1" ht="13.5">
      <c r="A111" s="18"/>
      <c r="B111" s="389" t="s">
        <v>50</v>
      </c>
      <c r="C111" s="121"/>
      <c r="D111" s="11"/>
      <c r="E111" s="11"/>
      <c r="F111" s="11"/>
      <c r="G111" s="11"/>
      <c r="H111" s="12"/>
      <c r="I111" s="11"/>
      <c r="J111" s="11"/>
      <c r="K111" s="11"/>
      <c r="L111" s="12"/>
      <c r="M111" s="12"/>
    </row>
    <row r="112" spans="1:13" s="23" customFormat="1" ht="13.5">
      <c r="A112" s="18"/>
      <c r="B112" s="9" t="s">
        <v>427</v>
      </c>
      <c r="C112" s="121"/>
      <c r="D112" s="11" t="s">
        <v>26</v>
      </c>
      <c r="E112" s="11">
        <v>100</v>
      </c>
      <c r="F112" s="12">
        <f>F109*E112</f>
        <v>1</v>
      </c>
      <c r="G112" s="11"/>
      <c r="H112" s="12"/>
      <c r="I112" s="11"/>
      <c r="J112" s="11"/>
      <c r="K112" s="11"/>
      <c r="L112" s="11"/>
      <c r="M112" s="11"/>
    </row>
    <row r="113" spans="1:13" s="424" customFormat="1" ht="13.5">
      <c r="A113" s="18"/>
      <c r="B113" s="9" t="s">
        <v>44</v>
      </c>
      <c r="C113" s="16"/>
      <c r="D113" s="8" t="s">
        <v>0</v>
      </c>
      <c r="E113" s="11">
        <v>12.3</v>
      </c>
      <c r="F113" s="12">
        <f>E113*F109</f>
        <v>0.12300000000000001</v>
      </c>
      <c r="G113" s="11"/>
      <c r="H113" s="12"/>
      <c r="I113" s="11"/>
      <c r="J113" s="11"/>
      <c r="K113" s="11"/>
      <c r="L113" s="12"/>
      <c r="M113" s="12"/>
    </row>
    <row r="114" spans="1:13" s="241" customFormat="1" ht="40.5">
      <c r="A114" s="234">
        <v>19</v>
      </c>
      <c r="B114" s="235" t="s">
        <v>430</v>
      </c>
      <c r="C114" s="388" t="s">
        <v>425</v>
      </c>
      <c r="D114" s="234" t="s">
        <v>426</v>
      </c>
      <c r="E114" s="234"/>
      <c r="F114" s="234">
        <f>(8+4)/100</f>
        <v>0.12</v>
      </c>
      <c r="G114" s="129"/>
      <c r="H114" s="237"/>
      <c r="I114" s="129"/>
      <c r="J114" s="237"/>
      <c r="K114" s="129"/>
      <c r="L114" s="237"/>
      <c r="M114" s="129"/>
    </row>
    <row r="115" spans="1:13" s="23" customFormat="1" ht="13.5">
      <c r="A115" s="18"/>
      <c r="B115" s="9" t="s">
        <v>375</v>
      </c>
      <c r="C115" s="8"/>
      <c r="D115" s="11" t="s">
        <v>15</v>
      </c>
      <c r="E115" s="11">
        <v>101</v>
      </c>
      <c r="F115" s="12">
        <f>F114*E115</f>
        <v>12.12</v>
      </c>
      <c r="G115" s="11"/>
      <c r="H115" s="12"/>
      <c r="I115" s="11"/>
      <c r="J115" s="12"/>
      <c r="K115" s="11"/>
      <c r="L115" s="12"/>
      <c r="M115" s="12"/>
    </row>
    <row r="116" spans="1:13" s="23" customFormat="1" ht="13.5">
      <c r="A116" s="18"/>
      <c r="B116" s="389" t="s">
        <v>50</v>
      </c>
      <c r="C116" s="121"/>
      <c r="D116" s="11"/>
      <c r="E116" s="11"/>
      <c r="F116" s="11"/>
      <c r="G116" s="11"/>
      <c r="H116" s="12"/>
      <c r="I116" s="11"/>
      <c r="J116" s="11"/>
      <c r="K116" s="11"/>
      <c r="L116" s="12"/>
      <c r="M116" s="12"/>
    </row>
    <row r="117" spans="1:13" s="23" customFormat="1" ht="13.5">
      <c r="A117" s="18"/>
      <c r="B117" s="9" t="s">
        <v>427</v>
      </c>
      <c r="C117" s="121"/>
      <c r="D117" s="11" t="s">
        <v>26</v>
      </c>
      <c r="E117" s="11">
        <v>100</v>
      </c>
      <c r="F117" s="12">
        <f>F114*E117</f>
        <v>12</v>
      </c>
      <c r="G117" s="11"/>
      <c r="H117" s="12"/>
      <c r="I117" s="11"/>
      <c r="J117" s="11"/>
      <c r="K117" s="11"/>
      <c r="L117" s="11"/>
      <c r="M117" s="11"/>
    </row>
    <row r="118" spans="1:13" s="424" customFormat="1" ht="13.5">
      <c r="A118" s="18"/>
      <c r="B118" s="9" t="s">
        <v>44</v>
      </c>
      <c r="C118" s="16"/>
      <c r="D118" s="8" t="s">
        <v>0</v>
      </c>
      <c r="E118" s="11">
        <v>12.3</v>
      </c>
      <c r="F118" s="12">
        <f>E118*F114</f>
        <v>1.476</v>
      </c>
      <c r="G118" s="11"/>
      <c r="H118" s="12"/>
      <c r="I118" s="11"/>
      <c r="J118" s="11"/>
      <c r="K118" s="11"/>
      <c r="L118" s="12"/>
      <c r="M118" s="12"/>
    </row>
    <row r="119" spans="1:13" s="241" customFormat="1" ht="13.5">
      <c r="A119" s="129">
        <v>20</v>
      </c>
      <c r="B119" s="235" t="s">
        <v>406</v>
      </c>
      <c r="C119" s="388" t="s">
        <v>407</v>
      </c>
      <c r="D119" s="234" t="s">
        <v>26</v>
      </c>
      <c r="E119" s="234"/>
      <c r="F119" s="234">
        <v>2</v>
      </c>
      <c r="G119" s="129"/>
      <c r="H119" s="237"/>
      <c r="I119" s="129"/>
      <c r="J119" s="237"/>
      <c r="K119" s="129"/>
      <c r="L119" s="237"/>
      <c r="M119" s="129"/>
    </row>
    <row r="120" spans="1:14" s="394" customFormat="1" ht="13.5">
      <c r="A120" s="67"/>
      <c r="B120" s="68" t="s">
        <v>41</v>
      </c>
      <c r="C120" s="69"/>
      <c r="D120" s="38" t="s">
        <v>15</v>
      </c>
      <c r="E120" s="70">
        <v>1</v>
      </c>
      <c r="F120" s="70">
        <f>F119*E120</f>
        <v>2</v>
      </c>
      <c r="G120" s="70"/>
      <c r="H120" s="70"/>
      <c r="I120" s="70"/>
      <c r="J120" s="70"/>
      <c r="K120" s="70"/>
      <c r="L120" s="70"/>
      <c r="M120" s="70"/>
      <c r="N120" s="406"/>
    </row>
    <row r="121" spans="1:13" s="394" customFormat="1" ht="13.5">
      <c r="A121" s="67"/>
      <c r="B121" s="38" t="s">
        <v>42</v>
      </c>
      <c r="C121" s="69"/>
      <c r="D121" s="38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s="2" customFormat="1" ht="15.75">
      <c r="A122" s="71"/>
      <c r="B122" s="9" t="s">
        <v>408</v>
      </c>
      <c r="C122" s="60"/>
      <c r="D122" s="11" t="s">
        <v>26</v>
      </c>
      <c r="E122" s="70">
        <v>1</v>
      </c>
      <c r="F122" s="12">
        <f>E122*F119</f>
        <v>2</v>
      </c>
      <c r="G122" s="125"/>
      <c r="H122" s="12"/>
      <c r="I122" s="11"/>
      <c r="J122" s="11"/>
      <c r="K122" s="11"/>
      <c r="L122" s="11"/>
      <c r="M122" s="11"/>
    </row>
    <row r="123" spans="1:13" s="394" customFormat="1" ht="13.5">
      <c r="A123" s="67"/>
      <c r="B123" s="72" t="s">
        <v>44</v>
      </c>
      <c r="C123" s="69"/>
      <c r="D123" s="38" t="s">
        <v>0</v>
      </c>
      <c r="E123" s="70">
        <v>0.46</v>
      </c>
      <c r="F123" s="70">
        <f>E123*F119</f>
        <v>0.92</v>
      </c>
      <c r="G123" s="70"/>
      <c r="H123" s="70"/>
      <c r="I123" s="70"/>
      <c r="J123" s="70"/>
      <c r="K123" s="70"/>
      <c r="L123" s="70"/>
      <c r="M123" s="70"/>
    </row>
    <row r="124" spans="1:13" s="393" customFormat="1" ht="27">
      <c r="A124" s="93">
        <v>21</v>
      </c>
      <c r="B124" s="390" t="s">
        <v>409</v>
      </c>
      <c r="C124" s="391" t="s">
        <v>410</v>
      </c>
      <c r="D124" s="165" t="s">
        <v>40</v>
      </c>
      <c r="E124" s="165"/>
      <c r="F124" s="165">
        <f>(10+10)/100</f>
        <v>0.2</v>
      </c>
      <c r="G124" s="93"/>
      <c r="H124" s="392"/>
      <c r="I124" s="93"/>
      <c r="J124" s="392"/>
      <c r="K124" s="93"/>
      <c r="L124" s="392"/>
      <c r="M124" s="93"/>
    </row>
    <row r="125" spans="1:14" s="394" customFormat="1" ht="13.5">
      <c r="A125" s="67"/>
      <c r="B125" s="68" t="s">
        <v>41</v>
      </c>
      <c r="C125" s="69"/>
      <c r="D125" s="38" t="s">
        <v>15</v>
      </c>
      <c r="E125" s="70">
        <v>31</v>
      </c>
      <c r="F125" s="70">
        <f>F124*E125</f>
        <v>6.2</v>
      </c>
      <c r="G125" s="70"/>
      <c r="H125" s="70"/>
      <c r="I125" s="70"/>
      <c r="J125" s="70"/>
      <c r="K125" s="70"/>
      <c r="L125" s="70"/>
      <c r="M125" s="70"/>
      <c r="N125" s="406"/>
    </row>
    <row r="126" spans="1:13" s="394" customFormat="1" ht="13.5">
      <c r="A126" s="67"/>
      <c r="B126" s="68" t="s">
        <v>70</v>
      </c>
      <c r="C126" s="69"/>
      <c r="D126" s="38" t="s">
        <v>0</v>
      </c>
      <c r="E126" s="70">
        <v>0.03</v>
      </c>
      <c r="F126" s="70">
        <f>E126*F124</f>
        <v>0.006</v>
      </c>
      <c r="G126" s="70"/>
      <c r="H126" s="70"/>
      <c r="I126" s="70"/>
      <c r="J126" s="70"/>
      <c r="K126" s="70"/>
      <c r="L126" s="70"/>
      <c r="M126" s="70"/>
    </row>
    <row r="127" spans="1:13" s="394" customFormat="1" ht="13.5">
      <c r="A127" s="67"/>
      <c r="B127" s="38" t="s">
        <v>42</v>
      </c>
      <c r="C127" s="69"/>
      <c r="D127" s="38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5" s="394" customFormat="1" ht="13.5">
      <c r="A128" s="67" t="s">
        <v>78</v>
      </c>
      <c r="B128" s="193" t="s">
        <v>411</v>
      </c>
      <c r="C128" s="38"/>
      <c r="D128" s="38" t="s">
        <v>17</v>
      </c>
      <c r="E128" s="70">
        <v>100</v>
      </c>
      <c r="F128" s="70">
        <f>E128*F124</f>
        <v>20</v>
      </c>
      <c r="G128" s="70"/>
      <c r="H128" s="70"/>
      <c r="I128" s="70"/>
      <c r="J128" s="70"/>
      <c r="K128" s="70"/>
      <c r="L128" s="70"/>
      <c r="M128" s="70"/>
      <c r="N128" s="407"/>
      <c r="O128" s="394" t="s">
        <v>78</v>
      </c>
    </row>
    <row r="129" spans="1:13" s="394" customFormat="1" ht="13.5">
      <c r="A129" s="67"/>
      <c r="B129" s="72" t="s">
        <v>44</v>
      </c>
      <c r="C129" s="69"/>
      <c r="D129" s="38" t="s">
        <v>0</v>
      </c>
      <c r="E129" s="70">
        <v>21</v>
      </c>
      <c r="F129" s="70">
        <f>E129*F124</f>
        <v>4.2</v>
      </c>
      <c r="G129" s="70"/>
      <c r="H129" s="70"/>
      <c r="I129" s="70"/>
      <c r="J129" s="70"/>
      <c r="K129" s="70"/>
      <c r="L129" s="70"/>
      <c r="M129" s="70"/>
    </row>
    <row r="130" spans="1:13" s="241" customFormat="1" ht="26.25">
      <c r="A130" s="129">
        <v>22</v>
      </c>
      <c r="B130" s="235" t="s">
        <v>420</v>
      </c>
      <c r="C130" s="388" t="s">
        <v>107</v>
      </c>
      <c r="D130" s="234" t="s">
        <v>26</v>
      </c>
      <c r="E130" s="234"/>
      <c r="F130" s="234">
        <f>8+4</f>
        <v>12</v>
      </c>
      <c r="G130" s="129"/>
      <c r="H130" s="237"/>
      <c r="I130" s="129"/>
      <c r="J130" s="237"/>
      <c r="K130" s="129"/>
      <c r="L130" s="237"/>
      <c r="M130" s="129"/>
    </row>
    <row r="131" spans="1:13" s="241" customFormat="1" ht="26.25">
      <c r="A131" s="129">
        <v>23</v>
      </c>
      <c r="B131" s="235" t="s">
        <v>419</v>
      </c>
      <c r="C131" s="388" t="s">
        <v>107</v>
      </c>
      <c r="D131" s="234" t="s">
        <v>26</v>
      </c>
      <c r="E131" s="234"/>
      <c r="F131" s="234">
        <f>8+4</f>
        <v>12</v>
      </c>
      <c r="G131" s="129"/>
      <c r="H131" s="237"/>
      <c r="I131" s="129"/>
      <c r="J131" s="237"/>
      <c r="K131" s="129"/>
      <c r="L131" s="237"/>
      <c r="M131" s="129"/>
    </row>
    <row r="132" spans="1:13" s="393" customFormat="1" ht="27">
      <c r="A132" s="234">
        <v>24</v>
      </c>
      <c r="B132" s="390" t="s">
        <v>421</v>
      </c>
      <c r="C132" s="391" t="s">
        <v>422</v>
      </c>
      <c r="D132" s="165" t="s">
        <v>17</v>
      </c>
      <c r="E132" s="165"/>
      <c r="F132" s="165">
        <f>97+40</f>
        <v>137</v>
      </c>
      <c r="G132" s="93"/>
      <c r="H132" s="392"/>
      <c r="I132" s="93"/>
      <c r="J132" s="392"/>
      <c r="K132" s="93"/>
      <c r="L132" s="392"/>
      <c r="M132" s="93"/>
    </row>
    <row r="133" spans="1:14" s="422" customFormat="1" ht="13.5">
      <c r="A133" s="419"/>
      <c r="B133" s="420" t="s">
        <v>41</v>
      </c>
      <c r="C133" s="318"/>
      <c r="D133" s="91" t="s">
        <v>15</v>
      </c>
      <c r="E133" s="322">
        <v>0.26</v>
      </c>
      <c r="F133" s="322">
        <f>F132*E133</f>
        <v>35.620000000000005</v>
      </c>
      <c r="G133" s="322"/>
      <c r="H133" s="322"/>
      <c r="I133" s="322"/>
      <c r="J133" s="322"/>
      <c r="K133" s="322"/>
      <c r="L133" s="322"/>
      <c r="M133" s="322"/>
      <c r="N133" s="421"/>
    </row>
    <row r="134" spans="1:13" s="405" customFormat="1" ht="13.5">
      <c r="A134" s="403"/>
      <c r="B134" s="270" t="s">
        <v>70</v>
      </c>
      <c r="C134" s="318"/>
      <c r="D134" s="91" t="s">
        <v>0</v>
      </c>
      <c r="E134" s="323">
        <v>0.122</v>
      </c>
      <c r="F134" s="12">
        <f>E134*F132</f>
        <v>16.714</v>
      </c>
      <c r="G134" s="12"/>
      <c r="H134" s="12"/>
      <c r="I134" s="12"/>
      <c r="J134" s="12"/>
      <c r="K134" s="12"/>
      <c r="L134" s="12"/>
      <c r="M134" s="12"/>
    </row>
    <row r="135" spans="1:13" s="422" customFormat="1" ht="13.5">
      <c r="A135" s="419"/>
      <c r="B135" s="91" t="s">
        <v>42</v>
      </c>
      <c r="C135" s="318"/>
      <c r="D135" s="91"/>
      <c r="E135" s="322"/>
      <c r="F135" s="322"/>
      <c r="G135" s="322"/>
      <c r="H135" s="322"/>
      <c r="I135" s="322"/>
      <c r="J135" s="322"/>
      <c r="K135" s="322"/>
      <c r="L135" s="322"/>
      <c r="M135" s="322"/>
    </row>
    <row r="136" spans="1:15" s="422" customFormat="1" ht="13.5">
      <c r="A136" s="419" t="s">
        <v>78</v>
      </c>
      <c r="B136" s="420" t="s">
        <v>423</v>
      </c>
      <c r="C136" s="91"/>
      <c r="D136" s="91" t="s">
        <v>424</v>
      </c>
      <c r="E136" s="322">
        <v>1</v>
      </c>
      <c r="F136" s="322">
        <f>E136*F132</f>
        <v>137</v>
      </c>
      <c r="G136" s="322"/>
      <c r="H136" s="322"/>
      <c r="I136" s="322"/>
      <c r="J136" s="322"/>
      <c r="K136" s="322"/>
      <c r="L136" s="322"/>
      <c r="M136" s="322"/>
      <c r="N136" s="423"/>
      <c r="O136" s="422" t="s">
        <v>78</v>
      </c>
    </row>
    <row r="137" spans="1:13" s="422" customFormat="1" ht="13.5">
      <c r="A137" s="419"/>
      <c r="B137" s="420" t="s">
        <v>44</v>
      </c>
      <c r="C137" s="318"/>
      <c r="D137" s="91" t="s">
        <v>0</v>
      </c>
      <c r="E137" s="323">
        <v>0.082</v>
      </c>
      <c r="F137" s="322">
        <f>E137*F132</f>
        <v>11.234</v>
      </c>
      <c r="G137" s="322"/>
      <c r="H137" s="322"/>
      <c r="I137" s="322"/>
      <c r="J137" s="322"/>
      <c r="K137" s="322"/>
      <c r="L137" s="322"/>
      <c r="M137" s="322"/>
    </row>
    <row r="138" spans="1:13" s="393" customFormat="1" ht="22.5">
      <c r="A138" s="234">
        <v>25</v>
      </c>
      <c r="B138" s="390" t="s">
        <v>38</v>
      </c>
      <c r="C138" s="391" t="s">
        <v>39</v>
      </c>
      <c r="D138" s="165" t="s">
        <v>40</v>
      </c>
      <c r="E138" s="165"/>
      <c r="F138" s="165">
        <f>(147+35)/100</f>
        <v>1.82</v>
      </c>
      <c r="G138" s="93"/>
      <c r="H138" s="392"/>
      <c r="I138" s="93"/>
      <c r="J138" s="392"/>
      <c r="K138" s="93"/>
      <c r="L138" s="392"/>
      <c r="M138" s="93"/>
    </row>
    <row r="139" spans="1:14" s="394" customFormat="1" ht="13.5">
      <c r="A139" s="67"/>
      <c r="B139" s="68" t="s">
        <v>41</v>
      </c>
      <c r="C139" s="69"/>
      <c r="D139" s="38" t="s">
        <v>15</v>
      </c>
      <c r="E139" s="70">
        <v>2</v>
      </c>
      <c r="F139" s="70">
        <f>F138*E139</f>
        <v>3.64</v>
      </c>
      <c r="G139" s="70"/>
      <c r="H139" s="70"/>
      <c r="I139" s="70"/>
      <c r="J139" s="70"/>
      <c r="K139" s="70"/>
      <c r="L139" s="70"/>
      <c r="M139" s="70"/>
      <c r="N139" s="406"/>
    </row>
    <row r="140" spans="1:13" s="394" customFormat="1" ht="13.5">
      <c r="A140" s="67"/>
      <c r="B140" s="38" t="s">
        <v>42</v>
      </c>
      <c r="C140" s="69"/>
      <c r="D140" s="38"/>
      <c r="E140" s="70"/>
      <c r="F140" s="70"/>
      <c r="G140" s="70"/>
      <c r="H140" s="70"/>
      <c r="I140" s="70"/>
      <c r="J140" s="70"/>
      <c r="K140" s="70"/>
      <c r="L140" s="70"/>
      <c r="M140" s="70"/>
    </row>
    <row r="141" spans="1:13" s="2" customFormat="1" ht="15.75">
      <c r="A141" s="71"/>
      <c r="B141" s="9" t="s">
        <v>43</v>
      </c>
      <c r="C141" s="60"/>
      <c r="D141" s="11" t="s">
        <v>17</v>
      </c>
      <c r="E141" s="70">
        <v>100</v>
      </c>
      <c r="F141" s="12">
        <f>E141*F138</f>
        <v>182</v>
      </c>
      <c r="G141" s="11"/>
      <c r="H141" s="12"/>
      <c r="I141" s="11"/>
      <c r="J141" s="11"/>
      <c r="K141" s="11"/>
      <c r="L141" s="11"/>
      <c r="M141" s="11"/>
    </row>
    <row r="142" spans="1:13" s="394" customFormat="1" ht="13.5">
      <c r="A142" s="67"/>
      <c r="B142" s="72" t="s">
        <v>44</v>
      </c>
      <c r="C142" s="69"/>
      <c r="D142" s="38" t="s">
        <v>0</v>
      </c>
      <c r="E142" s="70">
        <v>0.12</v>
      </c>
      <c r="F142" s="70">
        <f>E142*F138</f>
        <v>0.2184</v>
      </c>
      <c r="G142" s="70"/>
      <c r="H142" s="70"/>
      <c r="I142" s="70"/>
      <c r="J142" s="70"/>
      <c r="K142" s="70"/>
      <c r="L142" s="70"/>
      <c r="M142" s="70"/>
    </row>
    <row r="143" spans="1:13" s="393" customFormat="1" ht="27">
      <c r="A143" s="93">
        <v>26</v>
      </c>
      <c r="B143" s="390" t="s">
        <v>433</v>
      </c>
      <c r="C143" s="391" t="s">
        <v>431</v>
      </c>
      <c r="D143" s="165" t="s">
        <v>26</v>
      </c>
      <c r="E143" s="165"/>
      <c r="F143" s="139">
        <f>11+7</f>
        <v>18</v>
      </c>
      <c r="G143" s="93"/>
      <c r="H143" s="392"/>
      <c r="I143" s="93"/>
      <c r="J143" s="392"/>
      <c r="K143" s="93"/>
      <c r="L143" s="392"/>
      <c r="M143" s="93"/>
    </row>
    <row r="144" spans="1:14" s="394" customFormat="1" ht="13.5">
      <c r="A144" s="67"/>
      <c r="B144" s="68" t="s">
        <v>41</v>
      </c>
      <c r="C144" s="69"/>
      <c r="D144" s="38" t="s">
        <v>15</v>
      </c>
      <c r="E144" s="70">
        <v>0.6</v>
      </c>
      <c r="F144" s="70">
        <f>F143*E144</f>
        <v>10.799999999999999</v>
      </c>
      <c r="G144" s="70"/>
      <c r="H144" s="70"/>
      <c r="I144" s="70"/>
      <c r="J144" s="70"/>
      <c r="K144" s="70"/>
      <c r="L144" s="70"/>
      <c r="M144" s="70"/>
      <c r="N144" s="406"/>
    </row>
    <row r="145" spans="1:13" s="394" customFormat="1" ht="13.5">
      <c r="A145" s="67"/>
      <c r="B145" s="68" t="s">
        <v>70</v>
      </c>
      <c r="C145" s="69"/>
      <c r="D145" s="38" t="s">
        <v>0</v>
      </c>
      <c r="E145" s="70">
        <v>0.01</v>
      </c>
      <c r="F145" s="70">
        <f>E145*F143</f>
        <v>0.18</v>
      </c>
      <c r="G145" s="70"/>
      <c r="H145" s="70"/>
      <c r="I145" s="70"/>
      <c r="J145" s="70"/>
      <c r="K145" s="70"/>
      <c r="L145" s="70"/>
      <c r="M145" s="70"/>
    </row>
    <row r="146" spans="1:13" s="394" customFormat="1" ht="13.5">
      <c r="A146" s="67"/>
      <c r="B146" s="38" t="s">
        <v>42</v>
      </c>
      <c r="C146" s="69"/>
      <c r="D146" s="38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5" s="394" customFormat="1" ht="13.5">
      <c r="A147" s="67" t="s">
        <v>78</v>
      </c>
      <c r="B147" s="193" t="s">
        <v>432</v>
      </c>
      <c r="C147" s="38"/>
      <c r="D147" s="38" t="s">
        <v>17</v>
      </c>
      <c r="E147" s="70"/>
      <c r="F147" s="70">
        <v>9</v>
      </c>
      <c r="G147" s="70"/>
      <c r="H147" s="70"/>
      <c r="I147" s="70"/>
      <c r="J147" s="70"/>
      <c r="K147" s="70"/>
      <c r="L147" s="70"/>
      <c r="M147" s="70"/>
      <c r="N147" s="407"/>
      <c r="O147" s="394" t="s">
        <v>78</v>
      </c>
    </row>
    <row r="148" spans="1:13" s="394" customFormat="1" ht="13.5">
      <c r="A148" s="67"/>
      <c r="B148" s="72" t="s">
        <v>44</v>
      </c>
      <c r="C148" s="69"/>
      <c r="D148" s="38" t="s">
        <v>0</v>
      </c>
      <c r="E148" s="70">
        <v>1.08</v>
      </c>
      <c r="F148" s="70">
        <f>E148*F143</f>
        <v>19.44</v>
      </c>
      <c r="G148" s="70"/>
      <c r="H148" s="70"/>
      <c r="I148" s="70"/>
      <c r="J148" s="70"/>
      <c r="K148" s="70"/>
      <c r="L148" s="70"/>
      <c r="M148" s="70"/>
    </row>
    <row r="149" spans="1:13" s="393" customFormat="1" ht="27">
      <c r="A149" s="93">
        <v>27</v>
      </c>
      <c r="B149" s="390" t="s">
        <v>434</v>
      </c>
      <c r="C149" s="391" t="s">
        <v>435</v>
      </c>
      <c r="D149" s="165" t="s">
        <v>40</v>
      </c>
      <c r="E149" s="165"/>
      <c r="F149" s="165">
        <f>(10+10)/100</f>
        <v>0.2</v>
      </c>
      <c r="G149" s="93"/>
      <c r="H149" s="392"/>
      <c r="I149" s="93"/>
      <c r="J149" s="392"/>
      <c r="K149" s="93"/>
      <c r="L149" s="392"/>
      <c r="M149" s="93"/>
    </row>
    <row r="150" spans="1:14" s="394" customFormat="1" ht="13.5">
      <c r="A150" s="67"/>
      <c r="B150" s="68" t="s">
        <v>41</v>
      </c>
      <c r="C150" s="69"/>
      <c r="D150" s="38" t="s">
        <v>15</v>
      </c>
      <c r="E150" s="70">
        <v>14</v>
      </c>
      <c r="F150" s="70">
        <f>F149*E150</f>
        <v>2.8000000000000003</v>
      </c>
      <c r="G150" s="70"/>
      <c r="H150" s="70"/>
      <c r="I150" s="70"/>
      <c r="J150" s="70"/>
      <c r="K150" s="70"/>
      <c r="L150" s="70"/>
      <c r="M150" s="70"/>
      <c r="N150" s="406"/>
    </row>
    <row r="151" spans="1:13" s="394" customFormat="1" ht="13.5">
      <c r="A151" s="67"/>
      <c r="B151" s="68" t="s">
        <v>70</v>
      </c>
      <c r="C151" s="69"/>
      <c r="D151" s="38" t="s">
        <v>0</v>
      </c>
      <c r="E151" s="70">
        <v>0.9</v>
      </c>
      <c r="F151" s="70">
        <f>E151*F149</f>
        <v>0.18000000000000002</v>
      </c>
      <c r="G151" s="70"/>
      <c r="H151" s="70"/>
      <c r="I151" s="70"/>
      <c r="J151" s="70"/>
      <c r="K151" s="70"/>
      <c r="L151" s="70"/>
      <c r="M151" s="70"/>
    </row>
    <row r="152" spans="1:13" s="394" customFormat="1" ht="13.5">
      <c r="A152" s="67"/>
      <c r="B152" s="38" t="s">
        <v>42</v>
      </c>
      <c r="C152" s="69"/>
      <c r="D152" s="38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5" s="394" customFormat="1" ht="13.5">
      <c r="A153" s="67" t="s">
        <v>78</v>
      </c>
      <c r="B153" s="193" t="s">
        <v>436</v>
      </c>
      <c r="C153" s="38"/>
      <c r="D153" s="38" t="s">
        <v>17</v>
      </c>
      <c r="E153" s="70">
        <v>100</v>
      </c>
      <c r="F153" s="70">
        <f>E153*F149</f>
        <v>20</v>
      </c>
      <c r="G153" s="70"/>
      <c r="H153" s="70"/>
      <c r="I153" s="70"/>
      <c r="J153" s="70"/>
      <c r="K153" s="70"/>
      <c r="L153" s="70"/>
      <c r="M153" s="70"/>
      <c r="N153" s="407"/>
      <c r="O153" s="394" t="s">
        <v>78</v>
      </c>
    </row>
    <row r="154" spans="1:13" s="394" customFormat="1" ht="13.5">
      <c r="A154" s="67"/>
      <c r="B154" s="72" t="s">
        <v>44</v>
      </c>
      <c r="C154" s="69"/>
      <c r="D154" s="38" t="s">
        <v>0</v>
      </c>
      <c r="E154" s="70">
        <v>13</v>
      </c>
      <c r="F154" s="70">
        <f>E154*F149</f>
        <v>2.6</v>
      </c>
      <c r="G154" s="70"/>
      <c r="H154" s="70"/>
      <c r="I154" s="70"/>
      <c r="J154" s="70"/>
      <c r="K154" s="70"/>
      <c r="L154" s="70"/>
      <c r="M154" s="70"/>
    </row>
    <row r="155" spans="1:13" s="393" customFormat="1" ht="27">
      <c r="A155" s="93">
        <v>28</v>
      </c>
      <c r="B155" s="390" t="s">
        <v>437</v>
      </c>
      <c r="C155" s="391" t="s">
        <v>435</v>
      </c>
      <c r="D155" s="165" t="s">
        <v>40</v>
      </c>
      <c r="E155" s="165"/>
      <c r="F155" s="165">
        <f>25/100</f>
        <v>0.25</v>
      </c>
      <c r="G155" s="93"/>
      <c r="H155" s="392"/>
      <c r="I155" s="93"/>
      <c r="J155" s="392"/>
      <c r="K155" s="93"/>
      <c r="L155" s="392"/>
      <c r="M155" s="93"/>
    </row>
    <row r="156" spans="1:14" s="394" customFormat="1" ht="13.5">
      <c r="A156" s="67"/>
      <c r="B156" s="68" t="s">
        <v>41</v>
      </c>
      <c r="C156" s="69"/>
      <c r="D156" s="38" t="s">
        <v>15</v>
      </c>
      <c r="E156" s="70">
        <v>12</v>
      </c>
      <c r="F156" s="70">
        <f>F155*E156</f>
        <v>3</v>
      </c>
      <c r="G156" s="70"/>
      <c r="H156" s="70"/>
      <c r="I156" s="70"/>
      <c r="J156" s="70"/>
      <c r="K156" s="70"/>
      <c r="L156" s="70"/>
      <c r="M156" s="70"/>
      <c r="N156" s="406"/>
    </row>
    <row r="157" spans="1:13" s="394" customFormat="1" ht="13.5">
      <c r="A157" s="67"/>
      <c r="B157" s="68" t="s">
        <v>70</v>
      </c>
      <c r="C157" s="69"/>
      <c r="D157" s="38" t="s">
        <v>0</v>
      </c>
      <c r="E157" s="70">
        <v>0.9</v>
      </c>
      <c r="F157" s="70">
        <f>E157*F155</f>
        <v>0.225</v>
      </c>
      <c r="G157" s="70"/>
      <c r="H157" s="70"/>
      <c r="I157" s="70"/>
      <c r="J157" s="70"/>
      <c r="K157" s="70"/>
      <c r="L157" s="70"/>
      <c r="M157" s="70"/>
    </row>
    <row r="158" spans="1:13" s="394" customFormat="1" ht="13.5">
      <c r="A158" s="67"/>
      <c r="B158" s="38" t="s">
        <v>42</v>
      </c>
      <c r="C158" s="69"/>
      <c r="D158" s="38"/>
      <c r="E158" s="70"/>
      <c r="F158" s="70"/>
      <c r="G158" s="70"/>
      <c r="H158" s="70"/>
      <c r="I158" s="70"/>
      <c r="J158" s="70"/>
      <c r="K158" s="70"/>
      <c r="L158" s="70"/>
      <c r="M158" s="70"/>
    </row>
    <row r="159" spans="1:15" s="394" customFormat="1" ht="13.5">
      <c r="A159" s="67" t="s">
        <v>78</v>
      </c>
      <c r="B159" s="193" t="s">
        <v>438</v>
      </c>
      <c r="C159" s="38"/>
      <c r="D159" s="38" t="s">
        <v>17</v>
      </c>
      <c r="E159" s="70">
        <v>100</v>
      </c>
      <c r="F159" s="70">
        <f>E159*F155</f>
        <v>25</v>
      </c>
      <c r="G159" s="70"/>
      <c r="H159" s="70"/>
      <c r="I159" s="70"/>
      <c r="J159" s="70"/>
      <c r="K159" s="70"/>
      <c r="L159" s="70"/>
      <c r="M159" s="70"/>
      <c r="N159" s="407"/>
      <c r="O159" s="394" t="s">
        <v>78</v>
      </c>
    </row>
    <row r="160" spans="1:13" s="394" customFormat="1" ht="13.5">
      <c r="A160" s="67"/>
      <c r="B160" s="72" t="s">
        <v>44</v>
      </c>
      <c r="C160" s="69"/>
      <c r="D160" s="38" t="s">
        <v>0</v>
      </c>
      <c r="E160" s="70">
        <v>19.3</v>
      </c>
      <c r="F160" s="70">
        <f>E160*F155</f>
        <v>4.825</v>
      </c>
      <c r="G160" s="70"/>
      <c r="H160" s="70"/>
      <c r="I160" s="70"/>
      <c r="J160" s="70"/>
      <c r="K160" s="70"/>
      <c r="L160" s="70"/>
      <c r="M160" s="70"/>
    </row>
    <row r="161" spans="1:13" ht="13.5">
      <c r="A161" s="558" t="s">
        <v>10</v>
      </c>
      <c r="B161" s="559"/>
      <c r="C161" s="559"/>
      <c r="D161" s="559"/>
      <c r="E161" s="559"/>
      <c r="F161" s="559"/>
      <c r="G161" s="560"/>
      <c r="H161" s="435"/>
      <c r="I161" s="436"/>
      <c r="J161" s="480"/>
      <c r="K161" s="436"/>
      <c r="L161" s="436"/>
      <c r="M161" s="35"/>
    </row>
    <row r="162" spans="1:13" ht="13.5">
      <c r="A162" s="555" t="s">
        <v>475</v>
      </c>
      <c r="B162" s="556"/>
      <c r="C162" s="556"/>
      <c r="D162" s="556"/>
      <c r="E162" s="556"/>
      <c r="F162" s="556"/>
      <c r="G162" s="556"/>
      <c r="H162" s="556"/>
      <c r="I162" s="556"/>
      <c r="J162" s="556"/>
      <c r="K162" s="557"/>
      <c r="L162" s="14" t="s">
        <v>476</v>
      </c>
      <c r="M162" s="26"/>
    </row>
    <row r="163" spans="1:13" ht="13.5">
      <c r="A163" s="558" t="s">
        <v>10</v>
      </c>
      <c r="B163" s="559"/>
      <c r="C163" s="559"/>
      <c r="D163" s="559"/>
      <c r="E163" s="559"/>
      <c r="F163" s="559"/>
      <c r="G163" s="559"/>
      <c r="H163" s="559"/>
      <c r="I163" s="559"/>
      <c r="J163" s="559"/>
      <c r="K163" s="559"/>
      <c r="L163" s="560"/>
      <c r="M163" s="36"/>
    </row>
    <row r="164" spans="1:13" ht="13.5">
      <c r="A164" s="555" t="s">
        <v>498</v>
      </c>
      <c r="B164" s="556"/>
      <c r="C164" s="556"/>
      <c r="D164" s="556"/>
      <c r="E164" s="556"/>
      <c r="F164" s="556"/>
      <c r="G164" s="556"/>
      <c r="H164" s="556"/>
      <c r="I164" s="556"/>
      <c r="J164" s="556"/>
      <c r="K164" s="557"/>
      <c r="L164" s="14" t="s">
        <v>476</v>
      </c>
      <c r="M164" s="26"/>
    </row>
    <row r="165" spans="1:13" ht="13.5">
      <c r="A165" s="558" t="s">
        <v>10</v>
      </c>
      <c r="B165" s="559"/>
      <c r="C165" s="559"/>
      <c r="D165" s="559"/>
      <c r="E165" s="559"/>
      <c r="F165" s="559"/>
      <c r="G165" s="559"/>
      <c r="H165" s="559"/>
      <c r="I165" s="559"/>
      <c r="J165" s="559"/>
      <c r="K165" s="559"/>
      <c r="L165" s="560"/>
      <c r="M165" s="36"/>
    </row>
    <row r="166" spans="1:13" ht="14.25" thickBot="1">
      <c r="A166" s="555" t="s">
        <v>21</v>
      </c>
      <c r="B166" s="556"/>
      <c r="C166" s="556"/>
      <c r="D166" s="556"/>
      <c r="E166" s="556"/>
      <c r="F166" s="556"/>
      <c r="G166" s="556"/>
      <c r="H166" s="556"/>
      <c r="I166" s="556"/>
      <c r="J166" s="556"/>
      <c r="K166" s="557"/>
      <c r="L166" s="14" t="s">
        <v>476</v>
      </c>
      <c r="M166" s="437"/>
    </row>
    <row r="167" spans="1:13" ht="14.25" thickBot="1">
      <c r="A167" s="561" t="s">
        <v>36</v>
      </c>
      <c r="B167" s="561"/>
      <c r="C167" s="561"/>
      <c r="D167" s="561"/>
      <c r="E167" s="561"/>
      <c r="F167" s="561"/>
      <c r="G167" s="561"/>
      <c r="H167" s="561"/>
      <c r="I167" s="561"/>
      <c r="J167" s="561"/>
      <c r="K167" s="561"/>
      <c r="L167" s="558"/>
      <c r="M167" s="438"/>
    </row>
    <row r="168" spans="1:13" s="408" customFormat="1" ht="13.5">
      <c r="A168" s="612" t="s">
        <v>27</v>
      </c>
      <c r="B168" s="613"/>
      <c r="C168" s="613"/>
      <c r="D168" s="613"/>
      <c r="E168" s="613"/>
      <c r="F168" s="614"/>
      <c r="G168" s="481"/>
      <c r="H168" s="482"/>
      <c r="I168" s="482"/>
      <c r="J168" s="482"/>
      <c r="K168" s="482"/>
      <c r="L168" s="482"/>
      <c r="M168" s="483"/>
    </row>
    <row r="169" spans="1:13" s="32" customFormat="1" ht="13.5">
      <c r="A169" s="234">
        <v>1</v>
      </c>
      <c r="B169" s="259" t="s">
        <v>412</v>
      </c>
      <c r="C169" s="409" t="s">
        <v>282</v>
      </c>
      <c r="D169" s="234" t="s">
        <v>49</v>
      </c>
      <c r="E169" s="129"/>
      <c r="F169" s="365">
        <f>(0.56+0.28)/100</f>
        <v>0.008400000000000001</v>
      </c>
      <c r="G169" s="238"/>
      <c r="H169" s="152"/>
      <c r="I169" s="238"/>
      <c r="J169" s="152"/>
      <c r="K169" s="238"/>
      <c r="L169" s="152"/>
      <c r="M169" s="152"/>
    </row>
    <row r="170" spans="1:13" s="66" customFormat="1" ht="13.5">
      <c r="A170" s="7"/>
      <c r="B170" s="9" t="s">
        <v>14</v>
      </c>
      <c r="C170" s="60"/>
      <c r="D170" s="11" t="s">
        <v>15</v>
      </c>
      <c r="E170" s="11">
        <v>450</v>
      </c>
      <c r="F170" s="12">
        <f>F169*E170</f>
        <v>3.7800000000000007</v>
      </c>
      <c r="G170" s="11"/>
      <c r="H170" s="12"/>
      <c r="I170" s="11"/>
      <c r="J170" s="12"/>
      <c r="K170" s="11"/>
      <c r="L170" s="12"/>
      <c r="M170" s="12"/>
    </row>
    <row r="171" spans="1:13" s="24" customFormat="1" ht="13.5">
      <c r="A171" s="7"/>
      <c r="B171" s="9" t="s">
        <v>25</v>
      </c>
      <c r="C171" s="60"/>
      <c r="D171" s="8" t="s">
        <v>0</v>
      </c>
      <c r="E171" s="11">
        <v>37</v>
      </c>
      <c r="F171" s="125">
        <f>E171*F169</f>
        <v>0.3108</v>
      </c>
      <c r="G171" s="11"/>
      <c r="H171" s="12"/>
      <c r="I171" s="11"/>
      <c r="J171" s="12"/>
      <c r="K171" s="11"/>
      <c r="L171" s="12"/>
      <c r="M171" s="12"/>
    </row>
    <row r="172" spans="1:13" s="66" customFormat="1" ht="13.5">
      <c r="A172" s="7"/>
      <c r="B172" s="8" t="s">
        <v>50</v>
      </c>
      <c r="C172" s="60"/>
      <c r="D172" s="11"/>
      <c r="E172" s="11"/>
      <c r="F172" s="12"/>
      <c r="G172" s="11"/>
      <c r="H172" s="12"/>
      <c r="I172" s="11"/>
      <c r="J172" s="12"/>
      <c r="K172" s="11"/>
      <c r="L172" s="12"/>
      <c r="M172" s="12"/>
    </row>
    <row r="173" spans="1:13" s="66" customFormat="1" ht="13.5">
      <c r="A173" s="7"/>
      <c r="B173" s="9" t="s">
        <v>281</v>
      </c>
      <c r="C173" s="60"/>
      <c r="D173" s="11" t="s">
        <v>23</v>
      </c>
      <c r="E173" s="11">
        <v>102</v>
      </c>
      <c r="F173" s="12">
        <f>F169*E173</f>
        <v>0.8568000000000001</v>
      </c>
      <c r="G173" s="8"/>
      <c r="H173" s="14"/>
      <c r="I173" s="11"/>
      <c r="J173" s="14"/>
      <c r="K173" s="15"/>
      <c r="L173" s="14"/>
      <c r="M173" s="14"/>
    </row>
    <row r="174" spans="1:13" s="66" customFormat="1" ht="13.5">
      <c r="A174" s="7"/>
      <c r="B174" s="9" t="s">
        <v>150</v>
      </c>
      <c r="C174" s="60"/>
      <c r="D174" s="11" t="s">
        <v>76</v>
      </c>
      <c r="E174" s="11">
        <v>161</v>
      </c>
      <c r="F174" s="404">
        <f>F169*E174</f>
        <v>1.3524000000000003</v>
      </c>
      <c r="G174" s="8"/>
      <c r="H174" s="14"/>
      <c r="I174" s="11"/>
      <c r="J174" s="14"/>
      <c r="K174" s="15"/>
      <c r="L174" s="14"/>
      <c r="M174" s="14"/>
    </row>
    <row r="175" spans="1:13" s="66" customFormat="1" ht="13.5">
      <c r="A175" s="7"/>
      <c r="B175" s="9" t="s">
        <v>280</v>
      </c>
      <c r="C175" s="60"/>
      <c r="D175" s="11" t="s">
        <v>23</v>
      </c>
      <c r="E175" s="11">
        <v>1.72</v>
      </c>
      <c r="F175" s="404">
        <f>F169*E175</f>
        <v>0.014448000000000003</v>
      </c>
      <c r="G175" s="8"/>
      <c r="H175" s="14"/>
      <c r="I175" s="11"/>
      <c r="J175" s="14"/>
      <c r="K175" s="15"/>
      <c r="L175" s="14"/>
      <c r="M175" s="14"/>
    </row>
    <row r="176" spans="1:13" s="2" customFormat="1" ht="15.75">
      <c r="A176" s="19"/>
      <c r="B176" s="9" t="s">
        <v>20</v>
      </c>
      <c r="C176" s="60"/>
      <c r="D176" s="8" t="s">
        <v>0</v>
      </c>
      <c r="E176" s="122">
        <v>28</v>
      </c>
      <c r="F176" s="14">
        <f>E176*F169</f>
        <v>0.23520000000000002</v>
      </c>
      <c r="G176" s="8"/>
      <c r="H176" s="14"/>
      <c r="I176" s="11"/>
      <c r="J176" s="14"/>
      <c r="K176" s="15"/>
      <c r="L176" s="14"/>
      <c r="M176" s="14"/>
    </row>
    <row r="177" spans="1:13" s="32" customFormat="1" ht="41.25" customHeight="1">
      <c r="A177" s="234">
        <v>2</v>
      </c>
      <c r="B177" s="259" t="s">
        <v>413</v>
      </c>
      <c r="C177" s="410" t="s">
        <v>107</v>
      </c>
      <c r="D177" s="234" t="s">
        <v>23</v>
      </c>
      <c r="E177" s="129"/>
      <c r="F177" s="344">
        <f>0.64+0.32</f>
        <v>0.96</v>
      </c>
      <c r="G177" s="344"/>
      <c r="H177" s="181"/>
      <c r="I177" s="238"/>
      <c r="J177" s="181"/>
      <c r="K177" s="411"/>
      <c r="L177" s="181"/>
      <c r="M177" s="181"/>
    </row>
    <row r="178" spans="1:14" s="33" customFormat="1" ht="40.5">
      <c r="A178" s="27">
        <v>3</v>
      </c>
      <c r="B178" s="143" t="s">
        <v>54</v>
      </c>
      <c r="C178" s="412" t="s">
        <v>53</v>
      </c>
      <c r="D178" s="27" t="s">
        <v>23</v>
      </c>
      <c r="E178" s="27"/>
      <c r="F178" s="27">
        <f>(41.2+9.8)*0.9</f>
        <v>45.9</v>
      </c>
      <c r="G178" s="27"/>
      <c r="H178" s="27"/>
      <c r="I178" s="27"/>
      <c r="J178" s="27"/>
      <c r="K178" s="27"/>
      <c r="L178" s="27"/>
      <c r="M178" s="27"/>
      <c r="N178" s="32"/>
    </row>
    <row r="179" spans="1:13" s="24" customFormat="1" ht="13.5">
      <c r="A179" s="78"/>
      <c r="B179" s="79" t="s">
        <v>14</v>
      </c>
      <c r="C179" s="80"/>
      <c r="D179" s="81" t="s">
        <v>15</v>
      </c>
      <c r="E179" s="46">
        <f>27/1000</f>
        <v>0.027</v>
      </c>
      <c r="F179" s="82">
        <f>E179*F178</f>
        <v>1.2392999999999998</v>
      </c>
      <c r="G179" s="81"/>
      <c r="H179" s="76"/>
      <c r="I179" s="81"/>
      <c r="J179" s="77"/>
      <c r="K179" s="81"/>
      <c r="L179" s="76"/>
      <c r="M179" s="77"/>
    </row>
    <row r="180" spans="1:13" s="24" customFormat="1" ht="13.5">
      <c r="A180" s="78"/>
      <c r="B180" s="79" t="s">
        <v>33</v>
      </c>
      <c r="C180" s="83"/>
      <c r="D180" s="49" t="s">
        <v>32</v>
      </c>
      <c r="E180" s="46">
        <f>60.5/1000</f>
        <v>0.0605</v>
      </c>
      <c r="F180" s="47">
        <f>E180*F178</f>
        <v>2.77695</v>
      </c>
      <c r="G180" s="46"/>
      <c r="H180" s="47"/>
      <c r="I180" s="46"/>
      <c r="J180" s="47"/>
      <c r="K180" s="46"/>
      <c r="L180" s="76"/>
      <c r="M180" s="77"/>
    </row>
    <row r="181" spans="1:14" s="33" customFormat="1" ht="27">
      <c r="A181" s="27">
        <v>4</v>
      </c>
      <c r="B181" s="143" t="s">
        <v>55</v>
      </c>
      <c r="C181" s="27" t="s">
        <v>56</v>
      </c>
      <c r="D181" s="27" t="s">
        <v>23</v>
      </c>
      <c r="E181" s="27"/>
      <c r="F181" s="27">
        <f>(41.2+9.8)*0.1</f>
        <v>5.1000000000000005</v>
      </c>
      <c r="G181" s="27"/>
      <c r="H181" s="27"/>
      <c r="I181" s="27"/>
      <c r="J181" s="27"/>
      <c r="K181" s="27"/>
      <c r="L181" s="27"/>
      <c r="M181" s="27"/>
      <c r="N181" s="32"/>
    </row>
    <row r="182" spans="1:13" s="13" customFormat="1" ht="13.5">
      <c r="A182" s="49"/>
      <c r="B182" s="44" t="s">
        <v>14</v>
      </c>
      <c r="C182" s="45"/>
      <c r="D182" s="46" t="s">
        <v>15</v>
      </c>
      <c r="E182" s="46">
        <f>299/100</f>
        <v>2.99</v>
      </c>
      <c r="F182" s="47">
        <f>F181*E182</f>
        <v>15.249000000000002</v>
      </c>
      <c r="G182" s="46"/>
      <c r="H182" s="47"/>
      <c r="I182" s="46"/>
      <c r="J182" s="47"/>
      <c r="K182" s="46"/>
      <c r="L182" s="47"/>
      <c r="M182" s="47"/>
    </row>
    <row r="183" spans="1:14" s="33" customFormat="1" ht="13.5">
      <c r="A183" s="92">
        <v>5</v>
      </c>
      <c r="B183" s="144" t="s">
        <v>414</v>
      </c>
      <c r="C183" s="27" t="s">
        <v>29</v>
      </c>
      <c r="D183" s="27" t="s">
        <v>23</v>
      </c>
      <c r="E183" s="27"/>
      <c r="F183" s="27">
        <f>11.8+2.8</f>
        <v>14.600000000000001</v>
      </c>
      <c r="G183" s="27"/>
      <c r="H183" s="27"/>
      <c r="I183" s="27"/>
      <c r="J183" s="27"/>
      <c r="K183" s="27"/>
      <c r="L183" s="27"/>
      <c r="M183" s="27"/>
      <c r="N183" s="66"/>
    </row>
    <row r="184" spans="1:14" s="33" customFormat="1" ht="13.5">
      <c r="A184" s="84"/>
      <c r="B184" s="85" t="s">
        <v>24</v>
      </c>
      <c r="C184" s="49"/>
      <c r="D184" s="46" t="s">
        <v>15</v>
      </c>
      <c r="E184" s="49">
        <f>18/10</f>
        <v>1.8</v>
      </c>
      <c r="F184" s="53">
        <f>E184*F183</f>
        <v>26.280000000000005</v>
      </c>
      <c r="G184" s="49"/>
      <c r="H184" s="53"/>
      <c r="I184" s="49"/>
      <c r="J184" s="53"/>
      <c r="K184" s="49"/>
      <c r="L184" s="49"/>
      <c r="M184" s="53"/>
      <c r="N184" s="32"/>
    </row>
    <row r="185" spans="1:14" s="33" customFormat="1" ht="13.5">
      <c r="A185" s="86"/>
      <c r="B185" s="49" t="s">
        <v>16</v>
      </c>
      <c r="C185" s="87"/>
      <c r="D185" s="49"/>
      <c r="E185" s="49"/>
      <c r="F185" s="53"/>
      <c r="G185" s="49"/>
      <c r="H185" s="53"/>
      <c r="I185" s="54"/>
      <c r="J185" s="53"/>
      <c r="K185" s="54"/>
      <c r="L185" s="53"/>
      <c r="M185" s="53"/>
      <c r="N185" s="32"/>
    </row>
    <row r="186" spans="1:14" s="33" customFormat="1" ht="15.75">
      <c r="A186" s="86"/>
      <c r="B186" s="85" t="s">
        <v>30</v>
      </c>
      <c r="C186" s="88"/>
      <c r="D186" s="46" t="s">
        <v>35</v>
      </c>
      <c r="E186" s="61">
        <v>1.1</v>
      </c>
      <c r="F186" s="49">
        <f>E186*F183</f>
        <v>16.060000000000002</v>
      </c>
      <c r="G186" s="147"/>
      <c r="H186" s="89"/>
      <c r="I186" s="90"/>
      <c r="J186" s="91"/>
      <c r="K186" s="89"/>
      <c r="L186" s="89"/>
      <c r="M186" s="53"/>
      <c r="N186" s="32"/>
    </row>
    <row r="187" spans="1:14" s="33" customFormat="1" ht="27">
      <c r="A187" s="92">
        <v>6</v>
      </c>
      <c r="B187" s="144" t="s">
        <v>415</v>
      </c>
      <c r="C187" s="27" t="s">
        <v>46</v>
      </c>
      <c r="D187" s="28" t="s">
        <v>23</v>
      </c>
      <c r="E187" s="29"/>
      <c r="F187" s="27">
        <f>29.4+7</f>
        <v>36.4</v>
      </c>
      <c r="G187" s="28"/>
      <c r="H187" s="30"/>
      <c r="I187" s="28"/>
      <c r="J187" s="31"/>
      <c r="K187" s="28"/>
      <c r="L187" s="30"/>
      <c r="M187" s="31"/>
      <c r="N187" s="32"/>
    </row>
    <row r="188" spans="1:24" s="23" customFormat="1" ht="13.5">
      <c r="A188" s="121"/>
      <c r="B188" s="16" t="s">
        <v>416</v>
      </c>
      <c r="C188" s="121"/>
      <c r="D188" s="8" t="s">
        <v>47</v>
      </c>
      <c r="E188" s="11">
        <f>(9.21)/1000</f>
        <v>0.009210000000000001</v>
      </c>
      <c r="F188" s="122">
        <f>E188*F187</f>
        <v>0.33524400000000004</v>
      </c>
      <c r="G188" s="8"/>
      <c r="H188" s="8"/>
      <c r="I188" s="8"/>
      <c r="J188" s="8"/>
      <c r="K188" s="8"/>
      <c r="L188" s="14"/>
      <c r="M188" s="14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14" s="33" customFormat="1" ht="27">
      <c r="A189" s="27">
        <v>7</v>
      </c>
      <c r="B189" s="143" t="s">
        <v>417</v>
      </c>
      <c r="C189" s="27" t="s">
        <v>46</v>
      </c>
      <c r="D189" s="27" t="s">
        <v>23</v>
      </c>
      <c r="E189" s="27"/>
      <c r="F189" s="27">
        <f>11.8+2.8</f>
        <v>14.600000000000001</v>
      </c>
      <c r="G189" s="27"/>
      <c r="H189" s="27"/>
      <c r="I189" s="27"/>
      <c r="J189" s="27"/>
      <c r="K189" s="27"/>
      <c r="L189" s="27"/>
      <c r="M189" s="27"/>
      <c r="N189" s="66"/>
    </row>
    <row r="190" spans="1:14" s="33" customFormat="1" ht="13.5">
      <c r="A190" s="413"/>
      <c r="B190" s="85" t="s">
        <v>418</v>
      </c>
      <c r="C190" s="414"/>
      <c r="D190" s="49" t="s">
        <v>47</v>
      </c>
      <c r="E190" s="46">
        <f>(9.21+4.97*4)/1000</f>
        <v>0.02909</v>
      </c>
      <c r="F190" s="61">
        <f>E190*F189</f>
        <v>0.42471400000000004</v>
      </c>
      <c r="G190" s="415"/>
      <c r="H190" s="76"/>
      <c r="I190" s="415"/>
      <c r="J190" s="77"/>
      <c r="K190" s="81"/>
      <c r="L190" s="53"/>
      <c r="M190" s="53"/>
      <c r="N190" s="66"/>
    </row>
    <row r="191" spans="1:14" s="386" customFormat="1" ht="13.5">
      <c r="A191" s="558" t="s">
        <v>10</v>
      </c>
      <c r="B191" s="559"/>
      <c r="C191" s="559"/>
      <c r="D191" s="559"/>
      <c r="E191" s="559"/>
      <c r="F191" s="559"/>
      <c r="G191" s="560"/>
      <c r="H191" s="435"/>
      <c r="I191" s="436"/>
      <c r="J191" s="436"/>
      <c r="K191" s="436"/>
      <c r="L191" s="436"/>
      <c r="M191" s="35"/>
      <c r="N191" s="416"/>
    </row>
    <row r="192" spans="1:14" s="418" customFormat="1" ht="13.5">
      <c r="A192" s="555" t="s">
        <v>475</v>
      </c>
      <c r="B192" s="556"/>
      <c r="C192" s="556"/>
      <c r="D192" s="556"/>
      <c r="E192" s="556"/>
      <c r="F192" s="556"/>
      <c r="G192" s="556"/>
      <c r="H192" s="556"/>
      <c r="I192" s="556"/>
      <c r="J192" s="556"/>
      <c r="K192" s="557"/>
      <c r="L192" s="14" t="s">
        <v>476</v>
      </c>
      <c r="M192" s="26"/>
      <c r="N192" s="417"/>
    </row>
    <row r="193" spans="1:13" s="418" customFormat="1" ht="13.5">
      <c r="A193" s="558" t="s">
        <v>10</v>
      </c>
      <c r="B193" s="559"/>
      <c r="C193" s="559"/>
      <c r="D193" s="559"/>
      <c r="E193" s="559"/>
      <c r="F193" s="559"/>
      <c r="G193" s="559"/>
      <c r="H193" s="559"/>
      <c r="I193" s="559"/>
      <c r="J193" s="559"/>
      <c r="K193" s="559"/>
      <c r="L193" s="560"/>
      <c r="M193" s="36"/>
    </row>
    <row r="194" spans="1:15" s="418" customFormat="1" ht="13.5">
      <c r="A194" s="555" t="s">
        <v>22</v>
      </c>
      <c r="B194" s="556"/>
      <c r="C194" s="556"/>
      <c r="D194" s="556"/>
      <c r="E194" s="556"/>
      <c r="F194" s="556"/>
      <c r="G194" s="556"/>
      <c r="H194" s="556"/>
      <c r="I194" s="556"/>
      <c r="J194" s="556"/>
      <c r="K194" s="557"/>
      <c r="L194" s="14" t="s">
        <v>476</v>
      </c>
      <c r="M194" s="26"/>
      <c r="O194" s="417"/>
    </row>
    <row r="195" spans="1:13" s="418" customFormat="1" ht="13.5">
      <c r="A195" s="558" t="s">
        <v>10</v>
      </c>
      <c r="B195" s="559"/>
      <c r="C195" s="559"/>
      <c r="D195" s="559"/>
      <c r="E195" s="559"/>
      <c r="F195" s="559"/>
      <c r="G195" s="559"/>
      <c r="H195" s="559"/>
      <c r="I195" s="559"/>
      <c r="J195" s="559"/>
      <c r="K195" s="559"/>
      <c r="L195" s="560"/>
      <c r="M195" s="36"/>
    </row>
    <row r="196" spans="1:13" s="418" customFormat="1" ht="14.25" thickBot="1">
      <c r="A196" s="555" t="s">
        <v>21</v>
      </c>
      <c r="B196" s="556"/>
      <c r="C196" s="556"/>
      <c r="D196" s="556"/>
      <c r="E196" s="556"/>
      <c r="F196" s="556"/>
      <c r="G196" s="556"/>
      <c r="H196" s="556"/>
      <c r="I196" s="556"/>
      <c r="J196" s="556"/>
      <c r="K196" s="557"/>
      <c r="L196" s="14" t="s">
        <v>476</v>
      </c>
      <c r="M196" s="437"/>
    </row>
    <row r="197" spans="1:13" s="418" customFormat="1" ht="14.25" thickBot="1">
      <c r="A197" s="607" t="s">
        <v>36</v>
      </c>
      <c r="B197" s="607"/>
      <c r="C197" s="607"/>
      <c r="D197" s="607"/>
      <c r="E197" s="607"/>
      <c r="F197" s="607"/>
      <c r="G197" s="607"/>
      <c r="H197" s="607"/>
      <c r="I197" s="607"/>
      <c r="J197" s="607"/>
      <c r="K197" s="607"/>
      <c r="L197" s="608"/>
      <c r="M197" s="438"/>
    </row>
    <row r="198" spans="1:13" s="5" customFormat="1" ht="14.25" thickBot="1">
      <c r="A198" s="609" t="s">
        <v>499</v>
      </c>
      <c r="B198" s="610"/>
      <c r="C198" s="610"/>
      <c r="D198" s="610"/>
      <c r="E198" s="610"/>
      <c r="F198" s="610"/>
      <c r="G198" s="610"/>
      <c r="H198" s="610"/>
      <c r="I198" s="610"/>
      <c r="J198" s="610"/>
      <c r="K198" s="610"/>
      <c r="L198" s="611"/>
      <c r="M198" s="484"/>
    </row>
    <row r="199" spans="1:13" ht="13.5">
      <c r="A199" s="459"/>
      <c r="B199" s="459"/>
      <c r="C199" s="460"/>
      <c r="D199" s="459"/>
      <c r="E199" s="459"/>
      <c r="F199" s="459"/>
      <c r="G199" s="459"/>
      <c r="H199" s="459"/>
      <c r="I199" s="459"/>
      <c r="J199" s="459"/>
      <c r="K199" s="459"/>
      <c r="L199" s="459"/>
      <c r="M199" s="459"/>
    </row>
    <row r="200" spans="1:13" ht="13.5">
      <c r="A200" s="459"/>
      <c r="B200" s="459"/>
      <c r="C200" s="460"/>
      <c r="D200" s="459"/>
      <c r="E200" s="459"/>
      <c r="F200" s="459"/>
      <c r="G200" s="459"/>
      <c r="H200" s="459"/>
      <c r="I200" s="459"/>
      <c r="J200" s="459"/>
      <c r="K200" s="459"/>
      <c r="L200" s="459"/>
      <c r="M200" s="459"/>
    </row>
    <row r="201" spans="1:13" ht="13.5">
      <c r="A201" s="459"/>
      <c r="B201" s="459"/>
      <c r="C201" s="460"/>
      <c r="D201" s="459"/>
      <c r="E201" s="459"/>
      <c r="F201" s="459"/>
      <c r="G201" s="459"/>
      <c r="H201" s="459"/>
      <c r="I201" s="459"/>
      <c r="J201" s="459"/>
      <c r="K201" s="459"/>
      <c r="L201" s="459"/>
      <c r="M201" s="459"/>
    </row>
    <row r="202" spans="1:13" ht="13.5">
      <c r="A202" s="459"/>
      <c r="B202" s="459"/>
      <c r="C202" s="460"/>
      <c r="D202" s="459"/>
      <c r="E202" s="459"/>
      <c r="F202" s="459"/>
      <c r="G202" s="459"/>
      <c r="H202" s="459"/>
      <c r="I202" s="459"/>
      <c r="J202" s="459"/>
      <c r="K202" s="459"/>
      <c r="L202" s="459"/>
      <c r="M202" s="459"/>
    </row>
    <row r="203" spans="1:13" ht="13.5">
      <c r="A203" s="459"/>
      <c r="B203" s="459"/>
      <c r="C203" s="460"/>
      <c r="D203" s="459"/>
      <c r="E203" s="459"/>
      <c r="F203" s="459"/>
      <c r="G203" s="459"/>
      <c r="H203" s="459"/>
      <c r="I203" s="459"/>
      <c r="J203" s="459"/>
      <c r="K203" s="459"/>
      <c r="L203" s="459"/>
      <c r="M203" s="459"/>
    </row>
    <row r="204" spans="1:13" ht="13.5">
      <c r="A204" s="459"/>
      <c r="B204" s="459"/>
      <c r="C204" s="460"/>
      <c r="D204" s="459"/>
      <c r="E204" s="459"/>
      <c r="F204" s="459"/>
      <c r="G204" s="459"/>
      <c r="H204" s="459"/>
      <c r="I204" s="459"/>
      <c r="J204" s="459"/>
      <c r="K204" s="459"/>
      <c r="L204" s="459"/>
      <c r="M204" s="459"/>
    </row>
    <row r="205" spans="1:13" ht="13.5">
      <c r="A205" s="459"/>
      <c r="B205" s="459"/>
      <c r="C205" s="460"/>
      <c r="D205" s="459"/>
      <c r="E205" s="459"/>
      <c r="F205" s="459"/>
      <c r="G205" s="459"/>
      <c r="H205" s="459"/>
      <c r="I205" s="459"/>
      <c r="J205" s="459"/>
      <c r="K205" s="459"/>
      <c r="L205" s="459"/>
      <c r="M205" s="459"/>
    </row>
  </sheetData>
  <sheetProtection/>
  <autoFilter ref="A1:A167"/>
  <mergeCells count="29">
    <mergeCell ref="E4:E5"/>
    <mergeCell ref="F4:F5"/>
    <mergeCell ref="G4:H4"/>
    <mergeCell ref="I4:J4"/>
    <mergeCell ref="K4:L4"/>
    <mergeCell ref="A7:M7"/>
    <mergeCell ref="J1:M1"/>
    <mergeCell ref="B2:M2"/>
    <mergeCell ref="A3:M3"/>
    <mergeCell ref="A161:G161"/>
    <mergeCell ref="A4:A5"/>
    <mergeCell ref="B4:B5"/>
    <mergeCell ref="C4:C5"/>
    <mergeCell ref="D4:D5"/>
    <mergeCell ref="A162:K162"/>
    <mergeCell ref="A163:L163"/>
    <mergeCell ref="A164:K164"/>
    <mergeCell ref="A165:L165"/>
    <mergeCell ref="A166:K166"/>
    <mergeCell ref="A167:L167"/>
    <mergeCell ref="A196:K196"/>
    <mergeCell ref="A197:L197"/>
    <mergeCell ref="A198:L198"/>
    <mergeCell ref="A168:F168"/>
    <mergeCell ref="A191:G191"/>
    <mergeCell ref="A192:K192"/>
    <mergeCell ref="A193:L193"/>
    <mergeCell ref="A194:K194"/>
    <mergeCell ref="A195:L195"/>
  </mergeCells>
  <printOptions/>
  <pageMargins left="0.32" right="0.32" top="0.27" bottom="0.36" header="0.22" footer="0.16"/>
  <pageSetup horizontalDpi="600" verticalDpi="600"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giorgi.mateshvili</cp:lastModifiedBy>
  <cp:lastPrinted>2020-02-05T15:55:32Z</cp:lastPrinted>
  <dcterms:created xsi:type="dcterms:W3CDTF">1996-10-14T23:33:28Z</dcterms:created>
  <dcterms:modified xsi:type="dcterms:W3CDTF">2020-02-05T16:24:52Z</dcterms:modified>
  <cp:category/>
  <cp:version/>
  <cp:contentType/>
  <cp:contentStatus/>
</cp:coreProperties>
</file>