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440" windowHeight="12225" tabRatio="985" activeTab="0"/>
  </bookViews>
  <sheets>
    <sheet name="obieqturi" sheetId="1" r:id="rId1"/>
    <sheet name="ხარჯთ." sheetId="2" r:id="rId2"/>
  </sheets>
  <definedNames>
    <definedName name="_xlnm.Print_Area" localSheetId="0">'obieqturi'!$A$1:$I$24</definedName>
    <definedName name="_xlnm.Print_Area" localSheetId="1">'ხარჯთ.'!$A$1:$M$207</definedName>
    <definedName name="_xlnm.Print_Titles" localSheetId="0">'obieqturi'!$3:$3</definedName>
    <definedName name="_xlnm.Print_Titles" localSheetId="1">'ხარჯთ.'!$4:$6</definedName>
  </definedNames>
  <calcPr fullCalcOnLoad="1"/>
</workbook>
</file>

<file path=xl/sharedStrings.xml><?xml version="1.0" encoding="utf-8"?>
<sst xmlns="http://schemas.openxmlformats.org/spreadsheetml/2006/main" count="495" uniqueCount="212">
  <si>
    <t>lari</t>
  </si>
  <si>
    <t>#</t>
  </si>
  <si>
    <t>jami</t>
  </si>
  <si>
    <t>Sromis danaxarji</t>
  </si>
  <si>
    <t>kac/sT</t>
  </si>
  <si>
    <t>m3</t>
  </si>
  <si>
    <t>sxva masala</t>
  </si>
  <si>
    <t>m</t>
  </si>
  <si>
    <t>c</t>
  </si>
  <si>
    <t>Sedgenilia mimdinare fasebSi</t>
  </si>
  <si>
    <t xml:space="preserve"> N</t>
  </si>
  <si>
    <r>
      <t>xarjTaRricxvis</t>
    </r>
    <r>
      <rPr>
        <sz val="11"/>
        <rFont val="Academiuri Normaluri"/>
        <family val="0"/>
      </rPr>
      <t xml:space="preserve"> N</t>
    </r>
  </si>
  <si>
    <t xml:space="preserve"> xarjTaRricxvis dasaxeleba</t>
  </si>
  <si>
    <t xml:space="preserve">      saxarjTaRricxvo GRirebuleba (aTasi lari)</t>
  </si>
  <si>
    <t>xelfasi     aT. lari</t>
  </si>
  <si>
    <t>samSeneblo samuSaoebi</t>
  </si>
  <si>
    <t xml:space="preserve">samont. samuSaoebi </t>
  </si>
  <si>
    <t>mowyobiloba</t>
  </si>
  <si>
    <t>sxvadasxva xarjebi</t>
  </si>
  <si>
    <t>sul</t>
  </si>
  <si>
    <t>d. R.Gg. - 18%</t>
  </si>
  <si>
    <t>manqanebi</t>
  </si>
  <si>
    <t>m2</t>
  </si>
  <si>
    <t>obieqturi xarjTaRricxva</t>
  </si>
  <si>
    <t>sxva masalebi</t>
  </si>
  <si>
    <t>sxva manqanebi</t>
  </si>
  <si>
    <t>t</t>
  </si>
  <si>
    <t>22-23-1</t>
  </si>
  <si>
    <t>RorRi</t>
  </si>
  <si>
    <t>l</t>
  </si>
  <si>
    <t>bitumis mastika</t>
  </si>
  <si>
    <t>sab</t>
  </si>
  <si>
    <t>2</t>
  </si>
  <si>
    <t>srf</t>
  </si>
  <si>
    <t xml:space="preserve">samuSaos dasaxeleba </t>
  </si>
  <si>
    <t>ganz. erT.</t>
  </si>
  <si>
    <t>norma      er-ze</t>
  </si>
  <si>
    <t>raode-noba</t>
  </si>
  <si>
    <t>masalebi</t>
  </si>
  <si>
    <t xml:space="preserve">   xelfasi (l)</t>
  </si>
  <si>
    <t>manq.meq-zmebi (l)</t>
  </si>
  <si>
    <t>erT.fasi</t>
  </si>
  <si>
    <t xml:space="preserve">  jami</t>
  </si>
  <si>
    <t>(lari)</t>
  </si>
  <si>
    <t>r e s u r s e b i</t>
  </si>
  <si>
    <t>resursebi</t>
  </si>
  <si>
    <t>22-25-2 miyenebiT  k-1,15</t>
  </si>
  <si>
    <t>Sromis danaxarjebi</t>
  </si>
  <si>
    <t>k/sT</t>
  </si>
  <si>
    <t xml:space="preserve">sxva manqana </t>
  </si>
  <si>
    <t xml:space="preserve">gegmiuri dagroveba </t>
  </si>
  <si>
    <t xml:space="preserve"> Sifri</t>
  </si>
  <si>
    <t xml:space="preserve">   sul</t>
  </si>
  <si>
    <t>masalis transporti</t>
  </si>
  <si>
    <t xml:space="preserve">zednadebi xarjebi </t>
  </si>
  <si>
    <t>SromiTi resursebi</t>
  </si>
  <si>
    <t xml:space="preserve">jami </t>
  </si>
  <si>
    <t>Sr. danaxarji</t>
  </si>
  <si>
    <t>Wis gare zedapiris hidroizolacia biTumis mastikiT 2 fena</t>
  </si>
  <si>
    <t>rk/b Wis Ziris</t>
  </si>
  <si>
    <t>wyali</t>
  </si>
  <si>
    <t>zedmeti gruntis gatana saSualod 10-km-ze</t>
  </si>
  <si>
    <t>მ3</t>
  </si>
  <si>
    <t>მ/სთ</t>
  </si>
  <si>
    <t>22-20-1</t>
  </si>
  <si>
    <t>22-23-2</t>
  </si>
  <si>
    <t>amerikankas montaJi d-20 mm</t>
  </si>
  <si>
    <t>22-29-1</t>
  </si>
  <si>
    <t>amerikanka</t>
  </si>
  <si>
    <t>daerTeba arsebul wertilze d-20 polieTilenis fasonuri nawiliT "amerikanka"</t>
  </si>
  <si>
    <t>22-27-1</t>
  </si>
  <si>
    <t>1-31-3</t>
  </si>
  <si>
    <t>1-80-3</t>
  </si>
  <si>
    <t>sul jami</t>
  </si>
  <si>
    <t xml:space="preserve">RorRis fenilis mowyoba Wis ZirSi </t>
  </si>
  <si>
    <t>xarjTaRricxva #1-1</t>
  </si>
  <si>
    <t>wyalsadenis gamanawilebeli qselis მოწყობა</t>
  </si>
  <si>
    <t>22-29-6</t>
  </si>
  <si>
    <t>16-23-3</t>
  </si>
  <si>
    <t>პრ</t>
  </si>
  <si>
    <t xml:space="preserve">Sromis danaxarjebi </t>
  </si>
  <si>
    <t xml:space="preserve">მილსადენები </t>
  </si>
  <si>
    <t>წყალგამანწილებელი ქსელი</t>
  </si>
  <si>
    <t>Tujis xufi</t>
  </si>
  <si>
    <t xml:space="preserve">r/betoni saxuravi fila </t>
  </si>
  <si>
    <t xml:space="preserve">gamiri </t>
  </si>
  <si>
    <t>მექანიკური uRel-unagira d-50X20 mm</t>
  </si>
  <si>
    <t>13-141</t>
  </si>
  <si>
    <t>6,1-347</t>
  </si>
  <si>
    <t>samkapi d=50X50X50 mm</t>
  </si>
  <si>
    <t>el. SeduRebis quro  d=50 mm</t>
  </si>
  <si>
    <t xml:space="preserve">Tujis urduli d=50 mm montaJi </t>
  </si>
  <si>
    <t>miltuCa (ფლანეციs) SeZena da montaJi d-50</t>
  </si>
  <si>
    <t>ფლანეცი დ=50 მმ</t>
  </si>
  <si>
    <t>მილყელი (ადაპტორი) SeZena da montaJi d-50</t>
  </si>
  <si>
    <t>მილყელი (ადაპტორი) დ=50 მმ</t>
  </si>
  <si>
    <t>Cobalbis mowyoba kedelSi d=50 mm</t>
  </si>
  <si>
    <t>polieTilenis სამკაპის შეძენა და montaJi d-50 mm</t>
  </si>
  <si>
    <t>polieTilenis fasonuri nawilebis montaJi d-50 mm</t>
  </si>
  <si>
    <t>2 m3 pp rezervuari</t>
  </si>
  <si>
    <t>2 m3 pp rezervuaris mowyoba</t>
  </si>
  <si>
    <t>saxelS</t>
  </si>
  <si>
    <t>kompl</t>
  </si>
  <si>
    <t>tumbo</t>
  </si>
  <si>
    <t>მარტივი ტიპის marTvis fari და ტუმბოს დამცავი ყუთი სამაგრი დეტალებით (ტვინიანი ტუმბო)</t>
  </si>
  <si>
    <t>polieTilenis uRel-unagiras montaJi d-50 mm</t>
  </si>
  <si>
    <t>მოსახლეობის დაერთება</t>
  </si>
  <si>
    <t>1</t>
  </si>
  <si>
    <t>1-12-3</t>
  </si>
  <si>
    <t>III კატ. გრუნტის დამუშავება ექსკავატორით ჩამჩით 0.5 მ3  ადგილზე დაყრით</t>
  </si>
  <si>
    <t>შრომის დანახარჯი</t>
  </si>
  <si>
    <t>13-126</t>
  </si>
  <si>
    <t xml:space="preserve">ექსკავატორი ჩამჩის მოც. 0,5-მ3, </t>
  </si>
  <si>
    <t>კაც/სთ</t>
  </si>
  <si>
    <t>მან/სთ</t>
  </si>
  <si>
    <t>III კატ გრუნტის დამუშავება ხელით მექანიზმის შემდეგ</t>
  </si>
  <si>
    <t>3</t>
  </si>
  <si>
    <t>1-11-16</t>
  </si>
  <si>
    <t>IV კატ. გრუნტის დამუშავება ექსკავატორით ჩამჩით 0.5მ3  ადგილზე დაყრით</t>
  </si>
  <si>
    <t>4</t>
  </si>
  <si>
    <t>1-80-4</t>
  </si>
  <si>
    <t>IV გრუნტის დამუშავება ხელით მექანიზმის შემდეგ</t>
  </si>
  <si>
    <t>1-22-16</t>
  </si>
  <si>
    <t>გრუნტის დატვირთვა ექსკავატორით ავტოთვითმცლელზე</t>
  </si>
  <si>
    <t>შრ. დანახარჯი</t>
  </si>
  <si>
    <t>ექსკავატორი 0.5მ3</t>
  </si>
  <si>
    <t>სხვა მანქანები</t>
  </si>
  <si>
    <t>4-241</t>
  </si>
  <si>
    <t>ღორღი</t>
  </si>
  <si>
    <t>5</t>
  </si>
  <si>
    <t>23-1-1</t>
  </si>
  <si>
    <t>ქვიშის ტრანსპორტირება და მილსადენის შეფუთვა დატკეპნით. მილის ქვეშ და ზემოთ დამცავი საფარის 10+20 სმ. შესაქმნელად</t>
  </si>
  <si>
    <t>4-233</t>
  </si>
  <si>
    <t>ქვიშა</t>
  </si>
  <si>
    <t>6</t>
  </si>
  <si>
    <t>არსებული გრუნტით თხრილის შევსება ბულდოზერით  80ცხ.ძ/. (დატკეპნით)</t>
  </si>
  <si>
    <t>ბულდოზერი 80 ცხ.ძ</t>
  </si>
  <si>
    <t>1-118-11</t>
  </si>
  <si>
    <t>გრუნტის დატკეპნა პნევმოსატკეპნით</t>
  </si>
  <si>
    <t>13-339</t>
  </si>
  <si>
    <t>პნევმოსატკეპნი</t>
  </si>
  <si>
    <t>მანქ/სთ</t>
  </si>
  <si>
    <t>13-113</t>
  </si>
  <si>
    <t>კომპრესორი</t>
  </si>
  <si>
    <t>ზედმეტი გრუნტის გატანა საშუალოდ 10-კმ-ზე</t>
  </si>
  <si>
    <t>ტ</t>
  </si>
  <si>
    <t>7</t>
  </si>
  <si>
    <t>8</t>
  </si>
  <si>
    <t>9</t>
  </si>
  <si>
    <t>22-8-1</t>
  </si>
  <si>
    <r>
      <t xml:space="preserve">polieTilenis milis montaJi </t>
    </r>
    <r>
      <rPr>
        <b/>
        <sz val="9"/>
        <rFont val="Arial"/>
        <family val="2"/>
      </rPr>
      <t>d</t>
    </r>
    <r>
      <rPr>
        <b/>
        <sz val="9"/>
        <rFont val="AcadNusx"/>
        <family val="0"/>
      </rPr>
      <t xml:space="preserve">-50 mm-mde hidravlikuri SemowmebiT </t>
    </r>
    <r>
      <rPr>
        <b/>
        <sz val="9"/>
        <rFont val="Calibri"/>
        <family val="2"/>
      </rPr>
      <t>PN-10 SDR 17 PN100</t>
    </r>
  </si>
  <si>
    <t>2.6-42</t>
  </si>
  <si>
    <r>
      <t xml:space="preserve">mili </t>
    </r>
    <r>
      <rPr>
        <sz val="9"/>
        <rFont val="Calibri"/>
        <family val="2"/>
      </rPr>
      <t xml:space="preserve">PN10 SDR17 PE100 d=50 </t>
    </r>
    <r>
      <rPr>
        <sz val="9"/>
        <rFont val="AcadMtavr"/>
        <family val="0"/>
      </rPr>
      <t>mm</t>
    </r>
  </si>
  <si>
    <t>milebis gamorecxva da dezinfeqcia d-50 mm</t>
  </si>
  <si>
    <r>
      <t xml:space="preserve">polieTilenis milis montaJi </t>
    </r>
    <r>
      <rPr>
        <b/>
        <sz val="9"/>
        <rFont val="Arial"/>
        <family val="2"/>
      </rPr>
      <t>d</t>
    </r>
    <r>
      <rPr>
        <b/>
        <sz val="9"/>
        <rFont val="AcadNusx"/>
        <family val="0"/>
      </rPr>
      <t xml:space="preserve">-40 mm-mde hidravlikuri SemowmebiT </t>
    </r>
    <r>
      <rPr>
        <b/>
        <sz val="9"/>
        <rFont val="Calibri"/>
        <family val="2"/>
      </rPr>
      <t>PN-10 SDR 17 PN100</t>
    </r>
  </si>
  <si>
    <t>2.6-41</t>
  </si>
  <si>
    <r>
      <t xml:space="preserve">mili </t>
    </r>
    <r>
      <rPr>
        <sz val="9"/>
        <rFont val="Calibri"/>
        <family val="2"/>
      </rPr>
      <t xml:space="preserve">PN10 SDR17 PE100 d=40 </t>
    </r>
    <r>
      <rPr>
        <sz val="9"/>
        <rFont val="AcadMtavr"/>
        <family val="0"/>
      </rPr>
      <t>mm</t>
    </r>
  </si>
  <si>
    <t>milebis gamorecxva da dezinfeqcia d-40 mm</t>
  </si>
  <si>
    <r>
      <t xml:space="preserve">polieTilenis milis montaJi </t>
    </r>
    <r>
      <rPr>
        <b/>
        <sz val="9"/>
        <rFont val="Arial"/>
        <family val="2"/>
      </rPr>
      <t>d</t>
    </r>
    <r>
      <rPr>
        <b/>
        <sz val="9"/>
        <rFont val="AcadNusx"/>
        <family val="0"/>
      </rPr>
      <t xml:space="preserve">-20 mm-mde hidravlikuri SemowmebiT </t>
    </r>
    <r>
      <rPr>
        <b/>
        <sz val="9"/>
        <rFont val="Calibri"/>
        <family val="2"/>
      </rPr>
      <t>PN-10 SDR 17 PN100</t>
    </r>
  </si>
  <si>
    <t>2.6-85</t>
  </si>
  <si>
    <r>
      <t xml:space="preserve">mili </t>
    </r>
    <r>
      <rPr>
        <sz val="9"/>
        <rFont val="Calibri"/>
        <family val="2"/>
      </rPr>
      <t xml:space="preserve">PN10 SDR17 PE100 d=20 </t>
    </r>
    <r>
      <rPr>
        <sz val="9"/>
        <rFont val="AcadMtavr"/>
        <family val="0"/>
      </rPr>
      <t>mm</t>
    </r>
  </si>
  <si>
    <t>milebis gamorecxva da dezinfeqcia d-20 mm</t>
  </si>
  <si>
    <t>8-3-2,</t>
  </si>
  <si>
    <t>23-12-2</t>
  </si>
  <si>
    <t>4,1-104</t>
  </si>
  <si>
    <t>4,1-109</t>
  </si>
  <si>
    <t>4,1-120</t>
  </si>
  <si>
    <t>4,1-142</t>
  </si>
  <si>
    <t>betoni m-100</t>
  </si>
  <si>
    <t>26-14-5</t>
  </si>
  <si>
    <t>4,1-528</t>
  </si>
  <si>
    <t>bitumi</t>
  </si>
  <si>
    <t>4,1-532</t>
  </si>
  <si>
    <t>16-23-2</t>
  </si>
  <si>
    <t xml:space="preserve">germetiki "germesur" </t>
  </si>
  <si>
    <t>kg</t>
  </si>
  <si>
    <t>gudroniT gaJRenTili ZenZi</t>
  </si>
  <si>
    <t>Cobalbis mowyoba kedelSi d=50mm</t>
  </si>
  <si>
    <t>III კატ. გრუნტის დამუშავება ექსკავატორით ჩამჩით 0.4 მ3  ადგილზე დაყრით</t>
  </si>
  <si>
    <t>ქვაბულის შევსება ბალასტით დატკეპვნით მექანიზმით</t>
  </si>
  <si>
    <t>ბულდოზერი 80ცხ.ძ.</t>
  </si>
  <si>
    <t>4-236</t>
  </si>
  <si>
    <t>ბალასტი</t>
  </si>
  <si>
    <r>
      <t>tumbos SeZena მარტივი ტიპის ჩამრთველით ტუმბოს დამცავი ყუთით 25 მ რეზერვუართან დაყენებით, el kabeliT qselSi daerTebiT awevis simaRle 40 m.</t>
    </r>
    <r>
      <rPr>
        <b/>
        <sz val="9"/>
        <rFont val="Cambria"/>
        <family val="1"/>
      </rPr>
      <t xml:space="preserve"> Q=1 </t>
    </r>
    <r>
      <rPr>
        <b/>
        <sz val="9"/>
        <rFont val="AcadNusx"/>
        <family val="0"/>
      </rPr>
      <t>m3/sT</t>
    </r>
  </si>
  <si>
    <r>
      <t>kabeli 3X4-1X2.5 mm</t>
    </r>
    <r>
      <rPr>
        <vertAlign val="superscript"/>
        <sz val="9"/>
        <rFont val="AcadNusx"/>
        <family val="0"/>
      </rPr>
      <t>2</t>
    </r>
  </si>
  <si>
    <r>
      <t xml:space="preserve">wyalsadenis gamanawilebeli Wis mowyoba </t>
    </r>
    <r>
      <rPr>
        <b/>
        <sz val="9"/>
        <rFont val="Arial"/>
        <family val="2"/>
      </rPr>
      <t>d</t>
    </r>
    <r>
      <rPr>
        <b/>
        <sz val="9"/>
        <rFont val="AcadNusx"/>
        <family val="0"/>
      </rPr>
      <t xml:space="preserve">=1.5 m </t>
    </r>
    <r>
      <rPr>
        <b/>
        <sz val="9"/>
        <rFont val="Arial"/>
        <family val="2"/>
      </rPr>
      <t>h</t>
    </r>
    <r>
      <rPr>
        <b/>
        <sz val="9"/>
        <rFont val="AcadNusx"/>
        <family val="0"/>
      </rPr>
      <t>=1.75 m</t>
    </r>
  </si>
  <si>
    <r>
      <t xml:space="preserve">magistraluri wylis gamanawilebeli anakrebi rk/b Wis mowyoba </t>
    </r>
    <r>
      <rPr>
        <b/>
        <sz val="9"/>
        <rFont val="Arial"/>
        <family val="2"/>
      </rPr>
      <t>d</t>
    </r>
    <r>
      <rPr>
        <b/>
        <sz val="9"/>
        <rFont val="AcadNusx"/>
        <family val="0"/>
      </rPr>
      <t xml:space="preserve">=1.5 m, </t>
    </r>
    <r>
      <rPr>
        <b/>
        <sz val="9"/>
        <rFont val="Arial"/>
        <family val="2"/>
      </rPr>
      <t>h</t>
    </r>
    <r>
      <rPr>
        <b/>
        <sz val="9"/>
        <rFont val="AcadNusx"/>
        <family val="0"/>
      </rPr>
      <t xml:space="preserve">=1.75m, ZroTi da gadaxurvis filiT Tujis xufiT </t>
    </r>
  </si>
  <si>
    <r>
      <t>m</t>
    </r>
    <r>
      <rPr>
        <b/>
        <vertAlign val="superscript"/>
        <sz val="9"/>
        <rFont val="AcadNusx"/>
        <family val="0"/>
      </rPr>
      <t>3</t>
    </r>
  </si>
  <si>
    <r>
      <t>rk/b Wa d=1.5 m,</t>
    </r>
    <r>
      <rPr>
        <sz val="9"/>
        <rFont val="Arial"/>
        <family val="2"/>
      </rPr>
      <t xml:space="preserve"> h</t>
    </r>
    <r>
      <rPr>
        <sz val="9"/>
        <rFont val="AcadNusx"/>
        <family val="0"/>
      </rPr>
      <t>=1,0 m rgoli</t>
    </r>
  </si>
  <si>
    <r>
      <t>rk/b Wa d=1.5 m,</t>
    </r>
    <r>
      <rPr>
        <sz val="9"/>
        <rFont val="Arial"/>
        <family val="2"/>
      </rPr>
      <t xml:space="preserve"> h</t>
    </r>
    <r>
      <rPr>
        <sz val="9"/>
        <rFont val="AcadNusx"/>
        <family val="0"/>
      </rPr>
      <t>-0.5 m rgoli</t>
    </r>
  </si>
  <si>
    <r>
      <t>m</t>
    </r>
    <r>
      <rPr>
        <b/>
        <vertAlign val="superscript"/>
        <sz val="9"/>
        <rFont val="AcadNusx"/>
        <family val="0"/>
      </rPr>
      <t>2</t>
    </r>
  </si>
  <si>
    <r>
      <t xml:space="preserve">პოლიეთილენის ჩობალის მილი </t>
    </r>
    <r>
      <rPr>
        <sz val="9"/>
        <rFont val="Arial"/>
        <family val="2"/>
      </rPr>
      <t>L</t>
    </r>
    <r>
      <rPr>
        <sz val="9"/>
        <rFont val="AcadNusx"/>
        <family val="0"/>
      </rPr>
      <t>=0,1 მ დ=250 მმ</t>
    </r>
  </si>
  <si>
    <r>
      <t>Tujis urduli d=50 mm</t>
    </r>
    <r>
      <rPr>
        <sz val="9"/>
        <rFont val="არიალ"/>
        <family val="0"/>
      </rPr>
      <t xml:space="preserve"> PN-10</t>
    </r>
  </si>
  <si>
    <t>10</t>
  </si>
  <si>
    <t>11</t>
  </si>
  <si>
    <t>12</t>
  </si>
  <si>
    <t>13</t>
  </si>
  <si>
    <t>14</t>
  </si>
  <si>
    <t>15</t>
  </si>
  <si>
    <t>18</t>
  </si>
  <si>
    <t>19</t>
  </si>
  <si>
    <t>21</t>
  </si>
  <si>
    <t>25</t>
  </si>
  <si>
    <t>32</t>
  </si>
  <si>
    <t>33</t>
  </si>
  <si>
    <t>34</t>
  </si>
  <si>
    <t>35</t>
  </si>
  <si>
    <t>36</t>
  </si>
  <si>
    <t>38</t>
  </si>
  <si>
    <t>40</t>
  </si>
  <si>
    <t>gauTvaliswinebeli xarjebi - ფიქსირებული თანხა 436 ლარი</t>
  </si>
  <si>
    <t>შესრულებული სამუშაოს ექსპერტიზა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</si>
</sst>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₾_-;\-* #,##0\ _₾_-;_-* &quot;-&quot;\ _₾_-;_-@_-"/>
    <numFmt numFmtId="173" formatCode="_-* #,##0.00\ _₾_-;\-* #,##0.00\ _₾_-;_-* &quot;-&quot;??\ _₾_-;_-@_-"/>
    <numFmt numFmtId="174" formatCode="#,##0\ &quot;Lari&quot;;\-#,##0\ &quot;Lari&quot;"/>
    <numFmt numFmtId="175" formatCode="#,##0\ &quot;Lari&quot;;[Red]\-#,##0\ &quot;Lari&quot;"/>
    <numFmt numFmtId="176" formatCode="#,##0.00\ &quot;Lari&quot;;\-#,##0.00\ &quot;Lari&quot;"/>
    <numFmt numFmtId="177" formatCode="#,##0.00\ &quot;Lari&quot;;[Red]\-#,##0.00\ &quot;Lari&quot;"/>
    <numFmt numFmtId="178" formatCode="_-* #,##0\ &quot;Lari&quot;_-;\-* #,##0\ &quot;Lari&quot;_-;_-* &quot;-&quot;\ &quot;Lari&quot;_-;_-@_-"/>
    <numFmt numFmtId="179" formatCode="_-* #,##0\ _L_a_r_i_-;\-* #,##0\ _L_a_r_i_-;_-* &quot;-&quot;\ _L_a_r_i_-;_-@_-"/>
    <numFmt numFmtId="180" formatCode="_-* #,##0.00\ &quot;Lari&quot;_-;\-* #,##0.00\ &quot;Lari&quot;_-;_-* &quot;-&quot;??\ &quot;Lari&quot;_-;_-@_-"/>
    <numFmt numFmtId="181" formatCode="_-* #,##0.00\ _L_a_r_i_-;\-* #,##0.00\ _L_a_r_i_-;_-* &quot;-&quot;??\ _L_a_r_i_-;_-@_-"/>
    <numFmt numFmtId="182" formatCode="_-* #,##0\ _₽_-;\-* #,##0\ _₽_-;_-* &quot;-&quot;\ _₽_-;_-@_-"/>
    <numFmt numFmtId="183" formatCode="_-* #,##0.00\ _₽_-;\-* #,##0.00\ _₽_-;_-* &quot;-&quot;??\ _₽_-;_-@_-"/>
    <numFmt numFmtId="184" formatCode="_-* #,##0.00_р_._-;\-* #,##0.00_р_._-;_-* &quot;-&quot;??_р_._-;_-@_-"/>
    <numFmt numFmtId="185" formatCode="0.000"/>
    <numFmt numFmtId="186" formatCode="0.0000"/>
    <numFmt numFmtId="187" formatCode="0.0"/>
    <numFmt numFmtId="188" formatCode="_-* #,##0_р_._-;\-* #,##0_р_._-;_-* &quot;-&quot;??_р_._-;_-@_-"/>
    <numFmt numFmtId="189" formatCode="_(* #,##0.000_);_(* \(#,##0.000\);_(* &quot;-&quot;???_);_(@_)"/>
    <numFmt numFmtId="190" formatCode="0.0%"/>
    <numFmt numFmtId="191" formatCode="_(* #,##0.000_);_(* \(#,##0.000\);_(* &quot;-&quot;??_);_(@_)"/>
    <numFmt numFmtId="192" formatCode="0.00;[Red]0.00"/>
    <numFmt numFmtId="193" formatCode="_(* #,##0.00_);_(* \(#,##0.00\);_(* &quot;-&quot;???_);_(@_)"/>
    <numFmt numFmtId="194" formatCode="_(* #,##0.0000_);_(* \(#,##0.0000\);_(* &quot;-&quot;???_);_(@_)"/>
    <numFmt numFmtId="195" formatCode="0.00000"/>
    <numFmt numFmtId="196" formatCode="_-* #,##0.000_р_._-;\-* #,##0.000_р_._-;_-* &quot;-&quot;???_р_._-;_-@_-"/>
    <numFmt numFmtId="197" formatCode="_-* #,##0.00_р_._-;\-* #,##0.00_р_._-;_-* &quot;-&quot;???_р_._-;_-@_-"/>
    <numFmt numFmtId="198" formatCode="_-* #,##0.0000_р_._-;\-* #,##0.0000_р_._-;_-* &quot;-&quot;??_р_._-;_-@_-"/>
    <numFmt numFmtId="199" formatCode="_(* #,##0.0000_);_(* \(#,##0.0000\);_(* &quot;-&quot;??_);_(@_)"/>
    <numFmt numFmtId="200" formatCode="_(* #,##0.0_);_(* \(#,##0.0\);_(* &quot;-&quot;??_);_(@_)"/>
    <numFmt numFmtId="201" formatCode="_-* #,##0.0_р_._-;\-* #,##0.0_р_._-;_-* &quot;-&quot;??_р_._-;_-@_-"/>
    <numFmt numFmtId="202" formatCode="_-* #,##0.000_р_._-;\-* #,##0.000_р_._-;_-* &quot;-&quot;??_р_._-;_-@_-"/>
    <numFmt numFmtId="203" formatCode="_-* #,##0.0\ _₽_-;\-* #,##0.0\ _₽_-;_-* &quot;-&quot;?\ _₽_-;_-@_-"/>
    <numFmt numFmtId="204" formatCode="_-* #,##0.000\ _₽_-;\-* #,##0.000\ _₽_-;_-* &quot;-&quot;???\ _₽_-;_-@_-"/>
    <numFmt numFmtId="205" formatCode="_-* #,##0.000\ _L_a_r_i_-;\-* #,##0.000\ _L_a_r_i_-;_-* &quot;-&quot;???\ _L_a_r_i_-;_-@_-"/>
    <numFmt numFmtId="206" formatCode="_(* #,##0_);_(* \(#,##0\);_(* &quot;-&quot;???_);_(@_)"/>
    <numFmt numFmtId="207" formatCode="0;[Red]0"/>
    <numFmt numFmtId="208" formatCode="_(* #,##0.0_);_(* \(#,##0.0\);_(* &quot;-&quot;???_);_(@_)"/>
    <numFmt numFmtId="209" formatCode="0.000%"/>
    <numFmt numFmtId="210" formatCode="_(* #,##0.0_);_(* \(#,##0.0\);_(* &quot;-&quot;?_);_(@_)"/>
    <numFmt numFmtId="211" formatCode="_-* #,##0&quot;р.&quot;_-;\-* #,##0&quot;р.&quot;_-;_-* &quot;-&quot;&quot;р.&quot;_-;_-@_-"/>
    <numFmt numFmtId="212" formatCode="_-* #,##0_р_._-;\-* #,##0_р_._-;_-* &quot;-&quot;_р_._-;_-@_-"/>
    <numFmt numFmtId="213" formatCode="_-* #,##0.00&quot;р.&quot;_-;\-* #,##0.00&quot;р.&quot;_-;_-* &quot;-&quot;??&quot;р.&quot;_-;_-@_-"/>
    <numFmt numFmtId="214" formatCode="#,##0.000"/>
    <numFmt numFmtId="215" formatCode="#,##0.00000"/>
    <numFmt numFmtId="216" formatCode="#,##0.0000"/>
    <numFmt numFmtId="217" formatCode="0.000000"/>
  </numFmts>
  <fonts count="47">
    <font>
      <sz val="10"/>
      <name val="Arial"/>
      <family val="0"/>
    </font>
    <font>
      <sz val="10"/>
      <name val="AcadNusx"/>
      <family val="0"/>
    </font>
    <font>
      <b/>
      <sz val="10"/>
      <name val="AcadNusx"/>
      <family val="0"/>
    </font>
    <font>
      <sz val="8"/>
      <name val="AcadNusx"/>
      <family val="0"/>
    </font>
    <font>
      <b/>
      <sz val="8"/>
      <name val="AcadNusx"/>
      <family val="0"/>
    </font>
    <font>
      <b/>
      <sz val="11"/>
      <name val="AcadNusx"/>
      <family val="0"/>
    </font>
    <font>
      <sz val="11"/>
      <name val="AcadNusx"/>
      <family val="0"/>
    </font>
    <font>
      <sz val="11"/>
      <name val="Academiuri Normaluri"/>
      <family val="0"/>
    </font>
    <font>
      <sz val="9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cadNusx"/>
      <family val="0"/>
    </font>
    <font>
      <sz val="10"/>
      <name val="Arial Cyr"/>
      <family val="0"/>
    </font>
    <font>
      <sz val="10"/>
      <name val="Helv"/>
      <family val="0"/>
    </font>
    <font>
      <b/>
      <sz val="9"/>
      <name val="Sylfaen"/>
      <family val="1"/>
    </font>
    <font>
      <sz val="9"/>
      <name val="Sylfaen"/>
      <family val="1"/>
    </font>
    <font>
      <b/>
      <sz val="9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9"/>
      <name val="AcadMtavr"/>
      <family val="0"/>
    </font>
    <font>
      <b/>
      <sz val="9"/>
      <name val="Cambria"/>
      <family val="1"/>
    </font>
    <font>
      <vertAlign val="superscript"/>
      <sz val="9"/>
      <name val="AcadNusx"/>
      <family val="0"/>
    </font>
    <font>
      <sz val="9"/>
      <name val="Arial"/>
      <family val="2"/>
    </font>
    <font>
      <b/>
      <vertAlign val="superscript"/>
      <sz val="9"/>
      <name val="AcadNusx"/>
      <family val="0"/>
    </font>
    <font>
      <i/>
      <sz val="9"/>
      <name val="AcadNusx"/>
      <family val="0"/>
    </font>
    <font>
      <sz val="9"/>
      <name val="არიალ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9"/>
      <color indexed="8"/>
      <name val="AcadMtavr"/>
      <family val="0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sz val="11"/>
      <color theme="1"/>
      <name val="Calibri"/>
      <family val="2"/>
    </font>
    <font>
      <sz val="9"/>
      <color theme="1"/>
      <name val="AcadMtavr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21" fillId="15" borderId="0" applyNumberFormat="0" applyBorder="0" applyAlignment="0" applyProtection="0"/>
    <xf numFmtId="0" fontId="13" fillId="16" borderId="1" applyNumberFormat="0" applyAlignment="0" applyProtection="0"/>
    <xf numFmtId="0" fontId="18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4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4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4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1" fillId="7" borderId="1" applyNumberFormat="0" applyAlignment="0" applyProtection="0"/>
    <xf numFmtId="0" fontId="23" fillId="0" borderId="6" applyNumberFormat="0" applyFill="0" applyAlignment="0" applyProtection="0"/>
    <xf numFmtId="0" fontId="20" fillId="7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12" fillId="1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</cellStyleXfs>
  <cellXfs count="249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42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2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9" fontId="6" fillId="0" borderId="0" xfId="0" applyNumberFormat="1" applyFont="1" applyAlignment="1">
      <alignment vertical="center"/>
    </xf>
    <xf numFmtId="0" fontId="6" fillId="0" borderId="0" xfId="106" applyFont="1" applyAlignment="1">
      <alignment vertical="center" wrapText="1"/>
      <protection/>
    </xf>
    <xf numFmtId="2" fontId="6" fillId="0" borderId="0" xfId="0" applyNumberFormat="1" applyFont="1" applyAlignment="1">
      <alignment horizontal="center" vertical="center" wrapText="1"/>
    </xf>
    <xf numFmtId="184" fontId="6" fillId="0" borderId="0" xfId="0" applyNumberFormat="1" applyFont="1" applyAlignment="1">
      <alignment vertical="center" wrapText="1"/>
    </xf>
    <xf numFmtId="184" fontId="6" fillId="0" borderId="0" xfId="0" applyNumberFormat="1" applyFont="1" applyAlignment="1">
      <alignment horizontal="left" vertical="center" wrapText="1"/>
    </xf>
    <xf numFmtId="2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188" fontId="6" fillId="0" borderId="0" xfId="42" applyNumberFormat="1" applyFont="1" applyAlignment="1">
      <alignment horizontal="center" vertical="center" wrapText="1"/>
    </xf>
    <xf numFmtId="0" fontId="6" fillId="0" borderId="0" xfId="42" applyNumberFormat="1" applyFont="1" applyAlignment="1">
      <alignment horizontal="center" vertical="center" wrapText="1"/>
    </xf>
    <xf numFmtId="188" fontId="6" fillId="0" borderId="0" xfId="42" applyNumberFormat="1" applyFont="1" applyAlignment="1">
      <alignment vertical="center" wrapText="1"/>
    </xf>
    <xf numFmtId="188" fontId="6" fillId="0" borderId="0" xfId="42" applyNumberFormat="1" applyFont="1" applyAlignment="1">
      <alignment horizontal="left" vertical="center" wrapText="1"/>
    </xf>
    <xf numFmtId="188" fontId="6" fillId="0" borderId="0" xfId="42" applyNumberFormat="1" applyFont="1" applyAlignment="1">
      <alignment vertical="center"/>
    </xf>
    <xf numFmtId="184" fontId="6" fillId="0" borderId="0" xfId="42" applyNumberFormat="1" applyFont="1" applyAlignment="1">
      <alignment horizontal="center" vertical="center" wrapText="1"/>
    </xf>
    <xf numFmtId="184" fontId="6" fillId="0" borderId="0" xfId="42" applyNumberFormat="1" applyFont="1" applyAlignment="1">
      <alignment vertical="center" wrapText="1"/>
    </xf>
    <xf numFmtId="184" fontId="6" fillId="0" borderId="0" xfId="42" applyNumberFormat="1" applyFont="1" applyAlignment="1">
      <alignment horizontal="left" vertical="center" wrapText="1"/>
    </xf>
    <xf numFmtId="184" fontId="6" fillId="0" borderId="0" xfId="42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43" fontId="6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181" fontId="1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vertical="center" wrapText="1"/>
    </xf>
    <xf numFmtId="43" fontId="5" fillId="0" borderId="0" xfId="42" applyFont="1" applyAlignment="1">
      <alignment horizontal="center" vertical="center" wrapText="1"/>
    </xf>
    <xf numFmtId="2" fontId="5" fillId="0" borderId="0" xfId="42" applyNumberFormat="1" applyFont="1" applyAlignment="1">
      <alignment horizontal="center" vertical="center" wrapText="1"/>
    </xf>
    <xf numFmtId="43" fontId="6" fillId="0" borderId="0" xfId="42" applyFont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209" fontId="5" fillId="0" borderId="0" xfId="96" applyNumberFormat="1" applyFont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2" fontId="8" fillId="0" borderId="0" xfId="0" applyNumberFormat="1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193" fontId="8" fillId="0" borderId="10" xfId="69" applyNumberFormat="1" applyFont="1" applyFill="1" applyBorder="1" applyAlignment="1">
      <alignment horizontal="center" vertical="center"/>
      <protection/>
    </xf>
    <xf numFmtId="0" fontId="28" fillId="0" borderId="10" xfId="75" applyNumberFormat="1" applyFont="1" applyFill="1" applyBorder="1" applyAlignment="1">
      <alignment horizontal="center" vertical="center" wrapText="1"/>
      <protection/>
    </xf>
    <xf numFmtId="0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/>
    </xf>
    <xf numFmtId="0" fontId="29" fillId="0" borderId="11" xfId="75" applyNumberFormat="1" applyFont="1" applyFill="1" applyBorder="1" applyAlignment="1">
      <alignment horizontal="center" vertical="center" wrapText="1"/>
      <protection/>
    </xf>
    <xf numFmtId="49" fontId="28" fillId="0" borderId="10" xfId="75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left" vertical="center"/>
    </xf>
    <xf numFmtId="0" fontId="2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25" fillId="0" borderId="10" xfId="75" applyFont="1" applyFill="1" applyBorder="1" applyAlignment="1">
      <alignment vertical="center" wrapText="1"/>
      <protection/>
    </xf>
    <xf numFmtId="0" fontId="25" fillId="0" borderId="10" xfId="75" applyFont="1" applyFill="1" applyBorder="1" applyAlignment="1">
      <alignment horizontal="center" vertical="center"/>
      <protection/>
    </xf>
    <xf numFmtId="0" fontId="25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0" xfId="68" applyFont="1" applyFill="1" applyBorder="1" applyAlignment="1">
      <alignment horizontal="center" vertical="center" wrapText="1"/>
      <protection/>
    </xf>
    <xf numFmtId="0" fontId="25" fillId="0" borderId="10" xfId="68" applyFont="1" applyFill="1" applyBorder="1" applyAlignment="1">
      <alignment vertical="center" wrapText="1"/>
      <protection/>
    </xf>
    <xf numFmtId="2" fontId="25" fillId="0" borderId="10" xfId="68" applyNumberFormat="1" applyFont="1" applyFill="1" applyBorder="1" applyAlignment="1">
      <alignment horizontal="center" vertical="center"/>
      <protection/>
    </xf>
    <xf numFmtId="2" fontId="25" fillId="0" borderId="10" xfId="44" applyNumberFormat="1" applyFont="1" applyFill="1" applyBorder="1" applyAlignment="1">
      <alignment horizontal="center" vertical="center"/>
    </xf>
    <xf numFmtId="2" fontId="8" fillId="0" borderId="10" xfId="68" applyNumberFormat="1" applyFont="1" applyFill="1" applyBorder="1" applyAlignment="1">
      <alignment horizontal="center" vertical="center"/>
      <protection/>
    </xf>
    <xf numFmtId="0" fontId="8" fillId="0" borderId="10" xfId="68" applyFont="1" applyFill="1" applyBorder="1" applyAlignment="1">
      <alignment vertical="center" wrapText="1"/>
      <protection/>
    </xf>
    <xf numFmtId="0" fontId="8" fillId="0" borderId="10" xfId="68" applyFont="1" applyFill="1" applyBorder="1" applyAlignment="1">
      <alignment horizontal="center" vertical="center"/>
      <protection/>
    </xf>
    <xf numFmtId="0" fontId="8" fillId="0" borderId="10" xfId="68" applyFont="1" applyFill="1" applyBorder="1" applyAlignment="1">
      <alignment horizontal="center" vertical="center" wrapText="1"/>
      <protection/>
    </xf>
    <xf numFmtId="0" fontId="25" fillId="0" borderId="10" xfId="106" applyFont="1" applyFill="1" applyBorder="1" applyAlignment="1">
      <alignment horizontal="center" vertical="center"/>
      <protection/>
    </xf>
    <xf numFmtId="2" fontId="8" fillId="0" borderId="10" xfId="68" applyNumberFormat="1" applyFont="1" applyFill="1" applyBorder="1" applyAlignment="1">
      <alignment horizontal="center" vertical="center" wrapText="1"/>
      <protection/>
    </xf>
    <xf numFmtId="0" fontId="8" fillId="0" borderId="10" xfId="68" applyFont="1" applyFill="1" applyBorder="1" applyAlignment="1">
      <alignment horizontal="left" vertical="center" wrapText="1"/>
      <protection/>
    </xf>
    <xf numFmtId="0" fontId="25" fillId="0" borderId="10" xfId="68" applyFont="1" applyFill="1" applyBorder="1" applyAlignment="1">
      <alignment horizontal="center" vertical="center"/>
      <protection/>
    </xf>
    <xf numFmtId="2" fontId="8" fillId="18" borderId="10" xfId="68" applyNumberFormat="1" applyFont="1" applyFill="1" applyBorder="1" applyAlignment="1">
      <alignment horizontal="center" vertical="center" wrapText="1"/>
      <protection/>
    </xf>
    <xf numFmtId="2" fontId="25" fillId="0" borderId="10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/>
    </xf>
    <xf numFmtId="2" fontId="6" fillId="0" borderId="10" xfId="42" applyNumberFormat="1" applyFont="1" applyBorder="1" applyAlignment="1">
      <alignment horizontal="center" vertical="center"/>
    </xf>
    <xf numFmtId="2" fontId="6" fillId="0" borderId="10" xfId="42" applyNumberFormat="1" applyFont="1" applyBorder="1" applyAlignment="1">
      <alignment horizontal="center" vertical="center" wrapText="1"/>
    </xf>
    <xf numFmtId="2" fontId="6" fillId="0" borderId="10" xfId="42" applyNumberFormat="1" applyFont="1" applyBorder="1" applyAlignment="1">
      <alignment horizontal="left" vertical="center" wrapText="1"/>
    </xf>
    <xf numFmtId="2" fontId="5" fillId="0" borderId="10" xfId="42" applyNumberFormat="1" applyFont="1" applyBorder="1" applyAlignment="1">
      <alignment horizontal="center" vertical="center"/>
    </xf>
    <xf numFmtId="2" fontId="5" fillId="0" borderId="10" xfId="42" applyNumberFormat="1" applyFont="1" applyBorder="1" applyAlignment="1">
      <alignment horizontal="center" vertical="center" wrapText="1"/>
    </xf>
    <xf numFmtId="2" fontId="5" fillId="0" borderId="10" xfId="42" applyNumberFormat="1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2" fontId="2" fillId="0" borderId="10" xfId="42" applyNumberFormat="1" applyFont="1" applyBorder="1" applyAlignment="1">
      <alignment horizontal="center" vertical="center"/>
    </xf>
    <xf numFmtId="0" fontId="8" fillId="0" borderId="0" xfId="106" applyFont="1" applyFill="1" applyAlignment="1">
      <alignment vertical="center" wrapText="1" shrinkToFit="1"/>
      <protection/>
    </xf>
    <xf numFmtId="0" fontId="8" fillId="0" borderId="0" xfId="0" applyFont="1" applyFill="1" applyAlignment="1">
      <alignment/>
    </xf>
    <xf numFmtId="0" fontId="25" fillId="0" borderId="0" xfId="106" applyFont="1" applyFill="1" applyAlignment="1">
      <alignment horizontal="center" vertical="center" wrapText="1" shrinkToFit="1"/>
      <protection/>
    </xf>
    <xf numFmtId="0" fontId="25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0" fontId="28" fillId="0" borderId="10" xfId="75" applyFont="1" applyFill="1" applyBorder="1" applyAlignment="1">
      <alignment vertical="center" wrapText="1"/>
      <protection/>
    </xf>
    <xf numFmtId="0" fontId="25" fillId="0" borderId="10" xfId="79" applyFont="1" applyFill="1" applyBorder="1" applyAlignment="1">
      <alignment horizontal="center" vertical="center"/>
      <protection/>
    </xf>
    <xf numFmtId="2" fontId="25" fillId="0" borderId="10" xfId="79" applyNumberFormat="1" applyFont="1" applyFill="1" applyBorder="1" applyAlignment="1">
      <alignment horizontal="center" vertical="center" wrapText="1"/>
      <protection/>
    </xf>
    <xf numFmtId="2" fontId="25" fillId="0" borderId="10" xfId="79" applyNumberFormat="1" applyFont="1" applyFill="1" applyBorder="1" applyAlignment="1">
      <alignment horizontal="center" vertical="center"/>
      <protection/>
    </xf>
    <xf numFmtId="2" fontId="8" fillId="0" borderId="10" xfId="75" applyNumberFormat="1" applyFont="1" applyFill="1" applyBorder="1" applyAlignment="1">
      <alignment horizontal="center" vertical="center" wrapText="1"/>
      <protection/>
    </xf>
    <xf numFmtId="49" fontId="28" fillId="0" borderId="10" xfId="0" applyNumberFormat="1" applyFont="1" applyFill="1" applyBorder="1" applyAlignment="1">
      <alignment horizontal="center" vertical="center" wrapText="1"/>
    </xf>
    <xf numFmtId="0" fontId="29" fillId="0" borderId="10" xfId="75" applyFont="1" applyFill="1" applyBorder="1" applyAlignment="1">
      <alignment vertical="center" wrapText="1"/>
      <protection/>
    </xf>
    <xf numFmtId="0" fontId="8" fillId="0" borderId="10" xfId="75" applyFont="1" applyFill="1" applyBorder="1" applyAlignment="1">
      <alignment horizontal="center" vertical="center"/>
      <protection/>
    </xf>
    <xf numFmtId="43" fontId="8" fillId="0" borderId="10" xfId="44" applyFont="1" applyFill="1" applyBorder="1" applyAlignment="1">
      <alignment horizontal="center" vertical="center" wrapText="1"/>
    </xf>
    <xf numFmtId="2" fontId="8" fillId="0" borderId="10" xfId="79" applyNumberFormat="1" applyFont="1" applyFill="1" applyBorder="1" applyAlignment="1">
      <alignment horizontal="center" vertical="center"/>
      <protection/>
    </xf>
    <xf numFmtId="2" fontId="25" fillId="0" borderId="0" xfId="79" applyNumberFormat="1" applyFont="1" applyFill="1" applyAlignment="1">
      <alignment horizontal="center" vertical="center"/>
      <protection/>
    </xf>
    <xf numFmtId="0" fontId="25" fillId="0" borderId="0" xfId="0" applyFont="1" applyFill="1" applyAlignment="1">
      <alignment/>
    </xf>
    <xf numFmtId="200" fontId="8" fillId="0" borderId="10" xfId="44" applyNumberFormat="1" applyFont="1" applyFill="1" applyBorder="1" applyAlignment="1">
      <alignment horizontal="center" vertical="center" wrapText="1"/>
    </xf>
    <xf numFmtId="0" fontId="8" fillId="19" borderId="10" xfId="75" applyFont="1" applyFill="1" applyBorder="1" applyAlignment="1">
      <alignment horizontal="center" vertical="center"/>
      <protection/>
    </xf>
    <xf numFmtId="186" fontId="8" fillId="0" borderId="10" xfId="79" applyNumberFormat="1" applyFont="1" applyFill="1" applyBorder="1" applyAlignment="1">
      <alignment horizontal="center" vertical="center"/>
      <protection/>
    </xf>
    <xf numFmtId="187" fontId="25" fillId="0" borderId="10" xfId="75" applyNumberFormat="1" applyFont="1" applyFill="1" applyBorder="1" applyAlignment="1">
      <alignment horizontal="center" vertical="center" wrapText="1"/>
      <protection/>
    </xf>
    <xf numFmtId="2" fontId="25" fillId="0" borderId="10" xfId="75" applyNumberFormat="1" applyFont="1" applyFill="1" applyBorder="1" applyAlignment="1">
      <alignment horizontal="center" vertical="center"/>
      <protection/>
    </xf>
    <xf numFmtId="49" fontId="29" fillId="0" borderId="11" xfId="75" applyNumberFormat="1" applyFont="1" applyFill="1" applyBorder="1" applyAlignment="1">
      <alignment horizontal="center" vertical="center" wrapText="1"/>
      <protection/>
    </xf>
    <xf numFmtId="187" fontId="8" fillId="0" borderId="11" xfId="75" applyNumberFormat="1" applyFont="1" applyFill="1" applyBorder="1" applyAlignment="1">
      <alignment horizontal="center" vertical="center" wrapText="1"/>
      <protection/>
    </xf>
    <xf numFmtId="0" fontId="8" fillId="0" borderId="11" xfId="75" applyFont="1" applyFill="1" applyBorder="1" applyAlignment="1">
      <alignment horizontal="center" vertical="center"/>
      <protection/>
    </xf>
    <xf numFmtId="2" fontId="8" fillId="0" borderId="11" xfId="75" applyNumberFormat="1" applyFont="1" applyFill="1" applyBorder="1" applyAlignment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 wrapText="1"/>
    </xf>
    <xf numFmtId="2" fontId="30" fillId="0" borderId="11" xfId="0" applyNumberFormat="1" applyFont="1" applyFill="1" applyBorder="1" applyAlignment="1">
      <alignment horizontal="center" vertical="center" wrapText="1"/>
    </xf>
    <xf numFmtId="9" fontId="8" fillId="0" borderId="10" xfId="0" applyNumberFormat="1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 wrapText="1"/>
    </xf>
    <xf numFmtId="2" fontId="36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center" vertical="center" wrapText="1"/>
    </xf>
    <xf numFmtId="2" fontId="30" fillId="0" borderId="10" xfId="0" applyNumberFormat="1" applyFont="1" applyFill="1" applyBorder="1" applyAlignment="1">
      <alignment horizontal="center" vertical="center" wrapText="1"/>
    </xf>
    <xf numFmtId="1" fontId="30" fillId="0" borderId="10" xfId="0" applyNumberFormat="1" applyFont="1" applyFill="1" applyBorder="1" applyAlignment="1">
      <alignment horizontal="center" vertical="center" wrapText="1"/>
    </xf>
    <xf numFmtId="9" fontId="25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190" fontId="8" fillId="0" borderId="10" xfId="0" applyNumberFormat="1" applyFont="1" applyFill="1" applyBorder="1" applyAlignment="1">
      <alignment horizontal="center" vertical="center" wrapText="1"/>
    </xf>
    <xf numFmtId="1" fontId="36" fillId="0" borderId="1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Alignment="1">
      <alignment/>
    </xf>
    <xf numFmtId="9" fontId="25" fillId="0" borderId="0" xfId="0" applyNumberFormat="1" applyFont="1" applyFill="1" applyAlignment="1">
      <alignment horizontal="center" vertical="center" wrapText="1"/>
    </xf>
    <xf numFmtId="199" fontId="25" fillId="0" borderId="0" xfId="0" applyNumberFormat="1" applyFont="1" applyFill="1" applyAlignment="1">
      <alignment/>
    </xf>
    <xf numFmtId="2" fontId="25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horizontal="left" vertical="center" wrapText="1"/>
    </xf>
    <xf numFmtId="181" fontId="8" fillId="0" borderId="0" xfId="0" applyNumberFormat="1" applyFont="1" applyFill="1" applyAlignment="1">
      <alignment/>
    </xf>
    <xf numFmtId="2" fontId="25" fillId="0" borderId="10" xfId="75" applyNumberFormat="1" applyFont="1" applyFill="1" applyBorder="1" applyAlignment="1">
      <alignment horizontal="center" vertical="center" wrapText="1"/>
      <protection/>
    </xf>
    <xf numFmtId="2" fontId="8" fillId="0" borderId="10" xfId="75" applyNumberFormat="1" applyFont="1" applyFill="1" applyBorder="1" applyAlignment="1">
      <alignment horizontal="center" vertical="center"/>
      <protection/>
    </xf>
    <xf numFmtId="186" fontId="8" fillId="0" borderId="10" xfId="0" applyNumberFormat="1" applyFont="1" applyFill="1" applyBorder="1" applyAlignment="1">
      <alignment horizontal="center" vertical="center" wrapText="1"/>
    </xf>
    <xf numFmtId="185" fontId="8" fillId="0" borderId="10" xfId="0" applyNumberFormat="1" applyFont="1" applyFill="1" applyBorder="1" applyAlignment="1">
      <alignment horizontal="center" vertical="center" wrapText="1"/>
    </xf>
    <xf numFmtId="0" fontId="25" fillId="0" borderId="11" xfId="106" applyFont="1" applyFill="1" applyBorder="1" applyAlignment="1">
      <alignment horizontal="center" vertical="center"/>
      <protection/>
    </xf>
    <xf numFmtId="0" fontId="25" fillId="0" borderId="11" xfId="0" applyFont="1" applyFill="1" applyBorder="1" applyAlignment="1" quotePrefix="1">
      <alignment horizontal="center" vertical="center" wrapText="1"/>
    </xf>
    <xf numFmtId="185" fontId="25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2" fontId="36" fillId="19" borderId="10" xfId="0" applyNumberFormat="1" applyFont="1" applyFill="1" applyBorder="1" applyAlignment="1">
      <alignment horizontal="center" vertical="center" wrapText="1"/>
    </xf>
    <xf numFmtId="196" fontId="8" fillId="0" borderId="10" xfId="0" applyNumberFormat="1" applyFont="1" applyFill="1" applyBorder="1" applyAlignment="1">
      <alignment horizontal="center" vertical="center"/>
    </xf>
    <xf numFmtId="185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left" vertical="center" wrapText="1"/>
    </xf>
    <xf numFmtId="0" fontId="25" fillId="0" borderId="10" xfId="68" applyNumberFormat="1" applyFont="1" applyFill="1" applyBorder="1" applyAlignment="1">
      <alignment horizontal="center" vertical="center"/>
      <protection/>
    </xf>
    <xf numFmtId="2" fontId="29" fillId="0" borderId="10" xfId="0" applyNumberFormat="1" applyFont="1" applyFill="1" applyBorder="1" applyAlignment="1">
      <alignment horizontal="center" vertical="center" wrapText="1"/>
    </xf>
    <xf numFmtId="0" fontId="25" fillId="0" borderId="10" xfId="75" applyFont="1" applyFill="1" applyBorder="1" applyAlignment="1">
      <alignment horizontal="center" vertical="center" wrapText="1"/>
      <protection/>
    </xf>
    <xf numFmtId="49" fontId="25" fillId="0" borderId="10" xfId="75" applyNumberFormat="1" applyFont="1" applyFill="1" applyBorder="1" applyAlignment="1">
      <alignment horizontal="center" vertical="center" wrapText="1"/>
      <protection/>
    </xf>
    <xf numFmtId="0" fontId="8" fillId="0" borderId="10" xfId="75" applyFont="1" applyFill="1" applyBorder="1" applyAlignment="1">
      <alignment vertical="center" wrapText="1"/>
      <protection/>
    </xf>
    <xf numFmtId="187" fontId="8" fillId="0" borderId="10" xfId="75" applyNumberFormat="1" applyFont="1" applyFill="1" applyBorder="1" applyAlignment="1">
      <alignment horizontal="center" vertical="center" wrapText="1"/>
      <protection/>
    </xf>
    <xf numFmtId="49" fontId="25" fillId="0" borderId="10" xfId="0" applyNumberFormat="1" applyFont="1" applyFill="1" applyBorder="1" applyAlignment="1">
      <alignment horizontal="center" vertical="center" wrapText="1"/>
    </xf>
    <xf numFmtId="0" fontId="8" fillId="0" borderId="10" xfId="106" applyFont="1" applyFill="1" applyBorder="1" applyAlignment="1">
      <alignment horizontal="center" vertical="center"/>
      <protection/>
    </xf>
    <xf numFmtId="0" fontId="8" fillId="0" borderId="10" xfId="93" applyFont="1" applyFill="1" applyBorder="1" applyAlignment="1">
      <alignment horizontal="center" vertical="center"/>
      <protection/>
    </xf>
    <xf numFmtId="2" fontId="8" fillId="0" borderId="10" xfId="93" applyNumberFormat="1" applyFont="1" applyFill="1" applyBorder="1" applyAlignment="1">
      <alignment horizontal="center" vertical="center"/>
      <protection/>
    </xf>
    <xf numFmtId="0" fontId="8" fillId="0" borderId="10" xfId="86" applyNumberFormat="1" applyFont="1" applyFill="1" applyBorder="1" applyAlignment="1">
      <alignment horizontal="left" vertical="center" wrapText="1"/>
      <protection/>
    </xf>
    <xf numFmtId="185" fontId="8" fillId="0" borderId="10" xfId="86" applyNumberFormat="1" applyFont="1" applyFill="1" applyBorder="1" applyAlignment="1">
      <alignment horizontal="center" vertical="center"/>
      <protection/>
    </xf>
    <xf numFmtId="186" fontId="8" fillId="0" borderId="10" xfId="86" applyNumberFormat="1" applyFont="1" applyFill="1" applyBorder="1" applyAlignment="1">
      <alignment horizontal="center" vertical="center"/>
      <protection/>
    </xf>
    <xf numFmtId="0" fontId="8" fillId="0" borderId="10" xfId="106" applyFont="1" applyFill="1" applyBorder="1" applyAlignment="1">
      <alignment horizontal="left" vertical="center"/>
      <protection/>
    </xf>
    <xf numFmtId="0" fontId="25" fillId="0" borderId="10" xfId="86" applyNumberFormat="1" applyFont="1" applyFill="1" applyBorder="1" applyAlignment="1">
      <alignment horizontal="center" vertical="center" wrapText="1"/>
      <protection/>
    </xf>
    <xf numFmtId="0" fontId="25" fillId="0" borderId="10" xfId="86" applyFont="1" applyFill="1" applyBorder="1" applyAlignment="1">
      <alignment wrapText="1"/>
      <protection/>
    </xf>
    <xf numFmtId="0" fontId="25" fillId="0" borderId="10" xfId="86" applyFont="1" applyFill="1" applyBorder="1" applyAlignment="1">
      <alignment horizontal="center" vertical="center"/>
      <protection/>
    </xf>
    <xf numFmtId="2" fontId="8" fillId="0" borderId="10" xfId="86" applyNumberFormat="1" applyFont="1" applyFill="1" applyBorder="1" applyAlignment="1">
      <alignment horizontal="center" vertical="center"/>
      <protection/>
    </xf>
    <xf numFmtId="1" fontId="25" fillId="0" borderId="10" xfId="86" applyNumberFormat="1" applyFont="1" applyFill="1" applyBorder="1" applyAlignment="1">
      <alignment horizontal="center" vertical="center"/>
      <protection/>
    </xf>
    <xf numFmtId="0" fontId="8" fillId="0" borderId="10" xfId="86" applyNumberFormat="1" applyFont="1" applyFill="1" applyBorder="1" applyAlignment="1">
      <alignment horizontal="center" vertical="center" wrapText="1"/>
      <protection/>
    </xf>
    <xf numFmtId="0" fontId="8" fillId="0" borderId="10" xfId="86" applyFont="1" applyFill="1" applyBorder="1" applyAlignment="1">
      <alignment vertical="center" wrapText="1"/>
      <protection/>
    </xf>
    <xf numFmtId="0" fontId="8" fillId="0" borderId="10" xfId="86" applyFont="1" applyFill="1" applyBorder="1" applyAlignment="1">
      <alignment horizontal="center" vertical="center"/>
      <protection/>
    </xf>
    <xf numFmtId="0" fontId="8" fillId="0" borderId="10" xfId="86" applyNumberFormat="1" applyFont="1" applyFill="1" applyBorder="1" applyAlignment="1">
      <alignment horizontal="center" vertical="center"/>
      <protection/>
    </xf>
    <xf numFmtId="0" fontId="8" fillId="0" borderId="10" xfId="75" applyNumberFormat="1" applyFont="1" applyFill="1" applyBorder="1" applyAlignment="1">
      <alignment horizontal="center" vertical="center" wrapText="1"/>
      <protection/>
    </xf>
    <xf numFmtId="193" fontId="8" fillId="0" borderId="10" xfId="86" applyNumberFormat="1" applyFont="1" applyFill="1" applyBorder="1" applyAlignment="1">
      <alignment horizontal="center" vertical="center"/>
      <protection/>
    </xf>
    <xf numFmtId="2" fontId="8" fillId="0" borderId="10" xfId="0" applyNumberFormat="1" applyFont="1" applyFill="1" applyBorder="1" applyAlignment="1">
      <alignment horizontal="center" vertical="top" wrapText="1"/>
    </xf>
    <xf numFmtId="49" fontId="25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left" vertical="top" wrapText="1"/>
    </xf>
    <xf numFmtId="2" fontId="38" fillId="0" borderId="10" xfId="0" applyNumberFormat="1" applyFont="1" applyFill="1" applyBorder="1" applyAlignment="1">
      <alignment horizontal="left" vertical="top" wrapText="1"/>
    </xf>
    <xf numFmtId="0" fontId="25" fillId="0" borderId="10" xfId="0" applyFont="1" applyFill="1" applyBorder="1" applyAlignment="1" quotePrefix="1">
      <alignment horizontal="center" vertical="top" wrapText="1"/>
    </xf>
    <xf numFmtId="0" fontId="25" fillId="0" borderId="10" xfId="0" applyFont="1" applyFill="1" applyBorder="1" applyAlignment="1">
      <alignment horizontal="center" vertical="top" wrapText="1"/>
    </xf>
    <xf numFmtId="0" fontId="28" fillId="0" borderId="10" xfId="107" applyFont="1" applyFill="1" applyBorder="1" applyAlignment="1">
      <alignment horizontal="center" vertical="top"/>
      <protection/>
    </xf>
    <xf numFmtId="49" fontId="25" fillId="0" borderId="10" xfId="92" applyNumberFormat="1" applyFont="1" applyFill="1" applyBorder="1" applyAlignment="1">
      <alignment horizontal="center" vertical="center" wrapText="1"/>
      <protection/>
    </xf>
    <xf numFmtId="0" fontId="25" fillId="0" borderId="10" xfId="92" applyFont="1" applyFill="1" applyBorder="1" applyAlignment="1">
      <alignment vertical="center" wrapText="1"/>
      <protection/>
    </xf>
    <xf numFmtId="0" fontId="25" fillId="0" borderId="10" xfId="92" applyFont="1" applyFill="1" applyBorder="1" applyAlignment="1">
      <alignment horizontal="center" vertical="center"/>
      <protection/>
    </xf>
    <xf numFmtId="2" fontId="25" fillId="0" borderId="10" xfId="92" applyNumberFormat="1" applyFont="1" applyFill="1" applyBorder="1" applyAlignment="1">
      <alignment horizontal="center" vertical="center" wrapText="1"/>
      <protection/>
    </xf>
    <xf numFmtId="2" fontId="25" fillId="0" borderId="10" xfId="92" applyNumberFormat="1" applyFont="1" applyFill="1" applyBorder="1" applyAlignment="1">
      <alignment horizontal="center" vertical="center"/>
      <protection/>
    </xf>
    <xf numFmtId="0" fontId="29" fillId="0" borderId="10" xfId="107" applyFont="1" applyFill="1" applyBorder="1" applyAlignment="1">
      <alignment horizontal="center" vertical="top"/>
      <protection/>
    </xf>
    <xf numFmtId="0" fontId="25" fillId="0" borderId="10" xfId="92" applyFont="1" applyFill="1" applyBorder="1" applyAlignment="1">
      <alignment horizontal="center" vertical="center" wrapText="1"/>
      <protection/>
    </xf>
    <xf numFmtId="0" fontId="8" fillId="0" borderId="10" xfId="92" applyFont="1" applyFill="1" applyBorder="1" applyAlignment="1">
      <alignment vertical="center" wrapText="1"/>
      <protection/>
    </xf>
    <xf numFmtId="0" fontId="8" fillId="0" borderId="10" xfId="92" applyFont="1" applyFill="1" applyBorder="1" applyAlignment="1">
      <alignment horizontal="center" vertical="center"/>
      <protection/>
    </xf>
    <xf numFmtId="2" fontId="8" fillId="0" borderId="10" xfId="92" applyNumberFormat="1" applyFont="1" applyFill="1" applyBorder="1" applyAlignment="1">
      <alignment horizontal="center" vertical="center"/>
      <protection/>
    </xf>
    <xf numFmtId="0" fontId="8" fillId="0" borderId="10" xfId="92" applyFont="1" applyFill="1" applyBorder="1" applyAlignment="1">
      <alignment horizontal="center" vertical="center" wrapText="1"/>
      <protection/>
    </xf>
    <xf numFmtId="0" fontId="25" fillId="0" borderId="10" xfId="92" applyFont="1" applyFill="1" applyBorder="1" applyAlignment="1" quotePrefix="1">
      <alignment horizontal="center" vertical="center" wrapText="1"/>
      <protection/>
    </xf>
    <xf numFmtId="2" fontId="8" fillId="0" borderId="10" xfId="92" applyNumberFormat="1" applyFont="1" applyFill="1" applyBorder="1" applyAlignment="1">
      <alignment horizontal="center" vertical="center" wrapText="1"/>
      <protection/>
    </xf>
    <xf numFmtId="49" fontId="29" fillId="0" borderId="10" xfId="107" applyNumberFormat="1" applyFont="1" applyFill="1" applyBorder="1" applyAlignment="1">
      <alignment horizontal="center" vertical="top"/>
      <protection/>
    </xf>
    <xf numFmtId="0" fontId="8" fillId="0" borderId="10" xfId="92" applyFont="1" applyFill="1" applyBorder="1" applyAlignment="1">
      <alignment horizontal="left" vertical="center"/>
      <protection/>
    </xf>
    <xf numFmtId="49" fontId="25" fillId="0" borderId="10" xfId="69" applyNumberFormat="1" applyFont="1" applyFill="1" applyBorder="1" applyAlignment="1">
      <alignment vertical="center" wrapText="1"/>
      <protection/>
    </xf>
    <xf numFmtId="0" fontId="25" fillId="0" borderId="10" xfId="69" applyFont="1" applyFill="1" applyBorder="1" applyAlignment="1">
      <alignment wrapText="1"/>
      <protection/>
    </xf>
    <xf numFmtId="0" fontId="8" fillId="0" borderId="10" xfId="69" applyFont="1" applyFill="1" applyBorder="1" applyAlignment="1">
      <alignment horizontal="center" vertical="center"/>
      <protection/>
    </xf>
    <xf numFmtId="2" fontId="8" fillId="0" borderId="10" xfId="69" applyNumberFormat="1" applyFont="1" applyFill="1" applyBorder="1" applyAlignment="1">
      <alignment horizontal="center" vertical="center"/>
      <protection/>
    </xf>
    <xf numFmtId="2" fontId="25" fillId="0" borderId="10" xfId="69" applyNumberFormat="1" applyFont="1" applyFill="1" applyBorder="1" applyAlignment="1">
      <alignment horizontal="center" vertical="center"/>
      <protection/>
    </xf>
    <xf numFmtId="0" fontId="25" fillId="0" borderId="10" xfId="69" applyFont="1" applyFill="1" applyBorder="1" applyAlignment="1">
      <alignment horizontal="center" vertical="center" wrapText="1"/>
      <protection/>
    </xf>
    <xf numFmtId="0" fontId="8" fillId="0" borderId="10" xfId="69" applyFont="1" applyFill="1" applyBorder="1" applyAlignment="1">
      <alignment vertical="center" wrapText="1"/>
      <protection/>
    </xf>
    <xf numFmtId="2" fontId="8" fillId="0" borderId="10" xfId="69" applyNumberFormat="1" applyFont="1" applyFill="1" applyBorder="1" applyAlignment="1">
      <alignment vertical="center"/>
      <protection/>
    </xf>
    <xf numFmtId="2" fontId="8" fillId="0" borderId="10" xfId="69" applyNumberFormat="1" applyFont="1" applyFill="1" applyBorder="1" applyAlignment="1">
      <alignment horizontal="center" vertical="center" wrapText="1"/>
      <protection/>
    </xf>
    <xf numFmtId="0" fontId="8" fillId="0" borderId="10" xfId="69" applyFont="1" applyFill="1" applyBorder="1" applyAlignment="1">
      <alignment horizontal="left" vertical="center" wrapText="1"/>
      <protection/>
    </xf>
    <xf numFmtId="187" fontId="25" fillId="0" borderId="10" xfId="0" applyNumberFormat="1" applyFont="1" applyFill="1" applyBorder="1" applyAlignment="1">
      <alignment horizontal="center" vertical="center" wrapText="1"/>
    </xf>
    <xf numFmtId="196" fontId="25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 quotePrefix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0" fontId="28" fillId="0" borderId="10" xfId="75" applyFont="1" applyFill="1" applyBorder="1" applyAlignment="1">
      <alignment horizontal="center" vertical="center" wrapText="1"/>
      <protection/>
    </xf>
    <xf numFmtId="0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8" fillId="0" borderId="10" xfId="72" applyFont="1" applyFill="1" applyBorder="1" applyAlignment="1">
      <alignment horizontal="center" vertical="center"/>
      <protection/>
    </xf>
    <xf numFmtId="49" fontId="28" fillId="0" borderId="10" xfId="107" applyNumberFormat="1" applyFont="1" applyFill="1" applyBorder="1" applyAlignment="1">
      <alignment horizontal="center" vertical="top"/>
      <protection/>
    </xf>
    <xf numFmtId="14" fontId="25" fillId="0" borderId="10" xfId="0" applyNumberFormat="1" applyFont="1" applyFill="1" applyBorder="1" applyAlignment="1">
      <alignment horizontal="center" vertical="center" wrapText="1"/>
    </xf>
    <xf numFmtId="187" fontId="25" fillId="0" borderId="10" xfId="0" applyNumberFormat="1" applyFont="1" applyFill="1" applyBorder="1" applyAlignment="1">
      <alignment horizontal="center" vertical="center"/>
    </xf>
    <xf numFmtId="0" fontId="25" fillId="0" borderId="13" xfId="106" applyFont="1" applyFill="1" applyBorder="1" applyAlignment="1">
      <alignment vertical="center" wrapText="1" shrinkToFit="1"/>
      <protection/>
    </xf>
    <xf numFmtId="0" fontId="25" fillId="0" borderId="14" xfId="106" applyFont="1" applyFill="1" applyBorder="1" applyAlignment="1">
      <alignment vertical="center"/>
      <protection/>
    </xf>
    <xf numFmtId="0" fontId="25" fillId="0" borderId="15" xfId="106" applyFont="1" applyFill="1" applyBorder="1" applyAlignment="1">
      <alignment vertical="center"/>
      <protection/>
    </xf>
    <xf numFmtId="0" fontId="25" fillId="0" borderId="12" xfId="106" applyFont="1" applyFill="1" applyBorder="1" applyAlignment="1">
      <alignment vertical="center"/>
      <protection/>
    </xf>
    <xf numFmtId="0" fontId="25" fillId="0" borderId="10" xfId="106" applyFont="1" applyFill="1" applyBorder="1" applyAlignment="1">
      <alignment vertical="center"/>
      <protection/>
    </xf>
    <xf numFmtId="0" fontId="25" fillId="0" borderId="14" xfId="0" applyFont="1" applyFill="1" applyBorder="1" applyAlignment="1">
      <alignment vertical="center" wrapText="1"/>
    </xf>
    <xf numFmtId="0" fontId="25" fillId="0" borderId="15" xfId="0" applyFont="1" applyFill="1" applyBorder="1" applyAlignment="1">
      <alignment vertical="center" wrapText="1"/>
    </xf>
    <xf numFmtId="0" fontId="25" fillId="0" borderId="12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0" xfId="106" applyFont="1" applyFill="1" applyAlignment="1">
      <alignment horizontal="center" vertical="center" shrinkToFit="1"/>
      <protection/>
    </xf>
    <xf numFmtId="0" fontId="8" fillId="0" borderId="0" xfId="0" applyFont="1" applyFill="1" applyAlignment="1">
      <alignment horizontal="left"/>
    </xf>
    <xf numFmtId="0" fontId="8" fillId="0" borderId="10" xfId="0" applyFont="1" applyFill="1" applyBorder="1" applyAlignment="1">
      <alignment horizontal="center" vertical="center"/>
    </xf>
    <xf numFmtId="0" fontId="25" fillId="0" borderId="0" xfId="106" applyFont="1" applyFill="1" applyAlignment="1">
      <alignment horizontal="center" vertical="center" wrapText="1" shrinkToFi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0 2" xfId="45"/>
    <cellStyle name="Comma 19" xfId="46"/>
    <cellStyle name="Comma 2" xfId="47"/>
    <cellStyle name="Comma 2 2" xfId="48"/>
    <cellStyle name="Comma 2 3" xfId="49"/>
    <cellStyle name="Comma 2 4" xfId="50"/>
    <cellStyle name="Comma 20" xfId="51"/>
    <cellStyle name="Comma 3" xfId="52"/>
    <cellStyle name="Comma 4" xfId="53"/>
    <cellStyle name="Comma 5" xfId="54"/>
    <cellStyle name="Currency" xfId="55"/>
    <cellStyle name="Currency [0]" xfId="56"/>
    <cellStyle name="Explanatory Text" xfId="57"/>
    <cellStyle name="Followed Hyperlink" xfId="58"/>
    <cellStyle name="Good" xfId="59"/>
    <cellStyle name="Heading 1" xfId="60"/>
    <cellStyle name="Heading 2" xfId="61"/>
    <cellStyle name="Heading 3" xfId="62"/>
    <cellStyle name="Heading 4" xfId="63"/>
    <cellStyle name="Hyperlink" xfId="64"/>
    <cellStyle name="Input" xfId="65"/>
    <cellStyle name="Linked Cell" xfId="66"/>
    <cellStyle name="Neutral" xfId="67"/>
    <cellStyle name="Normal 10" xfId="68"/>
    <cellStyle name="Normal 11" xfId="69"/>
    <cellStyle name="Normal 13 3 4" xfId="70"/>
    <cellStyle name="Normal 13 5 3" xfId="71"/>
    <cellStyle name="Normal 14" xfId="72"/>
    <cellStyle name="Normal 14 3 2" xfId="73"/>
    <cellStyle name="Normal 16_axalqalaqis skola " xfId="74"/>
    <cellStyle name="Normal 2" xfId="75"/>
    <cellStyle name="Normal 2 2 2" xfId="76"/>
    <cellStyle name="Normal 2 2_MCXETA yazarma- Copy" xfId="77"/>
    <cellStyle name="Normal 2_---SUL--- GORI-HOSPITALI-BOLO" xfId="78"/>
    <cellStyle name="Normal 3" xfId="79"/>
    <cellStyle name="Normal 3 5" xfId="80"/>
    <cellStyle name="Normal 35 2" xfId="81"/>
    <cellStyle name="Normal 4" xfId="82"/>
    <cellStyle name="Normal 49" xfId="83"/>
    <cellStyle name="Normal 5" xfId="84"/>
    <cellStyle name="Normal 5 4 2" xfId="85"/>
    <cellStyle name="Normal 50" xfId="86"/>
    <cellStyle name="Normal 6" xfId="87"/>
    <cellStyle name="Normal 7" xfId="88"/>
    <cellStyle name="Normal 7 2" xfId="89"/>
    <cellStyle name="Normal 7 3" xfId="90"/>
    <cellStyle name="Normal 8" xfId="91"/>
    <cellStyle name="Normal 9" xfId="92"/>
    <cellStyle name="Normal_gare wyalsadfenigagarini 2 2" xfId="93"/>
    <cellStyle name="Note" xfId="94"/>
    <cellStyle name="Output" xfId="95"/>
    <cellStyle name="Percent" xfId="96"/>
    <cellStyle name="Percent 2" xfId="97"/>
    <cellStyle name="Style 1" xfId="98"/>
    <cellStyle name="Title" xfId="99"/>
    <cellStyle name="Total" xfId="100"/>
    <cellStyle name="Warning Text" xfId="101"/>
    <cellStyle name="Обычный 2" xfId="102"/>
    <cellStyle name="Обычный 2 2" xfId="103"/>
    <cellStyle name="Обычный 3" xfId="104"/>
    <cellStyle name="Обычный 4" xfId="105"/>
    <cellStyle name="Обычный_Лист1" xfId="106"/>
    <cellStyle name="Обычный_Лист1 2" xfId="107"/>
    <cellStyle name="ჩვეულებრივი 2" xfId="108"/>
    <cellStyle name="ჩვეულებრივი 2 2 2" xfId="109"/>
  </cellStyles>
  <dxfs count="17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tabSelected="1" view="pageBreakPreview" zoomScale="85" zoomScaleNormal="85" zoomScaleSheetLayoutView="85" workbookViewId="0" topLeftCell="A1">
      <selection activeCell="J16" sqref="J16"/>
    </sheetView>
  </sheetViews>
  <sheetFormatPr defaultColWidth="9.140625" defaultRowHeight="12.75"/>
  <cols>
    <col min="1" max="1" width="3.421875" style="5" customWidth="1"/>
    <col min="2" max="2" width="7.7109375" style="5" customWidth="1"/>
    <col min="3" max="3" width="52.28125" style="5" customWidth="1"/>
    <col min="4" max="4" width="14.28125" style="2" customWidth="1"/>
    <col min="5" max="5" width="12.421875" style="2" customWidth="1"/>
    <col min="6" max="6" width="14.7109375" style="18" customWidth="1"/>
    <col min="7" max="7" width="13.421875" style="19" customWidth="1"/>
    <col min="8" max="8" width="14.8515625" style="5" customWidth="1"/>
    <col min="9" max="9" width="11.140625" style="5" customWidth="1"/>
    <col min="10" max="10" width="13.421875" style="5" bestFit="1" customWidth="1"/>
    <col min="11" max="11" width="10.28125" style="5" bestFit="1" customWidth="1"/>
    <col min="12" max="16384" width="9.140625" style="5" customWidth="1"/>
  </cols>
  <sheetData>
    <row r="1" spans="1:9" ht="15.75">
      <c r="A1" s="237" t="s">
        <v>23</v>
      </c>
      <c r="B1" s="237"/>
      <c r="C1" s="237"/>
      <c r="D1" s="237"/>
      <c r="E1" s="237"/>
      <c r="F1" s="237"/>
      <c r="G1" s="237"/>
      <c r="H1" s="237"/>
      <c r="I1" s="237"/>
    </row>
    <row r="2" spans="1:9" s="4" customFormat="1" ht="15.75">
      <c r="A2" s="238" t="e">
        <f>#REF!</f>
        <v>#REF!</v>
      </c>
      <c r="B2" s="238"/>
      <c r="C2" s="238"/>
      <c r="D2" s="238"/>
      <c r="E2" s="238"/>
      <c r="F2" s="238"/>
      <c r="G2" s="238"/>
      <c r="H2" s="238"/>
      <c r="I2" s="238"/>
    </row>
    <row r="3" spans="3:9" ht="16.5" customHeight="1">
      <c r="C3" s="2"/>
      <c r="F3" s="239" t="s">
        <v>9</v>
      </c>
      <c r="G3" s="239"/>
      <c r="H3" s="239"/>
      <c r="I3" s="239"/>
    </row>
    <row r="4" spans="1:9" ht="15.75" customHeight="1">
      <c r="A4" s="240" t="s">
        <v>10</v>
      </c>
      <c r="B4" s="241" t="s">
        <v>11</v>
      </c>
      <c r="C4" s="241" t="s">
        <v>12</v>
      </c>
      <c r="D4" s="240" t="s">
        <v>13</v>
      </c>
      <c r="E4" s="240"/>
      <c r="F4" s="240"/>
      <c r="G4" s="240"/>
      <c r="H4" s="240"/>
      <c r="I4" s="241" t="s">
        <v>14</v>
      </c>
    </row>
    <row r="5" spans="1:9" ht="23.25" customHeight="1">
      <c r="A5" s="240"/>
      <c r="B5" s="241"/>
      <c r="C5" s="241"/>
      <c r="D5" s="241" t="s">
        <v>15</v>
      </c>
      <c r="E5" s="241" t="s">
        <v>16</v>
      </c>
      <c r="F5" s="241" t="s">
        <v>17</v>
      </c>
      <c r="G5" s="241" t="s">
        <v>18</v>
      </c>
      <c r="H5" s="240" t="s">
        <v>19</v>
      </c>
      <c r="I5" s="241"/>
    </row>
    <row r="6" spans="1:9" ht="15.75">
      <c r="A6" s="240"/>
      <c r="B6" s="241"/>
      <c r="C6" s="241"/>
      <c r="D6" s="241"/>
      <c r="E6" s="241"/>
      <c r="F6" s="241"/>
      <c r="G6" s="241"/>
      <c r="H6" s="240"/>
      <c r="I6" s="241"/>
    </row>
    <row r="7" spans="1:9" ht="14.25" customHeight="1">
      <c r="A7" s="1">
        <v>1</v>
      </c>
      <c r="B7" s="3">
        <v>2</v>
      </c>
      <c r="C7" s="1">
        <v>3</v>
      </c>
      <c r="D7" s="3">
        <v>4</v>
      </c>
      <c r="E7" s="3">
        <v>5</v>
      </c>
      <c r="F7" s="3">
        <v>6</v>
      </c>
      <c r="G7" s="3">
        <v>7</v>
      </c>
      <c r="H7" s="6">
        <v>8</v>
      </c>
      <c r="I7" s="1">
        <v>9</v>
      </c>
    </row>
    <row r="8" spans="1:9" ht="15.75">
      <c r="A8" s="1"/>
      <c r="B8" s="7" t="s">
        <v>32</v>
      </c>
      <c r="C8" s="8" t="s">
        <v>82</v>
      </c>
      <c r="D8" s="83">
        <f>'ხარჯთ.'!M198</f>
        <v>0</v>
      </c>
      <c r="E8" s="84"/>
      <c r="F8" s="84"/>
      <c r="G8" s="85"/>
      <c r="H8" s="84"/>
      <c r="I8" s="9"/>
    </row>
    <row r="9" spans="1:9" s="4" customFormat="1" ht="15.75">
      <c r="A9" s="61"/>
      <c r="B9" s="62"/>
      <c r="C9" s="63" t="s">
        <v>2</v>
      </c>
      <c r="D9" s="86"/>
      <c r="E9" s="87"/>
      <c r="F9" s="87"/>
      <c r="G9" s="88"/>
      <c r="H9" s="87"/>
      <c r="I9" s="60"/>
    </row>
    <row r="10" spans="1:9" ht="45" customHeight="1">
      <c r="A10" s="10"/>
      <c r="B10" s="10"/>
      <c r="C10" s="11" t="s">
        <v>210</v>
      </c>
      <c r="D10" s="84"/>
      <c r="E10" s="84"/>
      <c r="F10" s="84"/>
      <c r="G10" s="84"/>
      <c r="H10" s="84"/>
      <c r="I10" s="9"/>
    </row>
    <row r="11" spans="1:9" ht="19.5" customHeight="1">
      <c r="A11" s="10"/>
      <c r="B11" s="10"/>
      <c r="C11" s="42" t="s">
        <v>2</v>
      </c>
      <c r="D11" s="84"/>
      <c r="E11" s="84"/>
      <c r="F11" s="84"/>
      <c r="G11" s="84"/>
      <c r="H11" s="84"/>
      <c r="I11" s="9"/>
    </row>
    <row r="12" spans="1:9" ht="16.5" customHeight="1">
      <c r="A12" s="10"/>
      <c r="B12" s="10"/>
      <c r="C12" s="11" t="s">
        <v>211</v>
      </c>
      <c r="D12" s="84"/>
      <c r="E12" s="84"/>
      <c r="F12" s="84"/>
      <c r="G12" s="84"/>
      <c r="H12" s="84"/>
      <c r="I12" s="9"/>
    </row>
    <row r="13" spans="1:9" s="4" customFormat="1" ht="15.75">
      <c r="A13" s="41"/>
      <c r="B13" s="41"/>
      <c r="C13" s="42" t="s">
        <v>2</v>
      </c>
      <c r="D13" s="87"/>
      <c r="E13" s="87"/>
      <c r="F13" s="87"/>
      <c r="G13" s="87"/>
      <c r="H13" s="87"/>
      <c r="I13" s="60"/>
    </row>
    <row r="14" spans="1:9" ht="18.75" customHeight="1">
      <c r="A14" s="10"/>
      <c r="B14" s="10"/>
      <c r="C14" s="11" t="s">
        <v>20</v>
      </c>
      <c r="D14" s="84"/>
      <c r="E14" s="84"/>
      <c r="F14" s="84"/>
      <c r="G14" s="84"/>
      <c r="H14" s="84"/>
      <c r="I14" s="9"/>
    </row>
    <row r="15" spans="1:11" s="4" customFormat="1" ht="17.25" customHeight="1">
      <c r="A15" s="41"/>
      <c r="B15" s="41"/>
      <c r="C15" s="42" t="s">
        <v>2</v>
      </c>
      <c r="D15" s="87"/>
      <c r="E15" s="87"/>
      <c r="F15" s="87"/>
      <c r="G15" s="87"/>
      <c r="H15" s="87"/>
      <c r="I15" s="60"/>
      <c r="J15" s="38"/>
      <c r="K15" s="39"/>
    </row>
    <row r="16" spans="1:11" ht="15.75">
      <c r="A16" s="10"/>
      <c r="B16" s="10"/>
      <c r="C16" s="37"/>
      <c r="D16" s="89"/>
      <c r="E16" s="90"/>
      <c r="F16" s="91"/>
      <c r="G16" s="84"/>
      <c r="H16" s="84"/>
      <c r="I16" s="9"/>
      <c r="J16" s="38"/>
      <c r="K16" s="39"/>
    </row>
    <row r="17" spans="1:11" ht="17.25" customHeight="1">
      <c r="A17" s="41"/>
      <c r="B17" s="41"/>
      <c r="C17" s="42" t="s">
        <v>73</v>
      </c>
      <c r="D17" s="87"/>
      <c r="E17" s="87"/>
      <c r="F17" s="87"/>
      <c r="G17" s="87"/>
      <c r="H17" s="87"/>
      <c r="I17" s="9"/>
      <c r="J17" s="38"/>
      <c r="K17" s="39"/>
    </row>
    <row r="18" spans="3:11" ht="17.25" customHeight="1">
      <c r="C18" s="19"/>
      <c r="D18" s="40"/>
      <c r="E18" s="40"/>
      <c r="F18" s="40"/>
      <c r="G18" s="40"/>
      <c r="H18" s="40"/>
      <c r="I18" s="17"/>
      <c r="J18" s="43"/>
      <c r="K18" s="39"/>
    </row>
    <row r="19" spans="3:11" ht="17.25" customHeight="1">
      <c r="C19" s="19"/>
      <c r="D19" s="40"/>
      <c r="E19" s="40"/>
      <c r="F19" s="40"/>
      <c r="G19" s="40"/>
      <c r="H19" s="40"/>
      <c r="I19" s="17"/>
      <c r="J19" s="38"/>
      <c r="K19" s="39"/>
    </row>
    <row r="20" spans="3:9" ht="15.75">
      <c r="C20" s="13"/>
      <c r="D20" s="14"/>
      <c r="E20" s="14"/>
      <c r="F20" s="15"/>
      <c r="G20" s="16"/>
      <c r="H20" s="17"/>
      <c r="I20" s="30"/>
    </row>
    <row r="21" spans="2:13" s="31" customFormat="1" ht="13.5">
      <c r="B21" s="34"/>
      <c r="L21" s="34"/>
      <c r="M21" s="33"/>
    </row>
    <row r="22" s="31" customFormat="1" ht="13.5">
      <c r="C22" s="36"/>
    </row>
    <row r="23" spans="3:8" s="31" customFormat="1" ht="13.5">
      <c r="C23" s="36"/>
      <c r="G23" s="242"/>
      <c r="H23" s="242"/>
    </row>
    <row r="24" s="31" customFormat="1" ht="15" customHeight="1">
      <c r="C24" s="36"/>
    </row>
    <row r="25" spans="3:9" s="34" customFormat="1" ht="13.5">
      <c r="C25" s="32"/>
      <c r="I25" s="35"/>
    </row>
    <row r="26" spans="4:7" ht="15.75">
      <c r="D26" s="19"/>
      <c r="E26" s="5"/>
      <c r="F26" s="5"/>
      <c r="G26" s="5"/>
    </row>
    <row r="27" spans="4:7" ht="15.75">
      <c r="D27" s="19"/>
      <c r="E27" s="5"/>
      <c r="F27" s="5"/>
      <c r="G27" s="5"/>
    </row>
    <row r="40" spans="4:8" ht="15.75">
      <c r="D40" s="20"/>
      <c r="E40" s="21"/>
      <c r="F40" s="22"/>
      <c r="G40" s="23"/>
      <c r="H40" s="24"/>
    </row>
    <row r="41" spans="4:8" ht="15.75">
      <c r="D41" s="25"/>
      <c r="E41" s="21"/>
      <c r="F41" s="26"/>
      <c r="G41" s="27"/>
      <c r="H41" s="28"/>
    </row>
    <row r="42" spans="2:8" ht="15.75">
      <c r="B42" s="29"/>
      <c r="D42" s="25"/>
      <c r="E42" s="21"/>
      <c r="F42" s="26"/>
      <c r="G42" s="27"/>
      <c r="H42" s="28"/>
    </row>
    <row r="43" spans="4:8" ht="15.75">
      <c r="D43" s="25"/>
      <c r="E43" s="21"/>
      <c r="F43" s="26"/>
      <c r="G43" s="27"/>
      <c r="H43" s="28"/>
    </row>
    <row r="44" spans="2:8" ht="15.75">
      <c r="B44" s="29"/>
      <c r="D44" s="25"/>
      <c r="E44" s="21"/>
      <c r="F44" s="26"/>
      <c r="G44" s="27"/>
      <c r="H44" s="28"/>
    </row>
    <row r="45" spans="4:8" ht="15.75">
      <c r="D45" s="25"/>
      <c r="E45" s="21"/>
      <c r="F45" s="26"/>
      <c r="G45" s="27"/>
      <c r="H45" s="28"/>
    </row>
    <row r="46" spans="4:8" ht="15.75">
      <c r="D46" s="25"/>
      <c r="E46" s="21"/>
      <c r="F46" s="26"/>
      <c r="G46" s="27"/>
      <c r="H46" s="28"/>
    </row>
    <row r="47" spans="4:8" ht="15.75">
      <c r="D47" s="25"/>
      <c r="E47" s="21"/>
      <c r="F47" s="26"/>
      <c r="G47" s="27"/>
      <c r="H47" s="28"/>
    </row>
    <row r="48" spans="4:8" ht="15.75">
      <c r="D48" s="25"/>
      <c r="E48" s="21"/>
      <c r="F48" s="26"/>
      <c r="G48" s="27"/>
      <c r="H48" s="28"/>
    </row>
    <row r="49" spans="2:8" ht="15.75">
      <c r="B49" s="29"/>
      <c r="D49" s="25"/>
      <c r="E49" s="21"/>
      <c r="F49" s="26"/>
      <c r="G49" s="27"/>
      <c r="H49" s="28"/>
    </row>
    <row r="50" spans="2:8" ht="15.75">
      <c r="B50" s="29"/>
      <c r="D50" s="25"/>
      <c r="E50" s="21"/>
      <c r="F50" s="26"/>
      <c r="G50" s="27"/>
      <c r="H50" s="28"/>
    </row>
    <row r="51" spans="2:8" ht="15.75">
      <c r="B51" s="29"/>
      <c r="D51" s="25"/>
      <c r="E51" s="21"/>
      <c r="F51" s="26"/>
      <c r="G51" s="27"/>
      <c r="H51" s="28"/>
    </row>
    <row r="52" spans="4:8" ht="15.75">
      <c r="D52" s="25"/>
      <c r="E52" s="21"/>
      <c r="F52" s="26"/>
      <c r="G52" s="27"/>
      <c r="H52" s="28"/>
    </row>
    <row r="53" spans="4:8" ht="15.75">
      <c r="D53" s="25"/>
      <c r="E53" s="21"/>
      <c r="F53" s="26"/>
      <c r="G53" s="27"/>
      <c r="H53" s="28"/>
    </row>
    <row r="54" spans="4:8" ht="15.75">
      <c r="D54" s="25"/>
      <c r="E54" s="21"/>
      <c r="F54" s="26"/>
      <c r="G54" s="27"/>
      <c r="H54" s="28"/>
    </row>
    <row r="55" spans="2:8" ht="15.75">
      <c r="B55" s="29"/>
      <c r="D55" s="25"/>
      <c r="E55" s="21"/>
      <c r="F55" s="26"/>
      <c r="G55" s="27"/>
      <c r="H55" s="28"/>
    </row>
    <row r="56" spans="4:8" ht="15.75">
      <c r="D56" s="25"/>
      <c r="E56" s="21"/>
      <c r="F56" s="26"/>
      <c r="G56" s="27"/>
      <c r="H56" s="28"/>
    </row>
    <row r="57" spans="4:8" ht="15.75">
      <c r="D57" s="25"/>
      <c r="E57" s="21"/>
      <c r="F57" s="26"/>
      <c r="G57" s="27"/>
      <c r="H57" s="28"/>
    </row>
    <row r="58" spans="4:8" ht="15.75">
      <c r="D58" s="25"/>
      <c r="E58" s="21"/>
      <c r="F58" s="26"/>
      <c r="G58" s="27"/>
      <c r="H58" s="28"/>
    </row>
    <row r="59" spans="4:8" ht="15.75">
      <c r="D59" s="25"/>
      <c r="E59" s="21"/>
      <c r="F59" s="26"/>
      <c r="G59" s="27"/>
      <c r="H59" s="28"/>
    </row>
    <row r="60" spans="4:8" ht="15.75">
      <c r="D60" s="25"/>
      <c r="E60" s="21"/>
      <c r="F60" s="26"/>
      <c r="G60" s="27"/>
      <c r="H60" s="28"/>
    </row>
    <row r="61" spans="4:8" ht="15.75">
      <c r="D61" s="25"/>
      <c r="E61" s="21"/>
      <c r="F61" s="26"/>
      <c r="G61" s="27"/>
      <c r="H61" s="28"/>
    </row>
    <row r="62" spans="2:8" ht="15.75">
      <c r="B62" s="12"/>
      <c r="D62" s="25"/>
      <c r="E62" s="21"/>
      <c r="F62" s="26"/>
      <c r="G62" s="27"/>
      <c r="H62" s="28"/>
    </row>
    <row r="63" spans="4:8" ht="15.75">
      <c r="D63" s="25"/>
      <c r="E63" s="21"/>
      <c r="F63" s="26"/>
      <c r="G63" s="27"/>
      <c r="H63" s="28"/>
    </row>
    <row r="64" spans="4:8" ht="15.75">
      <c r="D64" s="25"/>
      <c r="E64" s="21"/>
      <c r="F64" s="26"/>
      <c r="G64" s="27"/>
      <c r="H64" s="28"/>
    </row>
    <row r="65" spans="4:8" ht="15.75">
      <c r="D65" s="25"/>
      <c r="E65" s="21"/>
      <c r="F65" s="26"/>
      <c r="G65" s="27"/>
      <c r="H65" s="28"/>
    </row>
    <row r="66" spans="4:8" ht="15.75">
      <c r="D66" s="25"/>
      <c r="E66" s="21"/>
      <c r="F66" s="26"/>
      <c r="G66" s="27"/>
      <c r="H66" s="28"/>
    </row>
    <row r="67" spans="4:8" ht="15.75">
      <c r="D67" s="25"/>
      <c r="E67" s="21"/>
      <c r="F67" s="26"/>
      <c r="G67" s="27"/>
      <c r="H67" s="28"/>
    </row>
    <row r="68" spans="4:8" ht="15.75">
      <c r="D68" s="25"/>
      <c r="E68" s="21"/>
      <c r="F68" s="26"/>
      <c r="G68" s="27"/>
      <c r="H68" s="28"/>
    </row>
  </sheetData>
  <sheetProtection/>
  <mergeCells count="14">
    <mergeCell ref="G23:H23"/>
    <mergeCell ref="E5:E6"/>
    <mergeCell ref="F5:F6"/>
    <mergeCell ref="G5:G6"/>
    <mergeCell ref="H5:H6"/>
    <mergeCell ref="A1:I1"/>
    <mergeCell ref="A2:I2"/>
    <mergeCell ref="F3:I3"/>
    <mergeCell ref="A4:A6"/>
    <mergeCell ref="B4:B6"/>
    <mergeCell ref="C4:C6"/>
    <mergeCell ref="D4:H4"/>
    <mergeCell ref="I4:I6"/>
    <mergeCell ref="D5:D6"/>
  </mergeCells>
  <printOptions horizontalCentered="1"/>
  <pageMargins left="0.45" right="0.25" top="0.45" bottom="0.45" header="0.3" footer="0.3"/>
  <pageSetup fitToHeight="0" fitToWidth="1" horizontalDpi="1200" verticalDpi="1200" orientation="landscape" paperSize="9" scale="98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O208"/>
  <sheetViews>
    <sheetView view="pageBreakPreview" zoomScale="80" zoomScaleNormal="85" zoomScaleSheetLayoutView="80" workbookViewId="0" topLeftCell="A1">
      <selection activeCell="O187" sqref="O187:P194"/>
    </sheetView>
  </sheetViews>
  <sheetFormatPr defaultColWidth="9.140625" defaultRowHeight="12.75"/>
  <cols>
    <col min="1" max="1" width="3.57421875" style="93" customWidth="1"/>
    <col min="2" max="2" width="7.8515625" style="109" customWidth="1"/>
    <col min="3" max="3" width="50.28125" style="93" customWidth="1"/>
    <col min="4" max="4" width="9.28125" style="93" customWidth="1"/>
    <col min="5" max="5" width="8.421875" style="93" customWidth="1"/>
    <col min="6" max="6" width="11.7109375" style="93" customWidth="1"/>
    <col min="7" max="7" width="8.7109375" style="93" customWidth="1"/>
    <col min="8" max="8" width="12.28125" style="93" customWidth="1"/>
    <col min="9" max="9" width="9.421875" style="93" customWidth="1"/>
    <col min="10" max="10" width="10.421875" style="93" customWidth="1"/>
    <col min="11" max="11" width="8.140625" style="93" customWidth="1"/>
    <col min="12" max="12" width="9.57421875" style="93" customWidth="1"/>
    <col min="13" max="13" width="12.00390625" style="93" customWidth="1"/>
    <col min="14" max="14" width="4.00390625" style="93" customWidth="1"/>
    <col min="15" max="16384" width="9.140625" style="93" customWidth="1"/>
  </cols>
  <sheetData>
    <row r="1" spans="1:14" ht="12.75">
      <c r="A1" s="245" t="s">
        <v>75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92"/>
    </row>
    <row r="2" spans="1:14" ht="12.75">
      <c r="A2" s="248" t="e">
        <f>#REF!</f>
        <v>#REF!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94"/>
    </row>
    <row r="3" ht="12.75">
      <c r="N3" s="94"/>
    </row>
    <row r="4" spans="1:14" ht="12.75">
      <c r="A4" s="243" t="s">
        <v>1</v>
      </c>
      <c r="B4" s="244" t="s">
        <v>51</v>
      </c>
      <c r="C4" s="243" t="s">
        <v>34</v>
      </c>
      <c r="D4" s="243" t="s">
        <v>35</v>
      </c>
      <c r="E4" s="243" t="s">
        <v>36</v>
      </c>
      <c r="F4" s="243" t="s">
        <v>37</v>
      </c>
      <c r="G4" s="247" t="s">
        <v>38</v>
      </c>
      <c r="H4" s="247"/>
      <c r="I4" s="247" t="s">
        <v>39</v>
      </c>
      <c r="J4" s="247"/>
      <c r="K4" s="243" t="s">
        <v>40</v>
      </c>
      <c r="L4" s="243"/>
      <c r="M4" s="46" t="s">
        <v>52</v>
      </c>
      <c r="N4" s="96"/>
    </row>
    <row r="5" spans="1:14" ht="12.75">
      <c r="A5" s="243"/>
      <c r="B5" s="244"/>
      <c r="C5" s="243"/>
      <c r="D5" s="243"/>
      <c r="E5" s="243"/>
      <c r="F5" s="243"/>
      <c r="G5" s="46" t="s">
        <v>41</v>
      </c>
      <c r="H5" s="48" t="s">
        <v>2</v>
      </c>
      <c r="I5" s="46" t="s">
        <v>41</v>
      </c>
      <c r="J5" s="48" t="s">
        <v>2</v>
      </c>
      <c r="K5" s="46" t="s">
        <v>41</v>
      </c>
      <c r="L5" s="48" t="s">
        <v>42</v>
      </c>
      <c r="M5" s="46" t="s">
        <v>43</v>
      </c>
      <c r="N5" s="96"/>
    </row>
    <row r="6" spans="1:14" ht="12.75">
      <c r="A6" s="44">
        <v>1</v>
      </c>
      <c r="B6" s="95">
        <v>3</v>
      </c>
      <c r="C6" s="44">
        <v>2</v>
      </c>
      <c r="D6" s="44">
        <v>4</v>
      </c>
      <c r="E6" s="44">
        <v>5</v>
      </c>
      <c r="F6" s="44">
        <v>6</v>
      </c>
      <c r="G6" s="46">
        <v>7</v>
      </c>
      <c r="H6" s="97">
        <v>8</v>
      </c>
      <c r="I6" s="46">
        <v>9</v>
      </c>
      <c r="J6" s="97">
        <v>10</v>
      </c>
      <c r="K6" s="46">
        <v>11</v>
      </c>
      <c r="L6" s="97">
        <v>12</v>
      </c>
      <c r="M6" s="46">
        <v>13</v>
      </c>
      <c r="N6" s="96"/>
    </row>
    <row r="7" spans="1:14" ht="12.75">
      <c r="A7" s="248" t="e">
        <f>#REF!</f>
        <v>#REF!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96"/>
    </row>
    <row r="8" spans="1:14" ht="25.5">
      <c r="A8" s="57" t="s">
        <v>107</v>
      </c>
      <c r="B8" s="51" t="s">
        <v>108</v>
      </c>
      <c r="C8" s="98" t="s">
        <v>109</v>
      </c>
      <c r="D8" s="99" t="s">
        <v>5</v>
      </c>
      <c r="E8" s="99"/>
      <c r="F8" s="100">
        <f>369*0.44</f>
        <v>162.36</v>
      </c>
      <c r="G8" s="99"/>
      <c r="H8" s="101"/>
      <c r="I8" s="99"/>
      <c r="J8" s="101"/>
      <c r="K8" s="99"/>
      <c r="L8" s="101"/>
      <c r="M8" s="102"/>
      <c r="N8" s="45"/>
    </row>
    <row r="9" spans="1:14" ht="12.75">
      <c r="A9" s="103"/>
      <c r="B9" s="52"/>
      <c r="C9" s="104" t="s">
        <v>110</v>
      </c>
      <c r="D9" s="105" t="s">
        <v>113</v>
      </c>
      <c r="E9" s="46">
        <f>11.4/1000</f>
        <v>0.0114</v>
      </c>
      <c r="F9" s="48">
        <f>F8*E9</f>
        <v>1.8509040000000003</v>
      </c>
      <c r="G9" s="46"/>
      <c r="H9" s="48"/>
      <c r="I9" s="46"/>
      <c r="J9" s="48"/>
      <c r="K9" s="46"/>
      <c r="L9" s="48"/>
      <c r="M9" s="48"/>
      <c r="N9" s="45"/>
    </row>
    <row r="10" spans="1:14" ht="12.75">
      <c r="A10" s="103"/>
      <c r="B10" s="53" t="s">
        <v>111</v>
      </c>
      <c r="C10" s="104" t="s">
        <v>112</v>
      </c>
      <c r="D10" s="105" t="s">
        <v>114</v>
      </c>
      <c r="E10" s="46">
        <f>50.9/1000</f>
        <v>0.0509</v>
      </c>
      <c r="F10" s="49">
        <f>F8*E10</f>
        <v>8.264124</v>
      </c>
      <c r="G10" s="44"/>
      <c r="H10" s="44"/>
      <c r="I10" s="44"/>
      <c r="J10" s="44"/>
      <c r="K10" s="44"/>
      <c r="L10" s="106"/>
      <c r="M10" s="48"/>
      <c r="N10" s="45"/>
    </row>
    <row r="11" spans="1:14" ht="25.5">
      <c r="A11" s="57" t="s">
        <v>32</v>
      </c>
      <c r="B11" s="51" t="s">
        <v>72</v>
      </c>
      <c r="C11" s="98" t="s">
        <v>115</v>
      </c>
      <c r="D11" s="105" t="s">
        <v>62</v>
      </c>
      <c r="E11" s="65"/>
      <c r="F11" s="100">
        <f>F8*0.03</f>
        <v>4.8708</v>
      </c>
      <c r="G11" s="105"/>
      <c r="H11" s="49"/>
      <c r="I11" s="105"/>
      <c r="J11" s="48"/>
      <c r="K11" s="105"/>
      <c r="L11" s="49"/>
      <c r="M11" s="102"/>
      <c r="N11" s="45"/>
    </row>
    <row r="12" spans="1:14" ht="12.75">
      <c r="A12" s="57"/>
      <c r="B12" s="51"/>
      <c r="C12" s="104" t="s">
        <v>110</v>
      </c>
      <c r="D12" s="105" t="s">
        <v>113</v>
      </c>
      <c r="E12" s="105">
        <f>206/100</f>
        <v>2.06</v>
      </c>
      <c r="F12" s="48">
        <f>F11*E12</f>
        <v>10.033848</v>
      </c>
      <c r="G12" s="105"/>
      <c r="H12" s="49"/>
      <c r="I12" s="105"/>
      <c r="J12" s="48"/>
      <c r="K12" s="105"/>
      <c r="L12" s="49"/>
      <c r="M12" s="102"/>
      <c r="N12" s="45"/>
    </row>
    <row r="13" spans="1:14" ht="25.5">
      <c r="A13" s="57" t="s">
        <v>116</v>
      </c>
      <c r="B13" s="51" t="s">
        <v>117</v>
      </c>
      <c r="C13" s="98" t="s">
        <v>118</v>
      </c>
      <c r="D13" s="105" t="s">
        <v>62</v>
      </c>
      <c r="E13" s="65"/>
      <c r="F13" s="100">
        <f>369*0.53</f>
        <v>195.57000000000002</v>
      </c>
      <c r="G13" s="105"/>
      <c r="H13" s="49"/>
      <c r="I13" s="105"/>
      <c r="J13" s="48"/>
      <c r="K13" s="105"/>
      <c r="L13" s="49"/>
      <c r="M13" s="102"/>
      <c r="N13" s="45"/>
    </row>
    <row r="14" spans="1:14" ht="12.75">
      <c r="A14" s="57"/>
      <c r="B14" s="51"/>
      <c r="C14" s="104" t="s">
        <v>110</v>
      </c>
      <c r="D14" s="105" t="s">
        <v>113</v>
      </c>
      <c r="E14" s="105">
        <f>21.5/1000</f>
        <v>0.0215</v>
      </c>
      <c r="F14" s="107">
        <f>F13*E14</f>
        <v>4.2047550000000005</v>
      </c>
      <c r="G14" s="46"/>
      <c r="H14" s="48"/>
      <c r="I14" s="46"/>
      <c r="J14" s="48"/>
      <c r="K14" s="46"/>
      <c r="L14" s="48"/>
      <c r="M14" s="48"/>
      <c r="N14" s="45"/>
    </row>
    <row r="15" spans="1:14" ht="12.75">
      <c r="A15" s="57"/>
      <c r="B15" s="51" t="s">
        <v>111</v>
      </c>
      <c r="C15" s="104" t="s">
        <v>112</v>
      </c>
      <c r="D15" s="105" t="s">
        <v>114</v>
      </c>
      <c r="E15" s="105">
        <f>48.2/1000</f>
        <v>0.0482</v>
      </c>
      <c r="F15" s="107">
        <f>E15*F13</f>
        <v>9.426474</v>
      </c>
      <c r="G15" s="44"/>
      <c r="H15" s="44"/>
      <c r="I15" s="44"/>
      <c r="J15" s="44"/>
      <c r="K15" s="44"/>
      <c r="L15" s="106"/>
      <c r="M15" s="48"/>
      <c r="N15" s="45"/>
    </row>
    <row r="16" spans="1:14" ht="12.75">
      <c r="A16" s="57" t="s">
        <v>119</v>
      </c>
      <c r="B16" s="51" t="s">
        <v>120</v>
      </c>
      <c r="C16" s="98" t="s">
        <v>121</v>
      </c>
      <c r="D16" s="105" t="s">
        <v>62</v>
      </c>
      <c r="E16" s="65"/>
      <c r="F16" s="100">
        <f>F13*0.03</f>
        <v>5.867100000000001</v>
      </c>
      <c r="G16" s="105"/>
      <c r="H16" s="49"/>
      <c r="I16" s="105"/>
      <c r="J16" s="48"/>
      <c r="K16" s="105"/>
      <c r="L16" s="49"/>
      <c r="M16" s="102"/>
      <c r="N16" s="45"/>
    </row>
    <row r="17" spans="1:14" ht="12.75">
      <c r="A17" s="57"/>
      <c r="B17" s="51"/>
      <c r="C17" s="104" t="s">
        <v>110</v>
      </c>
      <c r="D17" s="105" t="s">
        <v>113</v>
      </c>
      <c r="E17" s="105">
        <f>299/100</f>
        <v>2.99</v>
      </c>
      <c r="F17" s="48">
        <f>F16*E17</f>
        <v>17.542629</v>
      </c>
      <c r="G17" s="105"/>
      <c r="H17" s="49"/>
      <c r="I17" s="105"/>
      <c r="J17" s="48"/>
      <c r="K17" s="105"/>
      <c r="L17" s="49"/>
      <c r="M17" s="102"/>
      <c r="N17" s="45"/>
    </row>
    <row r="18" spans="1:14" s="109" customFormat="1" ht="25.5">
      <c r="A18" s="57" t="s">
        <v>129</v>
      </c>
      <c r="B18" s="51" t="s">
        <v>122</v>
      </c>
      <c r="C18" s="98" t="s">
        <v>123</v>
      </c>
      <c r="D18" s="65" t="s">
        <v>62</v>
      </c>
      <c r="E18" s="105"/>
      <c r="F18" s="82">
        <f>F8+F11+F13+F16-F26</f>
        <v>99.26790000000005</v>
      </c>
      <c r="G18" s="105"/>
      <c r="H18" s="49"/>
      <c r="I18" s="105"/>
      <c r="J18" s="48"/>
      <c r="K18" s="105"/>
      <c r="L18" s="49"/>
      <c r="M18" s="102"/>
      <c r="N18" s="108"/>
    </row>
    <row r="19" spans="1:14" s="109" customFormat="1" ht="12.75">
      <c r="A19" s="57"/>
      <c r="B19" s="51"/>
      <c r="C19" s="104" t="s">
        <v>124</v>
      </c>
      <c r="D19" s="105" t="s">
        <v>113</v>
      </c>
      <c r="E19" s="105">
        <f>27/1000</f>
        <v>0.027</v>
      </c>
      <c r="F19" s="48">
        <f>E19*F18</f>
        <v>2.6802333000000016</v>
      </c>
      <c r="G19" s="105"/>
      <c r="H19" s="49"/>
      <c r="I19" s="105"/>
      <c r="J19" s="48"/>
      <c r="K19" s="105"/>
      <c r="L19" s="49"/>
      <c r="M19" s="48"/>
      <c r="N19" s="108"/>
    </row>
    <row r="20" spans="1:14" s="109" customFormat="1" ht="12.75">
      <c r="A20" s="57"/>
      <c r="B20" s="51" t="s">
        <v>111</v>
      </c>
      <c r="C20" s="104" t="s">
        <v>125</v>
      </c>
      <c r="D20" s="105" t="s">
        <v>63</v>
      </c>
      <c r="E20" s="105">
        <f>60.5/1000</f>
        <v>0.0605</v>
      </c>
      <c r="F20" s="48">
        <f>E20*F18</f>
        <v>6.005707950000003</v>
      </c>
      <c r="G20" s="105"/>
      <c r="H20" s="49"/>
      <c r="I20" s="105"/>
      <c r="J20" s="48"/>
      <c r="K20" s="44"/>
      <c r="L20" s="110"/>
      <c r="M20" s="48"/>
      <c r="N20" s="108"/>
    </row>
    <row r="21" spans="1:14" s="109" customFormat="1" ht="12.75">
      <c r="A21" s="57"/>
      <c r="B21" s="51"/>
      <c r="C21" s="104" t="s">
        <v>126</v>
      </c>
      <c r="D21" s="105" t="s">
        <v>0</v>
      </c>
      <c r="E21" s="105">
        <f>2.21/1000</f>
        <v>0.00221</v>
      </c>
      <c r="F21" s="48">
        <f>E21*F18</f>
        <v>0.21938205900000013</v>
      </c>
      <c r="G21" s="105"/>
      <c r="H21" s="49"/>
      <c r="I21" s="105"/>
      <c r="J21" s="48"/>
      <c r="K21" s="105"/>
      <c r="L21" s="106"/>
      <c r="M21" s="48"/>
      <c r="N21" s="108"/>
    </row>
    <row r="22" spans="1:14" s="109" customFormat="1" ht="12.75">
      <c r="A22" s="57"/>
      <c r="B22" s="51" t="s">
        <v>127</v>
      </c>
      <c r="C22" s="104" t="s">
        <v>128</v>
      </c>
      <c r="D22" s="105" t="s">
        <v>62</v>
      </c>
      <c r="E22" s="105">
        <f>0.06/1000</f>
        <v>5.9999999999999995E-05</v>
      </c>
      <c r="F22" s="48">
        <f>F18*E22</f>
        <v>0.005956074000000003</v>
      </c>
      <c r="G22" s="111"/>
      <c r="H22" s="49"/>
      <c r="I22" s="105"/>
      <c r="J22" s="48"/>
      <c r="K22" s="105"/>
      <c r="L22" s="49"/>
      <c r="M22" s="48"/>
      <c r="N22" s="108"/>
    </row>
    <row r="23" spans="1:14" s="109" customFormat="1" ht="38.25">
      <c r="A23" s="57" t="s">
        <v>134</v>
      </c>
      <c r="B23" s="51" t="s">
        <v>130</v>
      </c>
      <c r="C23" s="98" t="s">
        <v>131</v>
      </c>
      <c r="D23" s="65" t="s">
        <v>62</v>
      </c>
      <c r="E23" s="105"/>
      <c r="F23" s="100">
        <v>99.6</v>
      </c>
      <c r="G23" s="105"/>
      <c r="H23" s="49"/>
      <c r="I23" s="105"/>
      <c r="J23" s="48"/>
      <c r="K23" s="105"/>
      <c r="L23" s="49"/>
      <c r="M23" s="102"/>
      <c r="N23" s="108"/>
    </row>
    <row r="24" spans="1:14" s="109" customFormat="1" ht="12.75">
      <c r="A24" s="57"/>
      <c r="B24" s="51"/>
      <c r="C24" s="104" t="s">
        <v>110</v>
      </c>
      <c r="D24" s="105" t="s">
        <v>113</v>
      </c>
      <c r="E24" s="105">
        <f>18/10</f>
        <v>1.8</v>
      </c>
      <c r="F24" s="112">
        <f>F23*E24</f>
        <v>179.28</v>
      </c>
      <c r="G24" s="105"/>
      <c r="H24" s="49"/>
      <c r="I24" s="105"/>
      <c r="J24" s="48"/>
      <c r="K24" s="105"/>
      <c r="L24" s="49"/>
      <c r="M24" s="48"/>
      <c r="N24" s="108"/>
    </row>
    <row r="25" spans="1:14" s="109" customFormat="1" ht="12.75">
      <c r="A25" s="57"/>
      <c r="B25" s="51" t="s">
        <v>132</v>
      </c>
      <c r="C25" s="104" t="s">
        <v>133</v>
      </c>
      <c r="D25" s="105" t="s">
        <v>62</v>
      </c>
      <c r="E25" s="105">
        <f>11/10</f>
        <v>1.1</v>
      </c>
      <c r="F25" s="112">
        <f>F23*E25</f>
        <v>109.56</v>
      </c>
      <c r="G25" s="105"/>
      <c r="H25" s="49"/>
      <c r="I25" s="105"/>
      <c r="J25" s="48"/>
      <c r="K25" s="105"/>
      <c r="L25" s="49"/>
      <c r="M25" s="48"/>
      <c r="N25" s="108"/>
    </row>
    <row r="26" spans="1:14" s="109" customFormat="1" ht="25.5">
      <c r="A26" s="57" t="s">
        <v>146</v>
      </c>
      <c r="B26" s="51" t="s">
        <v>71</v>
      </c>
      <c r="C26" s="98" t="s">
        <v>135</v>
      </c>
      <c r="D26" s="65" t="s">
        <v>62</v>
      </c>
      <c r="E26" s="105"/>
      <c r="F26" s="100">
        <v>269.4</v>
      </c>
      <c r="G26" s="105"/>
      <c r="H26" s="49"/>
      <c r="I26" s="105"/>
      <c r="J26" s="48"/>
      <c r="K26" s="105"/>
      <c r="L26" s="49"/>
      <c r="M26" s="102"/>
      <c r="N26" s="108"/>
    </row>
    <row r="27" spans="1:14" s="109" customFormat="1" ht="12.75">
      <c r="A27" s="57"/>
      <c r="B27" s="51"/>
      <c r="C27" s="104" t="s">
        <v>136</v>
      </c>
      <c r="D27" s="105" t="s">
        <v>63</v>
      </c>
      <c r="E27" s="105">
        <f>9.21/1000</f>
        <v>0.009210000000000001</v>
      </c>
      <c r="F27" s="107">
        <f>F26*E27</f>
        <v>2.481174</v>
      </c>
      <c r="G27" s="105"/>
      <c r="H27" s="49"/>
      <c r="I27" s="105"/>
      <c r="J27" s="48"/>
      <c r="K27" s="105"/>
      <c r="L27" s="106"/>
      <c r="M27" s="48"/>
      <c r="N27" s="108"/>
    </row>
    <row r="28" spans="1:14" s="109" customFormat="1" ht="25.5">
      <c r="A28" s="57" t="s">
        <v>147</v>
      </c>
      <c r="B28" s="51" t="s">
        <v>137</v>
      </c>
      <c r="C28" s="98" t="s">
        <v>138</v>
      </c>
      <c r="D28" s="65" t="s">
        <v>62</v>
      </c>
      <c r="E28" s="65"/>
      <c r="F28" s="101">
        <f>F26</f>
        <v>269.4</v>
      </c>
      <c r="G28" s="105"/>
      <c r="H28" s="49"/>
      <c r="I28" s="105"/>
      <c r="J28" s="48"/>
      <c r="K28" s="105"/>
      <c r="L28" s="49"/>
      <c r="M28" s="102"/>
      <c r="N28" s="108"/>
    </row>
    <row r="29" spans="1:14" s="109" customFormat="1" ht="12.75">
      <c r="A29" s="57"/>
      <c r="B29" s="51"/>
      <c r="C29" s="104" t="s">
        <v>110</v>
      </c>
      <c r="D29" s="105" t="s">
        <v>113</v>
      </c>
      <c r="E29" s="105">
        <f>13.4/100</f>
        <v>0.134</v>
      </c>
      <c r="F29" s="102">
        <f>E29*F28</f>
        <v>36.0996</v>
      </c>
      <c r="G29" s="105"/>
      <c r="H29" s="49"/>
      <c r="I29" s="105"/>
      <c r="J29" s="48"/>
      <c r="K29" s="105"/>
      <c r="L29" s="49"/>
      <c r="M29" s="48"/>
      <c r="N29" s="108"/>
    </row>
    <row r="30" spans="1:14" s="109" customFormat="1" ht="12.75">
      <c r="A30" s="57"/>
      <c r="B30" s="51" t="s">
        <v>139</v>
      </c>
      <c r="C30" s="104" t="s">
        <v>140</v>
      </c>
      <c r="D30" s="105" t="s">
        <v>141</v>
      </c>
      <c r="E30" s="105">
        <f>13/100</f>
        <v>0.13</v>
      </c>
      <c r="F30" s="102">
        <f>F28*E30</f>
        <v>35.022</v>
      </c>
      <c r="G30" s="105"/>
      <c r="H30" s="49"/>
      <c r="I30" s="105"/>
      <c r="J30" s="48"/>
      <c r="K30" s="105"/>
      <c r="L30" s="106"/>
      <c r="M30" s="48"/>
      <c r="N30" s="108"/>
    </row>
    <row r="31" spans="1:14" s="109" customFormat="1" ht="12.75">
      <c r="A31" s="57"/>
      <c r="B31" s="51" t="s">
        <v>142</v>
      </c>
      <c r="C31" s="104" t="s">
        <v>143</v>
      </c>
      <c r="D31" s="105" t="s">
        <v>141</v>
      </c>
      <c r="E31" s="111">
        <v>0</v>
      </c>
      <c r="F31" s="102">
        <f>F28*E31</f>
        <v>0</v>
      </c>
      <c r="G31" s="105"/>
      <c r="H31" s="49"/>
      <c r="I31" s="105"/>
      <c r="J31" s="48"/>
      <c r="K31" s="105"/>
      <c r="L31" s="106"/>
      <c r="M31" s="48"/>
      <c r="N31" s="108"/>
    </row>
    <row r="32" spans="1:14" s="109" customFormat="1" ht="12.75">
      <c r="A32" s="57" t="s">
        <v>148</v>
      </c>
      <c r="B32" s="51"/>
      <c r="C32" s="98" t="s">
        <v>144</v>
      </c>
      <c r="D32" s="105" t="s">
        <v>145</v>
      </c>
      <c r="E32" s="105"/>
      <c r="F32" s="113">
        <f>(F18*1.9)</f>
        <v>188.6090100000001</v>
      </c>
      <c r="G32" s="65"/>
      <c r="H32" s="49"/>
      <c r="I32" s="114"/>
      <c r="J32" s="48"/>
      <c r="K32" s="105"/>
      <c r="L32" s="49"/>
      <c r="M32" s="48"/>
      <c r="N32" s="108"/>
    </row>
    <row r="33" spans="1:14" s="109" customFormat="1" ht="12.75">
      <c r="A33" s="115"/>
      <c r="B33" s="56"/>
      <c r="C33" s="104" t="s">
        <v>144</v>
      </c>
      <c r="D33" s="105" t="s">
        <v>145</v>
      </c>
      <c r="E33" s="105">
        <v>1</v>
      </c>
      <c r="F33" s="116">
        <f>F32*E33</f>
        <v>188.6090100000001</v>
      </c>
      <c r="G33" s="117"/>
      <c r="H33" s="54"/>
      <c r="I33" s="118"/>
      <c r="J33" s="55"/>
      <c r="K33" s="105"/>
      <c r="L33" s="49"/>
      <c r="M33" s="48"/>
      <c r="N33" s="108"/>
    </row>
    <row r="34" spans="1:14" s="109" customFormat="1" ht="12.75">
      <c r="A34" s="115"/>
      <c r="B34" s="56"/>
      <c r="C34" s="234" t="s">
        <v>81</v>
      </c>
      <c r="D34" s="235"/>
      <c r="E34" s="235"/>
      <c r="F34" s="235"/>
      <c r="G34" s="235"/>
      <c r="H34" s="235"/>
      <c r="I34" s="235"/>
      <c r="J34" s="235"/>
      <c r="K34" s="236"/>
      <c r="L34" s="124"/>
      <c r="M34" s="124"/>
      <c r="N34" s="108"/>
    </row>
    <row r="35" spans="1:14" s="109" customFormat="1" ht="25.5">
      <c r="A35" s="57" t="s">
        <v>193</v>
      </c>
      <c r="B35" s="51" t="s">
        <v>149</v>
      </c>
      <c r="C35" s="64" t="s">
        <v>150</v>
      </c>
      <c r="D35" s="65" t="s">
        <v>7</v>
      </c>
      <c r="E35" s="105"/>
      <c r="F35" s="144">
        <v>120</v>
      </c>
      <c r="G35" s="105"/>
      <c r="H35" s="49"/>
      <c r="I35" s="105"/>
      <c r="J35" s="48"/>
      <c r="K35" s="105"/>
      <c r="L35" s="49"/>
      <c r="M35" s="102"/>
      <c r="N35" s="108"/>
    </row>
    <row r="36" spans="1:14" s="109" customFormat="1" ht="12.75">
      <c r="A36" s="103"/>
      <c r="B36" s="52"/>
      <c r="C36" s="47" t="s">
        <v>3</v>
      </c>
      <c r="D36" s="46" t="s">
        <v>4</v>
      </c>
      <c r="E36" s="46">
        <f>95.9/1000</f>
        <v>0.0959</v>
      </c>
      <c r="F36" s="48">
        <f>F35*E36</f>
        <v>11.508</v>
      </c>
      <c r="G36" s="46"/>
      <c r="H36" s="48"/>
      <c r="I36" s="46"/>
      <c r="J36" s="48"/>
      <c r="K36" s="46"/>
      <c r="L36" s="48"/>
      <c r="M36" s="48"/>
      <c r="N36" s="108"/>
    </row>
    <row r="37" spans="1:14" s="109" customFormat="1" ht="12.75">
      <c r="A37" s="103"/>
      <c r="B37" s="53"/>
      <c r="C37" s="47" t="s">
        <v>21</v>
      </c>
      <c r="D37" s="44" t="s">
        <v>0</v>
      </c>
      <c r="E37" s="46">
        <f>45.2/1000</f>
        <v>0.045200000000000004</v>
      </c>
      <c r="F37" s="48">
        <f>E37*F35</f>
        <v>5.424</v>
      </c>
      <c r="G37" s="44"/>
      <c r="H37" s="44"/>
      <c r="I37" s="44"/>
      <c r="J37" s="44"/>
      <c r="K37" s="44"/>
      <c r="L37" s="106"/>
      <c r="M37" s="48"/>
      <c r="N37" s="108"/>
    </row>
    <row r="38" spans="1:14" s="109" customFormat="1" ht="12.75">
      <c r="A38" s="57"/>
      <c r="B38" s="51"/>
      <c r="C38" s="44" t="s">
        <v>45</v>
      </c>
      <c r="D38" s="44"/>
      <c r="E38" s="105"/>
      <c r="F38" s="49"/>
      <c r="G38" s="105"/>
      <c r="H38" s="49"/>
      <c r="I38" s="105"/>
      <c r="J38" s="48"/>
      <c r="K38" s="105"/>
      <c r="L38" s="49"/>
      <c r="M38" s="102"/>
      <c r="N38" s="108"/>
    </row>
    <row r="39" spans="1:14" s="109" customFormat="1" ht="12.75">
      <c r="A39" s="57"/>
      <c r="B39" s="57" t="s">
        <v>151</v>
      </c>
      <c r="C39" s="58" t="s">
        <v>152</v>
      </c>
      <c r="D39" s="44" t="s">
        <v>7</v>
      </c>
      <c r="E39" s="105">
        <f>1010/1000</f>
        <v>1.01</v>
      </c>
      <c r="F39" s="49">
        <f>E39*F35</f>
        <v>121.2</v>
      </c>
      <c r="G39" s="105"/>
      <c r="H39" s="49"/>
      <c r="I39" s="105"/>
      <c r="J39" s="48"/>
      <c r="K39" s="105"/>
      <c r="L39" s="49"/>
      <c r="M39" s="48"/>
      <c r="N39" s="108"/>
    </row>
    <row r="40" spans="1:14" s="109" customFormat="1" ht="12.75">
      <c r="A40" s="57"/>
      <c r="B40" s="51"/>
      <c r="C40" s="47" t="s">
        <v>6</v>
      </c>
      <c r="D40" s="44" t="s">
        <v>0</v>
      </c>
      <c r="E40" s="105">
        <f>0.6/1000</f>
        <v>0.0006</v>
      </c>
      <c r="F40" s="49">
        <f>E40*F35</f>
        <v>0.072</v>
      </c>
      <c r="G40" s="145"/>
      <c r="H40" s="49"/>
      <c r="I40" s="105"/>
      <c r="J40" s="48"/>
      <c r="K40" s="105"/>
      <c r="L40" s="49"/>
      <c r="M40" s="48"/>
      <c r="N40" s="108"/>
    </row>
    <row r="41" spans="1:14" s="109" customFormat="1" ht="12.75">
      <c r="A41" s="57" t="s">
        <v>194</v>
      </c>
      <c r="B41" s="51" t="s">
        <v>64</v>
      </c>
      <c r="C41" s="66" t="s">
        <v>153</v>
      </c>
      <c r="D41" s="67" t="s">
        <v>7</v>
      </c>
      <c r="E41" s="105"/>
      <c r="F41" s="82">
        <f>F35</f>
        <v>120</v>
      </c>
      <c r="G41" s="105"/>
      <c r="H41" s="49"/>
      <c r="I41" s="105"/>
      <c r="J41" s="48"/>
      <c r="K41" s="105"/>
      <c r="L41" s="49"/>
      <c r="M41" s="102"/>
      <c r="N41" s="108"/>
    </row>
    <row r="42" spans="1:14" s="109" customFormat="1" ht="12.75">
      <c r="A42" s="57"/>
      <c r="B42" s="51"/>
      <c r="C42" s="47" t="s">
        <v>3</v>
      </c>
      <c r="D42" s="46" t="s">
        <v>4</v>
      </c>
      <c r="E42" s="105">
        <f>56.7/1000</f>
        <v>0.0567</v>
      </c>
      <c r="F42" s="48">
        <f>F41*E42</f>
        <v>6.804</v>
      </c>
      <c r="G42" s="105"/>
      <c r="H42" s="49"/>
      <c r="I42" s="46"/>
      <c r="J42" s="48"/>
      <c r="K42" s="105"/>
      <c r="L42" s="49"/>
      <c r="M42" s="48"/>
      <c r="N42" s="108"/>
    </row>
    <row r="43" spans="1:14" s="109" customFormat="1" ht="12.75">
      <c r="A43" s="57"/>
      <c r="B43" s="51"/>
      <c r="C43" s="44" t="s">
        <v>45</v>
      </c>
      <c r="D43" s="44"/>
      <c r="E43" s="105"/>
      <c r="F43" s="49"/>
      <c r="G43" s="105"/>
      <c r="H43" s="49"/>
      <c r="I43" s="105"/>
      <c r="J43" s="48"/>
      <c r="K43" s="105"/>
      <c r="L43" s="49"/>
      <c r="M43" s="102"/>
      <c r="N43" s="108"/>
    </row>
    <row r="44" spans="1:14" s="109" customFormat="1" ht="12.75">
      <c r="A44" s="57"/>
      <c r="B44" s="51"/>
      <c r="C44" s="58" t="s">
        <v>60</v>
      </c>
      <c r="D44" s="44" t="s">
        <v>5</v>
      </c>
      <c r="E44" s="105">
        <f>31.1/1000</f>
        <v>0.031100000000000003</v>
      </c>
      <c r="F44" s="49">
        <f>E44*F41</f>
        <v>3.732</v>
      </c>
      <c r="G44" s="145"/>
      <c r="H44" s="49"/>
      <c r="I44" s="105"/>
      <c r="J44" s="48"/>
      <c r="K44" s="105"/>
      <c r="L44" s="49"/>
      <c r="M44" s="48"/>
      <c r="N44" s="108"/>
    </row>
    <row r="45" spans="1:14" s="109" customFormat="1" ht="12.75">
      <c r="A45" s="57"/>
      <c r="B45" s="51"/>
      <c r="C45" s="47" t="s">
        <v>6</v>
      </c>
      <c r="D45" s="44" t="s">
        <v>0</v>
      </c>
      <c r="E45" s="105">
        <f>0.06/1000</f>
        <v>5.9999999999999995E-05</v>
      </c>
      <c r="F45" s="146">
        <f>E45*F41</f>
        <v>0.0072</v>
      </c>
      <c r="G45" s="105"/>
      <c r="H45" s="49"/>
      <c r="I45" s="105"/>
      <c r="J45" s="48"/>
      <c r="K45" s="105"/>
      <c r="L45" s="49"/>
      <c r="M45" s="48"/>
      <c r="N45" s="108"/>
    </row>
    <row r="46" spans="1:14" s="109" customFormat="1" ht="25.5">
      <c r="A46" s="57" t="s">
        <v>195</v>
      </c>
      <c r="B46" s="51" t="s">
        <v>149</v>
      </c>
      <c r="C46" s="64" t="s">
        <v>154</v>
      </c>
      <c r="D46" s="65" t="s">
        <v>7</v>
      </c>
      <c r="E46" s="105"/>
      <c r="F46" s="144">
        <v>370</v>
      </c>
      <c r="G46" s="105"/>
      <c r="H46" s="49"/>
      <c r="I46" s="105"/>
      <c r="J46" s="48"/>
      <c r="K46" s="105"/>
      <c r="L46" s="49"/>
      <c r="M46" s="102"/>
      <c r="N46" s="108"/>
    </row>
    <row r="47" spans="1:14" s="109" customFormat="1" ht="12.75">
      <c r="A47" s="103"/>
      <c r="B47" s="52"/>
      <c r="C47" s="47" t="s">
        <v>3</v>
      </c>
      <c r="D47" s="46" t="s">
        <v>4</v>
      </c>
      <c r="E47" s="46">
        <f>95.9/1000</f>
        <v>0.0959</v>
      </c>
      <c r="F47" s="48">
        <f>F46*E47</f>
        <v>35.483</v>
      </c>
      <c r="G47" s="46"/>
      <c r="H47" s="48"/>
      <c r="I47" s="46"/>
      <c r="J47" s="48"/>
      <c r="K47" s="46"/>
      <c r="L47" s="48"/>
      <c r="M47" s="48"/>
      <c r="N47" s="108"/>
    </row>
    <row r="48" spans="1:14" s="109" customFormat="1" ht="12.75">
      <c r="A48" s="103"/>
      <c r="B48" s="53"/>
      <c r="C48" s="47" t="s">
        <v>21</v>
      </c>
      <c r="D48" s="44" t="s">
        <v>0</v>
      </c>
      <c r="E48" s="46">
        <f>45.2/1000</f>
        <v>0.045200000000000004</v>
      </c>
      <c r="F48" s="48">
        <f>E48*F46</f>
        <v>16.724</v>
      </c>
      <c r="G48" s="44"/>
      <c r="H48" s="44"/>
      <c r="I48" s="44"/>
      <c r="J48" s="44"/>
      <c r="K48" s="44"/>
      <c r="L48" s="106"/>
      <c r="M48" s="48"/>
      <c r="N48" s="108"/>
    </row>
    <row r="49" spans="1:14" s="109" customFormat="1" ht="12.75">
      <c r="A49" s="57"/>
      <c r="B49" s="51"/>
      <c r="C49" s="44" t="s">
        <v>45</v>
      </c>
      <c r="D49" s="44"/>
      <c r="E49" s="105"/>
      <c r="F49" s="49"/>
      <c r="G49" s="105"/>
      <c r="H49" s="49"/>
      <c r="I49" s="105"/>
      <c r="J49" s="48"/>
      <c r="K49" s="105"/>
      <c r="L49" s="49"/>
      <c r="M49" s="102"/>
      <c r="N49" s="108"/>
    </row>
    <row r="50" spans="1:14" s="109" customFormat="1" ht="12.75">
      <c r="A50" s="57"/>
      <c r="B50" s="57" t="s">
        <v>155</v>
      </c>
      <c r="C50" s="58" t="s">
        <v>156</v>
      </c>
      <c r="D50" s="44" t="s">
        <v>7</v>
      </c>
      <c r="E50" s="105">
        <f>1010/1000</f>
        <v>1.01</v>
      </c>
      <c r="F50" s="49">
        <f>E50*F46</f>
        <v>373.7</v>
      </c>
      <c r="G50" s="105"/>
      <c r="H50" s="49"/>
      <c r="I50" s="105"/>
      <c r="J50" s="48"/>
      <c r="K50" s="105"/>
      <c r="L50" s="49"/>
      <c r="M50" s="48"/>
      <c r="N50" s="108"/>
    </row>
    <row r="51" spans="1:14" s="109" customFormat="1" ht="12.75">
      <c r="A51" s="57"/>
      <c r="B51" s="51"/>
      <c r="C51" s="47" t="s">
        <v>6</v>
      </c>
      <c r="D51" s="44" t="s">
        <v>0</v>
      </c>
      <c r="E51" s="105">
        <f>0.6/1000</f>
        <v>0.0006</v>
      </c>
      <c r="F51" s="147">
        <f>E51*F46</f>
        <v>0.22199999999999998</v>
      </c>
      <c r="G51" s="145"/>
      <c r="H51" s="49"/>
      <c r="I51" s="105"/>
      <c r="J51" s="48"/>
      <c r="K51" s="105"/>
      <c r="L51" s="49"/>
      <c r="M51" s="48"/>
      <c r="N51" s="108"/>
    </row>
    <row r="52" spans="1:14" s="109" customFormat="1" ht="12.75">
      <c r="A52" s="57" t="s">
        <v>196</v>
      </c>
      <c r="B52" s="51" t="s">
        <v>64</v>
      </c>
      <c r="C52" s="66" t="s">
        <v>157</v>
      </c>
      <c r="D52" s="67" t="s">
        <v>7</v>
      </c>
      <c r="E52" s="105"/>
      <c r="F52" s="82">
        <f>F46</f>
        <v>370</v>
      </c>
      <c r="G52" s="105"/>
      <c r="H52" s="49"/>
      <c r="I52" s="105"/>
      <c r="J52" s="48"/>
      <c r="K52" s="105"/>
      <c r="L52" s="49"/>
      <c r="M52" s="144"/>
      <c r="N52" s="108"/>
    </row>
    <row r="53" spans="1:14" s="109" customFormat="1" ht="12.75">
      <c r="A53" s="57"/>
      <c r="B53" s="51"/>
      <c r="C53" s="47" t="s">
        <v>3</v>
      </c>
      <c r="D53" s="46" t="s">
        <v>4</v>
      </c>
      <c r="E53" s="105">
        <f>56.7/1000</f>
        <v>0.0567</v>
      </c>
      <c r="F53" s="48">
        <f>F52*E53</f>
        <v>20.979</v>
      </c>
      <c r="G53" s="105"/>
      <c r="H53" s="49"/>
      <c r="I53" s="46"/>
      <c r="J53" s="48"/>
      <c r="K53" s="105"/>
      <c r="L53" s="49"/>
      <c r="M53" s="48"/>
      <c r="N53" s="108"/>
    </row>
    <row r="54" spans="1:14" s="109" customFormat="1" ht="12.75">
      <c r="A54" s="57"/>
      <c r="B54" s="51"/>
      <c r="C54" s="44" t="s">
        <v>45</v>
      </c>
      <c r="D54" s="44"/>
      <c r="E54" s="105"/>
      <c r="F54" s="49"/>
      <c r="G54" s="105"/>
      <c r="H54" s="49"/>
      <c r="I54" s="105"/>
      <c r="J54" s="48"/>
      <c r="K54" s="105"/>
      <c r="L54" s="49"/>
      <c r="M54" s="102"/>
      <c r="N54" s="108"/>
    </row>
    <row r="55" spans="1:14" s="109" customFormat="1" ht="12.75">
      <c r="A55" s="57"/>
      <c r="B55" s="51"/>
      <c r="C55" s="58" t="s">
        <v>60</v>
      </c>
      <c r="D55" s="44" t="s">
        <v>5</v>
      </c>
      <c r="E55" s="105">
        <f>31.1/1000</f>
        <v>0.031100000000000003</v>
      </c>
      <c r="F55" s="49">
        <f>E55*F52</f>
        <v>11.507000000000001</v>
      </c>
      <c r="G55" s="145"/>
      <c r="H55" s="49"/>
      <c r="I55" s="105"/>
      <c r="J55" s="48"/>
      <c r="K55" s="105"/>
      <c r="L55" s="49"/>
      <c r="M55" s="48"/>
      <c r="N55" s="108"/>
    </row>
    <row r="56" spans="1:14" s="109" customFormat="1" ht="12.75">
      <c r="A56" s="57"/>
      <c r="B56" s="51"/>
      <c r="C56" s="47" t="s">
        <v>6</v>
      </c>
      <c r="D56" s="44" t="s">
        <v>0</v>
      </c>
      <c r="E56" s="105">
        <f>0.06/1000</f>
        <v>5.9999999999999995E-05</v>
      </c>
      <c r="F56" s="146">
        <f>E56*F52</f>
        <v>0.022199999999999998</v>
      </c>
      <c r="G56" s="105"/>
      <c r="H56" s="49"/>
      <c r="I56" s="105"/>
      <c r="J56" s="48"/>
      <c r="K56" s="105"/>
      <c r="L56" s="49"/>
      <c r="M56" s="48"/>
      <c r="N56" s="108"/>
    </row>
    <row r="57" spans="1:14" s="109" customFormat="1" ht="25.5">
      <c r="A57" s="57" t="s">
        <v>197</v>
      </c>
      <c r="B57" s="51" t="s">
        <v>149</v>
      </c>
      <c r="C57" s="64" t="s">
        <v>158</v>
      </c>
      <c r="D57" s="65" t="s">
        <v>7</v>
      </c>
      <c r="E57" s="105"/>
      <c r="F57" s="144">
        <v>330</v>
      </c>
      <c r="G57" s="105"/>
      <c r="H57" s="49"/>
      <c r="I57" s="105"/>
      <c r="J57" s="48"/>
      <c r="K57" s="105"/>
      <c r="L57" s="49"/>
      <c r="M57" s="144"/>
      <c r="N57" s="108"/>
    </row>
    <row r="58" spans="1:14" s="109" customFormat="1" ht="12.75">
      <c r="A58" s="103"/>
      <c r="B58" s="52"/>
      <c r="C58" s="47" t="s">
        <v>3</v>
      </c>
      <c r="D58" s="46" t="s">
        <v>4</v>
      </c>
      <c r="E58" s="46">
        <f>95.9/1000</f>
        <v>0.0959</v>
      </c>
      <c r="F58" s="48">
        <f>F57*E58</f>
        <v>31.647</v>
      </c>
      <c r="G58" s="46"/>
      <c r="H58" s="48"/>
      <c r="I58" s="46"/>
      <c r="J58" s="48"/>
      <c r="K58" s="46"/>
      <c r="L58" s="48"/>
      <c r="M58" s="48"/>
      <c r="N58" s="108"/>
    </row>
    <row r="59" spans="1:14" s="109" customFormat="1" ht="12.75">
      <c r="A59" s="103"/>
      <c r="B59" s="53"/>
      <c r="C59" s="47" t="s">
        <v>21</v>
      </c>
      <c r="D59" s="44" t="s">
        <v>0</v>
      </c>
      <c r="E59" s="46">
        <f>45.2/1000</f>
        <v>0.045200000000000004</v>
      </c>
      <c r="F59" s="48">
        <f>E59*F57</f>
        <v>14.916000000000002</v>
      </c>
      <c r="G59" s="44"/>
      <c r="H59" s="44"/>
      <c r="I59" s="44"/>
      <c r="J59" s="44"/>
      <c r="K59" s="44"/>
      <c r="L59" s="106"/>
      <c r="M59" s="48"/>
      <c r="N59" s="108"/>
    </row>
    <row r="60" spans="1:14" s="109" customFormat="1" ht="12.75">
      <c r="A60" s="57"/>
      <c r="B60" s="51"/>
      <c r="C60" s="44" t="s">
        <v>45</v>
      </c>
      <c r="D60" s="44"/>
      <c r="E60" s="105"/>
      <c r="F60" s="49"/>
      <c r="G60" s="105"/>
      <c r="H60" s="49"/>
      <c r="I60" s="105"/>
      <c r="J60" s="48"/>
      <c r="K60" s="105"/>
      <c r="L60" s="49"/>
      <c r="M60" s="102"/>
      <c r="N60" s="108"/>
    </row>
    <row r="61" spans="1:14" s="109" customFormat="1" ht="12.75">
      <c r="A61" s="57"/>
      <c r="B61" s="57" t="s">
        <v>159</v>
      </c>
      <c r="C61" s="58" t="s">
        <v>160</v>
      </c>
      <c r="D61" s="44" t="s">
        <v>7</v>
      </c>
      <c r="E61" s="105">
        <f>1010/1000</f>
        <v>1.01</v>
      </c>
      <c r="F61" s="49">
        <f>E61*F57</f>
        <v>333.3</v>
      </c>
      <c r="G61" s="105"/>
      <c r="H61" s="49"/>
      <c r="I61" s="105"/>
      <c r="J61" s="48"/>
      <c r="K61" s="105"/>
      <c r="L61" s="49"/>
      <c r="M61" s="48"/>
      <c r="N61" s="108"/>
    </row>
    <row r="62" spans="1:14" s="109" customFormat="1" ht="12.75">
      <c r="A62" s="57"/>
      <c r="B62" s="51"/>
      <c r="C62" s="47" t="s">
        <v>6</v>
      </c>
      <c r="D62" s="44" t="s">
        <v>0</v>
      </c>
      <c r="E62" s="105">
        <f>0.6/1000</f>
        <v>0.0006</v>
      </c>
      <c r="F62" s="49">
        <f>E62*F57</f>
        <v>0.19799999999999998</v>
      </c>
      <c r="G62" s="145"/>
      <c r="H62" s="49"/>
      <c r="I62" s="105"/>
      <c r="J62" s="48"/>
      <c r="K62" s="105"/>
      <c r="L62" s="49"/>
      <c r="M62" s="48"/>
      <c r="N62" s="108"/>
    </row>
    <row r="63" spans="1:14" s="109" customFormat="1" ht="12.75">
      <c r="A63" s="57" t="s">
        <v>198</v>
      </c>
      <c r="B63" s="51" t="s">
        <v>64</v>
      </c>
      <c r="C63" s="66" t="s">
        <v>161</v>
      </c>
      <c r="D63" s="67" t="s">
        <v>7</v>
      </c>
      <c r="E63" s="105"/>
      <c r="F63" s="82">
        <f>F57</f>
        <v>330</v>
      </c>
      <c r="G63" s="105"/>
      <c r="H63" s="49"/>
      <c r="I63" s="105"/>
      <c r="J63" s="48"/>
      <c r="K63" s="105"/>
      <c r="L63" s="49"/>
      <c r="M63" s="144"/>
      <c r="N63" s="108"/>
    </row>
    <row r="64" spans="1:14" s="109" customFormat="1" ht="12.75">
      <c r="A64" s="57"/>
      <c r="B64" s="51"/>
      <c r="C64" s="47" t="s">
        <v>3</v>
      </c>
      <c r="D64" s="46" t="s">
        <v>4</v>
      </c>
      <c r="E64" s="105">
        <f>56.7/1000</f>
        <v>0.0567</v>
      </c>
      <c r="F64" s="48">
        <f>F63*E64</f>
        <v>18.711</v>
      </c>
      <c r="G64" s="105"/>
      <c r="H64" s="49"/>
      <c r="I64" s="46"/>
      <c r="J64" s="48"/>
      <c r="K64" s="105"/>
      <c r="L64" s="49"/>
      <c r="M64" s="48"/>
      <c r="N64" s="108"/>
    </row>
    <row r="65" spans="1:14" s="109" customFormat="1" ht="12.75">
      <c r="A65" s="57"/>
      <c r="B65" s="51"/>
      <c r="C65" s="44" t="s">
        <v>45</v>
      </c>
      <c r="D65" s="44"/>
      <c r="E65" s="105"/>
      <c r="F65" s="49"/>
      <c r="G65" s="105"/>
      <c r="H65" s="49"/>
      <c r="I65" s="105"/>
      <c r="J65" s="48"/>
      <c r="K65" s="105"/>
      <c r="L65" s="49"/>
      <c r="M65" s="102"/>
      <c r="N65" s="108"/>
    </row>
    <row r="66" spans="1:14" s="109" customFormat="1" ht="12.75">
      <c r="A66" s="57"/>
      <c r="B66" s="51"/>
      <c r="C66" s="58" t="s">
        <v>60</v>
      </c>
      <c r="D66" s="44" t="s">
        <v>5</v>
      </c>
      <c r="E66" s="105">
        <f>31.1/1000</f>
        <v>0.031100000000000003</v>
      </c>
      <c r="F66" s="49">
        <f>E66*F63</f>
        <v>10.263000000000002</v>
      </c>
      <c r="G66" s="145"/>
      <c r="H66" s="49"/>
      <c r="I66" s="105"/>
      <c r="J66" s="48"/>
      <c r="K66" s="105"/>
      <c r="L66" s="49"/>
      <c r="M66" s="48"/>
      <c r="N66" s="108"/>
    </row>
    <row r="67" spans="1:14" s="109" customFormat="1" ht="12.75">
      <c r="A67" s="57"/>
      <c r="B67" s="51"/>
      <c r="C67" s="47" t="s">
        <v>6</v>
      </c>
      <c r="D67" s="44" t="s">
        <v>0</v>
      </c>
      <c r="E67" s="105">
        <f>0.06/1000</f>
        <v>5.9999999999999995E-05</v>
      </c>
      <c r="F67" s="49">
        <f>E67*F63</f>
        <v>0.019799999999999998</v>
      </c>
      <c r="G67" s="105"/>
      <c r="H67" s="49"/>
      <c r="I67" s="105"/>
      <c r="J67" s="48"/>
      <c r="K67" s="105"/>
      <c r="L67" s="49"/>
      <c r="M67" s="48"/>
      <c r="N67" s="108"/>
    </row>
    <row r="68" spans="1:14" s="109" customFormat="1" ht="12.75">
      <c r="A68" s="148">
        <v>16</v>
      </c>
      <c r="B68" s="149"/>
      <c r="C68" s="66" t="s">
        <v>100</v>
      </c>
      <c r="D68" s="95" t="s">
        <v>8</v>
      </c>
      <c r="E68" s="95"/>
      <c r="F68" s="150">
        <f>F72</f>
        <v>1</v>
      </c>
      <c r="G68" s="95"/>
      <c r="H68" s="81"/>
      <c r="I68" s="59"/>
      <c r="J68" s="81"/>
      <c r="K68" s="59"/>
      <c r="L68" s="81"/>
      <c r="M68" s="82"/>
      <c r="N68" s="108"/>
    </row>
    <row r="69" spans="1:14" s="109" customFormat="1" ht="12.75">
      <c r="A69" s="148"/>
      <c r="B69" s="149"/>
      <c r="C69" s="47" t="s">
        <v>80</v>
      </c>
      <c r="D69" s="44" t="s">
        <v>22</v>
      </c>
      <c r="E69" s="44">
        <v>5</v>
      </c>
      <c r="F69" s="49">
        <f>F68*E69</f>
        <v>5</v>
      </c>
      <c r="G69" s="44"/>
      <c r="H69" s="49"/>
      <c r="I69" s="151"/>
      <c r="J69" s="49"/>
      <c r="K69" s="151"/>
      <c r="L69" s="49"/>
      <c r="M69" s="48"/>
      <c r="N69" s="108"/>
    </row>
    <row r="70" spans="1:14" s="109" customFormat="1" ht="12.75">
      <c r="A70" s="148"/>
      <c r="B70" s="149"/>
      <c r="C70" s="47" t="s">
        <v>49</v>
      </c>
      <c r="D70" s="44" t="s">
        <v>0</v>
      </c>
      <c r="E70" s="44">
        <v>5</v>
      </c>
      <c r="F70" s="49">
        <f>F68*E70</f>
        <v>5</v>
      </c>
      <c r="G70" s="44"/>
      <c r="H70" s="49"/>
      <c r="I70" s="151"/>
      <c r="J70" s="49"/>
      <c r="K70" s="151"/>
      <c r="L70" s="49"/>
      <c r="M70" s="48"/>
      <c r="N70" s="108"/>
    </row>
    <row r="71" spans="1:14" s="109" customFormat="1" ht="12.75">
      <c r="A71" s="148"/>
      <c r="B71" s="149"/>
      <c r="C71" s="44" t="s">
        <v>45</v>
      </c>
      <c r="D71" s="44"/>
      <c r="E71" s="44"/>
      <c r="F71" s="49"/>
      <c r="G71" s="44"/>
      <c r="H71" s="49"/>
      <c r="I71" s="151"/>
      <c r="J71" s="49"/>
      <c r="K71" s="151"/>
      <c r="L71" s="49"/>
      <c r="M71" s="48"/>
      <c r="N71" s="108"/>
    </row>
    <row r="72" spans="1:14" s="109" customFormat="1" ht="12.75">
      <c r="A72" s="148"/>
      <c r="B72" s="149"/>
      <c r="C72" s="47" t="s">
        <v>99</v>
      </c>
      <c r="D72" s="44" t="s">
        <v>8</v>
      </c>
      <c r="E72" s="44"/>
      <c r="F72" s="49">
        <v>1</v>
      </c>
      <c r="G72" s="49"/>
      <c r="H72" s="49"/>
      <c r="I72" s="151"/>
      <c r="J72" s="49"/>
      <c r="K72" s="151"/>
      <c r="L72" s="49"/>
      <c r="M72" s="48"/>
      <c r="N72" s="108"/>
    </row>
    <row r="73" spans="1:14" s="109" customFormat="1" ht="12.75">
      <c r="A73" s="148"/>
      <c r="B73" s="149"/>
      <c r="C73" s="152" t="s">
        <v>6</v>
      </c>
      <c r="D73" s="44" t="s">
        <v>0</v>
      </c>
      <c r="E73" s="44">
        <v>2.28</v>
      </c>
      <c r="F73" s="49">
        <f>F68*E73</f>
        <v>2.28</v>
      </c>
      <c r="G73" s="49"/>
      <c r="H73" s="49"/>
      <c r="I73" s="151"/>
      <c r="J73" s="49"/>
      <c r="K73" s="151"/>
      <c r="L73" s="49"/>
      <c r="M73" s="48"/>
      <c r="N73" s="108"/>
    </row>
    <row r="74" spans="1:14" s="109" customFormat="1" ht="51">
      <c r="A74" s="68">
        <v>17</v>
      </c>
      <c r="B74" s="68" t="s">
        <v>101</v>
      </c>
      <c r="C74" s="69" t="s">
        <v>183</v>
      </c>
      <c r="D74" s="68" t="s">
        <v>102</v>
      </c>
      <c r="E74" s="70"/>
      <c r="F74" s="71">
        <f>1</f>
        <v>1</v>
      </c>
      <c r="G74" s="72"/>
      <c r="H74" s="72"/>
      <c r="I74" s="72"/>
      <c r="J74" s="72"/>
      <c r="K74" s="72"/>
      <c r="L74" s="72"/>
      <c r="M74" s="72"/>
      <c r="N74" s="108"/>
    </row>
    <row r="75" spans="1:14" s="109" customFormat="1" ht="12.75">
      <c r="A75" s="68"/>
      <c r="B75" s="68"/>
      <c r="C75" s="73" t="s">
        <v>3</v>
      </c>
      <c r="D75" s="74" t="s">
        <v>102</v>
      </c>
      <c r="E75" s="72">
        <v>1</v>
      </c>
      <c r="F75" s="72">
        <f>F74*E75</f>
        <v>1</v>
      </c>
      <c r="G75" s="72"/>
      <c r="H75" s="72"/>
      <c r="I75" s="72"/>
      <c r="J75" s="72"/>
      <c r="K75" s="72"/>
      <c r="L75" s="72"/>
      <c r="M75" s="72"/>
      <c r="N75" s="108"/>
    </row>
    <row r="76" spans="1:14" s="109" customFormat="1" ht="12.75">
      <c r="A76" s="68"/>
      <c r="B76" s="68"/>
      <c r="C76" s="75" t="s">
        <v>44</v>
      </c>
      <c r="D76" s="74"/>
      <c r="E76" s="72"/>
      <c r="F76" s="72"/>
      <c r="G76" s="72"/>
      <c r="H76" s="72"/>
      <c r="I76" s="72"/>
      <c r="J76" s="72"/>
      <c r="K76" s="72"/>
      <c r="L76" s="72"/>
      <c r="M76" s="72"/>
      <c r="N76" s="108"/>
    </row>
    <row r="77" spans="1:14" s="109" customFormat="1" ht="12.75">
      <c r="A77" s="76"/>
      <c r="B77" s="68" t="s">
        <v>31</v>
      </c>
      <c r="C77" s="73" t="s">
        <v>103</v>
      </c>
      <c r="D77" s="75" t="s">
        <v>8</v>
      </c>
      <c r="E77" s="77">
        <v>1</v>
      </c>
      <c r="F77" s="77">
        <f>E77*F74</f>
        <v>1</v>
      </c>
      <c r="G77" s="77"/>
      <c r="H77" s="80"/>
      <c r="I77" s="72"/>
      <c r="J77" s="77"/>
      <c r="K77" s="77"/>
      <c r="L77" s="77"/>
      <c r="M77" s="77"/>
      <c r="N77" s="108"/>
    </row>
    <row r="78" spans="1:14" s="109" customFormat="1" ht="25.5">
      <c r="A78" s="68"/>
      <c r="B78" s="68" t="s">
        <v>31</v>
      </c>
      <c r="C78" s="78" t="s">
        <v>104</v>
      </c>
      <c r="D78" s="75" t="s">
        <v>8</v>
      </c>
      <c r="E78" s="77">
        <v>1</v>
      </c>
      <c r="F78" s="77">
        <f>E78*F75</f>
        <v>1</v>
      </c>
      <c r="G78" s="77"/>
      <c r="H78" s="77"/>
      <c r="I78" s="72"/>
      <c r="J78" s="77"/>
      <c r="K78" s="77"/>
      <c r="L78" s="77"/>
      <c r="M78" s="77"/>
      <c r="N78" s="108"/>
    </row>
    <row r="79" spans="1:14" s="109" customFormat="1" ht="15">
      <c r="A79" s="79"/>
      <c r="B79" s="68" t="s">
        <v>31</v>
      </c>
      <c r="C79" s="78" t="s">
        <v>184</v>
      </c>
      <c r="D79" s="75" t="s">
        <v>7</v>
      </c>
      <c r="E79" s="77"/>
      <c r="F79" s="77">
        <v>20</v>
      </c>
      <c r="G79" s="77"/>
      <c r="H79" s="77"/>
      <c r="I79" s="72"/>
      <c r="J79" s="77"/>
      <c r="K79" s="77"/>
      <c r="L79" s="77"/>
      <c r="M79" s="77"/>
      <c r="N79" s="108"/>
    </row>
    <row r="80" spans="2:14" s="109" customFormat="1" ht="12.75">
      <c r="B80" s="231"/>
      <c r="C80" s="230" t="s">
        <v>185</v>
      </c>
      <c r="D80" s="231"/>
      <c r="E80" s="231"/>
      <c r="F80" s="231"/>
      <c r="G80" s="231"/>
      <c r="H80" s="231"/>
      <c r="I80" s="231"/>
      <c r="J80" s="231"/>
      <c r="K80" s="232"/>
      <c r="L80" s="233"/>
      <c r="M80" s="232"/>
      <c r="N80" s="108"/>
    </row>
    <row r="81" spans="1:14" s="109" customFormat="1" ht="25.5">
      <c r="A81" s="57" t="s">
        <v>199</v>
      </c>
      <c r="B81" s="51" t="s">
        <v>117</v>
      </c>
      <c r="C81" s="98" t="s">
        <v>118</v>
      </c>
      <c r="D81" s="65" t="s">
        <v>62</v>
      </c>
      <c r="E81" s="65"/>
      <c r="F81" s="100">
        <v>15.24</v>
      </c>
      <c r="G81" s="105"/>
      <c r="H81" s="49"/>
      <c r="I81" s="105"/>
      <c r="J81" s="48"/>
      <c r="K81" s="105"/>
      <c r="L81" s="49"/>
      <c r="M81" s="144"/>
      <c r="N81" s="108"/>
    </row>
    <row r="82" spans="1:14" s="109" customFormat="1" ht="12.75">
      <c r="A82" s="57"/>
      <c r="B82" s="51"/>
      <c r="C82" s="104" t="s">
        <v>110</v>
      </c>
      <c r="D82" s="105" t="s">
        <v>113</v>
      </c>
      <c r="E82" s="105">
        <f>21.5/1000</f>
        <v>0.0215</v>
      </c>
      <c r="F82" s="107">
        <f>F81*E82</f>
        <v>0.32765999999999995</v>
      </c>
      <c r="G82" s="46"/>
      <c r="H82" s="48"/>
      <c r="I82" s="46"/>
      <c r="J82" s="48"/>
      <c r="K82" s="46"/>
      <c r="L82" s="48"/>
      <c r="M82" s="48"/>
      <c r="N82" s="108"/>
    </row>
    <row r="83" spans="1:14" s="109" customFormat="1" ht="12.75">
      <c r="A83" s="57"/>
      <c r="B83" s="51" t="s">
        <v>111</v>
      </c>
      <c r="C83" s="104" t="s">
        <v>112</v>
      </c>
      <c r="D83" s="105" t="s">
        <v>114</v>
      </c>
      <c r="E83" s="105">
        <f>48.2/1000</f>
        <v>0.0482</v>
      </c>
      <c r="F83" s="107">
        <f>E83*F81</f>
        <v>0.734568</v>
      </c>
      <c r="G83" s="44"/>
      <c r="H83" s="44"/>
      <c r="I83" s="44"/>
      <c r="J83" s="44"/>
      <c r="K83" s="44"/>
      <c r="L83" s="106"/>
      <c r="M83" s="48"/>
      <c r="N83" s="108"/>
    </row>
    <row r="84" spans="1:14" s="109" customFormat="1" ht="12.75">
      <c r="A84" s="57" t="s">
        <v>200</v>
      </c>
      <c r="B84" s="51" t="s">
        <v>120</v>
      </c>
      <c r="C84" s="98" t="s">
        <v>121</v>
      </c>
      <c r="D84" s="65" t="s">
        <v>62</v>
      </c>
      <c r="E84" s="65"/>
      <c r="F84" s="100">
        <f>F81*0.01</f>
        <v>0.1524</v>
      </c>
      <c r="G84" s="105"/>
      <c r="H84" s="49"/>
      <c r="I84" s="105"/>
      <c r="J84" s="48"/>
      <c r="K84" s="105"/>
      <c r="L84" s="49"/>
      <c r="M84" s="144"/>
      <c r="N84" s="108"/>
    </row>
    <row r="85" spans="1:14" s="109" customFormat="1" ht="12.75">
      <c r="A85" s="57"/>
      <c r="B85" s="51"/>
      <c r="C85" s="104" t="s">
        <v>110</v>
      </c>
      <c r="D85" s="105" t="s">
        <v>113</v>
      </c>
      <c r="E85" s="105">
        <f>299/100</f>
        <v>2.99</v>
      </c>
      <c r="F85" s="48">
        <f>F84*E85</f>
        <v>0.4556760000000001</v>
      </c>
      <c r="G85" s="105"/>
      <c r="H85" s="49"/>
      <c r="I85" s="105"/>
      <c r="J85" s="48"/>
      <c r="K85" s="105"/>
      <c r="L85" s="49"/>
      <c r="M85" s="102"/>
      <c r="N85" s="108"/>
    </row>
    <row r="86" spans="1:14" s="109" customFormat="1" ht="12.75">
      <c r="A86" s="95">
        <v>20</v>
      </c>
      <c r="B86" s="59" t="s">
        <v>162</v>
      </c>
      <c r="C86" s="64" t="s">
        <v>74</v>
      </c>
      <c r="D86" s="95" t="s">
        <v>5</v>
      </c>
      <c r="E86" s="95"/>
      <c r="F86" s="81">
        <v>0.66</v>
      </c>
      <c r="G86" s="154"/>
      <c r="H86" s="97"/>
      <c r="I86" s="48"/>
      <c r="J86" s="97"/>
      <c r="K86" s="46"/>
      <c r="L86" s="155"/>
      <c r="M86" s="144"/>
      <c r="N86" s="108"/>
    </row>
    <row r="87" spans="1:14" s="109" customFormat="1" ht="12.75">
      <c r="A87" s="95"/>
      <c r="B87" s="59"/>
      <c r="C87" s="47" t="s">
        <v>3</v>
      </c>
      <c r="D87" s="46" t="s">
        <v>4</v>
      </c>
      <c r="E87" s="46">
        <v>0.89</v>
      </c>
      <c r="F87" s="48">
        <f>E87*F86</f>
        <v>0.5874</v>
      </c>
      <c r="G87" s="46"/>
      <c r="H87" s="48"/>
      <c r="I87" s="48"/>
      <c r="J87" s="48"/>
      <c r="K87" s="46"/>
      <c r="L87" s="48"/>
      <c r="M87" s="48"/>
      <c r="N87" s="108"/>
    </row>
    <row r="88" spans="1:14" s="109" customFormat="1" ht="12.75">
      <c r="A88" s="156"/>
      <c r="B88" s="157"/>
      <c r="C88" s="133" t="s">
        <v>25</v>
      </c>
      <c r="D88" s="46" t="s">
        <v>0</v>
      </c>
      <c r="E88" s="44">
        <v>0.37</v>
      </c>
      <c r="F88" s="155">
        <f>E88*F86</f>
        <v>0.2442</v>
      </c>
      <c r="G88" s="44"/>
      <c r="H88" s="49"/>
      <c r="I88" s="49"/>
      <c r="J88" s="44"/>
      <c r="K88" s="44"/>
      <c r="L88" s="48"/>
      <c r="M88" s="48"/>
      <c r="N88" s="108"/>
    </row>
    <row r="89" spans="1:14" s="109" customFormat="1" ht="12.75">
      <c r="A89" s="95"/>
      <c r="B89" s="158" t="s">
        <v>127</v>
      </c>
      <c r="C89" s="47" t="s">
        <v>28</v>
      </c>
      <c r="D89" s="46" t="s">
        <v>5</v>
      </c>
      <c r="E89" s="46">
        <f>126/100</f>
        <v>1.26</v>
      </c>
      <c r="F89" s="155">
        <f>F86*E89</f>
        <v>0.8316</v>
      </c>
      <c r="G89" s="48"/>
      <c r="H89" s="48"/>
      <c r="I89" s="48"/>
      <c r="J89" s="48"/>
      <c r="K89" s="46"/>
      <c r="L89" s="48"/>
      <c r="M89" s="48"/>
      <c r="N89" s="108"/>
    </row>
    <row r="90" spans="1:14" s="109" customFormat="1" ht="12.75">
      <c r="A90" s="95"/>
      <c r="B90" s="59"/>
      <c r="C90" s="47" t="s">
        <v>60</v>
      </c>
      <c r="D90" s="46" t="s">
        <v>5</v>
      </c>
      <c r="E90" s="46">
        <v>0</v>
      </c>
      <c r="F90" s="48">
        <v>7.08</v>
      </c>
      <c r="G90" s="77"/>
      <c r="H90" s="48"/>
      <c r="I90" s="48"/>
      <c r="J90" s="48"/>
      <c r="K90" s="46"/>
      <c r="L90" s="48"/>
      <c r="M90" s="48"/>
      <c r="N90" s="108"/>
    </row>
    <row r="91" spans="1:14" s="109" customFormat="1" ht="25.5">
      <c r="A91" s="57" t="s">
        <v>201</v>
      </c>
      <c r="B91" s="51" t="s">
        <v>122</v>
      </c>
      <c r="C91" s="98" t="s">
        <v>123</v>
      </c>
      <c r="D91" s="65" t="s">
        <v>62</v>
      </c>
      <c r="E91" s="65"/>
      <c r="F91" s="82">
        <f>F81+F84</f>
        <v>15.3924</v>
      </c>
      <c r="G91" s="105"/>
      <c r="H91" s="49"/>
      <c r="I91" s="105"/>
      <c r="J91" s="48"/>
      <c r="K91" s="105"/>
      <c r="L91" s="49"/>
      <c r="M91" s="144"/>
      <c r="N91" s="108"/>
    </row>
    <row r="92" spans="1:14" s="109" customFormat="1" ht="12.75">
      <c r="A92" s="57"/>
      <c r="B92" s="51"/>
      <c r="C92" s="104" t="s">
        <v>124</v>
      </c>
      <c r="D92" s="105" t="s">
        <v>113</v>
      </c>
      <c r="E92" s="105">
        <f>27/1000</f>
        <v>0.027</v>
      </c>
      <c r="F92" s="48">
        <f>E92*F91</f>
        <v>0.4155948</v>
      </c>
      <c r="G92" s="105"/>
      <c r="H92" s="49"/>
      <c r="I92" s="105"/>
      <c r="J92" s="48"/>
      <c r="K92" s="105"/>
      <c r="L92" s="49"/>
      <c r="M92" s="48"/>
      <c r="N92" s="108"/>
    </row>
    <row r="93" spans="1:14" s="109" customFormat="1" ht="12.75">
      <c r="A93" s="57"/>
      <c r="B93" s="51" t="s">
        <v>111</v>
      </c>
      <c r="C93" s="104" t="s">
        <v>125</v>
      </c>
      <c r="D93" s="105" t="s">
        <v>63</v>
      </c>
      <c r="E93" s="105">
        <f>60.5/1000</f>
        <v>0.0605</v>
      </c>
      <c r="F93" s="48">
        <f>E93*F91</f>
        <v>0.9312402</v>
      </c>
      <c r="G93" s="105"/>
      <c r="H93" s="49"/>
      <c r="I93" s="105"/>
      <c r="J93" s="48"/>
      <c r="K93" s="44"/>
      <c r="L93" s="110"/>
      <c r="M93" s="48"/>
      <c r="N93" s="108"/>
    </row>
    <row r="94" spans="1:14" s="109" customFormat="1" ht="12.75">
      <c r="A94" s="57"/>
      <c r="B94" s="51"/>
      <c r="C94" s="104" t="s">
        <v>126</v>
      </c>
      <c r="D94" s="105" t="s">
        <v>0</v>
      </c>
      <c r="E94" s="105">
        <f>2.21/1000</f>
        <v>0.00221</v>
      </c>
      <c r="F94" s="48">
        <f>E94*F91</f>
        <v>0.034017204</v>
      </c>
      <c r="G94" s="105"/>
      <c r="H94" s="49"/>
      <c r="I94" s="105"/>
      <c r="J94" s="48"/>
      <c r="K94" s="105"/>
      <c r="L94" s="106"/>
      <c r="M94" s="48"/>
      <c r="N94" s="108"/>
    </row>
    <row r="95" spans="1:14" s="109" customFormat="1" ht="12.75">
      <c r="A95" s="57"/>
      <c r="B95" s="51" t="s">
        <v>127</v>
      </c>
      <c r="C95" s="104" t="s">
        <v>128</v>
      </c>
      <c r="D95" s="105" t="s">
        <v>62</v>
      </c>
      <c r="E95" s="105">
        <f>0.06/1000</f>
        <v>5.9999999999999995E-05</v>
      </c>
      <c r="F95" s="48">
        <f>F91*E95</f>
        <v>0.0009235439999999999</v>
      </c>
      <c r="G95" s="105"/>
      <c r="H95" s="49"/>
      <c r="I95" s="105"/>
      <c r="J95" s="48"/>
      <c r="K95" s="105"/>
      <c r="L95" s="49"/>
      <c r="M95" s="159"/>
      <c r="N95" s="108"/>
    </row>
    <row r="96" spans="1:14" s="109" customFormat="1" ht="12.75">
      <c r="A96" s="160">
        <v>22</v>
      </c>
      <c r="B96" s="161" t="s">
        <v>33</v>
      </c>
      <c r="C96" s="64" t="s">
        <v>61</v>
      </c>
      <c r="D96" s="65" t="s">
        <v>26</v>
      </c>
      <c r="E96" s="65"/>
      <c r="F96" s="113">
        <f>(F91*1.9)</f>
        <v>29.245559999999998</v>
      </c>
      <c r="G96" s="65"/>
      <c r="H96" s="81"/>
      <c r="I96" s="114"/>
      <c r="J96" s="82"/>
      <c r="K96" s="65"/>
      <c r="L96" s="81"/>
      <c r="M96" s="82"/>
      <c r="N96" s="108"/>
    </row>
    <row r="97" spans="1:14" s="109" customFormat="1" ht="12.75">
      <c r="A97" s="160"/>
      <c r="B97" s="161"/>
      <c r="C97" s="162" t="s">
        <v>61</v>
      </c>
      <c r="D97" s="105" t="s">
        <v>26</v>
      </c>
      <c r="E97" s="105">
        <v>1</v>
      </c>
      <c r="F97" s="163">
        <f>F96*E97</f>
        <v>29.245559999999998</v>
      </c>
      <c r="G97" s="105"/>
      <c r="H97" s="49"/>
      <c r="I97" s="145"/>
      <c r="J97" s="48"/>
      <c r="K97" s="105"/>
      <c r="L97" s="49"/>
      <c r="M97" s="159"/>
      <c r="N97" s="108"/>
    </row>
    <row r="98" spans="1:14" s="109" customFormat="1" ht="38.25">
      <c r="A98" s="95">
        <v>23</v>
      </c>
      <c r="B98" s="164" t="s">
        <v>163</v>
      </c>
      <c r="C98" s="128" t="s">
        <v>186</v>
      </c>
      <c r="D98" s="95" t="s">
        <v>187</v>
      </c>
      <c r="E98" s="44"/>
      <c r="F98" s="81">
        <v>4.207699999999999</v>
      </c>
      <c r="G98" s="49"/>
      <c r="H98" s="49"/>
      <c r="I98" s="49"/>
      <c r="J98" s="49"/>
      <c r="K98" s="49"/>
      <c r="L98" s="49"/>
      <c r="M98" s="144"/>
      <c r="N98" s="108"/>
    </row>
    <row r="99" spans="1:14" s="109" customFormat="1" ht="12.75">
      <c r="A99" s="165"/>
      <c r="B99" s="157"/>
      <c r="C99" s="133" t="s">
        <v>55</v>
      </c>
      <c r="D99" s="46" t="s">
        <v>4</v>
      </c>
      <c r="E99" s="48">
        <f>92/10</f>
        <v>9.2</v>
      </c>
      <c r="F99" s="48">
        <v>38.71083999999999</v>
      </c>
      <c r="G99" s="44"/>
      <c r="H99" s="49"/>
      <c r="I99" s="48"/>
      <c r="J99" s="48"/>
      <c r="K99" s="44"/>
      <c r="L99" s="44"/>
      <c r="M99" s="48"/>
      <c r="N99" s="108"/>
    </row>
    <row r="100" spans="1:14" s="109" customFormat="1" ht="12.75">
      <c r="A100" s="156"/>
      <c r="B100" s="157"/>
      <c r="C100" s="133" t="s">
        <v>25</v>
      </c>
      <c r="D100" s="46" t="s">
        <v>0</v>
      </c>
      <c r="E100" s="44">
        <f>25.3/10</f>
        <v>2.5300000000000002</v>
      </c>
      <c r="F100" s="49">
        <v>10.645480999999998</v>
      </c>
      <c r="G100" s="44"/>
      <c r="H100" s="49"/>
      <c r="I100" s="49"/>
      <c r="J100" s="44"/>
      <c r="K100" s="44"/>
      <c r="L100" s="48"/>
      <c r="M100" s="48"/>
      <c r="N100" s="108"/>
    </row>
    <row r="101" spans="1:14" s="109" customFormat="1" ht="12.75">
      <c r="A101" s="165"/>
      <c r="B101" s="157" t="s">
        <v>164</v>
      </c>
      <c r="C101" s="133" t="s">
        <v>188</v>
      </c>
      <c r="D101" s="46" t="s">
        <v>8</v>
      </c>
      <c r="E101" s="48"/>
      <c r="F101" s="48">
        <v>1</v>
      </c>
      <c r="G101" s="166"/>
      <c r="H101" s="167"/>
      <c r="I101" s="72"/>
      <c r="J101" s="74"/>
      <c r="K101" s="166"/>
      <c r="L101" s="166"/>
      <c r="M101" s="48"/>
      <c r="N101" s="108"/>
    </row>
    <row r="102" spans="1:14" s="109" customFormat="1" ht="12.75">
      <c r="A102" s="165"/>
      <c r="B102" s="157" t="s">
        <v>164</v>
      </c>
      <c r="C102" s="133" t="s">
        <v>189</v>
      </c>
      <c r="D102" s="46" t="s">
        <v>8</v>
      </c>
      <c r="E102" s="48"/>
      <c r="F102" s="48">
        <v>1</v>
      </c>
      <c r="G102" s="166"/>
      <c r="H102" s="167"/>
      <c r="I102" s="72"/>
      <c r="J102" s="74"/>
      <c r="K102" s="166"/>
      <c r="L102" s="166"/>
      <c r="M102" s="48"/>
      <c r="N102" s="108"/>
    </row>
    <row r="103" spans="1:14" s="109" customFormat="1" ht="12.75">
      <c r="A103" s="165"/>
      <c r="B103" s="157" t="s">
        <v>165</v>
      </c>
      <c r="C103" s="133" t="s">
        <v>84</v>
      </c>
      <c r="D103" s="46" t="s">
        <v>8</v>
      </c>
      <c r="E103" s="48"/>
      <c r="F103" s="48">
        <v>1</v>
      </c>
      <c r="G103" s="166"/>
      <c r="H103" s="167"/>
      <c r="I103" s="72"/>
      <c r="J103" s="74"/>
      <c r="K103" s="166"/>
      <c r="L103" s="166"/>
      <c r="M103" s="48"/>
      <c r="N103" s="108"/>
    </row>
    <row r="104" spans="1:14" s="109" customFormat="1" ht="12.75">
      <c r="A104" s="165"/>
      <c r="B104" s="157" t="s">
        <v>166</v>
      </c>
      <c r="C104" s="133" t="s">
        <v>83</v>
      </c>
      <c r="D104" s="46" t="s">
        <v>8</v>
      </c>
      <c r="E104" s="48"/>
      <c r="F104" s="48">
        <v>1</v>
      </c>
      <c r="G104" s="166"/>
      <c r="H104" s="167"/>
      <c r="I104" s="72"/>
      <c r="J104" s="74"/>
      <c r="K104" s="166"/>
      <c r="L104" s="166"/>
      <c r="M104" s="48"/>
      <c r="N104" s="108"/>
    </row>
    <row r="105" spans="1:14" s="109" customFormat="1" ht="12.75">
      <c r="A105" s="165"/>
      <c r="B105" s="157"/>
      <c r="C105" s="133" t="s">
        <v>85</v>
      </c>
      <c r="D105" s="46" t="s">
        <v>8</v>
      </c>
      <c r="E105" s="48"/>
      <c r="F105" s="48">
        <v>3</v>
      </c>
      <c r="G105" s="166"/>
      <c r="H105" s="167"/>
      <c r="I105" s="72"/>
      <c r="J105" s="74"/>
      <c r="K105" s="166"/>
      <c r="L105" s="166"/>
      <c r="M105" s="48"/>
      <c r="N105" s="108"/>
    </row>
    <row r="106" spans="1:14" s="109" customFormat="1" ht="12.75">
      <c r="A106" s="165"/>
      <c r="B106" s="157" t="s">
        <v>167</v>
      </c>
      <c r="C106" s="133" t="s">
        <v>59</v>
      </c>
      <c r="D106" s="46" t="s">
        <v>8</v>
      </c>
      <c r="E106" s="48"/>
      <c r="F106" s="48">
        <v>1</v>
      </c>
      <c r="G106" s="166"/>
      <c r="H106" s="167"/>
      <c r="I106" s="72"/>
      <c r="J106" s="74"/>
      <c r="K106" s="166"/>
      <c r="L106" s="166"/>
      <c r="M106" s="48"/>
      <c r="N106" s="108"/>
    </row>
    <row r="107" spans="1:14" s="109" customFormat="1" ht="12.75">
      <c r="A107" s="165"/>
      <c r="B107" s="157"/>
      <c r="C107" s="133" t="s">
        <v>168</v>
      </c>
      <c r="D107" s="46" t="s">
        <v>5</v>
      </c>
      <c r="E107" s="48">
        <f>1.24/10</f>
        <v>0.124</v>
      </c>
      <c r="F107" s="48">
        <v>0.124</v>
      </c>
      <c r="G107" s="166"/>
      <c r="H107" s="167"/>
      <c r="I107" s="72"/>
      <c r="J107" s="74"/>
      <c r="K107" s="166"/>
      <c r="L107" s="166"/>
      <c r="M107" s="48"/>
      <c r="N107" s="108"/>
    </row>
    <row r="108" spans="1:14" s="109" customFormat="1" ht="12.75">
      <c r="A108" s="165"/>
      <c r="B108" s="157"/>
      <c r="C108" s="168" t="s">
        <v>24</v>
      </c>
      <c r="D108" s="46" t="s">
        <v>0</v>
      </c>
      <c r="E108" s="48">
        <f>58.7/10</f>
        <v>5.87</v>
      </c>
      <c r="F108" s="48">
        <v>24.699198999999997</v>
      </c>
      <c r="G108" s="44"/>
      <c r="H108" s="167"/>
      <c r="I108" s="72"/>
      <c r="J108" s="74"/>
      <c r="K108" s="166"/>
      <c r="L108" s="166"/>
      <c r="M108" s="48"/>
      <c r="N108" s="108"/>
    </row>
    <row r="109" spans="1:14" s="109" customFormat="1" ht="25.5">
      <c r="A109" s="76">
        <v>24</v>
      </c>
      <c r="B109" s="59" t="s">
        <v>169</v>
      </c>
      <c r="C109" s="128" t="s">
        <v>58</v>
      </c>
      <c r="D109" s="95" t="s">
        <v>190</v>
      </c>
      <c r="E109" s="44"/>
      <c r="F109" s="81">
        <v>8.007</v>
      </c>
      <c r="G109" s="49"/>
      <c r="H109" s="49"/>
      <c r="I109" s="49"/>
      <c r="J109" s="49"/>
      <c r="K109" s="49"/>
      <c r="L109" s="49"/>
      <c r="M109" s="144"/>
      <c r="N109" s="108"/>
    </row>
    <row r="110" spans="1:14" s="109" customFormat="1" ht="12.75">
      <c r="A110" s="165"/>
      <c r="B110" s="157"/>
      <c r="C110" s="133" t="s">
        <v>57</v>
      </c>
      <c r="D110" s="44" t="s">
        <v>48</v>
      </c>
      <c r="E110" s="169">
        <f>803/1000</f>
        <v>0.803</v>
      </c>
      <c r="F110" s="49">
        <f>E110*F109</f>
        <v>6.429621</v>
      </c>
      <c r="G110" s="49"/>
      <c r="H110" s="49"/>
      <c r="I110" s="48"/>
      <c r="J110" s="48"/>
      <c r="K110" s="49"/>
      <c r="L110" s="49"/>
      <c r="M110" s="48"/>
      <c r="N110" s="108"/>
    </row>
    <row r="111" spans="1:14" s="109" customFormat="1" ht="12.75">
      <c r="A111" s="165"/>
      <c r="B111" s="157"/>
      <c r="C111" s="133" t="s">
        <v>25</v>
      </c>
      <c r="D111" s="44" t="s">
        <v>0</v>
      </c>
      <c r="E111" s="169">
        <f>263/1000</f>
        <v>0.263</v>
      </c>
      <c r="F111" s="49">
        <f>F109*E111</f>
        <v>2.105841</v>
      </c>
      <c r="G111" s="49"/>
      <c r="H111" s="49"/>
      <c r="I111" s="49"/>
      <c r="J111" s="49"/>
      <c r="K111" s="49"/>
      <c r="L111" s="49"/>
      <c r="M111" s="48"/>
      <c r="N111" s="108"/>
    </row>
    <row r="112" spans="1:14" s="109" customFormat="1" ht="12.75">
      <c r="A112" s="165"/>
      <c r="B112" s="59" t="s">
        <v>170</v>
      </c>
      <c r="C112" s="133" t="s">
        <v>171</v>
      </c>
      <c r="D112" s="44" t="s">
        <v>26</v>
      </c>
      <c r="E112" s="170">
        <f>1.43/1000</f>
        <v>0.0014299999999999998</v>
      </c>
      <c r="F112" s="146">
        <f>E112*F109</f>
        <v>0.011450009999999998</v>
      </c>
      <c r="G112" s="49"/>
      <c r="H112" s="49"/>
      <c r="I112" s="49"/>
      <c r="J112" s="49"/>
      <c r="K112" s="49"/>
      <c r="L112" s="49"/>
      <c r="M112" s="48"/>
      <c r="N112" s="108"/>
    </row>
    <row r="113" spans="1:14" s="109" customFormat="1" ht="12.75">
      <c r="A113" s="165"/>
      <c r="B113" s="59" t="s">
        <v>172</v>
      </c>
      <c r="C113" s="171" t="s">
        <v>30</v>
      </c>
      <c r="D113" s="44" t="s">
        <v>0</v>
      </c>
      <c r="E113" s="170">
        <f>11.8/1000</f>
        <v>0.011800000000000001</v>
      </c>
      <c r="F113" s="147">
        <f>E113*F109</f>
        <v>0.09448260000000001</v>
      </c>
      <c r="G113" s="49"/>
      <c r="H113" s="49"/>
      <c r="I113" s="49"/>
      <c r="J113" s="49"/>
      <c r="K113" s="49"/>
      <c r="L113" s="49"/>
      <c r="M113" s="48"/>
      <c r="N113" s="108"/>
    </row>
    <row r="114" spans="1:14" s="109" customFormat="1" ht="12.75">
      <c r="A114" s="57" t="s">
        <v>202</v>
      </c>
      <c r="B114" s="172" t="s">
        <v>173</v>
      </c>
      <c r="C114" s="173" t="s">
        <v>177</v>
      </c>
      <c r="D114" s="174" t="s">
        <v>8</v>
      </c>
      <c r="E114" s="175"/>
      <c r="F114" s="176">
        <v>1</v>
      </c>
      <c r="G114" s="105"/>
      <c r="H114" s="49"/>
      <c r="I114" s="105"/>
      <c r="J114" s="48"/>
      <c r="K114" s="105"/>
      <c r="L114" s="49"/>
      <c r="M114" s="144"/>
      <c r="N114" s="108"/>
    </row>
    <row r="115" spans="1:14" s="109" customFormat="1" ht="12.75">
      <c r="A115" s="57"/>
      <c r="B115" s="177"/>
      <c r="C115" s="178" t="s">
        <v>3</v>
      </c>
      <c r="D115" s="179" t="s">
        <v>4</v>
      </c>
      <c r="E115" s="180">
        <v>2.69</v>
      </c>
      <c r="F115" s="180">
        <f>F114*E115</f>
        <v>2.69</v>
      </c>
      <c r="G115" s="105"/>
      <c r="H115" s="49"/>
      <c r="I115" s="145"/>
      <c r="J115" s="48"/>
      <c r="K115" s="105"/>
      <c r="L115" s="49"/>
      <c r="M115" s="48"/>
      <c r="N115" s="108"/>
    </row>
    <row r="116" spans="1:14" s="109" customFormat="1" ht="12.75">
      <c r="A116" s="57"/>
      <c r="B116" s="177"/>
      <c r="C116" s="133" t="s">
        <v>25</v>
      </c>
      <c r="D116" s="179" t="s">
        <v>29</v>
      </c>
      <c r="E116" s="180">
        <v>0.01</v>
      </c>
      <c r="F116" s="180">
        <f>E116*F114</f>
        <v>0.01</v>
      </c>
      <c r="G116" s="105"/>
      <c r="H116" s="49"/>
      <c r="I116" s="105"/>
      <c r="J116" s="48"/>
      <c r="K116" s="105"/>
      <c r="L116" s="49"/>
      <c r="M116" s="48"/>
      <c r="N116" s="108"/>
    </row>
    <row r="117" spans="1:14" s="109" customFormat="1" ht="12.75">
      <c r="A117" s="57"/>
      <c r="B117" s="177"/>
      <c r="C117" s="178" t="s">
        <v>174</v>
      </c>
      <c r="D117" s="179" t="s">
        <v>175</v>
      </c>
      <c r="E117" s="180">
        <v>2.19</v>
      </c>
      <c r="F117" s="180">
        <f>F114*E117</f>
        <v>2.19</v>
      </c>
      <c r="G117" s="105"/>
      <c r="H117" s="49"/>
      <c r="I117" s="105"/>
      <c r="J117" s="48"/>
      <c r="K117" s="105"/>
      <c r="L117" s="49"/>
      <c r="M117" s="48"/>
      <c r="N117" s="108"/>
    </row>
    <row r="118" spans="1:14" s="109" customFormat="1" ht="12.75">
      <c r="A118" s="57"/>
      <c r="B118" s="181"/>
      <c r="C118" s="178" t="s">
        <v>176</v>
      </c>
      <c r="D118" s="179" t="s">
        <v>175</v>
      </c>
      <c r="E118" s="180">
        <v>2.25</v>
      </c>
      <c r="F118" s="180">
        <f>F114*E118</f>
        <v>2.25</v>
      </c>
      <c r="G118" s="105"/>
      <c r="H118" s="49"/>
      <c r="I118" s="105"/>
      <c r="J118" s="48"/>
      <c r="K118" s="105"/>
      <c r="L118" s="49"/>
      <c r="M118" s="48"/>
      <c r="N118" s="108"/>
    </row>
    <row r="119" spans="1:14" s="109" customFormat="1" ht="12.75">
      <c r="A119" s="57"/>
      <c r="B119" s="177"/>
      <c r="C119" s="178" t="s">
        <v>191</v>
      </c>
      <c r="D119" s="179" t="s">
        <v>8</v>
      </c>
      <c r="E119" s="180">
        <v>1</v>
      </c>
      <c r="F119" s="180">
        <f>E119*F114</f>
        <v>1</v>
      </c>
      <c r="G119" s="105"/>
      <c r="H119" s="49"/>
      <c r="I119" s="105"/>
      <c r="J119" s="48"/>
      <c r="K119" s="105"/>
      <c r="L119" s="49"/>
      <c r="M119" s="48"/>
      <c r="N119" s="108"/>
    </row>
    <row r="120" spans="1:14" s="109" customFormat="1" ht="12.75">
      <c r="A120" s="57"/>
      <c r="B120" s="177"/>
      <c r="C120" s="168" t="s">
        <v>24</v>
      </c>
      <c r="D120" s="182" t="s">
        <v>29</v>
      </c>
      <c r="E120" s="180">
        <v>7.3</v>
      </c>
      <c r="F120" s="180">
        <f>E120*F114</f>
        <v>7.3</v>
      </c>
      <c r="G120" s="105"/>
      <c r="H120" s="49"/>
      <c r="I120" s="105"/>
      <c r="J120" s="48"/>
      <c r="K120" s="105"/>
      <c r="L120" s="49"/>
      <c r="M120" s="48"/>
      <c r="N120" s="108"/>
    </row>
    <row r="121" spans="1:14" s="109" customFormat="1" ht="51">
      <c r="A121" s="76">
        <v>26</v>
      </c>
      <c r="B121" s="164" t="s">
        <v>46</v>
      </c>
      <c r="C121" s="66" t="s">
        <v>91</v>
      </c>
      <c r="D121" s="95" t="s">
        <v>8</v>
      </c>
      <c r="E121" s="95"/>
      <c r="F121" s="81">
        <v>1</v>
      </c>
      <c r="G121" s="48"/>
      <c r="H121" s="183"/>
      <c r="I121" s="183"/>
      <c r="J121" s="183"/>
      <c r="K121" s="183"/>
      <c r="L121" s="183"/>
      <c r="M121" s="81"/>
      <c r="N121" s="108"/>
    </row>
    <row r="122" spans="1:14" s="109" customFormat="1" ht="12.75">
      <c r="A122" s="165"/>
      <c r="B122" s="184"/>
      <c r="C122" s="185" t="s">
        <v>47</v>
      </c>
      <c r="D122" s="186" t="s">
        <v>48</v>
      </c>
      <c r="E122" s="44">
        <f>2.29*1.15</f>
        <v>2.6334999999999997</v>
      </c>
      <c r="F122" s="183">
        <f>F121*E122</f>
        <v>2.6334999999999997</v>
      </c>
      <c r="G122" s="187"/>
      <c r="H122" s="188"/>
      <c r="I122" s="183"/>
      <c r="J122" s="183"/>
      <c r="K122" s="183"/>
      <c r="L122" s="183"/>
      <c r="M122" s="183"/>
      <c r="N122" s="108"/>
    </row>
    <row r="123" spans="1:14" s="109" customFormat="1" ht="12.75">
      <c r="A123" s="165"/>
      <c r="B123" s="189"/>
      <c r="C123" s="185" t="s">
        <v>49</v>
      </c>
      <c r="D123" s="186" t="s">
        <v>0</v>
      </c>
      <c r="E123" s="44">
        <f>0.09*1.15</f>
        <v>0.1035</v>
      </c>
      <c r="F123" s="183">
        <f>F121*E123</f>
        <v>0.1035</v>
      </c>
      <c r="G123" s="183"/>
      <c r="H123" s="183"/>
      <c r="I123" s="183"/>
      <c r="J123" s="183"/>
      <c r="K123" s="183"/>
      <c r="L123" s="183"/>
      <c r="M123" s="183"/>
      <c r="N123" s="108"/>
    </row>
    <row r="124" spans="1:14" s="109" customFormat="1" ht="12.75">
      <c r="A124" s="165"/>
      <c r="B124" s="189"/>
      <c r="C124" s="44" t="s">
        <v>45</v>
      </c>
      <c r="D124" s="186"/>
      <c r="E124" s="44"/>
      <c r="F124" s="183"/>
      <c r="G124" s="183"/>
      <c r="H124" s="183"/>
      <c r="I124" s="183"/>
      <c r="J124" s="183"/>
      <c r="K124" s="183"/>
      <c r="L124" s="183"/>
      <c r="M124" s="183"/>
      <c r="N124" s="108"/>
    </row>
    <row r="125" spans="1:14" s="109" customFormat="1" ht="12.75">
      <c r="A125" s="165"/>
      <c r="B125" s="190" t="s">
        <v>88</v>
      </c>
      <c r="C125" s="185" t="s">
        <v>192</v>
      </c>
      <c r="D125" s="186" t="s">
        <v>8</v>
      </c>
      <c r="E125" s="44">
        <v>1</v>
      </c>
      <c r="F125" s="183">
        <f>F121*E125</f>
        <v>1</v>
      </c>
      <c r="G125" s="183"/>
      <c r="H125" s="183"/>
      <c r="I125" s="183"/>
      <c r="J125" s="183"/>
      <c r="K125" s="183"/>
      <c r="L125" s="183"/>
      <c r="M125" s="183"/>
      <c r="N125" s="108"/>
    </row>
    <row r="126" spans="1:14" s="109" customFormat="1" ht="12.75">
      <c r="A126" s="165"/>
      <c r="B126" s="189"/>
      <c r="C126" s="185" t="s">
        <v>6</v>
      </c>
      <c r="D126" s="186" t="s">
        <v>0</v>
      </c>
      <c r="E126" s="44">
        <v>0.68</v>
      </c>
      <c r="F126" s="183">
        <f>F121*E126</f>
        <v>0.68</v>
      </c>
      <c r="G126" s="183"/>
      <c r="H126" s="183"/>
      <c r="I126" s="183"/>
      <c r="J126" s="183"/>
      <c r="K126" s="183"/>
      <c r="L126" s="183"/>
      <c r="M126" s="183"/>
      <c r="N126" s="108"/>
    </row>
    <row r="127" spans="1:14" s="109" customFormat="1" ht="12.75">
      <c r="A127" s="191">
        <v>27</v>
      </c>
      <c r="B127" s="192" t="s">
        <v>77</v>
      </c>
      <c r="C127" s="193" t="s">
        <v>92</v>
      </c>
      <c r="D127" s="194" t="s">
        <v>8</v>
      </c>
      <c r="E127" s="194"/>
      <c r="F127" s="195">
        <v>6</v>
      </c>
      <c r="G127" s="196"/>
      <c r="H127" s="196"/>
      <c r="I127" s="196"/>
      <c r="J127" s="196"/>
      <c r="K127" s="196"/>
      <c r="L127" s="196"/>
      <c r="M127" s="196"/>
      <c r="N127" s="108"/>
    </row>
    <row r="128" spans="1:14" s="109" customFormat="1" ht="12.75">
      <c r="A128" s="197"/>
      <c r="B128" s="198"/>
      <c r="C128" s="199" t="s">
        <v>3</v>
      </c>
      <c r="D128" s="200" t="s">
        <v>4</v>
      </c>
      <c r="E128" s="200">
        <v>1.25</v>
      </c>
      <c r="F128" s="201">
        <f>F127*E128</f>
        <v>7.5</v>
      </c>
      <c r="G128" s="201"/>
      <c r="H128" s="201"/>
      <c r="I128" s="201"/>
      <c r="J128" s="183"/>
      <c r="K128" s="201"/>
      <c r="L128" s="201"/>
      <c r="M128" s="183"/>
      <c r="N128" s="108"/>
    </row>
    <row r="129" spans="1:14" s="109" customFormat="1" ht="12.75">
      <c r="A129" s="197"/>
      <c r="B129" s="198"/>
      <c r="C129" s="199" t="s">
        <v>21</v>
      </c>
      <c r="D129" s="202" t="s">
        <v>0</v>
      </c>
      <c r="E129" s="200">
        <v>0.85</v>
      </c>
      <c r="F129" s="201">
        <f>F127*E129</f>
        <v>5.1</v>
      </c>
      <c r="G129" s="201"/>
      <c r="H129" s="201"/>
      <c r="I129" s="201"/>
      <c r="J129" s="201"/>
      <c r="K129" s="201"/>
      <c r="L129" s="183"/>
      <c r="M129" s="183"/>
      <c r="N129" s="108"/>
    </row>
    <row r="130" spans="1:14" s="109" customFormat="1" ht="12.75">
      <c r="A130" s="197"/>
      <c r="B130" s="203"/>
      <c r="C130" s="202" t="s">
        <v>45</v>
      </c>
      <c r="D130" s="202"/>
      <c r="E130" s="202"/>
      <c r="F130" s="204"/>
      <c r="G130" s="204"/>
      <c r="H130" s="204"/>
      <c r="I130" s="201"/>
      <c r="J130" s="204"/>
      <c r="K130" s="204"/>
      <c r="L130" s="204"/>
      <c r="M130" s="204"/>
      <c r="N130" s="108"/>
    </row>
    <row r="131" spans="1:14" s="109" customFormat="1" ht="12.75">
      <c r="A131" s="205"/>
      <c r="B131" s="203"/>
      <c r="C131" s="206" t="s">
        <v>93</v>
      </c>
      <c r="D131" s="202" t="s">
        <v>8</v>
      </c>
      <c r="E131" s="202">
        <v>1</v>
      </c>
      <c r="F131" s="204">
        <f>F127*E131</f>
        <v>6</v>
      </c>
      <c r="G131" s="204"/>
      <c r="H131" s="183"/>
      <c r="I131" s="201"/>
      <c r="J131" s="204"/>
      <c r="K131" s="204"/>
      <c r="L131" s="204"/>
      <c r="M131" s="183"/>
      <c r="N131" s="108"/>
    </row>
    <row r="132" spans="1:14" s="109" customFormat="1" ht="12.75">
      <c r="A132" s="205"/>
      <c r="B132" s="203"/>
      <c r="C132" s="199" t="s">
        <v>24</v>
      </c>
      <c r="D132" s="202" t="s">
        <v>29</v>
      </c>
      <c r="E132" s="200">
        <v>0.14</v>
      </c>
      <c r="F132" s="201">
        <f>F127*E132</f>
        <v>0.8400000000000001</v>
      </c>
      <c r="G132" s="201"/>
      <c r="H132" s="183"/>
      <c r="I132" s="201"/>
      <c r="J132" s="204"/>
      <c r="K132" s="204"/>
      <c r="L132" s="204"/>
      <c r="M132" s="183"/>
      <c r="N132" s="108"/>
    </row>
    <row r="133" spans="1:14" s="109" customFormat="1" ht="12.75">
      <c r="A133" s="191">
        <v>28</v>
      </c>
      <c r="B133" s="192" t="s">
        <v>77</v>
      </c>
      <c r="C133" s="193" t="s">
        <v>94</v>
      </c>
      <c r="D133" s="194" t="s">
        <v>8</v>
      </c>
      <c r="E133" s="194"/>
      <c r="F133" s="195">
        <v>3</v>
      </c>
      <c r="G133" s="196"/>
      <c r="H133" s="196"/>
      <c r="I133" s="196"/>
      <c r="J133" s="196"/>
      <c r="K133" s="196"/>
      <c r="L133" s="196"/>
      <c r="M133" s="196"/>
      <c r="N133" s="108"/>
    </row>
    <row r="134" spans="1:14" s="109" customFormat="1" ht="12.75">
      <c r="A134" s="197"/>
      <c r="B134" s="198"/>
      <c r="C134" s="199" t="s">
        <v>3</v>
      </c>
      <c r="D134" s="200" t="s">
        <v>4</v>
      </c>
      <c r="E134" s="200">
        <v>1.25</v>
      </c>
      <c r="F134" s="201">
        <f>F133*E134</f>
        <v>3.75</v>
      </c>
      <c r="G134" s="201"/>
      <c r="H134" s="201"/>
      <c r="I134" s="201"/>
      <c r="J134" s="183"/>
      <c r="K134" s="201"/>
      <c r="L134" s="201"/>
      <c r="M134" s="183"/>
      <c r="N134" s="108"/>
    </row>
    <row r="135" spans="1:14" s="109" customFormat="1" ht="12.75">
      <c r="A135" s="197"/>
      <c r="B135" s="198"/>
      <c r="C135" s="199" t="s">
        <v>21</v>
      </c>
      <c r="D135" s="202" t="s">
        <v>0</v>
      </c>
      <c r="E135" s="200">
        <v>0.85</v>
      </c>
      <c r="F135" s="201">
        <f>F133*E135</f>
        <v>2.55</v>
      </c>
      <c r="G135" s="201"/>
      <c r="H135" s="201"/>
      <c r="I135" s="201"/>
      <c r="J135" s="201"/>
      <c r="K135" s="201"/>
      <c r="L135" s="183"/>
      <c r="M135" s="183"/>
      <c r="N135" s="108"/>
    </row>
    <row r="136" spans="1:14" s="109" customFormat="1" ht="12.75">
      <c r="A136" s="197"/>
      <c r="B136" s="203"/>
      <c r="C136" s="202" t="s">
        <v>45</v>
      </c>
      <c r="D136" s="202"/>
      <c r="E136" s="202"/>
      <c r="F136" s="204"/>
      <c r="G136" s="204"/>
      <c r="H136" s="204"/>
      <c r="I136" s="201"/>
      <c r="J136" s="204"/>
      <c r="K136" s="204"/>
      <c r="L136" s="204"/>
      <c r="M136" s="204"/>
      <c r="N136" s="108"/>
    </row>
    <row r="137" spans="1:14" s="109" customFormat="1" ht="12.75">
      <c r="A137" s="205"/>
      <c r="B137" s="203"/>
      <c r="C137" s="206" t="s">
        <v>95</v>
      </c>
      <c r="D137" s="202" t="s">
        <v>8</v>
      </c>
      <c r="E137" s="202">
        <v>1</v>
      </c>
      <c r="F137" s="204">
        <f>F133*E137</f>
        <v>3</v>
      </c>
      <c r="G137" s="204"/>
      <c r="H137" s="183"/>
      <c r="I137" s="201"/>
      <c r="J137" s="204"/>
      <c r="K137" s="204"/>
      <c r="L137" s="204"/>
      <c r="M137" s="183"/>
      <c r="N137" s="108"/>
    </row>
    <row r="138" spans="1:15" ht="12.75">
      <c r="A138" s="205"/>
      <c r="B138" s="203"/>
      <c r="C138" s="199" t="s">
        <v>24</v>
      </c>
      <c r="D138" s="202" t="s">
        <v>29</v>
      </c>
      <c r="E138" s="200">
        <v>0.14</v>
      </c>
      <c r="F138" s="201">
        <f>F133*E138</f>
        <v>0.42000000000000004</v>
      </c>
      <c r="G138" s="201"/>
      <c r="H138" s="183"/>
      <c r="I138" s="201"/>
      <c r="J138" s="204"/>
      <c r="K138" s="204"/>
      <c r="L138" s="204"/>
      <c r="M138" s="183"/>
      <c r="O138" s="93">
        <v>6362.496725307301</v>
      </c>
    </row>
    <row r="139" spans="1:13" ht="12.75">
      <c r="A139" s="119"/>
      <c r="B139" s="120"/>
      <c r="C139" s="229" t="s">
        <v>76</v>
      </c>
      <c r="D139" s="122"/>
      <c r="E139" s="123"/>
      <c r="F139" s="123"/>
      <c r="G139" s="123"/>
      <c r="H139" s="124"/>
      <c r="I139" s="124"/>
      <c r="J139" s="124"/>
      <c r="K139" s="124"/>
      <c r="L139" s="124"/>
      <c r="M139" s="124"/>
    </row>
    <row r="140" spans="1:13" ht="12.75">
      <c r="A140" s="191">
        <v>29</v>
      </c>
      <c r="B140" s="207" t="s">
        <v>78</v>
      </c>
      <c r="C140" s="208" t="s">
        <v>96</v>
      </c>
      <c r="D140" s="209" t="s">
        <v>8</v>
      </c>
      <c r="E140" s="210"/>
      <c r="F140" s="210">
        <v>1</v>
      </c>
      <c r="G140" s="210"/>
      <c r="H140" s="210"/>
      <c r="I140" s="210"/>
      <c r="J140" s="210"/>
      <c r="K140" s="210"/>
      <c r="L140" s="210"/>
      <c r="M140" s="211"/>
    </row>
    <row r="141" spans="1:13" ht="12.75">
      <c r="A141" s="197"/>
      <c r="B141" s="212"/>
      <c r="C141" s="213" t="s">
        <v>3</v>
      </c>
      <c r="D141" s="209" t="s">
        <v>4</v>
      </c>
      <c r="E141" s="209">
        <v>3.42</v>
      </c>
      <c r="F141" s="210">
        <f>F140*E141</f>
        <v>3.42</v>
      </c>
      <c r="G141" s="214"/>
      <c r="H141" s="214"/>
      <c r="I141" s="210"/>
      <c r="J141" s="210"/>
      <c r="K141" s="214"/>
      <c r="L141" s="214"/>
      <c r="M141" s="183"/>
    </row>
    <row r="142" spans="1:13" ht="12.75">
      <c r="A142" s="197"/>
      <c r="B142" s="212"/>
      <c r="C142" s="213" t="s">
        <v>21</v>
      </c>
      <c r="D142" s="209" t="s">
        <v>29</v>
      </c>
      <c r="E142" s="209">
        <v>0.01</v>
      </c>
      <c r="F142" s="210">
        <f>F140*E142</f>
        <v>0.01</v>
      </c>
      <c r="G142" s="210"/>
      <c r="H142" s="210"/>
      <c r="I142" s="210"/>
      <c r="J142" s="210"/>
      <c r="K142" s="210"/>
      <c r="L142" s="215"/>
      <c r="M142" s="183"/>
    </row>
    <row r="143" spans="1:13" ht="12.75">
      <c r="A143" s="197"/>
      <c r="B143" s="212"/>
      <c r="C143" s="216" t="s">
        <v>24</v>
      </c>
      <c r="D143" s="50" t="s">
        <v>29</v>
      </c>
      <c r="E143" s="209">
        <f>13.6/10</f>
        <v>1.3599999999999999</v>
      </c>
      <c r="F143" s="210">
        <f>F140*E143</f>
        <v>1.3599999999999999</v>
      </c>
      <c r="G143" s="210"/>
      <c r="H143" s="210"/>
      <c r="I143" s="210"/>
      <c r="J143" s="210"/>
      <c r="K143" s="210"/>
      <c r="L143" s="210"/>
      <c r="M143" s="183"/>
    </row>
    <row r="144" spans="1:13" ht="25.5">
      <c r="A144" s="95">
        <v>30</v>
      </c>
      <c r="B144" s="164" t="s">
        <v>27</v>
      </c>
      <c r="C144" s="66" t="s">
        <v>97</v>
      </c>
      <c r="D144" s="67" t="s">
        <v>8</v>
      </c>
      <c r="E144" s="67"/>
      <c r="F144" s="217">
        <f>SUM(F148:F148)</f>
        <v>1</v>
      </c>
      <c r="G144" s="218"/>
      <c r="H144" s="82"/>
      <c r="I144" s="67"/>
      <c r="J144" s="82"/>
      <c r="K144" s="67"/>
      <c r="L144" s="82"/>
      <c r="M144" s="82"/>
    </row>
    <row r="145" spans="1:13" ht="12.75">
      <c r="A145" s="95"/>
      <c r="B145" s="44"/>
      <c r="C145" s="47" t="s">
        <v>3</v>
      </c>
      <c r="D145" s="46" t="s">
        <v>4</v>
      </c>
      <c r="E145" s="46">
        <f>3.89/10</f>
        <v>0.389</v>
      </c>
      <c r="F145" s="48">
        <f>F144*E145</f>
        <v>0.389</v>
      </c>
      <c r="G145" s="46"/>
      <c r="H145" s="48"/>
      <c r="I145" s="48"/>
      <c r="J145" s="48"/>
      <c r="K145" s="46"/>
      <c r="L145" s="48"/>
      <c r="M145" s="48"/>
    </row>
    <row r="146" spans="1:13" ht="12.75">
      <c r="A146" s="95"/>
      <c r="B146" s="44"/>
      <c r="C146" s="47" t="s">
        <v>21</v>
      </c>
      <c r="D146" s="44" t="s">
        <v>0</v>
      </c>
      <c r="E146" s="46">
        <f>1.51/10</f>
        <v>0.151</v>
      </c>
      <c r="F146" s="155">
        <f>E146*F144</f>
        <v>0.151</v>
      </c>
      <c r="G146" s="46"/>
      <c r="H146" s="48"/>
      <c r="I146" s="46"/>
      <c r="J146" s="48"/>
      <c r="K146" s="46"/>
      <c r="L146" s="48"/>
      <c r="M146" s="48"/>
    </row>
    <row r="147" spans="1:13" ht="12.75">
      <c r="A147" s="76"/>
      <c r="B147" s="219"/>
      <c r="C147" s="44" t="s">
        <v>45</v>
      </c>
      <c r="D147" s="44"/>
      <c r="E147" s="44"/>
      <c r="F147" s="49"/>
      <c r="G147" s="44"/>
      <c r="H147" s="49"/>
      <c r="I147" s="46"/>
      <c r="J147" s="49"/>
      <c r="K147" s="44"/>
      <c r="L147" s="49"/>
      <c r="M147" s="49"/>
    </row>
    <row r="148" spans="1:13" ht="12.75">
      <c r="A148" s="76"/>
      <c r="B148" s="219"/>
      <c r="C148" s="47" t="s">
        <v>89</v>
      </c>
      <c r="D148" s="44" t="s">
        <v>8</v>
      </c>
      <c r="E148" s="44" t="s">
        <v>79</v>
      </c>
      <c r="F148" s="220">
        <v>1</v>
      </c>
      <c r="G148" s="49"/>
      <c r="H148" s="49"/>
      <c r="I148" s="46"/>
      <c r="J148" s="49"/>
      <c r="K148" s="44"/>
      <c r="L148" s="49"/>
      <c r="M148" s="49"/>
    </row>
    <row r="149" spans="1:13" ht="12.75">
      <c r="A149" s="76"/>
      <c r="B149" s="219"/>
      <c r="C149" s="47" t="s">
        <v>6</v>
      </c>
      <c r="D149" s="44" t="s">
        <v>0</v>
      </c>
      <c r="E149" s="44">
        <v>0.1</v>
      </c>
      <c r="F149" s="147">
        <f>E149*F144</f>
        <v>0.1</v>
      </c>
      <c r="G149" s="44"/>
      <c r="H149" s="147"/>
      <c r="I149" s="46"/>
      <c r="J149" s="49"/>
      <c r="K149" s="44"/>
      <c r="L149" s="49"/>
      <c r="M149" s="49"/>
    </row>
    <row r="150" spans="1:13" ht="25.5">
      <c r="A150" s="95">
        <v>31</v>
      </c>
      <c r="B150" s="164" t="s">
        <v>27</v>
      </c>
      <c r="C150" s="66" t="s">
        <v>98</v>
      </c>
      <c r="D150" s="67" t="s">
        <v>8</v>
      </c>
      <c r="E150" s="67"/>
      <c r="F150" s="217">
        <f>SUM(F154:F154)</f>
        <v>3</v>
      </c>
      <c r="G150" s="218"/>
      <c r="H150" s="82"/>
      <c r="I150" s="67"/>
      <c r="J150" s="82"/>
      <c r="K150" s="67"/>
      <c r="L150" s="82"/>
      <c r="M150" s="82"/>
    </row>
    <row r="151" spans="1:13" ht="12.75">
      <c r="A151" s="95"/>
      <c r="B151" s="44"/>
      <c r="C151" s="47" t="s">
        <v>3</v>
      </c>
      <c r="D151" s="46" t="s">
        <v>4</v>
      </c>
      <c r="E151" s="46">
        <f>3.89/10</f>
        <v>0.389</v>
      </c>
      <c r="F151" s="48">
        <f>F150*E151</f>
        <v>1.167</v>
      </c>
      <c r="G151" s="46"/>
      <c r="H151" s="48"/>
      <c r="I151" s="48"/>
      <c r="J151" s="48"/>
      <c r="K151" s="46"/>
      <c r="L151" s="48"/>
      <c r="M151" s="48"/>
    </row>
    <row r="152" spans="1:13" ht="12.75">
      <c r="A152" s="95"/>
      <c r="B152" s="44"/>
      <c r="C152" s="47" t="s">
        <v>21</v>
      </c>
      <c r="D152" s="44" t="s">
        <v>0</v>
      </c>
      <c r="E152" s="46">
        <f>1.51/10</f>
        <v>0.151</v>
      </c>
      <c r="F152" s="155">
        <f>E152*F150</f>
        <v>0.45299999999999996</v>
      </c>
      <c r="G152" s="46"/>
      <c r="H152" s="48"/>
      <c r="I152" s="46"/>
      <c r="J152" s="48"/>
      <c r="K152" s="46"/>
      <c r="L152" s="48"/>
      <c r="M152" s="48"/>
    </row>
    <row r="153" spans="1:13" ht="12.75">
      <c r="A153" s="76"/>
      <c r="B153" s="219"/>
      <c r="C153" s="44" t="s">
        <v>45</v>
      </c>
      <c r="D153" s="44"/>
      <c r="E153" s="44"/>
      <c r="F153" s="49"/>
      <c r="G153" s="44"/>
      <c r="H153" s="49"/>
      <c r="I153" s="46"/>
      <c r="J153" s="49"/>
      <c r="K153" s="44"/>
      <c r="L153" s="49"/>
      <c r="M153" s="49"/>
    </row>
    <row r="154" spans="1:13" ht="12.75">
      <c r="A154" s="76"/>
      <c r="B154" s="219"/>
      <c r="C154" s="221" t="s">
        <v>90</v>
      </c>
      <c r="D154" s="44" t="s">
        <v>8</v>
      </c>
      <c r="E154" s="44" t="s">
        <v>79</v>
      </c>
      <c r="F154" s="220">
        <v>3</v>
      </c>
      <c r="G154" s="49"/>
      <c r="H154" s="49"/>
      <c r="I154" s="46"/>
      <c r="J154" s="49"/>
      <c r="K154" s="44"/>
      <c r="L154" s="49"/>
      <c r="M154" s="49"/>
    </row>
    <row r="155" spans="1:13" ht="12.75">
      <c r="A155" s="76"/>
      <c r="B155" s="219"/>
      <c r="C155" s="47" t="s">
        <v>6</v>
      </c>
      <c r="D155" s="44" t="s">
        <v>0</v>
      </c>
      <c r="E155" s="44">
        <v>0.1</v>
      </c>
      <c r="F155" s="147">
        <f>E155*F150</f>
        <v>0.30000000000000004</v>
      </c>
      <c r="G155" s="44"/>
      <c r="H155" s="147"/>
      <c r="I155" s="46"/>
      <c r="J155" s="49"/>
      <c r="K155" s="44"/>
      <c r="L155" s="49"/>
      <c r="M155" s="49"/>
    </row>
    <row r="156" spans="1:13" ht="12.75">
      <c r="A156" s="119"/>
      <c r="B156" s="120"/>
      <c r="C156" s="120" t="s">
        <v>106</v>
      </c>
      <c r="D156" s="122"/>
      <c r="E156" s="123"/>
      <c r="F156" s="123"/>
      <c r="G156" s="123"/>
      <c r="H156" s="124"/>
      <c r="I156" s="124"/>
      <c r="J156" s="124"/>
      <c r="K156" s="124"/>
      <c r="L156" s="124"/>
      <c r="M156" s="124"/>
    </row>
    <row r="157" spans="1:13" ht="25.5">
      <c r="A157" s="57" t="s">
        <v>203</v>
      </c>
      <c r="B157" s="51" t="s">
        <v>108</v>
      </c>
      <c r="C157" s="98" t="s">
        <v>178</v>
      </c>
      <c r="D157" s="105" t="s">
        <v>62</v>
      </c>
      <c r="E157" s="65"/>
      <c r="F157" s="144">
        <v>2.1</v>
      </c>
      <c r="G157" s="105"/>
      <c r="H157" s="49"/>
      <c r="I157" s="105"/>
      <c r="J157" s="48"/>
      <c r="K157" s="105"/>
      <c r="L157" s="49"/>
      <c r="M157" s="144"/>
    </row>
    <row r="158" spans="1:13" ht="12.75">
      <c r="A158" s="103"/>
      <c r="B158" s="52"/>
      <c r="C158" s="104" t="s">
        <v>110</v>
      </c>
      <c r="D158" s="105" t="s">
        <v>113</v>
      </c>
      <c r="E158" s="46">
        <f>11.4/1000</f>
        <v>0.0114</v>
      </c>
      <c r="F158" s="48">
        <f>F157*E158</f>
        <v>0.023940000000000003</v>
      </c>
      <c r="G158" s="46"/>
      <c r="H158" s="48"/>
      <c r="I158" s="46"/>
      <c r="J158" s="48"/>
      <c r="K158" s="46"/>
      <c r="L158" s="48"/>
      <c r="M158" s="48"/>
    </row>
    <row r="159" spans="1:13" ht="12.75">
      <c r="A159" s="103"/>
      <c r="B159" s="53" t="s">
        <v>111</v>
      </c>
      <c r="C159" s="104" t="s">
        <v>112</v>
      </c>
      <c r="D159" s="105" t="s">
        <v>114</v>
      </c>
      <c r="E159" s="46">
        <f>50.9/1000</f>
        <v>0.0509</v>
      </c>
      <c r="F159" s="49">
        <f>F157*E159</f>
        <v>0.10689000000000001</v>
      </c>
      <c r="G159" s="44"/>
      <c r="H159" s="44"/>
      <c r="I159" s="44"/>
      <c r="J159" s="44"/>
      <c r="K159" s="44"/>
      <c r="L159" s="106"/>
      <c r="M159" s="48"/>
    </row>
    <row r="160" spans="1:13" ht="25.5">
      <c r="A160" s="57" t="s">
        <v>204</v>
      </c>
      <c r="B160" s="51" t="s">
        <v>72</v>
      </c>
      <c r="C160" s="98" t="s">
        <v>115</v>
      </c>
      <c r="D160" s="105" t="s">
        <v>62</v>
      </c>
      <c r="E160" s="65"/>
      <c r="F160" s="144">
        <v>0.9</v>
      </c>
      <c r="G160" s="105"/>
      <c r="H160" s="49"/>
      <c r="I160" s="105"/>
      <c r="J160" s="48"/>
      <c r="K160" s="105"/>
      <c r="L160" s="49"/>
      <c r="M160" s="144"/>
    </row>
    <row r="161" spans="1:13" ht="12.75">
      <c r="A161" s="57"/>
      <c r="B161" s="51"/>
      <c r="C161" s="104" t="s">
        <v>110</v>
      </c>
      <c r="D161" s="105" t="s">
        <v>113</v>
      </c>
      <c r="E161" s="105">
        <f>206/100</f>
        <v>2.06</v>
      </c>
      <c r="F161" s="102">
        <f>F160*E161</f>
        <v>1.854</v>
      </c>
      <c r="G161" s="105"/>
      <c r="H161" s="49"/>
      <c r="I161" s="105"/>
      <c r="J161" s="48"/>
      <c r="K161" s="105"/>
      <c r="L161" s="49"/>
      <c r="M161" s="102"/>
    </row>
    <row r="162" spans="1:13" ht="25.5">
      <c r="A162" s="57" t="s">
        <v>205</v>
      </c>
      <c r="B162" s="51" t="s">
        <v>117</v>
      </c>
      <c r="C162" s="98" t="s">
        <v>118</v>
      </c>
      <c r="D162" s="105" t="s">
        <v>62</v>
      </c>
      <c r="E162" s="65"/>
      <c r="F162" s="144">
        <v>0.8</v>
      </c>
      <c r="G162" s="105"/>
      <c r="H162" s="49"/>
      <c r="I162" s="105"/>
      <c r="J162" s="48"/>
      <c r="K162" s="105"/>
      <c r="L162" s="49"/>
      <c r="M162" s="144"/>
    </row>
    <row r="163" spans="1:13" ht="12.75">
      <c r="A163" s="57"/>
      <c r="B163" s="51"/>
      <c r="C163" s="104" t="s">
        <v>110</v>
      </c>
      <c r="D163" s="105" t="s">
        <v>113</v>
      </c>
      <c r="E163" s="105">
        <f>21.5/1000</f>
        <v>0.0215</v>
      </c>
      <c r="F163" s="102">
        <f>F162*E163</f>
        <v>0.0172</v>
      </c>
      <c r="G163" s="46"/>
      <c r="H163" s="48"/>
      <c r="I163" s="46"/>
      <c r="J163" s="48"/>
      <c r="K163" s="46"/>
      <c r="L163" s="48"/>
      <c r="M163" s="48"/>
    </row>
    <row r="164" spans="1:13" ht="12.75">
      <c r="A164" s="57"/>
      <c r="B164" s="51" t="s">
        <v>111</v>
      </c>
      <c r="C164" s="104" t="s">
        <v>112</v>
      </c>
      <c r="D164" s="105" t="s">
        <v>114</v>
      </c>
      <c r="E164" s="105">
        <f>48.2/1000</f>
        <v>0.0482</v>
      </c>
      <c r="F164" s="102">
        <f>F162*E164</f>
        <v>0.038560000000000004</v>
      </c>
      <c r="G164" s="44"/>
      <c r="H164" s="44"/>
      <c r="I164" s="44"/>
      <c r="J164" s="44"/>
      <c r="K164" s="44"/>
      <c r="L164" s="106"/>
      <c r="M164" s="48"/>
    </row>
    <row r="165" spans="1:13" ht="12.75">
      <c r="A165" s="57" t="s">
        <v>206</v>
      </c>
      <c r="B165" s="51" t="s">
        <v>120</v>
      </c>
      <c r="C165" s="98" t="s">
        <v>121</v>
      </c>
      <c r="D165" s="105" t="s">
        <v>62</v>
      </c>
      <c r="E165" s="65"/>
      <c r="F165" s="144">
        <v>0.6</v>
      </c>
      <c r="G165" s="105"/>
      <c r="H165" s="49"/>
      <c r="I165" s="105"/>
      <c r="J165" s="48"/>
      <c r="K165" s="105"/>
      <c r="L165" s="49"/>
      <c r="M165" s="144"/>
    </row>
    <row r="166" spans="1:13" ht="12.75">
      <c r="A166" s="57"/>
      <c r="B166" s="51"/>
      <c r="C166" s="104" t="s">
        <v>110</v>
      </c>
      <c r="D166" s="105" t="s">
        <v>113</v>
      </c>
      <c r="E166" s="105">
        <f>299/100</f>
        <v>2.99</v>
      </c>
      <c r="F166" s="102">
        <f>E166*F165</f>
        <v>1.794</v>
      </c>
      <c r="G166" s="105"/>
      <c r="H166" s="49"/>
      <c r="I166" s="105"/>
      <c r="J166" s="48"/>
      <c r="K166" s="105"/>
      <c r="L166" s="49"/>
      <c r="M166" s="102"/>
    </row>
    <row r="167" spans="1:13" ht="25.5">
      <c r="A167" s="57" t="s">
        <v>207</v>
      </c>
      <c r="B167" s="51" t="s">
        <v>122</v>
      </c>
      <c r="C167" s="98" t="s">
        <v>123</v>
      </c>
      <c r="D167" s="105" t="s">
        <v>62</v>
      </c>
      <c r="E167" s="105"/>
      <c r="F167" s="144">
        <v>0.95</v>
      </c>
      <c r="G167" s="105"/>
      <c r="H167" s="49"/>
      <c r="I167" s="105"/>
      <c r="J167" s="48"/>
      <c r="K167" s="105"/>
      <c r="L167" s="49"/>
      <c r="M167" s="144"/>
    </row>
    <row r="168" spans="1:13" ht="12.75">
      <c r="A168" s="57"/>
      <c r="B168" s="51"/>
      <c r="C168" s="104" t="s">
        <v>124</v>
      </c>
      <c r="D168" s="105" t="s">
        <v>113</v>
      </c>
      <c r="E168" s="105">
        <f>27/1000</f>
        <v>0.027</v>
      </c>
      <c r="F168" s="102">
        <f>F167*E168</f>
        <v>0.02565</v>
      </c>
      <c r="G168" s="105"/>
      <c r="H168" s="49"/>
      <c r="I168" s="105"/>
      <c r="J168" s="48"/>
      <c r="K168" s="105"/>
      <c r="L168" s="49"/>
      <c r="M168" s="48"/>
    </row>
    <row r="169" spans="1:13" ht="12.75">
      <c r="A169" s="57"/>
      <c r="B169" s="51" t="s">
        <v>111</v>
      </c>
      <c r="C169" s="104" t="s">
        <v>125</v>
      </c>
      <c r="D169" s="105" t="s">
        <v>63</v>
      </c>
      <c r="E169" s="105">
        <f>60.5/1000</f>
        <v>0.0605</v>
      </c>
      <c r="F169" s="102">
        <f>F167*E169</f>
        <v>0.057475</v>
      </c>
      <c r="G169" s="105"/>
      <c r="H169" s="49"/>
      <c r="I169" s="105"/>
      <c r="J169" s="48"/>
      <c r="K169" s="44"/>
      <c r="L169" s="110"/>
      <c r="M169" s="48"/>
    </row>
    <row r="170" spans="1:13" ht="12.75">
      <c r="A170" s="57"/>
      <c r="B170" s="51"/>
      <c r="C170" s="104" t="s">
        <v>126</v>
      </c>
      <c r="D170" s="105" t="s">
        <v>0</v>
      </c>
      <c r="E170" s="105">
        <f>2.21/1000</f>
        <v>0.00221</v>
      </c>
      <c r="F170" s="102">
        <f>F167*E170</f>
        <v>0.0020995000000000002</v>
      </c>
      <c r="G170" s="105"/>
      <c r="H170" s="49"/>
      <c r="I170" s="105"/>
      <c r="J170" s="48"/>
      <c r="K170" s="105"/>
      <c r="L170" s="106"/>
      <c r="M170" s="48"/>
    </row>
    <row r="171" spans="1:13" ht="12.75">
      <c r="A171" s="57"/>
      <c r="B171" s="51" t="s">
        <v>127</v>
      </c>
      <c r="C171" s="104" t="s">
        <v>128</v>
      </c>
      <c r="D171" s="105" t="s">
        <v>62</v>
      </c>
      <c r="E171" s="105">
        <f>0.06/1000</f>
        <v>5.9999999999999995E-05</v>
      </c>
      <c r="F171" s="102">
        <f>F167*E171</f>
        <v>5.699999999999999E-05</v>
      </c>
      <c r="G171" s="105"/>
      <c r="H171" s="49"/>
      <c r="I171" s="105"/>
      <c r="J171" s="48"/>
      <c r="K171" s="105"/>
      <c r="L171" s="49"/>
      <c r="M171" s="48"/>
    </row>
    <row r="172" spans="1:13" ht="25.5">
      <c r="A172" s="222">
        <v>37</v>
      </c>
      <c r="B172" s="223" t="s">
        <v>71</v>
      </c>
      <c r="C172" s="66" t="s">
        <v>179</v>
      </c>
      <c r="D172" s="65" t="s">
        <v>187</v>
      </c>
      <c r="E172" s="65"/>
      <c r="F172" s="144">
        <f>F157+F160+F162+F165-F167</f>
        <v>3.4499999999999993</v>
      </c>
      <c r="G172" s="224"/>
      <c r="H172" s="224"/>
      <c r="I172" s="224"/>
      <c r="J172" s="224"/>
      <c r="K172" s="224"/>
      <c r="L172" s="224"/>
      <c r="M172" s="144"/>
    </row>
    <row r="173" spans="1:13" ht="12.75">
      <c r="A173" s="224"/>
      <c r="B173" s="223" t="s">
        <v>87</v>
      </c>
      <c r="C173" s="133" t="s">
        <v>180</v>
      </c>
      <c r="D173" s="46" t="s">
        <v>4</v>
      </c>
      <c r="E173" s="46">
        <f>9.21/1000</f>
        <v>0.009210000000000001</v>
      </c>
      <c r="F173" s="48">
        <f>F172*E173</f>
        <v>0.0317745</v>
      </c>
      <c r="G173" s="224"/>
      <c r="H173" s="224"/>
      <c r="I173" s="224"/>
      <c r="J173" s="224"/>
      <c r="K173" s="224"/>
      <c r="L173" s="106"/>
      <c r="M173" s="106"/>
    </row>
    <row r="174" spans="1:13" ht="12.75">
      <c r="A174" s="224"/>
      <c r="B174" s="223" t="s">
        <v>181</v>
      </c>
      <c r="C174" s="47" t="s">
        <v>182</v>
      </c>
      <c r="D174" s="44" t="s">
        <v>5</v>
      </c>
      <c r="E174" s="46">
        <v>1</v>
      </c>
      <c r="F174" s="49">
        <f>F172*E174</f>
        <v>3.4499999999999993</v>
      </c>
      <c r="G174" s="224"/>
      <c r="H174" s="224"/>
      <c r="I174" s="224"/>
      <c r="J174" s="224"/>
      <c r="K174" s="224"/>
      <c r="L174" s="224"/>
      <c r="M174" s="106"/>
    </row>
    <row r="175" spans="1:13" ht="12.75">
      <c r="A175" s="57" t="s">
        <v>208</v>
      </c>
      <c r="B175" s="51"/>
      <c r="C175" s="98" t="s">
        <v>144</v>
      </c>
      <c r="D175" s="65" t="s">
        <v>145</v>
      </c>
      <c r="E175" s="65"/>
      <c r="F175" s="144">
        <f>F167*1.9</f>
        <v>1.805</v>
      </c>
      <c r="G175" s="65"/>
      <c r="H175" s="81"/>
      <c r="I175" s="65"/>
      <c r="J175" s="82"/>
      <c r="K175" s="65"/>
      <c r="L175" s="81"/>
      <c r="M175" s="82"/>
    </row>
    <row r="176" spans="1:13" ht="12.75">
      <c r="A176" s="44"/>
      <c r="B176" s="95"/>
      <c r="C176" s="104" t="s">
        <v>144</v>
      </c>
      <c r="D176" s="105" t="s">
        <v>145</v>
      </c>
      <c r="E176" s="105">
        <v>1</v>
      </c>
      <c r="F176" s="102">
        <f>F175*E176</f>
        <v>1.805</v>
      </c>
      <c r="G176" s="105"/>
      <c r="H176" s="49"/>
      <c r="I176" s="105"/>
      <c r="J176" s="48"/>
      <c r="K176" s="105"/>
      <c r="L176" s="49"/>
      <c r="M176" s="48"/>
    </row>
    <row r="177" spans="1:13" ht="12.75">
      <c r="A177" s="191">
        <v>39</v>
      </c>
      <c r="B177" s="164" t="s">
        <v>65</v>
      </c>
      <c r="C177" s="66" t="s">
        <v>105</v>
      </c>
      <c r="D177" s="67" t="s">
        <v>8</v>
      </c>
      <c r="E177" s="67"/>
      <c r="F177" s="59">
        <v>5</v>
      </c>
      <c r="G177" s="218"/>
      <c r="H177" s="82"/>
      <c r="I177" s="67"/>
      <c r="J177" s="82"/>
      <c r="K177" s="67"/>
      <c r="L177" s="82"/>
      <c r="M177" s="82"/>
    </row>
    <row r="178" spans="1:13" ht="12.75">
      <c r="A178" s="197"/>
      <c r="B178" s="44"/>
      <c r="C178" s="47" t="s">
        <v>3</v>
      </c>
      <c r="D178" s="46" t="s">
        <v>4</v>
      </c>
      <c r="E178" s="225">
        <f>3.89/10</f>
        <v>0.389</v>
      </c>
      <c r="F178" s="48">
        <f>F177*E178</f>
        <v>1.945</v>
      </c>
      <c r="G178" s="46"/>
      <c r="H178" s="48"/>
      <c r="I178" s="48"/>
      <c r="J178" s="48"/>
      <c r="K178" s="46"/>
      <c r="L178" s="48"/>
      <c r="M178" s="48"/>
    </row>
    <row r="179" spans="1:13" ht="12.75">
      <c r="A179" s="197"/>
      <c r="B179" s="44"/>
      <c r="C179" s="47" t="s">
        <v>21</v>
      </c>
      <c r="D179" s="44" t="s">
        <v>0</v>
      </c>
      <c r="E179" s="225">
        <f>1.51/10</f>
        <v>0.151</v>
      </c>
      <c r="F179" s="155">
        <f>E179*F177</f>
        <v>0.755</v>
      </c>
      <c r="G179" s="46"/>
      <c r="H179" s="48"/>
      <c r="I179" s="48"/>
      <c r="J179" s="48"/>
      <c r="K179" s="46"/>
      <c r="L179" s="48"/>
      <c r="M179" s="48"/>
    </row>
    <row r="180" spans="1:13" ht="12.75">
      <c r="A180" s="205"/>
      <c r="B180" s="219"/>
      <c r="C180" s="58" t="s">
        <v>86</v>
      </c>
      <c r="D180" s="44" t="s">
        <v>8</v>
      </c>
      <c r="E180" s="44"/>
      <c r="F180" s="151">
        <v>4</v>
      </c>
      <c r="G180" s="49"/>
      <c r="H180" s="49"/>
      <c r="I180" s="48"/>
      <c r="J180" s="49"/>
      <c r="K180" s="151"/>
      <c r="L180" s="49"/>
      <c r="M180" s="49"/>
    </row>
    <row r="181" spans="1:13" ht="12.75">
      <c r="A181" s="205"/>
      <c r="B181" s="219"/>
      <c r="C181" s="47" t="s">
        <v>6</v>
      </c>
      <c r="D181" s="44" t="s">
        <v>0</v>
      </c>
      <c r="E181" s="44">
        <v>0.024</v>
      </c>
      <c r="F181" s="147">
        <f>E181*F177</f>
        <v>0.12</v>
      </c>
      <c r="G181" s="44"/>
      <c r="H181" s="147"/>
      <c r="I181" s="48"/>
      <c r="J181" s="49"/>
      <c r="K181" s="151"/>
      <c r="L181" s="49"/>
      <c r="M181" s="49"/>
    </row>
    <row r="182" spans="1:13" ht="12.75">
      <c r="A182" s="226" t="s">
        <v>209</v>
      </c>
      <c r="B182" s="164" t="s">
        <v>67</v>
      </c>
      <c r="C182" s="66" t="s">
        <v>66</v>
      </c>
      <c r="D182" s="67" t="s">
        <v>8</v>
      </c>
      <c r="E182" s="67"/>
      <c r="F182" s="81">
        <f>F177*2</f>
        <v>10</v>
      </c>
      <c r="G182" s="218"/>
      <c r="H182" s="82"/>
      <c r="I182" s="82"/>
      <c r="J182" s="82"/>
      <c r="K182" s="67"/>
      <c r="L182" s="82"/>
      <c r="M182" s="82"/>
    </row>
    <row r="183" spans="1:13" ht="12.75">
      <c r="A183" s="205"/>
      <c r="B183" s="44"/>
      <c r="C183" s="47" t="s">
        <v>3</v>
      </c>
      <c r="D183" s="46" t="s">
        <v>4</v>
      </c>
      <c r="E183" s="46">
        <v>0.35</v>
      </c>
      <c r="F183" s="48">
        <f>F182*E183</f>
        <v>3.5</v>
      </c>
      <c r="G183" s="46"/>
      <c r="H183" s="48"/>
      <c r="I183" s="48"/>
      <c r="J183" s="48"/>
      <c r="K183" s="46"/>
      <c r="L183" s="48"/>
      <c r="M183" s="48"/>
    </row>
    <row r="184" spans="1:13" ht="12.75">
      <c r="A184" s="205"/>
      <c r="B184" s="44"/>
      <c r="C184" s="47" t="s">
        <v>21</v>
      </c>
      <c r="D184" s="44" t="s">
        <v>0</v>
      </c>
      <c r="E184" s="46">
        <v>0.23</v>
      </c>
      <c r="F184" s="155">
        <f>E184*F182</f>
        <v>2.3000000000000003</v>
      </c>
      <c r="G184" s="46"/>
      <c r="H184" s="48"/>
      <c r="I184" s="46"/>
      <c r="J184" s="48"/>
      <c r="K184" s="46"/>
      <c r="L184" s="48"/>
      <c r="M184" s="48"/>
    </row>
    <row r="185" spans="1:13" ht="12.75">
      <c r="A185" s="197"/>
      <c r="B185" s="219"/>
      <c r="C185" s="58" t="s">
        <v>68</v>
      </c>
      <c r="D185" s="44" t="s">
        <v>8</v>
      </c>
      <c r="E185" s="44">
        <v>1</v>
      </c>
      <c r="F185" s="49">
        <f>E185*F182</f>
        <v>10</v>
      </c>
      <c r="G185" s="49"/>
      <c r="H185" s="49"/>
      <c r="I185" s="46"/>
      <c r="J185" s="49"/>
      <c r="K185" s="151"/>
      <c r="L185" s="49"/>
      <c r="M185" s="49"/>
    </row>
    <row r="186" spans="1:13" ht="12.75">
      <c r="A186" s="197"/>
      <c r="B186" s="219"/>
      <c r="C186" s="47" t="s">
        <v>6</v>
      </c>
      <c r="D186" s="44" t="s">
        <v>0</v>
      </c>
      <c r="E186" s="44">
        <v>0.01</v>
      </c>
      <c r="F186" s="49">
        <f>E186*F182</f>
        <v>0.1</v>
      </c>
      <c r="G186" s="44"/>
      <c r="H186" s="49"/>
      <c r="I186" s="46"/>
      <c r="J186" s="49"/>
      <c r="K186" s="151"/>
      <c r="L186" s="49"/>
      <c r="M186" s="49"/>
    </row>
    <row r="187" spans="1:13" ht="25.5">
      <c r="A187" s="191">
        <v>41</v>
      </c>
      <c r="B187" s="227" t="s">
        <v>70</v>
      </c>
      <c r="C187" s="66" t="s">
        <v>69</v>
      </c>
      <c r="D187" s="67" t="s">
        <v>8</v>
      </c>
      <c r="E187" s="67"/>
      <c r="F187" s="228">
        <f>F177</f>
        <v>5</v>
      </c>
      <c r="G187" s="67"/>
      <c r="H187" s="82"/>
      <c r="I187" s="67"/>
      <c r="J187" s="82"/>
      <c r="K187" s="67"/>
      <c r="L187" s="82"/>
      <c r="M187" s="82"/>
    </row>
    <row r="188" spans="1:13" ht="12.75">
      <c r="A188" s="205"/>
      <c r="B188" s="44"/>
      <c r="C188" s="47" t="s">
        <v>3</v>
      </c>
      <c r="D188" s="46" t="s">
        <v>4</v>
      </c>
      <c r="E188" s="46">
        <v>1.24</v>
      </c>
      <c r="F188" s="48">
        <f>F187*E188</f>
        <v>6.2</v>
      </c>
      <c r="G188" s="46"/>
      <c r="H188" s="48"/>
      <c r="I188" s="48"/>
      <c r="J188" s="48"/>
      <c r="K188" s="46"/>
      <c r="L188" s="48"/>
      <c r="M188" s="48"/>
    </row>
    <row r="189" spans="1:13" ht="12.75">
      <c r="A189" s="205"/>
      <c r="B189" s="44"/>
      <c r="C189" s="47" t="s">
        <v>21</v>
      </c>
      <c r="D189" s="44" t="s">
        <v>0</v>
      </c>
      <c r="E189" s="46">
        <v>0.26</v>
      </c>
      <c r="F189" s="155">
        <f>E189*F187</f>
        <v>1.3</v>
      </c>
      <c r="G189" s="46"/>
      <c r="H189" s="48"/>
      <c r="I189" s="46"/>
      <c r="J189" s="48"/>
      <c r="K189" s="46"/>
      <c r="L189" s="48"/>
      <c r="M189" s="48"/>
    </row>
    <row r="190" spans="1:13" ht="12.75">
      <c r="A190" s="205"/>
      <c r="B190" s="219"/>
      <c r="C190" s="58" t="s">
        <v>68</v>
      </c>
      <c r="D190" s="44" t="s">
        <v>8</v>
      </c>
      <c r="E190" s="44">
        <v>1</v>
      </c>
      <c r="F190" s="49">
        <f>E190*F187</f>
        <v>5</v>
      </c>
      <c r="G190" s="49"/>
      <c r="H190" s="49"/>
      <c r="I190" s="46"/>
      <c r="J190" s="49"/>
      <c r="K190" s="151"/>
      <c r="L190" s="49"/>
      <c r="M190" s="49"/>
    </row>
    <row r="191" spans="1:13" ht="12.75">
      <c r="A191" s="205"/>
      <c r="B191" s="219"/>
      <c r="C191" s="47" t="s">
        <v>6</v>
      </c>
      <c r="D191" s="44" t="s">
        <v>0</v>
      </c>
      <c r="E191" s="44">
        <v>0.14</v>
      </c>
      <c r="F191" s="49">
        <f>E191*F187</f>
        <v>0.7000000000000001</v>
      </c>
      <c r="G191" s="44"/>
      <c r="H191" s="49"/>
      <c r="I191" s="46"/>
      <c r="J191" s="49"/>
      <c r="K191" s="151"/>
      <c r="L191" s="49"/>
      <c r="M191" s="49"/>
    </row>
    <row r="192" spans="1:13" ht="12.75">
      <c r="A192" s="119"/>
      <c r="B192" s="120"/>
      <c r="C192" s="121" t="s">
        <v>2</v>
      </c>
      <c r="D192" s="122"/>
      <c r="E192" s="123"/>
      <c r="F192" s="123"/>
      <c r="G192" s="123"/>
      <c r="H192" s="124"/>
      <c r="I192" s="124"/>
      <c r="J192" s="124"/>
      <c r="K192" s="124"/>
      <c r="L192" s="124"/>
      <c r="M192" s="124"/>
    </row>
    <row r="193" spans="1:13" ht="12.75">
      <c r="A193" s="119"/>
      <c r="B193" s="120"/>
      <c r="C193" s="47" t="s">
        <v>53</v>
      </c>
      <c r="D193" s="125"/>
      <c r="E193" s="126"/>
      <c r="F193" s="126"/>
      <c r="G193" s="126"/>
      <c r="H193" s="127"/>
      <c r="I193" s="126"/>
      <c r="J193" s="127"/>
      <c r="K193" s="126"/>
      <c r="L193" s="127"/>
      <c r="M193" s="127"/>
    </row>
    <row r="194" spans="1:13" ht="12.75">
      <c r="A194" s="119"/>
      <c r="B194" s="120"/>
      <c r="C194" s="128" t="s">
        <v>2</v>
      </c>
      <c r="D194" s="46"/>
      <c r="E194" s="129"/>
      <c r="F194" s="129"/>
      <c r="G194" s="129"/>
      <c r="H194" s="130"/>
      <c r="I194" s="131"/>
      <c r="J194" s="130"/>
      <c r="K194" s="131"/>
      <c r="L194" s="130"/>
      <c r="M194" s="130"/>
    </row>
    <row r="195" spans="1:13" ht="12.75">
      <c r="A195" s="119"/>
      <c r="B195" s="120"/>
      <c r="C195" s="133" t="s">
        <v>54</v>
      </c>
      <c r="D195" s="134"/>
      <c r="E195" s="126"/>
      <c r="F195" s="126"/>
      <c r="G195" s="126"/>
      <c r="H195" s="135"/>
      <c r="I195" s="135"/>
      <c r="J195" s="135"/>
      <c r="K195" s="135"/>
      <c r="L195" s="135"/>
      <c r="M195" s="127"/>
    </row>
    <row r="196" spans="1:13" ht="12.75">
      <c r="A196" s="119"/>
      <c r="B196" s="120"/>
      <c r="C196" s="128" t="s">
        <v>2</v>
      </c>
      <c r="D196" s="46"/>
      <c r="E196" s="129"/>
      <c r="F196" s="129"/>
      <c r="G196" s="129"/>
      <c r="H196" s="131"/>
      <c r="I196" s="131"/>
      <c r="J196" s="131"/>
      <c r="K196" s="131"/>
      <c r="L196" s="131"/>
      <c r="M196" s="130"/>
    </row>
    <row r="197" spans="1:13" ht="12.75">
      <c r="A197" s="119"/>
      <c r="B197" s="120"/>
      <c r="C197" s="133" t="s">
        <v>50</v>
      </c>
      <c r="D197" s="125"/>
      <c r="E197" s="126"/>
      <c r="F197" s="126"/>
      <c r="G197" s="126"/>
      <c r="H197" s="135"/>
      <c r="I197" s="135"/>
      <c r="J197" s="135"/>
      <c r="K197" s="135"/>
      <c r="L197" s="135"/>
      <c r="M197" s="153"/>
    </row>
    <row r="198" spans="1:13" ht="12.75">
      <c r="A198" s="119"/>
      <c r="B198" s="120"/>
      <c r="C198" s="128" t="s">
        <v>56</v>
      </c>
      <c r="D198" s="129"/>
      <c r="E198" s="129"/>
      <c r="F198" s="129"/>
      <c r="G198" s="129"/>
      <c r="H198" s="131"/>
      <c r="I198" s="131"/>
      <c r="J198" s="131"/>
      <c r="K198" s="131"/>
      <c r="L198" s="131"/>
      <c r="M198" s="130"/>
    </row>
    <row r="199" spans="1:13" ht="12.75">
      <c r="A199" s="119"/>
      <c r="B199" s="120"/>
      <c r="C199" s="121"/>
      <c r="D199" s="122"/>
      <c r="E199" s="123"/>
      <c r="F199" s="123"/>
      <c r="G199" s="123"/>
      <c r="H199" s="124"/>
      <c r="I199" s="124"/>
      <c r="J199" s="124"/>
      <c r="K199" s="124"/>
      <c r="L199" s="124"/>
      <c r="M199" s="124"/>
    </row>
    <row r="200" spans="1:13" ht="12.75">
      <c r="A200" s="44"/>
      <c r="B200" s="95"/>
      <c r="C200" s="128"/>
      <c r="D200" s="46"/>
      <c r="E200" s="129"/>
      <c r="F200" s="129"/>
      <c r="G200" s="129"/>
      <c r="H200" s="130"/>
      <c r="I200" s="131"/>
      <c r="J200" s="130"/>
      <c r="K200" s="131"/>
      <c r="L200" s="130"/>
      <c r="M200" s="130"/>
    </row>
    <row r="201" spans="1:13" ht="12.75">
      <c r="A201" s="44"/>
      <c r="B201" s="132"/>
      <c r="C201" s="133"/>
      <c r="D201" s="134"/>
      <c r="E201" s="126"/>
      <c r="F201" s="126"/>
      <c r="G201" s="126"/>
      <c r="H201" s="135"/>
      <c r="I201" s="135"/>
      <c r="J201" s="135"/>
      <c r="K201" s="135"/>
      <c r="L201" s="135"/>
      <c r="M201" s="127"/>
    </row>
    <row r="202" spans="1:13" ht="12.75">
      <c r="A202" s="44"/>
      <c r="B202" s="95"/>
      <c r="C202" s="128"/>
      <c r="D202" s="46"/>
      <c r="E202" s="129"/>
      <c r="F202" s="129"/>
      <c r="G202" s="129"/>
      <c r="H202" s="131"/>
      <c r="I202" s="131"/>
      <c r="J202" s="131"/>
      <c r="K202" s="131"/>
      <c r="L202" s="131"/>
      <c r="M202" s="130"/>
    </row>
    <row r="203" spans="1:13" ht="12.75">
      <c r="A203" s="44"/>
      <c r="B203" s="132"/>
      <c r="C203" s="133"/>
      <c r="D203" s="125"/>
      <c r="E203" s="126"/>
      <c r="F203" s="126"/>
      <c r="G203" s="126"/>
      <c r="H203" s="135"/>
      <c r="I203" s="135"/>
      <c r="J203" s="135"/>
      <c r="K203" s="135"/>
      <c r="L203" s="135"/>
      <c r="M203" s="127"/>
    </row>
    <row r="204" spans="1:14" ht="12.75">
      <c r="A204" s="44"/>
      <c r="B204" s="95"/>
      <c r="C204" s="128"/>
      <c r="D204" s="129"/>
      <c r="E204" s="129"/>
      <c r="F204" s="129"/>
      <c r="G204" s="129"/>
      <c r="H204" s="131"/>
      <c r="I204" s="131"/>
      <c r="J204" s="131"/>
      <c r="K204" s="131"/>
      <c r="L204" s="131"/>
      <c r="M204" s="130"/>
      <c r="N204" s="136"/>
    </row>
    <row r="205" spans="1:13" ht="12.75">
      <c r="A205" s="109"/>
      <c r="B205" s="137"/>
      <c r="D205" s="109"/>
      <c r="E205" s="109"/>
      <c r="F205" s="109"/>
      <c r="G205" s="109"/>
      <c r="H205" s="109"/>
      <c r="I205" s="109"/>
      <c r="J205" s="138"/>
      <c r="K205" s="109"/>
      <c r="M205" s="139"/>
    </row>
    <row r="206" spans="2:5" ht="12.75">
      <c r="B206" s="140"/>
      <c r="C206" s="141"/>
      <c r="D206" s="142"/>
      <c r="E206" s="142"/>
    </row>
    <row r="207" spans="2:8" ht="12.75">
      <c r="B207" s="140"/>
      <c r="C207" s="141"/>
      <c r="D207" s="142"/>
      <c r="E207" s="142"/>
      <c r="G207" s="246"/>
      <c r="H207" s="246"/>
    </row>
    <row r="208" ht="12.75">
      <c r="I208" s="143"/>
    </row>
  </sheetData>
  <sheetProtection/>
  <mergeCells count="13">
    <mergeCell ref="A7:M7"/>
    <mergeCell ref="A4:A5"/>
    <mergeCell ref="C4:C5"/>
    <mergeCell ref="D4:D5"/>
    <mergeCell ref="E4:E5"/>
    <mergeCell ref="B4:B5"/>
    <mergeCell ref="A1:M1"/>
    <mergeCell ref="G207:H207"/>
    <mergeCell ref="F4:F5"/>
    <mergeCell ref="G4:H4"/>
    <mergeCell ref="I4:J4"/>
    <mergeCell ref="K4:L4"/>
    <mergeCell ref="A2:M2"/>
  </mergeCells>
  <conditionalFormatting sqref="B25">
    <cfRule type="cellIs" priority="17" dxfId="0" operator="equal" stopIfTrue="1">
      <formula>8223.307275</formula>
    </cfRule>
  </conditionalFormatting>
  <conditionalFormatting sqref="C108">
    <cfRule type="cellIs" priority="8" dxfId="0" operator="equal" stopIfTrue="1">
      <formula>8223.307275</formula>
    </cfRule>
  </conditionalFormatting>
  <conditionalFormatting sqref="B89 E110:E113">
    <cfRule type="cellIs" priority="16" dxfId="0" operator="equal" stopIfTrue="1">
      <formula>8223.307275</formula>
    </cfRule>
  </conditionalFormatting>
  <conditionalFormatting sqref="C114:C115 C120">
    <cfRule type="cellIs" priority="15" dxfId="0" operator="equal" stopIfTrue="1">
      <formula>8223.307275</formula>
    </cfRule>
  </conditionalFormatting>
  <conditionalFormatting sqref="C117:C119">
    <cfRule type="cellIs" priority="14" dxfId="0" operator="equal" stopIfTrue="1">
      <formula>8223.307275</formula>
    </cfRule>
  </conditionalFormatting>
  <conditionalFormatting sqref="B114">
    <cfRule type="cellIs" priority="13" dxfId="0" operator="equal" stopIfTrue="1">
      <formula>8223.307275</formula>
    </cfRule>
  </conditionalFormatting>
  <conditionalFormatting sqref="F114:F116 F120">
    <cfRule type="cellIs" priority="12" dxfId="0" operator="equal" stopIfTrue="1">
      <formula>8223.307275</formula>
    </cfRule>
  </conditionalFormatting>
  <conditionalFormatting sqref="D114:E116 D120:E120">
    <cfRule type="cellIs" priority="11" dxfId="0" operator="equal" stopIfTrue="1">
      <formula>8223.307275</formula>
    </cfRule>
  </conditionalFormatting>
  <conditionalFormatting sqref="D117:E119">
    <cfRule type="cellIs" priority="9" dxfId="0" operator="equal" stopIfTrue="1">
      <formula>8223.307275</formula>
    </cfRule>
  </conditionalFormatting>
  <conditionalFormatting sqref="F117:F119">
    <cfRule type="cellIs" priority="10" dxfId="0" operator="equal" stopIfTrue="1">
      <formula>8223.307275</formula>
    </cfRule>
  </conditionalFormatting>
  <conditionalFormatting sqref="E178:E179">
    <cfRule type="cellIs" priority="1" dxfId="0" operator="equal" stopIfTrue="1">
      <formula>8223.307275</formula>
    </cfRule>
  </conditionalFormatting>
  <conditionalFormatting sqref="B185:B188 C186:M188 C185:L185 B189:M189 C177:L177 D190:M191 C180:M184 B177:B181 F179:M179 C178:D179 F178:L178">
    <cfRule type="cellIs" priority="7" dxfId="0" operator="equal" stopIfTrue="1">
      <formula>8223.307275</formula>
    </cfRule>
  </conditionalFormatting>
  <conditionalFormatting sqref="C191">
    <cfRule type="cellIs" priority="6" dxfId="0" operator="equal" stopIfTrue="1">
      <formula>8223.307275</formula>
    </cfRule>
  </conditionalFormatting>
  <conditionalFormatting sqref="C190">
    <cfRule type="cellIs" priority="5" dxfId="0" operator="equal" stopIfTrue="1">
      <formula>8223.307275</formula>
    </cfRule>
  </conditionalFormatting>
  <conditionalFormatting sqref="G191:L191">
    <cfRule type="cellIs" priority="4" dxfId="0" operator="equal" stopIfTrue="1">
      <formula>8223.307275</formula>
    </cfRule>
  </conditionalFormatting>
  <conditionalFormatting sqref="I190:L190">
    <cfRule type="cellIs" priority="3" dxfId="0" operator="equal" stopIfTrue="1">
      <formula>8223.307275</formula>
    </cfRule>
  </conditionalFormatting>
  <conditionalFormatting sqref="G190:H190">
    <cfRule type="cellIs" priority="2" dxfId="0" operator="equal" stopIfTrue="1">
      <formula>8223.307275</formula>
    </cfRule>
  </conditionalFormatting>
  <printOptions horizontalCentered="1"/>
  <pageMargins left="0.1968503937007874" right="0.1968503937007874" top="0.3937007874015748" bottom="0.15748031496062992" header="0.31496062992125984" footer="0.31496062992125984"/>
  <pageSetup fitToHeight="0" horizontalDpi="1200" verticalDpi="1200" orientation="landscape" paperSize="9" scale="74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Lasha Gabunia</dc:creator>
  <cp:keywords/>
  <dc:description/>
  <cp:lastModifiedBy>gia papashvili</cp:lastModifiedBy>
  <cp:lastPrinted>2019-02-21T05:55:49Z</cp:lastPrinted>
  <dcterms:created xsi:type="dcterms:W3CDTF">1996-10-14T23:33:28Z</dcterms:created>
  <dcterms:modified xsi:type="dcterms:W3CDTF">2019-11-12T09:03:19Z</dcterms:modified>
  <cp:category/>
  <cp:version/>
  <cp:contentType/>
  <cp:contentStatus/>
</cp:coreProperties>
</file>