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irina.potskhveria\Desktop\2020 წლის რეგ ფონდი\ლოტი N7 კულაში ბაგაურის ქუჩა\"/>
    </mc:Choice>
  </mc:AlternateContent>
  <bookViews>
    <workbookView xWindow="0" yWindow="0" windowWidth="28800" windowHeight="12135"/>
  </bookViews>
  <sheets>
    <sheet name="კულა ბაგაურის ქუჩა" sheetId="1" r:id="rId1"/>
  </sheets>
  <definedNames>
    <definedName name="_xlnm.Print_Area" localSheetId="0">'კულა ბაგაურის ქუჩა'!$A$1:$M$195</definedName>
    <definedName name="_xlnm.Print_Titles" localSheetId="0">'კულა ბაგაურის ქუჩა'!$10:$10</definedName>
  </definedNames>
  <calcPr calcId="152511"/>
</workbook>
</file>

<file path=xl/calcChain.xml><?xml version="1.0" encoding="utf-8"?>
<calcChain xmlns="http://schemas.openxmlformats.org/spreadsheetml/2006/main">
  <c r="F140" i="1" l="1"/>
  <c r="F130" i="1"/>
  <c r="F98" i="1"/>
  <c r="F81" i="1"/>
  <c r="F89" i="1" s="1"/>
  <c r="F71" i="1"/>
  <c r="F75" i="1" s="1"/>
  <c r="F66" i="1"/>
  <c r="F67" i="1" s="1"/>
  <c r="F29" i="1"/>
  <c r="F92" i="1"/>
  <c r="F90" i="1"/>
  <c r="F94" i="1" s="1"/>
  <c r="E88" i="1"/>
  <c r="E87" i="1"/>
  <c r="F86" i="1"/>
  <c r="E82" i="1"/>
  <c r="F76" i="1"/>
  <c r="F80" i="1" s="1"/>
  <c r="E74" i="1"/>
  <c r="E73" i="1"/>
  <c r="F73" i="1" s="1"/>
  <c r="E72" i="1"/>
  <c r="F72" i="1" s="1"/>
  <c r="F65" i="1"/>
  <c r="F64" i="1"/>
  <c r="E62" i="1"/>
  <c r="F62" i="1" s="1"/>
  <c r="E61" i="1"/>
  <c r="F61" i="1" s="1"/>
  <c r="F52" i="1"/>
  <c r="F54" i="1" s="1"/>
  <c r="E49" i="1"/>
  <c r="E48" i="1"/>
  <c r="F47" i="1"/>
  <c r="F51" i="1" s="1"/>
  <c r="E45" i="1"/>
  <c r="E44" i="1"/>
  <c r="E43" i="1"/>
  <c r="E41" i="1"/>
  <c r="E39" i="1"/>
  <c r="E38" i="1"/>
  <c r="E37" i="1"/>
  <c r="F36" i="1"/>
  <c r="F40" i="1" s="1"/>
  <c r="F56" i="1" l="1"/>
  <c r="F87" i="1"/>
  <c r="F84" i="1"/>
  <c r="F82" i="1"/>
  <c r="F88" i="1"/>
  <c r="F83" i="1"/>
  <c r="F74" i="1"/>
  <c r="F38" i="1"/>
  <c r="F48" i="1"/>
  <c r="F77" i="1"/>
  <c r="F37" i="1"/>
  <c r="F39" i="1"/>
  <c r="F49" i="1"/>
  <c r="F41" i="1"/>
  <c r="F42" i="1"/>
  <c r="F46" i="1" s="1"/>
  <c r="F53" i="1"/>
  <c r="F58" i="1"/>
  <c r="F59" i="1"/>
  <c r="F70" i="1"/>
  <c r="F57" i="1"/>
  <c r="F78" i="1"/>
  <c r="F68" i="1"/>
  <c r="F91" i="1"/>
  <c r="F45" i="1" l="1"/>
  <c r="F44" i="1"/>
  <c r="F43" i="1"/>
  <c r="F172" i="1" l="1"/>
  <c r="F176" i="1" l="1"/>
  <c r="F146" i="1"/>
  <c r="F179" i="1"/>
  <c r="F178" i="1"/>
  <c r="E171" i="1"/>
  <c r="F171" i="1" s="1"/>
  <c r="E170" i="1"/>
  <c r="F170" i="1" s="1"/>
  <c r="F168" i="1"/>
  <c r="E167" i="1"/>
  <c r="F167" i="1" s="1"/>
  <c r="E166" i="1"/>
  <c r="F166" i="1" s="1"/>
  <c r="E165" i="1"/>
  <c r="F165" i="1" s="1"/>
  <c r="E164" i="1"/>
  <c r="F164" i="1" s="1"/>
  <c r="F159" i="1"/>
  <c r="F160" i="1" s="1"/>
  <c r="E158" i="1"/>
  <c r="F158" i="1" s="1"/>
  <c r="F157" i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F147" i="1"/>
  <c r="E144" i="1"/>
  <c r="F144" i="1" s="1"/>
  <c r="E143" i="1"/>
  <c r="E142" i="1"/>
  <c r="E141" i="1"/>
  <c r="F117" i="1"/>
  <c r="F174" i="1" l="1"/>
  <c r="F175" i="1"/>
  <c r="F162" i="1"/>
  <c r="F143" i="1"/>
  <c r="F141" i="1"/>
  <c r="F142" i="1"/>
  <c r="F173" i="1"/>
  <c r="F137" i="1" l="1"/>
  <c r="F136" i="1"/>
  <c r="F134" i="1"/>
  <c r="F133" i="1"/>
  <c r="F131" i="1"/>
  <c r="F132" i="1"/>
  <c r="F104" i="1" l="1"/>
  <c r="E129" i="1" l="1"/>
  <c r="E22" i="1" l="1"/>
  <c r="E128" i="1" l="1"/>
  <c r="F128" i="1" s="1"/>
  <c r="E125" i="1"/>
  <c r="E124" i="1"/>
  <c r="E123" i="1"/>
  <c r="E122" i="1"/>
  <c r="F115" i="1"/>
  <c r="F129" i="1"/>
  <c r="F126" i="1"/>
  <c r="E113" i="1"/>
  <c r="E112" i="1"/>
  <c r="E111" i="1"/>
  <c r="E109" i="1"/>
  <c r="E108" i="1"/>
  <c r="E107" i="1"/>
  <c r="F13" i="1" l="1"/>
  <c r="E21" i="1"/>
  <c r="E20" i="1"/>
  <c r="E19" i="1"/>
  <c r="E17" i="1"/>
  <c r="F17" i="1" s="1"/>
  <c r="E102" i="1" l="1"/>
  <c r="E101" i="1"/>
  <c r="E100" i="1"/>
  <c r="E99" i="1"/>
  <c r="F101" i="1" l="1"/>
  <c r="F99" i="1"/>
  <c r="F105" i="1"/>
  <c r="F102" i="1"/>
  <c r="F100" i="1"/>
  <c r="F120" i="1" l="1"/>
  <c r="F125" i="1" l="1"/>
  <c r="F124" i="1"/>
  <c r="F123" i="1"/>
  <c r="F122" i="1"/>
  <c r="F118" i="1" l="1"/>
  <c r="E31" i="1" l="1"/>
  <c r="F31" i="1" s="1"/>
  <c r="E30" i="1"/>
  <c r="F30" i="1" s="1"/>
  <c r="E116" i="1" l="1"/>
  <c r="F116" i="1" s="1"/>
  <c r="F113" i="1"/>
  <c r="F112" i="1"/>
  <c r="F111" i="1"/>
  <c r="E110" i="1"/>
  <c r="F110" i="1" s="1"/>
  <c r="F109" i="1"/>
  <c r="F108" i="1"/>
  <c r="F107" i="1"/>
  <c r="F18" i="1" l="1"/>
  <c r="F24" i="1" s="1"/>
  <c r="F25" i="1" l="1"/>
  <c r="F27" i="1"/>
  <c r="F28" i="1"/>
  <c r="F26" i="1"/>
  <c r="F22" i="1"/>
  <c r="F23" i="1"/>
  <c r="F21" i="1"/>
  <c r="F19" i="1"/>
  <c r="F20" i="1"/>
  <c r="D6" i="1" l="1"/>
</calcChain>
</file>

<file path=xl/sharedStrings.xml><?xml version="1.0" encoding="utf-8"?>
<sst xmlns="http://schemas.openxmlformats.org/spreadsheetml/2006/main" count="412" uniqueCount="149">
  <si>
    <t>დამკვეთის დასახელება</t>
  </si>
  <si>
    <t xml:space="preserve"> რესურსული ხარჯთაღრიცხვა</t>
  </si>
  <si>
    <t>სახარჯთაღრიცხვო ღირებულება</t>
  </si>
  <si>
    <t>ათ. ლარი</t>
  </si>
  <si>
    <t>N</t>
  </si>
  <si>
    <t>შიფრი</t>
  </si>
  <si>
    <t>სამუშაოს დასახელება</t>
  </si>
  <si>
    <t>განზ. 
ერთ.</t>
  </si>
  <si>
    <t>ნორმა 
ერთ-ზე</t>
  </si>
  <si>
    <t>რაოდენობა</t>
  </si>
  <si>
    <t>მასალები</t>
  </si>
  <si>
    <t>ხელფასი (ლარი)</t>
  </si>
  <si>
    <t>მანქ. მექანიზმები (ლარი)</t>
  </si>
  <si>
    <t>სულ</t>
  </si>
  <si>
    <t>ერთ. ფასი</t>
  </si>
  <si>
    <t>ჯამი</t>
  </si>
  <si>
    <t>(ლარი)</t>
  </si>
  <si>
    <t>თავი 1. ტერიტორიის ათვისება და მოსამზადებელი სამუშაოები</t>
  </si>
  <si>
    <t>ტრასის აღდგენა და დამაგრება</t>
  </si>
  <si>
    <t>კმ</t>
  </si>
  <si>
    <t>შრომის დანახარჯი</t>
  </si>
  <si>
    <t>კაც/სთ</t>
  </si>
  <si>
    <t>ჯამი:</t>
  </si>
  <si>
    <t>სულ თავი 1-ის მიხედვით</t>
  </si>
  <si>
    <t>ლარი</t>
  </si>
  <si>
    <t>თავი 2 მიწის სამუშაოები</t>
  </si>
  <si>
    <t>1-29-3  
1-29-10</t>
  </si>
  <si>
    <t xml:space="preserve">გრუნტის დამუშავება ბულდოზერით, 
გადაადგილება 30 მ-ზე </t>
  </si>
  <si>
    <t>მანქ/სთ</t>
  </si>
  <si>
    <t xml:space="preserve">გრუნტის დატვირთვა 
ექსკავატორის საშუალებით </t>
  </si>
  <si>
    <t>ექსკავატორი ჩამჩის 
მოცულობით 0,5მ3</t>
  </si>
  <si>
    <t>სხვა მანქანები</t>
  </si>
  <si>
    <t>გრუნტის გატანა ნაყარში 5კმ-ზე</t>
  </si>
  <si>
    <t>1-62-5</t>
  </si>
  <si>
    <t xml:space="preserve">გზის მოშანდაკება გრეიდერით </t>
  </si>
  <si>
    <t>ავტოგრეიდერი მისაბმელით</t>
  </si>
  <si>
    <t>მატერიალური რესურსი</t>
  </si>
  <si>
    <t>ტნ</t>
  </si>
  <si>
    <t>სულ თავი 2-ის მიხედვით</t>
  </si>
  <si>
    <t>სხვა მასალები</t>
  </si>
  <si>
    <t>ბიტუმის ემულსია</t>
  </si>
  <si>
    <t>სულ თავი 3-ის მიხედვით</t>
  </si>
  <si>
    <t>ავტოგრეიდერი 79კვტ.</t>
  </si>
  <si>
    <t>მოსარწყავი მანქანა 6000 ლ.</t>
  </si>
  <si>
    <t>წყალი</t>
  </si>
  <si>
    <t xml:space="preserve">27-11-1  </t>
  </si>
  <si>
    <t xml:space="preserve">ბულდოზერი 108ცხ. ძ. </t>
  </si>
  <si>
    <t>სატკეპნის საგზაო 5ტნ</t>
  </si>
  <si>
    <t>სატკეპნის საგზაო გლუვი 10ტნ</t>
  </si>
  <si>
    <t>ქვის ნამტვრევის მანაწილებელი 
მანქანა</t>
  </si>
  <si>
    <t>ღორღი (ტკეპმის კოეფიციენტის 
გათვალისწინებით k=1,26)</t>
  </si>
  <si>
    <t>27-63-1</t>
  </si>
  <si>
    <t>ავტოგუდრონატორი 3500ლ.</t>
  </si>
  <si>
    <t>ასფალტის დამგები</t>
  </si>
  <si>
    <t>%</t>
  </si>
  <si>
    <t>დღგ</t>
  </si>
  <si>
    <t>სულ ხარჯთაღრიცხვით</t>
  </si>
  <si>
    <r>
      <t>მ</t>
    </r>
    <r>
      <rPr>
        <vertAlign val="superscript"/>
        <sz val="12"/>
        <rFont val="Sylfaen"/>
        <family val="1"/>
        <charset val="204"/>
      </rPr>
      <t>3</t>
    </r>
  </si>
  <si>
    <r>
      <t>m</t>
    </r>
    <r>
      <rPr>
        <vertAlign val="superscript"/>
        <sz val="12"/>
        <rFont val="AcadNusx"/>
      </rPr>
      <t>3</t>
    </r>
  </si>
  <si>
    <t>ტრაქტორი 79კვტ.</t>
  </si>
  <si>
    <t>ქვიშა ხრეშოვანი ნარევი (ტკეპნის კოეფიციენტის 
გათვალისწინებით K=1,22)</t>
  </si>
  <si>
    <t>სამტრედიის მუნიციპალიტეტი</t>
  </si>
  <si>
    <t>საფუძველის ზედა ფენის მოწყობა  ღორღით ფრაქციით 0-40მმ  სისქით 10 სმ</t>
  </si>
  <si>
    <t>27-7-2</t>
  </si>
  <si>
    <t>საფუძვლის შემასწორებელი ფენის მოწყობა  ქვიშა ხრეშოვანი ნარევით სისქით  hსაშ12სმ (ტკეპნის კოეფიციენტის გათვალისწინებით K-1,22)</t>
  </si>
  <si>
    <t>1-22-15</t>
  </si>
  <si>
    <r>
      <t>მ</t>
    </r>
    <r>
      <rPr>
        <b/>
        <vertAlign val="superscript"/>
        <sz val="12"/>
        <color indexed="8"/>
        <rFont val="Sylfaen"/>
        <family val="1"/>
      </rPr>
      <t>3</t>
    </r>
  </si>
  <si>
    <r>
      <t>მ</t>
    </r>
    <r>
      <rPr>
        <b/>
        <vertAlign val="superscript"/>
        <sz val="12"/>
        <rFont val="Sylfaen"/>
        <family val="1"/>
      </rPr>
      <t>2</t>
    </r>
  </si>
  <si>
    <r>
      <t>მ</t>
    </r>
    <r>
      <rPr>
        <b/>
        <vertAlign val="superscript"/>
        <sz val="12"/>
        <rFont val="Sylfaen"/>
        <family val="1"/>
      </rPr>
      <t>3</t>
    </r>
  </si>
  <si>
    <r>
      <t>m</t>
    </r>
    <r>
      <rPr>
        <b/>
        <vertAlign val="superscript"/>
        <sz val="12"/>
        <rFont val="AcadNusx"/>
        <family val="2"/>
      </rPr>
      <t>2</t>
    </r>
  </si>
  <si>
    <t>1.03</t>
  </si>
  <si>
    <r>
      <rPr>
        <b/>
        <sz val="12"/>
        <color indexed="8"/>
        <rFont val="AcadNusx"/>
        <family val="2"/>
      </rPr>
      <t>m</t>
    </r>
    <r>
      <rPr>
        <b/>
        <vertAlign val="superscript"/>
        <sz val="12"/>
        <color indexed="8"/>
        <rFont val="AcadNusx"/>
        <family val="2"/>
      </rPr>
      <t>2</t>
    </r>
  </si>
  <si>
    <t>სატკეპნი საგზაო პნევმოსვლაზე 18ტ.</t>
  </si>
  <si>
    <t>27-39-1,2  
27-40-1;2</t>
  </si>
  <si>
    <r>
      <t>საფუძვლის ფენაზე თხევადი ბიტუმის  მოსხმა 1მ</t>
    </r>
    <r>
      <rPr>
        <b/>
        <vertAlign val="superscript"/>
        <sz val="12"/>
        <color indexed="8"/>
        <rFont val="Arial"/>
        <family val="2"/>
        <charset val="204"/>
      </rPr>
      <t>2</t>
    </r>
    <r>
      <rPr>
        <b/>
        <sz val="12"/>
        <color indexed="8"/>
        <rFont val="Arial"/>
        <family val="2"/>
        <charset val="204"/>
      </rPr>
      <t>-ზე 600 გრ.</t>
    </r>
  </si>
  <si>
    <t>ღორღი</t>
  </si>
  <si>
    <r>
      <t>საფარის ფენის მოწყობა წვრილმარცვლოვანი მკვრივი, ა/ბეტონის ცხელი ნარევით ტიპი ,,</t>
    </r>
    <r>
      <rPr>
        <b/>
        <sz val="12"/>
        <color rgb="FF000000"/>
        <rFont val="Arial"/>
        <family val="2"/>
      </rPr>
      <t>B</t>
    </r>
    <r>
      <rPr>
        <b/>
        <sz val="12"/>
        <color indexed="8"/>
        <rFont val="AcadNusx"/>
        <family val="2"/>
      </rPr>
      <t>" მარკა II სისქით 5 სმ</t>
    </r>
  </si>
  <si>
    <t>გვ135. პოზ126</t>
  </si>
  <si>
    <t>ასფალტობეტონი წვრილმარცვლოვანი</t>
  </si>
  <si>
    <t>kvleva-Ziebis krebuli გვ. 557 ცხრ-17</t>
  </si>
  <si>
    <t xml:space="preserve">27-7-2 </t>
  </si>
  <si>
    <t>მისაყრელი გვერდულების მოწყობა ქვიშა ხრეშოვანი ნარევით  (ტკეპნის კოეფიციენტის გათვალისწინებით K=1,22)</t>
  </si>
  <si>
    <t>გვ139. პოზ200</t>
  </si>
  <si>
    <t>გვ140. პოზ222</t>
  </si>
  <si>
    <t>სატკეპნი საგზაო გლუვი 18ტ.</t>
  </si>
  <si>
    <t>გვ140. პოზ229</t>
  </si>
  <si>
    <t>სრფ-2019. 
I კვ. გვ32 პოზ229</t>
  </si>
  <si>
    <t>1-25-2</t>
  </si>
  <si>
    <t>სამუშაოები ნაყარში</t>
  </si>
  <si>
    <t>გვ136. პოზ146</t>
  </si>
  <si>
    <t>ბულდოზერი 108 ცხ. ძ.</t>
  </si>
  <si>
    <t>მ/სთ</t>
  </si>
  <si>
    <t>ღორღი ფრ (0-40 მმ)</t>
  </si>
  <si>
    <t>მ3</t>
  </si>
  <si>
    <t>მიერთებგის მოწყობა</t>
  </si>
  <si>
    <r>
      <t xml:space="preserve">გზის გადამკვეთი </t>
    </r>
    <r>
      <rPr>
        <b/>
        <sz val="12"/>
        <color theme="1"/>
        <rFont val="Arial"/>
        <family val="2"/>
        <charset val="204"/>
      </rPr>
      <t>d</t>
    </r>
    <r>
      <rPr>
        <b/>
        <sz val="12"/>
        <color theme="1"/>
        <rFont val="AcadNusx"/>
      </rPr>
      <t>=530მმ ლითონის მილების მოწყობა</t>
    </r>
  </si>
  <si>
    <t>1-23-6</t>
  </si>
  <si>
    <t xml:space="preserve">ქვაბულის დამუშავება ექსკავატორით ჩამჩის მოცულობით 
0,25 მ3 და დატვირთვა ა/თვითმცლელებზე </t>
  </si>
  <si>
    <t>გვ135. პოზ125</t>
  </si>
  <si>
    <r>
      <t>ექსკავატორი ჩამჩის 
მოცულობით 0,25მ</t>
    </r>
    <r>
      <rPr>
        <vertAlign val="superscript"/>
        <sz val="12"/>
        <color theme="1"/>
        <rFont val="Sylfaen"/>
        <family val="1"/>
        <charset val="204"/>
      </rPr>
      <t>3</t>
    </r>
  </si>
  <si>
    <t>1-80-2</t>
  </si>
  <si>
    <t xml:space="preserve">გრუნტის დამუშავება ხელით 
მექანიზიმის მიუდგომელ ადგილებში </t>
  </si>
  <si>
    <r>
      <t>მ</t>
    </r>
    <r>
      <rPr>
        <vertAlign val="superscript"/>
        <sz val="12"/>
        <color theme="1"/>
        <rFont val="Sylfaen"/>
        <family val="1"/>
        <charset val="204"/>
      </rPr>
      <t>3</t>
    </r>
  </si>
  <si>
    <t xml:space="preserve">ზედმეტი გრუნტის დატვირთვა 
ექსკავატორის საშუალებით </t>
  </si>
  <si>
    <t>სრფ-2019. 
II კვ. გვ142</t>
  </si>
  <si>
    <t>ზედმეტი გრუნტის გატანა ნაყარში 5კმ-ზე</t>
  </si>
  <si>
    <t>30-3-2</t>
  </si>
  <si>
    <r>
      <rPr>
        <b/>
        <sz val="12"/>
        <color theme="1"/>
        <rFont val="AcadNusx"/>
      </rPr>
      <t xml:space="preserve">ქვესაგები ფენის მოწყობა ქვიშა–ხრეშოვანი ნარევით                 სისქით 10 სმ (ტკეპნის კოეფიციენტის გათვალისწინებით </t>
    </r>
    <r>
      <rPr>
        <b/>
        <sz val="12"/>
        <color theme="1"/>
        <rFont val="Arial"/>
        <family val="2"/>
        <charset val="204"/>
      </rPr>
      <t>K</t>
    </r>
    <r>
      <rPr>
        <b/>
        <sz val="12"/>
        <color theme="1"/>
        <rFont val="AcadNusx"/>
      </rPr>
      <t>=1,1)</t>
    </r>
  </si>
  <si>
    <t>ქვიშა ხრეშოვანი ნარევით
 (ტკეპნის კოეფიციენტის გათვალისწინებით K=1,1)</t>
  </si>
  <si>
    <t>22-11-11</t>
  </si>
  <si>
    <t>წასაცხები ჰიდროიზოლაცის მოწყობა (ბიტუმ პოლიმერული მასტიკა) 2 ფენა</t>
  </si>
  <si>
    <t>სრფ-2019. 
II კვ. გვ39 პოზ532</t>
  </si>
  <si>
    <t>ბიტუმ პოლიმერული მასტიკა</t>
  </si>
  <si>
    <t>სრფ-2019. 
II კვ. გვ38 პოზ468</t>
  </si>
  <si>
    <t>მინბამბა</t>
  </si>
  <si>
    <r>
      <t>მ</t>
    </r>
    <r>
      <rPr>
        <vertAlign val="superscript"/>
        <sz val="12"/>
        <rFont val="Sylfaen"/>
        <family val="1"/>
      </rPr>
      <t>2</t>
    </r>
  </si>
  <si>
    <t>სრფ-2019. 
II კვ. გვ44 პოზ88</t>
  </si>
  <si>
    <t>ქაღალდი შესაფუთი</t>
  </si>
  <si>
    <t>22-5-11</t>
  </si>
  <si>
    <t>ლითონის მილის d-530 მმ. 
კედლის სისქით 6,0მმ. ჩადება ტრანშეაში</t>
  </si>
  <si>
    <t>გრძ/მ</t>
  </si>
  <si>
    <t>სრფ-2019. 
II კვ. გვ12 პოზ81</t>
  </si>
  <si>
    <t>ფოლადის მილი d=530მმ</t>
  </si>
  <si>
    <t>პროექტით</t>
  </si>
  <si>
    <t>ტრანშეის შევსება ქვიშა–ხრეშოვანი ნარევით (ტკეპნის კოეფიციენტის გათვალისწინებით K=1,1)</t>
  </si>
  <si>
    <r>
      <rPr>
        <sz val="12"/>
        <color theme="1"/>
        <rFont val="AcadNusx"/>
      </rPr>
      <t xml:space="preserve">ქვიშა ხრეშოვანი ნარევი (ტკეპნის კოეფიციენტის გათვალისწინებით </t>
    </r>
    <r>
      <rPr>
        <sz val="12"/>
        <color theme="1"/>
        <rFont val="Arial"/>
        <family val="2"/>
        <charset val="204"/>
      </rPr>
      <t>K=1,1)</t>
    </r>
  </si>
  <si>
    <t>მონოლითური ბეტონის პორტალური კედლების მოსაწყობად ქვაბულის დამუშავება ექსკავატორით და დატვირთვა ა/თვითმცლელებზე</t>
  </si>
  <si>
    <r>
      <rPr>
        <b/>
        <sz val="12"/>
        <color theme="1"/>
        <rFont val="AcadNusx"/>
      </rPr>
      <t>ქვესაგები ფენის მოწყობა ქვიშა–ხრეშოვანი ნარევით სისქით 10 სმ (ტკეპნის კოეფიციენტის გათვალისწინებით</t>
    </r>
    <r>
      <rPr>
        <b/>
        <sz val="12"/>
        <color theme="1"/>
        <rFont val="Times New Roman"/>
        <family val="1"/>
        <charset val="204"/>
      </rPr>
      <t xml:space="preserve"> K</t>
    </r>
    <r>
      <rPr>
        <b/>
        <sz val="12"/>
        <color theme="1"/>
        <rFont val="AcadNusx"/>
      </rPr>
      <t>=1,1)</t>
    </r>
  </si>
  <si>
    <r>
      <rPr>
        <sz val="12"/>
        <color theme="1"/>
        <rFont val="AcadNusx"/>
      </rPr>
      <t xml:space="preserve">ქვიშა ხრეშოვანი ნარევით (ტკეპნის კოეფიციენტის გათვალისწინებით </t>
    </r>
    <r>
      <rPr>
        <sz val="12"/>
        <color theme="1"/>
        <rFont val="Arial"/>
        <family val="2"/>
        <charset val="204"/>
      </rPr>
      <t>K=1,1)</t>
    </r>
  </si>
  <si>
    <t xml:space="preserve">30-8-3 </t>
  </si>
  <si>
    <r>
      <t xml:space="preserve">პორტალური კედლის მოწყობა </t>
    </r>
    <r>
      <rPr>
        <b/>
        <sz val="12"/>
        <color theme="1"/>
        <rFont val="Arial"/>
        <family val="2"/>
        <charset val="204"/>
      </rPr>
      <t xml:space="preserve">B-22,5 F200 W6 </t>
    </r>
    <r>
      <rPr>
        <b/>
        <sz val="12"/>
        <color theme="1"/>
        <rFont val="AcadNusx"/>
      </rPr>
      <t>კლასის მონოლითური ბეტონით (ფუნდამენტი, ტანი, პარაპეტი)</t>
    </r>
  </si>
  <si>
    <t>გვ133. პოზ51</t>
  </si>
  <si>
    <t>ამწე მუხლუხა სვლაზე 16ტ</t>
  </si>
  <si>
    <t>სრფ-2019. 
II კვ. გვ34 პოზ339</t>
  </si>
  <si>
    <t>ბეტონი B-22,5 F200 W6</t>
  </si>
  <si>
    <t>სრფ-2019. 
II კვ. გვ35 პოზ363</t>
  </si>
  <si>
    <t>ცემენტის ხსნარი</t>
  </si>
  <si>
    <t>სრფ-2019. 
II კვ. გვ47 პოზ22</t>
  </si>
  <si>
    <t>ხის მასალა</t>
  </si>
  <si>
    <r>
      <t xml:space="preserve">პორტალური კედლების  უბეების შევსება ქვიშა–ხრეშოვანი ნარევით (ტკეპნის კოეფიციენტის გათვალისწინებით </t>
    </r>
    <r>
      <rPr>
        <b/>
        <sz val="12"/>
        <color theme="1"/>
        <rFont val="Times New Roman"/>
        <family val="1"/>
        <charset val="204"/>
      </rPr>
      <t>K</t>
    </r>
    <r>
      <rPr>
        <b/>
        <sz val="12"/>
        <color theme="1"/>
        <rFont val="AcadNusx"/>
      </rPr>
      <t>=1,1)</t>
    </r>
  </si>
  <si>
    <t>თავი 3. ხელოვნური ნაგებობები</t>
  </si>
  <si>
    <t>თავი 4, საგზაო სამოსი</t>
  </si>
  <si>
    <t>სულ თავი 4-ის მიხედვით</t>
  </si>
  <si>
    <t>სულ თავი 1-4-ის მიხედვით</t>
  </si>
  <si>
    <t xml:space="preserve">
სამტრედიის მუნიციპალიტეტის დაბა კულაში ბაგაურის ქუჩის გზის რეაბილიტაციის 
სამუშაოების საპროექტო-სახარჯთაღრიცხვო დოკუმენტაცია
</t>
  </si>
  <si>
    <t>მასალების ტრანსპორტირება არაუმეტეს</t>
  </si>
  <si>
    <t xml:space="preserve">ზედნადები ხარჯები არაუმეტეს </t>
  </si>
  <si>
    <t>გეგმიური მოგება არაუმეტეს</t>
  </si>
  <si>
    <t>გაუთვალისწინებელი ხარჯები არაუმეტეს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</si>
</sst>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0&quot; &quot;;&quot;-&quot;#,##0.00&quot; &quot;"/>
    <numFmt numFmtId="165" formatCode="#,###.00;&quot;-&quot;#,###.00;&quot;- &quot;"/>
    <numFmt numFmtId="166" formatCode="#,##0.000&quot; &quot;;&quot;-&quot;#,##0.000&quot; &quot;"/>
    <numFmt numFmtId="167" formatCode="0.000"/>
    <numFmt numFmtId="168" formatCode="#,##0.00_ ;[Red]\-#,##0.00\ "/>
    <numFmt numFmtId="169" formatCode="0.00000"/>
    <numFmt numFmtId="170" formatCode="0.0000"/>
    <numFmt numFmtId="171" formatCode="#,##0.0000_);[Red]\(#,##0.0000\)"/>
  </numFmts>
  <fonts count="54" x14ac:knownFonts="1">
    <font>
      <sz val="11"/>
      <color indexed="8"/>
      <name val="Calibri"/>
    </font>
    <font>
      <b/>
      <sz val="12"/>
      <color indexed="8"/>
      <name val="Sylfaen"/>
      <family val="1"/>
      <charset val="204"/>
    </font>
    <font>
      <sz val="12"/>
      <color indexed="8"/>
      <name val="Sylfaen"/>
      <family val="1"/>
      <charset val="204"/>
    </font>
    <font>
      <b/>
      <sz val="12"/>
      <color indexed="8"/>
      <name val="AcadNusx"/>
    </font>
    <font>
      <b/>
      <sz val="12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8"/>
      <name val="AcadNusx"/>
    </font>
    <font>
      <b/>
      <sz val="10"/>
      <color indexed="8"/>
      <name val="Sylfaen"/>
      <family val="1"/>
      <charset val="204"/>
    </font>
    <font>
      <sz val="12"/>
      <color indexed="8"/>
      <name val="AcadNusx"/>
    </font>
    <font>
      <sz val="12"/>
      <color indexed="8"/>
      <name val="Arial"/>
      <family val="2"/>
      <charset val="204"/>
    </font>
    <font>
      <sz val="10"/>
      <name val="Arial"/>
      <family val="2"/>
    </font>
    <font>
      <sz val="12"/>
      <name val="Arial"/>
      <family val="2"/>
    </font>
    <font>
      <sz val="12"/>
      <name val="Sylfaen"/>
      <family val="1"/>
      <charset val="204"/>
    </font>
    <font>
      <b/>
      <sz val="12"/>
      <name val="Sylfaen"/>
      <family val="1"/>
      <charset val="204"/>
    </font>
    <font>
      <b/>
      <sz val="10"/>
      <name val="Sylfaen"/>
      <family val="1"/>
      <charset val="204"/>
    </font>
    <font>
      <b/>
      <sz val="12"/>
      <name val="Arial"/>
      <family val="2"/>
      <charset val="204"/>
    </font>
    <font>
      <vertAlign val="superscript"/>
      <sz val="12"/>
      <name val="Sylfaen"/>
      <family val="1"/>
      <charset val="204"/>
    </font>
    <font>
      <b/>
      <sz val="12"/>
      <name val="Arial"/>
      <family val="2"/>
    </font>
    <font>
      <b/>
      <sz val="12"/>
      <name val="AcadNusx"/>
    </font>
    <font>
      <sz val="10"/>
      <name val="Arial Cyr"/>
      <charset val="204"/>
    </font>
    <font>
      <b/>
      <sz val="10"/>
      <name val="AcadNusx"/>
    </font>
    <font>
      <sz val="12"/>
      <name val="AcadNusx"/>
    </font>
    <font>
      <vertAlign val="superscript"/>
      <sz val="12"/>
      <name val="AcadNusx"/>
    </font>
    <font>
      <b/>
      <sz val="12"/>
      <name val="Sylfaen"/>
      <family val="1"/>
    </font>
    <font>
      <b/>
      <sz val="11"/>
      <color indexed="8"/>
      <name val="AcadNusx"/>
      <family val="2"/>
    </font>
    <font>
      <b/>
      <sz val="12"/>
      <color indexed="8"/>
      <name val="Sylfaen"/>
      <family val="1"/>
    </font>
    <font>
      <b/>
      <vertAlign val="superscript"/>
      <sz val="12"/>
      <color indexed="8"/>
      <name val="Sylfaen"/>
      <family val="1"/>
    </font>
    <font>
      <b/>
      <vertAlign val="superscript"/>
      <sz val="12"/>
      <name val="Sylfaen"/>
      <family val="1"/>
    </font>
    <font>
      <b/>
      <sz val="12"/>
      <name val="AcadNusx"/>
      <family val="2"/>
    </font>
    <font>
      <b/>
      <vertAlign val="superscript"/>
      <sz val="12"/>
      <name val="AcadNusx"/>
      <family val="2"/>
    </font>
    <font>
      <b/>
      <sz val="12"/>
      <color indexed="8"/>
      <name val="AcadNusx"/>
      <family val="2"/>
    </font>
    <font>
      <b/>
      <vertAlign val="superscript"/>
      <sz val="12"/>
      <color indexed="8"/>
      <name val="Arial"/>
      <family val="2"/>
      <charset val="204"/>
    </font>
    <font>
      <b/>
      <sz val="11"/>
      <color indexed="8"/>
      <name val="Calibri"/>
      <family val="2"/>
    </font>
    <font>
      <b/>
      <vertAlign val="superscript"/>
      <sz val="12"/>
      <color indexed="8"/>
      <name val="AcadNusx"/>
      <family val="2"/>
    </font>
    <font>
      <b/>
      <sz val="16"/>
      <color indexed="8"/>
      <name val="AcadNusx"/>
    </font>
    <font>
      <sz val="12"/>
      <color theme="1"/>
      <name val="Sylfaen"/>
      <family val="1"/>
      <charset val="204"/>
    </font>
    <font>
      <b/>
      <sz val="12"/>
      <color rgb="FF000000"/>
      <name val="Arial"/>
      <family val="2"/>
    </font>
    <font>
      <sz val="12"/>
      <color indexed="8"/>
      <name val="Sylfaen"/>
      <family val="1"/>
    </font>
    <font>
      <sz val="11"/>
      <color indexed="8"/>
      <name val="Calibri"/>
    </font>
    <font>
      <b/>
      <sz val="12"/>
      <color theme="1"/>
      <name val="AcadNusx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Sylfaen"/>
      <family val="1"/>
      <charset val="204"/>
    </font>
    <font>
      <b/>
      <sz val="12"/>
      <color theme="1"/>
      <name val="Sylfaen"/>
      <family val="1"/>
    </font>
    <font>
      <sz val="12"/>
      <color theme="1"/>
      <name val="AcadNusx"/>
    </font>
    <font>
      <vertAlign val="superscript"/>
      <sz val="12"/>
      <color theme="1"/>
      <name val="Sylfaen"/>
      <family val="1"/>
      <charset val="204"/>
    </font>
    <font>
      <b/>
      <sz val="11"/>
      <color theme="1"/>
      <name val="AcadNusx"/>
    </font>
    <font>
      <b/>
      <sz val="12"/>
      <color theme="1"/>
      <name val="Calibri"/>
      <family val="2"/>
      <charset val="204"/>
    </font>
    <font>
      <b/>
      <sz val="12"/>
      <name val="Arial Cyr"/>
    </font>
    <font>
      <vertAlign val="superscript"/>
      <sz val="12"/>
      <name val="Sylfaen"/>
      <family val="1"/>
    </font>
    <font>
      <b/>
      <sz val="10"/>
      <color theme="1"/>
      <name val="Sylfae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6">
    <xf numFmtId="0" fontId="0" fillId="0" borderId="0" applyNumberFormat="0" applyFill="0" applyBorder="0" applyProtection="0"/>
    <xf numFmtId="0" fontId="10" fillId="0" borderId="5"/>
    <xf numFmtId="0" fontId="12" fillId="0" borderId="5"/>
    <xf numFmtId="0" fontId="19" fillId="0" borderId="5"/>
    <xf numFmtId="0" fontId="19" fillId="0" borderId="5"/>
    <xf numFmtId="43" fontId="38" fillId="0" borderId="0" applyFont="0" applyFill="0" applyBorder="0" applyAlignment="0" applyProtection="0"/>
  </cellStyleXfs>
  <cellXfs count="239">
    <xf numFmtId="0" fontId="0" fillId="0" borderId="0" xfId="0" applyFont="1" applyAlignment="1"/>
    <xf numFmtId="166" fontId="25" fillId="0" borderId="11" xfId="0" applyNumberFormat="1" applyFont="1" applyFill="1" applyBorder="1" applyAlignment="1">
      <alignment horizontal="right" vertical="center"/>
    </xf>
    <xf numFmtId="164" fontId="25" fillId="0" borderId="11" xfId="0" applyNumberFormat="1" applyFont="1" applyFill="1" applyBorder="1" applyAlignment="1">
      <alignment horizontal="right" vertical="center"/>
    </xf>
    <xf numFmtId="168" fontId="23" fillId="0" borderId="17" xfId="2" applyNumberFormat="1" applyFont="1" applyFill="1" applyBorder="1" applyAlignment="1">
      <alignment horizontal="right" vertical="center"/>
    </xf>
    <xf numFmtId="168" fontId="13" fillId="0" borderId="17" xfId="2" applyNumberFormat="1" applyFont="1" applyFill="1" applyBorder="1" applyAlignment="1">
      <alignment horizontal="right" vertical="center"/>
    </xf>
    <xf numFmtId="164" fontId="1" fillId="0" borderId="11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/>
    <xf numFmtId="0" fontId="0" fillId="0" borderId="0" xfId="0" applyFont="1" applyFill="1" applyAlignment="1"/>
    <xf numFmtId="0" fontId="11" fillId="0" borderId="5" xfId="1" applyFont="1" applyFill="1" applyBorder="1" applyAlignment="1">
      <alignment horizontal="center" vertical="top"/>
    </xf>
    <xf numFmtId="0" fontId="0" fillId="0" borderId="2" xfId="0" applyFont="1" applyFill="1" applyBorder="1" applyAlignment="1"/>
    <xf numFmtId="49" fontId="2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top"/>
    </xf>
    <xf numFmtId="0" fontId="0" fillId="0" borderId="7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/>
    <xf numFmtId="0" fontId="0" fillId="0" borderId="12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12" xfId="0" applyFont="1" applyFill="1" applyBorder="1" applyAlignment="1"/>
    <xf numFmtId="0" fontId="15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left" vertical="center"/>
    </xf>
    <xf numFmtId="49" fontId="25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/>
    <xf numFmtId="164" fontId="1" fillId="0" borderId="11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/>
    </xf>
    <xf numFmtId="170" fontId="2" fillId="0" borderId="11" xfId="0" applyNumberFormat="1" applyFont="1" applyFill="1" applyBorder="1" applyAlignment="1">
      <alignment horizontal="center" vertical="center"/>
    </xf>
    <xf numFmtId="167" fontId="25" fillId="0" borderId="11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vertical="center"/>
    </xf>
    <xf numFmtId="0" fontId="12" fillId="0" borderId="17" xfId="2" applyFill="1" applyBorder="1" applyAlignment="1">
      <alignment horizontal="center" vertical="center"/>
    </xf>
    <xf numFmtId="170" fontId="2" fillId="0" borderId="19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vertical="center" wrapText="1"/>
    </xf>
    <xf numFmtId="0" fontId="23" fillId="0" borderId="17" xfId="2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vertical="center"/>
    </xf>
    <xf numFmtId="2" fontId="0" fillId="0" borderId="11" xfId="0" applyNumberFormat="1" applyFont="1" applyFill="1" applyBorder="1" applyAlignment="1">
      <alignment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169" fontId="2" fillId="0" borderId="11" xfId="0" applyNumberFormat="1" applyFont="1" applyFill="1" applyBorder="1" applyAlignment="1">
      <alignment horizontal="center" vertical="center"/>
    </xf>
    <xf numFmtId="0" fontId="13" fillId="0" borderId="17" xfId="2" applyFont="1" applyFill="1" applyBorder="1" applyAlignment="1">
      <alignment horizontal="center" vertical="center"/>
    </xf>
    <xf numFmtId="0" fontId="23" fillId="0" borderId="17" xfId="2" applyFont="1" applyFill="1" applyBorder="1" applyAlignment="1">
      <alignment horizontal="left" vertical="center" wrapText="1"/>
    </xf>
    <xf numFmtId="168" fontId="12" fillId="0" borderId="17" xfId="2" applyNumberFormat="1" applyFill="1" applyBorder="1" applyAlignment="1">
      <alignment horizontal="right" vertical="center"/>
    </xf>
    <xf numFmtId="0" fontId="0" fillId="0" borderId="1" xfId="0" applyFont="1" applyFill="1" applyBorder="1" applyAlignment="1"/>
    <xf numFmtId="0" fontId="17" fillId="0" borderId="1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12" fillId="0" borderId="17" xfId="2" applyFill="1" applyBorder="1" applyAlignment="1">
      <alignment horizontal="left" vertical="center"/>
    </xf>
    <xf numFmtId="170" fontId="12" fillId="0" borderId="17" xfId="2" applyNumberFormat="1" applyFill="1" applyBorder="1" applyAlignment="1">
      <alignment horizontal="center" vertical="center"/>
    </xf>
    <xf numFmtId="0" fontId="20" fillId="0" borderId="17" xfId="3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/>
    </xf>
    <xf numFmtId="0" fontId="14" fillId="0" borderId="17" xfId="2" applyFont="1" applyFill="1" applyBorder="1" applyAlignment="1">
      <alignment horizontal="center" vertical="center" wrapText="1"/>
    </xf>
    <xf numFmtId="0" fontId="12" fillId="0" borderId="17" xfId="2" applyFill="1" applyBorder="1" applyAlignment="1">
      <alignment vertical="center" wrapText="1"/>
    </xf>
    <xf numFmtId="0" fontId="12" fillId="0" borderId="17" xfId="2" applyFill="1" applyBorder="1"/>
    <xf numFmtId="167" fontId="12" fillId="0" borderId="17" xfId="2" applyNumberForma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center"/>
    </xf>
    <xf numFmtId="0" fontId="4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 wrapText="1"/>
    </xf>
    <xf numFmtId="0" fontId="35" fillId="0" borderId="17" xfId="2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3" xfId="0" applyFont="1" applyFill="1" applyBorder="1" applyAlignment="1"/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/>
    </xf>
    <xf numFmtId="49" fontId="1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right" vertical="center"/>
    </xf>
    <xf numFmtId="0" fontId="28" fillId="0" borderId="17" xfId="0" applyFont="1" applyFill="1" applyBorder="1" applyAlignment="1">
      <alignment vertical="center" wrapText="1"/>
    </xf>
    <xf numFmtId="0" fontId="28" fillId="0" borderId="17" xfId="0" applyFont="1" applyFill="1" applyBorder="1" applyAlignment="1">
      <alignment horizontal="center" vertical="center"/>
    </xf>
    <xf numFmtId="0" fontId="12" fillId="0" borderId="17" xfId="2" applyFill="1" applyBorder="1" applyAlignment="1">
      <alignment wrapText="1"/>
    </xf>
    <xf numFmtId="49" fontId="30" fillId="0" borderId="19" xfId="0" applyNumberFormat="1" applyFont="1" applyFill="1" applyBorder="1" applyAlignment="1">
      <alignment horizontal="left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23" fillId="0" borderId="5" xfId="2" applyFont="1" applyFill="1" applyAlignment="1">
      <alignment horizontal="center" vertical="center" wrapText="1"/>
    </xf>
    <xf numFmtId="49" fontId="30" fillId="0" borderId="22" xfId="0" applyNumberFormat="1" applyFont="1" applyFill="1" applyBorder="1" applyAlignment="1">
      <alignment horizontal="left" vertical="center" wrapText="1"/>
    </xf>
    <xf numFmtId="49" fontId="32" fillId="0" borderId="21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left" vertical="center"/>
    </xf>
    <xf numFmtId="0" fontId="13" fillId="0" borderId="17" xfId="2" applyFont="1" applyFill="1" applyBorder="1" applyAlignment="1">
      <alignment horizontal="left" vertical="center"/>
    </xf>
    <xf numFmtId="0" fontId="0" fillId="0" borderId="13" xfId="0" applyFont="1" applyFill="1" applyBorder="1" applyAlignment="1"/>
    <xf numFmtId="2" fontId="0" fillId="0" borderId="2" xfId="0" applyNumberFormat="1" applyFont="1" applyFill="1" applyBorder="1" applyAlignment="1"/>
    <xf numFmtId="0" fontId="4" fillId="0" borderId="17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/>
    <xf numFmtId="0" fontId="0" fillId="0" borderId="19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/>
    <xf numFmtId="49" fontId="4" fillId="0" borderId="11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vertical="center"/>
    </xf>
    <xf numFmtId="164" fontId="1" fillId="0" borderId="20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 wrapText="1"/>
    </xf>
    <xf numFmtId="49" fontId="9" fillId="0" borderId="17" xfId="0" applyNumberFormat="1" applyFont="1" applyFill="1" applyBorder="1" applyAlignment="1">
      <alignment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right" vertical="center"/>
    </xf>
    <xf numFmtId="164" fontId="1" fillId="0" borderId="17" xfId="0" applyNumberFormat="1" applyFont="1" applyFill="1" applyBorder="1" applyAlignment="1">
      <alignment horizontal="right" vertical="center"/>
    </xf>
    <xf numFmtId="49" fontId="4" fillId="0" borderId="17" xfId="0" applyNumberFormat="1" applyFont="1" applyFill="1" applyBorder="1" applyAlignment="1">
      <alignment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top"/>
    </xf>
    <xf numFmtId="49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/>
    <xf numFmtId="0" fontId="9" fillId="0" borderId="14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top"/>
    </xf>
    <xf numFmtId="0" fontId="0" fillId="0" borderId="5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top"/>
    </xf>
    <xf numFmtId="0" fontId="0" fillId="0" borderId="16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center"/>
    </xf>
    <xf numFmtId="49" fontId="25" fillId="0" borderId="19" xfId="0" applyNumberFormat="1" applyFont="1" applyFill="1" applyBorder="1" applyAlignment="1">
      <alignment wrapText="1"/>
    </xf>
    <xf numFmtId="0" fontId="7" fillId="0" borderId="2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/>
    <xf numFmtId="2" fontId="0" fillId="0" borderId="25" xfId="0" applyNumberFormat="1" applyFont="1" applyFill="1" applyBorder="1" applyAlignment="1"/>
    <xf numFmtId="0" fontId="0" fillId="0" borderId="11" xfId="0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0" fontId="13" fillId="0" borderId="17" xfId="4" applyFont="1" applyFill="1" applyBorder="1" applyAlignment="1">
      <alignment horizontal="center" vertical="center"/>
    </xf>
    <xf numFmtId="40" fontId="12" fillId="0" borderId="17" xfId="0" applyNumberFormat="1" applyFont="1" applyFill="1" applyBorder="1" applyAlignment="1">
      <alignment horizontal="right" vertical="center"/>
    </xf>
    <xf numFmtId="0" fontId="21" fillId="0" borderId="5" xfId="1" applyFont="1" applyFill="1"/>
    <xf numFmtId="0" fontId="11" fillId="0" borderId="17" xfId="0" applyFont="1" applyFill="1" applyBorder="1" applyAlignment="1">
      <alignment horizontal="left" vertical="center" wrapText="1"/>
    </xf>
    <xf numFmtId="0" fontId="11" fillId="0" borderId="17" xfId="4" applyFont="1" applyFill="1" applyBorder="1" applyAlignment="1">
      <alignment horizontal="center" vertical="center"/>
    </xf>
    <xf numFmtId="0" fontId="12" fillId="0" borderId="17" xfId="4" applyFont="1" applyFill="1" applyBorder="1" applyAlignment="1">
      <alignment horizontal="center" vertical="center"/>
    </xf>
    <xf numFmtId="40" fontId="12" fillId="0" borderId="17" xfId="4" applyNumberFormat="1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vertical="center" wrapText="1"/>
    </xf>
    <xf numFmtId="49" fontId="23" fillId="0" borderId="17" xfId="0" applyNumberFormat="1" applyFont="1" applyFill="1" applyBorder="1" applyAlignment="1">
      <alignment horizontal="center" vertical="center" wrapText="1"/>
    </xf>
    <xf numFmtId="0" fontId="23" fillId="0" borderId="17" xfId="2" applyFont="1" applyFill="1" applyBorder="1" applyAlignment="1">
      <alignment vertical="center" wrapText="1"/>
    </xf>
    <xf numFmtId="0" fontId="12" fillId="0" borderId="5" xfId="2" applyFill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vertical="center"/>
    </xf>
    <xf numFmtId="49" fontId="39" fillId="0" borderId="17" xfId="0" applyNumberFormat="1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vertical="center"/>
    </xf>
    <xf numFmtId="167" fontId="42" fillId="0" borderId="17" xfId="0" applyNumberFormat="1" applyFont="1" applyFill="1" applyBorder="1" applyAlignment="1">
      <alignment horizontal="center" vertical="center"/>
    </xf>
    <xf numFmtId="2" fontId="42" fillId="0" borderId="17" xfId="0" applyNumberFormat="1" applyFont="1" applyFill="1" applyBorder="1" applyAlignment="1">
      <alignment horizontal="center" vertical="center"/>
    </xf>
    <xf numFmtId="43" fontId="42" fillId="0" borderId="17" xfId="5" applyFont="1" applyFill="1" applyBorder="1" applyAlignment="1">
      <alignment horizontal="center" vertical="center"/>
    </xf>
    <xf numFmtId="43" fontId="42" fillId="0" borderId="17" xfId="5" applyFont="1" applyFill="1" applyBorder="1" applyAlignment="1">
      <alignment horizontal="center" vertical="center" wrapText="1"/>
    </xf>
    <xf numFmtId="0" fontId="40" fillId="0" borderId="17" xfId="0" applyNumberFormat="1" applyFont="1" applyFill="1" applyBorder="1" applyAlignment="1">
      <alignment horizontal="center" vertical="center"/>
    </xf>
    <xf numFmtId="0" fontId="43" fillId="0" borderId="17" xfId="2" applyFont="1" applyFill="1" applyBorder="1" applyAlignment="1">
      <alignment horizontal="center" vertical="center"/>
    </xf>
    <xf numFmtId="49" fontId="44" fillId="0" borderId="17" xfId="0" applyNumberFormat="1" applyFont="1" applyFill="1" applyBorder="1" applyAlignment="1">
      <alignment wrapText="1"/>
    </xf>
    <xf numFmtId="49" fontId="41" fillId="0" borderId="17" xfId="0" applyNumberFormat="1" applyFont="1" applyFill="1" applyBorder="1" applyAlignment="1">
      <alignment horizontal="center" vertical="center" wrapText="1"/>
    </xf>
    <xf numFmtId="40" fontId="12" fillId="0" borderId="17" xfId="2" applyNumberFormat="1" applyFill="1" applyBorder="1" applyAlignment="1">
      <alignment horizontal="right" vertical="center"/>
    </xf>
    <xf numFmtId="40" fontId="23" fillId="0" borderId="17" xfId="2" applyNumberFormat="1" applyFont="1" applyFill="1" applyBorder="1" applyAlignment="1">
      <alignment horizontal="right" vertical="center"/>
    </xf>
    <xf numFmtId="0" fontId="40" fillId="0" borderId="17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vertical="center" wrapText="1"/>
    </xf>
    <xf numFmtId="49" fontId="35" fillId="0" borderId="17" xfId="0" applyNumberFormat="1" applyFont="1" applyFill="1" applyBorder="1" applyAlignment="1">
      <alignment vertical="center"/>
    </xf>
    <xf numFmtId="49" fontId="35" fillId="0" borderId="17" xfId="0" applyNumberFormat="1" applyFont="1" applyFill="1" applyBorder="1" applyAlignment="1">
      <alignment horizontal="center" vertical="center"/>
    </xf>
    <xf numFmtId="171" fontId="12" fillId="0" borderId="17" xfId="2" applyNumberFormat="1" applyFill="1" applyBorder="1" applyAlignment="1">
      <alignment horizontal="center" vertical="center"/>
    </xf>
    <xf numFmtId="49" fontId="35" fillId="0" borderId="17" xfId="0" applyNumberFormat="1" applyFont="1" applyFill="1" applyBorder="1" applyAlignment="1">
      <alignment vertical="center" wrapText="1"/>
    </xf>
    <xf numFmtId="49" fontId="35" fillId="0" borderId="17" xfId="0" applyNumberFormat="1" applyFont="1" applyFill="1" applyBorder="1" applyAlignment="1"/>
    <xf numFmtId="49" fontId="44" fillId="0" borderId="17" xfId="0" applyNumberFormat="1" applyFont="1" applyFill="1" applyBorder="1" applyAlignment="1">
      <alignment vertical="center" wrapText="1"/>
    </xf>
    <xf numFmtId="0" fontId="47" fillId="0" borderId="17" xfId="0" applyFont="1" applyFill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vertical="center" wrapText="1"/>
    </xf>
    <xf numFmtId="0" fontId="35" fillId="0" borderId="17" xfId="2" applyFont="1" applyFill="1" applyBorder="1" applyAlignment="1">
      <alignment horizontal="center"/>
    </xf>
    <xf numFmtId="0" fontId="43" fillId="0" borderId="17" xfId="0" applyNumberFormat="1" applyFont="1" applyFill="1" applyBorder="1" applyAlignment="1">
      <alignment horizontal="center" vertical="center"/>
    </xf>
    <xf numFmtId="49" fontId="48" fillId="0" borderId="17" xfId="0" applyNumberFormat="1" applyFont="1" applyFill="1" applyBorder="1" applyAlignment="1">
      <alignment vertical="center" wrapText="1"/>
    </xf>
    <xf numFmtId="0" fontId="39" fillId="0" borderId="17" xfId="0" applyFont="1" applyFill="1" applyBorder="1" applyAlignment="1">
      <alignment horizontal="center" vertical="center"/>
    </xf>
    <xf numFmtId="0" fontId="12" fillId="0" borderId="17" xfId="2" applyFill="1" applyBorder="1" applyAlignment="1">
      <alignment horizontal="left" vertical="center" wrapText="1"/>
    </xf>
    <xf numFmtId="0" fontId="49" fillId="0" borderId="17" xfId="0" applyFont="1" applyFill="1" applyBorder="1" applyAlignment="1">
      <alignment horizontal="left" vertical="center" wrapText="1"/>
    </xf>
    <xf numFmtId="171" fontId="23" fillId="0" borderId="17" xfId="2" applyNumberFormat="1" applyFont="1" applyFill="1" applyBorder="1" applyAlignment="1">
      <alignment horizontal="right" vertical="center"/>
    </xf>
    <xf numFmtId="40" fontId="12" fillId="0" borderId="17" xfId="2" applyNumberFormat="1" applyFill="1" applyBorder="1" applyAlignment="1">
      <alignment horizontal="center" vertical="center"/>
    </xf>
    <xf numFmtId="40" fontId="12" fillId="0" borderId="5" xfId="2" applyNumberFormat="1" applyFill="1" applyAlignment="1">
      <alignment horizontal="right" vertical="center"/>
    </xf>
    <xf numFmtId="49" fontId="2" fillId="0" borderId="18" xfId="0" applyNumberFormat="1" applyFont="1" applyFill="1" applyBorder="1" applyAlignment="1">
      <alignment horizontal="center" vertical="center"/>
    </xf>
    <xf numFmtId="169" fontId="12" fillId="0" borderId="17" xfId="2" applyNumberForma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right" vertical="center"/>
    </xf>
    <xf numFmtId="49" fontId="51" fillId="0" borderId="17" xfId="0" applyNumberFormat="1" applyFont="1" applyFill="1" applyBorder="1" applyAlignment="1">
      <alignment horizontal="center" vertical="center" wrapText="1"/>
    </xf>
    <xf numFmtId="49" fontId="35" fillId="0" borderId="17" xfId="0" applyNumberFormat="1" applyFont="1" applyFill="1" applyBorder="1" applyAlignment="1">
      <alignment horizontal="left" vertical="center"/>
    </xf>
    <xf numFmtId="49" fontId="52" fillId="0" borderId="17" xfId="0" applyNumberFormat="1" applyFont="1" applyFill="1" applyBorder="1" applyAlignment="1">
      <alignment vertical="center" wrapText="1"/>
    </xf>
    <xf numFmtId="49" fontId="39" fillId="0" borderId="17" xfId="0" applyNumberFormat="1" applyFont="1" applyFill="1" applyBorder="1" applyAlignment="1">
      <alignment horizontal="left" vertical="center" wrapText="1"/>
    </xf>
    <xf numFmtId="0" fontId="41" fillId="0" borderId="17" xfId="0" applyFont="1" applyFill="1" applyBorder="1" applyAlignment="1">
      <alignment horizontal="center" vertical="center"/>
    </xf>
    <xf numFmtId="0" fontId="51" fillId="0" borderId="17" xfId="2" applyFont="1" applyFill="1" applyBorder="1" applyAlignment="1">
      <alignment horizontal="center" vertical="center" wrapText="1"/>
    </xf>
    <xf numFmtId="0" fontId="43" fillId="0" borderId="17" xfId="2" applyFont="1" applyFill="1" applyBorder="1" applyAlignment="1">
      <alignment horizontal="left" vertical="center"/>
    </xf>
    <xf numFmtId="0" fontId="39" fillId="0" borderId="17" xfId="0" applyFont="1" applyFill="1" applyBorder="1" applyAlignment="1">
      <alignment horizontal="left" vertical="center" wrapText="1"/>
    </xf>
    <xf numFmtId="0" fontId="39" fillId="0" borderId="17" xfId="0" applyFont="1" applyFill="1" applyBorder="1" applyAlignment="1">
      <alignment horizontal="center" vertical="center" wrapText="1"/>
    </xf>
    <xf numFmtId="40" fontId="13" fillId="0" borderId="17" xfId="2" applyNumberFormat="1" applyFont="1" applyFill="1" applyBorder="1" applyAlignment="1">
      <alignment horizontal="right" vertical="center"/>
    </xf>
    <xf numFmtId="49" fontId="1" fillId="0" borderId="21" xfId="0" applyNumberFormat="1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0" fontId="12" fillId="0" borderId="5" xfId="2" applyFill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3" fillId="0" borderId="5" xfId="2" applyFont="1" applyFill="1" applyAlignment="1">
      <alignment horizontal="center" vertical="center"/>
    </xf>
    <xf numFmtId="0" fontId="13" fillId="0" borderId="5" xfId="2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34" fillId="0" borderId="5" xfId="0" applyNumberFormat="1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</cellXfs>
  <cellStyles count="6">
    <cellStyle name="Comma" xfId="5" builtinId="3"/>
    <cellStyle name="Normal" xfId="0" builtinId="0"/>
    <cellStyle name="Normal 2" xfId="1"/>
    <cellStyle name="silfain" xfId="2"/>
    <cellStyle name="Обычный_Лист1" xfId="4"/>
    <cellStyle name="Обычный_დემონტაჟი" xfId="3"/>
  </cellStyles>
  <dxfs count="50">
    <dxf>
      <font>
        <color rgb="FFFF000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00000000"/>
      <rgbColor rgb="FFFF99CC"/>
      <rgbColor rgb="FF80008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1476375</xdr:colOff>
      <xdr:row>96</xdr:row>
      <xdr:rowOff>0</xdr:rowOff>
    </xdr:from>
    <xdr:ext cx="0" cy="285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0" cy="285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0" cy="285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0" cy="285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0" cy="285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0" cy="285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0" cy="285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0" cy="285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0" cy="285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0" cy="285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0" cy="285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0" cy="285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0" cy="285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0" cy="285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0" cy="285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0" cy="285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109</xdr:row>
      <xdr:rowOff>0</xdr:rowOff>
    </xdr:from>
    <xdr:ext cx="0" cy="285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119</xdr:row>
      <xdr:rowOff>0</xdr:rowOff>
    </xdr:from>
    <xdr:ext cx="0" cy="28575"/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45" name="Text Box 1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75" name="Text Box 1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83" name="Text Box 1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21" name="Text Box 1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25" name="Text Box 1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69" name="Text Box 1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87" name="Text Box 1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1476375</xdr:colOff>
      <xdr:row>96</xdr:row>
      <xdr:rowOff>28575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35" name="Text Box 1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43" name="Text Box 1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45" name="Text Box 1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47" name="Text Box 1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49" name="Text Box 1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51" name="Text Box 1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53" name="Text Box 1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55" name="Text Box 1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57" name="Text Box 1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59" name="Text Box 1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61" name="Text Box 1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63" name="Text Box 1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65" name="Text Box 1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69" name="Text Box 1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71" name="Text Box 1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73" name="Text Box 1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75" name="Text Box 1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77" name="Text Box 1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79" name="Text Box 1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81" name="Text Box 1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83" name="Text Box 1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85" name="Text Box 1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87" name="Text Box 1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89" name="Text Box 1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91" name="Text Box 1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93" name="Text Box 1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95" name="Text Box 1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97" name="Text Box 1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07" name="Text Box 1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17" name="Text Box 1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21" name="Text Box 1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23" name="Text Box 1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31" name="Text Box 1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33" name="Text Box 1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37" name="Text Box 1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41" name="Text Box 1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43" name="Text Box 1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47" name="Text Box 1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57" name="Text Box 1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061" name="Text Box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063" name="Text Box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067" name="Text Box 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068" name="Text Box 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070" name="Text Box 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076" name="Text Box 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078" name="Text Box 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085" name="Text Box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086" name="Text Box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088" name="Text Box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092" name="Text Box 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13" name="Text Box 1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16" name="Text Box 1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18" name="Text Box 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19" name="Text Box 1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23" name="Text Box 1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25" name="Text Box 1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28" name="Text Box 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31" name="Text Box 1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32" name="Text Box 1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37" name="Text Box 1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40" name="Text Box 1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41" name="Text Box 1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43" name="Text Box 1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45" name="Text Box 1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47" name="Text Box 1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49" name="Text Box 1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51" name="Text Box 1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53" name="Text Box 1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55" name="Text Box 1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56" name="Text Box 1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57" name="Text Box 1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58" name="Text Box 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59" name="Text Box 1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60" name="Text Box 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61" name="Text Box 1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63" name="Text Box 1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64" name="Text Box 1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65" name="Text Box 1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67" name="Text Box 1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69" name="Text Box 1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71" name="Text Box 1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73" name="Text Box 1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75" name="Text Box 1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77" name="Text Box 1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79" name="Text Box 1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81" name="Text Box 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85" name="Text Box 1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87" name="Text Box 1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89" name="Text Box 1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91" name="Text Box 1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93" name="Text Box 1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95" name="Text Box 1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97" name="Text Box 1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199" name="Text Box 1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01" name="Text Box 1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03" name="Text Box 1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05" name="Text Box 1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07" name="Text Box 1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09" name="Text Box 1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11" name="Text Box 1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12" name="Text Box 1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13" name="Text Box 1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15" name="Text Box 1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16" name="Text Box 1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17" name="Text Box 1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19" name="Text Box 1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20" name="Text Box 1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21" name="Text Box 1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23" name="Text Box 1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25" name="Text Box 1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27" name="Text Box 1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28" name="Text Box 1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29" name="Text Box 1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31" name="Text Box 1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32" name="Text Box 1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33" name="Text Box 1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35" name="Text Box 1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36" name="Text Box 1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37" name="Text Box 1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38" name="Text Box 1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39" name="Text Box 1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40" name="Text Box 1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41" name="Text Box 1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43" name="Text Box 1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44" name="Text Box 1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45" name="Text Box 1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46" name="Text Box 1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47" name="Text Box 1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48" name="Text Box 1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51" name="Text Box 1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52" name="Text Box 1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53" name="Text Box 1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54" name="Text Box 1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55" name="Text Box 1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56" name="Text Box 1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57" name="Text Box 1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58" name="Text Box 1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59" name="Text Box 1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60" name="Text Box 1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61" name="Text Box 1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63" name="Text Box 1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64" name="Text Box 1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65" name="Text Box 1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67" name="Text Box 1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68" name="Text Box 1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69" name="Text Box 1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71" name="Text Box 1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72" name="Text Box 1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73" name="Text Box 1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74" name="Text Box 1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75" name="Text Box 1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76" name="Text Box 1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77" name="Text Box 1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78" name="Text Box 1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79" name="Text Box 1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80" name="Text Box 1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81" name="Text Box 1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83" name="Text Box 1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85" name="Text Box 1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86" name="Text Box 1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87" name="Text Box 1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88" name="Text Box 1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89" name="Text Box 1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90" name="Text Box 1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91" name="Text Box 1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92" name="Text Box 1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93" name="Text Box 1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95" name="Text Box 1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97" name="Text Box 1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299" name="Text Box 1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01" name="Text Box 1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03" name="Text Box 1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04" name="Text Box 1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05" name="Text Box 1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07" name="Text Box 1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09" name="Text Box 1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11" name="Text Box 1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13" name="Text Box 1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47" name="Text Box 1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49" name="Text Box 1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51" name="Text Box 1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53" name="Text Box 1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55" name="Text Box 1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57" name="Text Box 1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59" name="Text Box 1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60" name="Text Box 1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61" name="Text Box 1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63" name="Text Box 1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64" name="Text Box 1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65" name="Text Box 1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66" name="Text Box 1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67" name="Text Box 1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69" name="Text Box 1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71" name="Text Box 1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72" name="Text Box 1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73" name="Text Box 1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74" name="Text Box 1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75" name="Text Box 1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76" name="Text Box 1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77" name="Text Box 1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78" name="Text Box 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79" name="Text Box 1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80" name="Text Box 1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81" name="Text Box 1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82" name="Text Box 1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83" name="Text Box 1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84" name="Text Box 1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85" name="Text Box 1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86" name="Text Box 1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87" name="Text Box 1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88" name="Text Box 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89" name="Text Box 1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90" name="Text Box 1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91" name="Text Box 1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92" name="Text Box 1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93" name="Text Box 1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94" name="Text Box 1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95" name="Text Box 1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96" name="Text Box 1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97" name="Text Box 1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98" name="Text Box 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399" name="Text Box 1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00" name="Text Box 1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01" name="Text Box 1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03" name="Text Box 1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04" name="Text Box 1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05" name="Text Box 1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06" name="Text Box 1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07" name="Text Box 1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08" name="Text Box 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09" name="Text Box 1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10" name="Text Box 1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11" name="Text Box 1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12" name="Text Box 1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13" name="Text Box 1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14" name="Text Box 1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15" name="Text Box 1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16" name="Text Box 1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17" name="Text Box 1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18" name="Text Box 1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19" name="Text Box 1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20" name="Text Box 1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21" name="Text Box 1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23" name="Text Box 1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24" name="Text Box 1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25" name="Text Box 1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26" name="Text Box 1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27" name="Text Box 1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28" name="Text Box 1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29" name="Text Box 1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30" name="Text Box 1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31" name="Text Box 1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32" name="Text Box 1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33" name="Text Box 1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35" name="Text Box 1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36" name="Text Box 1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37" name="Text Box 1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38" name="Text Box 1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39" name="Text Box 1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40" name="Text Box 1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41" name="Text Box 1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43" name="Text Box 1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44" name="Text Box 1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45" name="Text Box 1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46" name="Text Box 1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47" name="Text Box 1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48" name="Text Box 1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49" name="Text Box 1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50" name="Text Box 1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51" name="Text Box 1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52" name="Text Box 1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53" name="Text Box 1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54" name="Text Box 1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55" name="Text Box 1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56" name="Text Box 1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57" name="Text Box 1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58" name="Text Box 1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59" name="Text Box 1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60" name="Text Box 1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61" name="Text Box 1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62" name="Text Box 1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63" name="Text Box 1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64" name="Text Box 1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65" name="Text Box 1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66" name="Text Box 1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67" name="Text Box 1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68" name="Text Box 1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69" name="Text Box 1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70" name="Text Box 1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71" name="Text Box 1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72" name="Text Box 1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73" name="Text Box 1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1474" name="Text Box 1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475" name="Text Box 1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476" name="Text Box 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477" name="Text Box 1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478" name="Text Box 1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479" name="Text Box 1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480" name="Text Box 1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481" name="Text Box 1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483" name="Text Box 1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484" name="Text Box 1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485" name="Text Box 1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486" name="Text Box 1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487" name="Text Box 1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488" name="Text Box 1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489" name="Text Box 1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490" name="Text Box 1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491" name="Text Box 1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492" name="Text Box 1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493" name="Text Box 1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494" name="Text Box 1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495" name="Text Box 1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496" name="Text Box 1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497" name="Text Box 1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498" name="Text Box 1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499" name="Text Box 1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00" name="Text Box 1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01" name="Text Box 1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02" name="Text Box 1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03" name="Text Box 1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04" name="Text Box 1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05" name="Text Box 1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06" name="Text Box 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07" name="Text Box 1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08" name="Text Box 1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09" name="Text Box 1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10" name="Text Box 1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11" name="Text Box 1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12" name="Text Box 1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13" name="Text Box 1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14" name="Text Box 1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15" name="Text Box 1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16" name="Text Box 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17" name="Text Box 1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18" name="Text Box 1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19" name="Text Box 1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20" name="Text Box 1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21" name="Text Box 1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23" name="Text Box 1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24" name="Text Box 1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25" name="Text Box 1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26" name="Text Box 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27" name="Text Box 1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28" name="Text Box 1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29" name="Text Box 1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30" name="Text Box 1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31" name="Text Box 1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32" name="Text Box 1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33" name="Text Box 1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34" name="Text Box 1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35" name="Text Box 1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36" name="Text Box 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37" name="Text Box 1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38" name="Text Box 1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39" name="Text Box 1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40" name="Text Box 1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41" name="Text Box 1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42" name="Text Box 1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43" name="Text Box 1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44" name="Text Box 1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45" name="Text Box 1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46" name="Text Box 1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47" name="Text Box 1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48" name="Text Box 1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49" name="Text Box 1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50" name="Text Box 1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51" name="Text Box 1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52" name="Text Box 1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53" name="Text Box 1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54" name="Text Box 1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55" name="Text Box 1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57" name="Text Box 1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58" name="Text Box 1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59" name="Text Box 1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60" name="Text Box 1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61" name="Text Box 1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63" name="Text Box 1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64" name="Text Box 1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65" name="Text Box 1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67" name="Text Box 1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68" name="Text Box 1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69" name="Text Box 1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70" name="Text Box 1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71" name="Text Box 1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72" name="Text Box 1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73" name="Text Box 1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74" name="Text Box 1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75" name="Text Box 1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76" name="Text Box 1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77" name="Text Box 1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78" name="Text Box 1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79" name="Text Box 1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80" name="Text Box 1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81" name="Text Box 1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82" name="Text Box 1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83" name="Text Box 1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84" name="Text Box 1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85" name="Text Box 1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86" name="Text Box 1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87" name="Text Box 1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88" name="Text Box 1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89" name="Text Box 1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90" name="Text Box 1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91" name="Text Box 1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92" name="Text Box 1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93" name="Text Box 1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94" name="Text Box 1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95" name="Text Box 1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96" name="Text Box 1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97" name="Text Box 1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98" name="Text Box 1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599" name="Text Box 1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00" name="Text Box 1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01" name="Text Box 1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03" name="Text Box 1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04" name="Text Box 1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05" name="Text Box 1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06" name="Text Box 1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07" name="Text Box 1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08" name="Text Box 1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09" name="Text Box 1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10" name="Text Box 1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11" name="Text Box 1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12" name="Text Box 1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13" name="Text Box 1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14" name="Text Box 1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15" name="Text Box 1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16" name="Text Box 1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17" name="Text Box 1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18" name="Text Box 1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19" name="Text Box 1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20" name="Text Box 1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21" name="Text Box 1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22" name="Text Box 1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23" name="Text Box 1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24" name="Text Box 1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25" name="Text Box 1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27" name="Text Box 1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28" name="Text Box 1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29" name="Text Box 1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30" name="Text Box 1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31" name="Text Box 1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32" name="Text Box 1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33" name="Text Box 1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34" name="Text Box 1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35" name="Text Box 1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36" name="Text Box 1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37" name="Text Box 1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38" name="Text Box 1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39" name="Text Box 1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40" name="Text Box 1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41" name="Text Box 1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43" name="Text Box 1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44" name="Text Box 1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45" name="Text Box 1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46" name="Text Box 1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47" name="Text Box 1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48" name="Text Box 1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49" name="Text Box 1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50" name="Text Box 1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51" name="Text Box 1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52" name="Text Box 1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53" name="Text Box 1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54" name="Text Box 1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55" name="Text Box 1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56" name="Text Box 1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57" name="Text Box 1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58" name="Text Box 1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59" name="Text Box 1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61" name="Text Box 1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62" name="Text Box 1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63" name="Text Box 1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64" name="Text Box 1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65" name="Text Box 1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66" name="Text Box 1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67" name="Text Box 1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68" name="Text Box 1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69" name="Text Box 1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70" name="Text Box 1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71" name="Text Box 1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72" name="Text Box 1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73" name="Text Box 1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74" name="Text Box 1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75" name="Text Box 1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76" name="Text Box 1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77" name="Text Box 1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78" name="Text Box 1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79" name="Text Box 1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80" name="Text Box 1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81" name="Text Box 1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83" name="Text Box 1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84" name="Text Box 1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85" name="Text Box 1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86" name="Text Box 1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87" name="Text Box 1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88" name="Text Box 1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89" name="Text Box 1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90" name="Text Box 1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91" name="Text Box 1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92" name="Text Box 1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93" name="Text Box 1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94" name="Text Box 1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95" name="Text Box 1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96" name="Text Box 1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97" name="Text Box 1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98" name="Text Box 1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699" name="Text Box 1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00" name="Text Box 1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01" name="Text Box 1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02" name="Text Box 1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03" name="Text Box 1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05" name="Text Box 1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06" name="Text Box 1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07" name="Text Box 1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08" name="Text Box 1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09" name="Text Box 1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10" name="Text Box 1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11" name="Text Box 1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12" name="Text Box 1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13" name="Text Box 1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14" name="Text Box 1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15" name="Text Box 1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16" name="Text Box 1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17" name="Text Box 1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18" name="Text Box 1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19" name="Text Box 1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20" name="Text Box 1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21" name="Text Box 1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23" name="Text Box 1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24" name="Text Box 1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25" name="Text Box 1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26" name="Text Box 1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27" name="Text Box 1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28" name="Text Box 1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29" name="Text Box 1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30" name="Text Box 1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31" name="Text Box 1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32" name="Text Box 1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33" name="Text Box 1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34" name="Text Box 1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35" name="Text Box 1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36" name="Text Box 1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37" name="Text Box 1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38" name="Text Box 1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39" name="Text Box 1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41" name="Text Box 1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42" name="Text Box 1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43" name="Text Box 1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45" name="Text Box 1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47" name="Text Box 1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48" name="Text Box 1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49" name="Text Box 1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50" name="Text Box 1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51" name="Text Box 1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52" name="Text Box 1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53" name="Text Box 1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54" name="Text Box 1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55" name="Text Box 1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57" name="Text Box 1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59" name="Text Box 1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61" name="Text Box 1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63" name="Text Box 1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64" name="Text Box 1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65" name="Text Box 1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66" name="Text Box 1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67" name="Text Box 1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68" name="Text Box 1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69" name="Text Box 1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70" name="Text Box 1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71" name="Text Box 1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73" name="Text Box 1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74" name="Text Box 1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75" name="Text Box 1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76" name="Text Box 1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77" name="Text Box 1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78" name="Text Box 1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79" name="Text Box 1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80" name="Text Box 1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81" name="Text Box 1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82" name="Text Box 1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83" name="Text Box 1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85" name="Text Box 1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86" name="Text Box 1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87" name="Text Box 1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89" name="Text Box 1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90" name="Text Box 1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91" name="Text Box 1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92" name="Text Box 1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93" name="Text Box 1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94" name="Text Box 1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95" name="Text Box 1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96" name="Text Box 1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97" name="Text Box 1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98" name="Text Box 1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799" name="Text Box 1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00" name="Text Box 1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01" name="Text Box 1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03" name="Text Box 1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04" name="Text Box 1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05" name="Text Box 1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06" name="Text Box 1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07" name="Text Box 1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08" name="Text Box 1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09" name="Text Box 1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10" name="Text Box 1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11" name="Text Box 1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13" name="Text Box 1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14" name="Text Box 1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15" name="Text Box 1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16" name="Text Box 1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17" name="Text Box 1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18" name="Text Box 1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19" name="Text Box 1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20" name="Text Box 1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21" name="Text Box 1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22" name="Text Box 1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23" name="Text Box 1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24" name="Text Box 1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25" name="Text Box 1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26" name="Text Box 1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27" name="Text Box 1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28" name="Text Box 1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29" name="Text Box 1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30" name="Text Box 1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31" name="Text Box 1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32" name="Text Box 1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33" name="Text Box 1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34" name="Text Box 1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35" name="Text Box 1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36" name="Text Box 1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37" name="Text Box 1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38" name="Text Box 1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39" name="Text Box 1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41" name="Text Box 1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43" name="Text Box 1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44" name="Text Box 1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45" name="Text Box 1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46" name="Text Box 1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47" name="Text Box 1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48" name="Text Box 1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49" name="Text Box 1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50" name="Text Box 1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51" name="Text Box 1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52" name="Text Box 1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53" name="Text Box 1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54" name="Text Box 1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55" name="Text Box 1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56" name="Text Box 1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57" name="Text Box 1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179</xdr:row>
      <xdr:rowOff>0</xdr:rowOff>
    </xdr:from>
    <xdr:ext cx="0" cy="28575"/>
    <xdr:sp macro="" textlink="">
      <xdr:nvSpPr>
        <xdr:cNvPr id="1858" name="Text Box 1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859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860" name="Text Box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861" name="Text Box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862" name="Text Box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863" name="Text Box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864" name="Text Box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865" name="Text Box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866" name="Text Box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867" name="Text Box 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868" name="Text Box 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869" name="Text Box 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870" name="Text Box 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871" name="Text Box 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872" name="Text Box 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873" name="Text Box 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874" name="Text Box 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875" name="Text Box 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876" name="Text Box 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877" name="Text Box 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878" name="Text Box 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879" name="Text Box 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880" name="Text Box 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881" name="Text Box 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883" name="Text Box 1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884" name="Text Box 1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885" name="Text Box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886" name="Text Box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887" name="Text Box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888" name="Text Box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889" name="Text Box 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890" name="Text Box 1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891" name="Text Box 1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892" name="Text Box 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893" name="Text Box 1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894" name="Text Box 1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895" name="Text Box 1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896" name="Text Box 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897" name="Text Box 1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898" name="Text Box 1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899" name="Text Box 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900" name="Text Box 1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901" name="Text Box 1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902" name="Text Box 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903" name="Text Box 1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904" name="Text Box 1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905" name="Text Box 1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906" name="Text Box 1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907" name="Text Box 1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908" name="Text Box 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909" name="Text Box 1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910" name="Text Box 1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911" name="Text Box 1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912" name="Text Box 1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913" name="Text Box 1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914" name="Text Box 1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915" name="Text Box 1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916" name="Text Box 1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917" name="Text Box 1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918" name="Text Box 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919" name="Text Box 1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920" name="Text Box 1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921" name="Text Box 1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23" name="Text Box 1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24" name="Text Box 1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25" name="Text Box 1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26" name="Text Box 1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27" name="Text Box 1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28" name="Text Box 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29" name="Text Box 1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30" name="Text Box 1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31" name="Text Box 1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32" name="Text Box 1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33" name="Text Box 1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34" name="Text Box 1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35" name="Text Box 1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36" name="Text Box 1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37" name="Text Box 1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38" name="Text Box 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39" name="Text Box 1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40" name="Text Box 1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41" name="Text Box 1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42" name="Text Box 1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43" name="Text Box 1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44" name="Text Box 1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45" name="Text Box 1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46" name="Text Box 1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47" name="Text Box 1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48" name="Text Box 1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49" name="Text Box 1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50" name="Text Box 1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51" name="Text Box 1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52" name="Text Box 1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53" name="Text Box 1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54" name="Text Box 1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55" name="Text Box 1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56" name="Text Box 1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57" name="Text Box 1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58" name="Text Box 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59" name="Text Box 1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60" name="Text Box 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61" name="Text Box 1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63" name="Text Box 1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64" name="Text Box 1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65" name="Text Box 1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66" name="Text Box 1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67" name="Text Box 1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68" name="Text Box 1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69" name="Text Box 1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70" name="Text Box 1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71" name="Text Box 1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72" name="Text Box 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73" name="Text Box 1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74" name="Text Box 1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75" name="Text Box 1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76" name="Text Box 1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77" name="Text Box 1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78" name="Text Box 1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79" name="Text Box 1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80" name="Text Box 1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81" name="Text Box 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82" name="Text Box 1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83" name="Text Box 1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84" name="Text Box 1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85" name="Text Box 1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151</xdr:row>
      <xdr:rowOff>0</xdr:rowOff>
    </xdr:from>
    <xdr:ext cx="0" cy="28575"/>
    <xdr:sp macro="" textlink="">
      <xdr:nvSpPr>
        <xdr:cNvPr id="1986" name="Text Box 1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1987" name="Text Box 1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1988" name="Text Box 1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1989" name="Text Box 1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1990" name="Text Box 1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1991" name="Text Box 1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1992" name="Text Box 1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1993" name="Text Box 1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1994" name="Text Box 1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1995" name="Text Box 1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1996" name="Text Box 1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1997" name="Text Box 1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1998" name="Text Box 1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1999" name="Text Box 1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2000" name="Text Box 1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2001" name="Text Box 1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2002" name="Text Box 1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2003" name="Text Box 1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2004" name="Text Box 1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2005" name="Text Box 1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2006" name="Text Box 1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2007" name="Text Box 1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2008" name="Text Box 1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2009" name="Text Box 1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2010" name="Text Box 1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2011" name="Text Box 1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2012" name="Text Box 1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2013" name="Text Box 1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2014" name="Text Box 1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2015" name="Text Box 1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2016" name="Text Box 1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2017" name="Text Box 1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2018" name="Text Box 1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2019" name="Text Box 1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2020" name="Text Box 1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2021" name="Text Box 1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2022" name="Text Box 1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2023" name="Text Box 1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2024" name="Text Box 1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2025" name="Text Box 1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2026" name="Text Box 1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2027" name="Text Box 1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2028" name="Text Box 1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2029" name="Text Box 1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2030" name="Text Box 1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2031" name="Text Box 1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2032" name="Text Box 1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2033" name="Text Box 1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2034" name="Text Box 1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2035" name="Text Box 1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2036" name="Text Box 1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2037" name="Text Box 1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2038" name="Text Box 1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2039" name="Text Box 1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2040" name="Text Box 1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2041" name="Text Box 1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2042" name="Text Box 1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2043" name="Text Box 1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2044" name="Text Box 1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2045" name="Text Box 1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2046" name="Text Box 1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2047" name="Text Box 1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2048" name="Text Box 1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161</xdr:row>
      <xdr:rowOff>0</xdr:rowOff>
    </xdr:from>
    <xdr:ext cx="0" cy="28575"/>
    <xdr:sp macro="" textlink="">
      <xdr:nvSpPr>
        <xdr:cNvPr id="2050" name="Text Box 1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083" name="Text Box 1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084" name="Text Box 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085" name="Text Box 1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086" name="Text Box 1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087" name="Text Box 1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088" name="Text Box 1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089" name="Text Box 1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090" name="Text Box 1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091" name="Text Box 1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092" name="Text Box 1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093" name="Text Box 1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094" name="Text Box 1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095" name="Text Box 1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096" name="Text Box 1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097" name="Text Box 1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098" name="Text Box 1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099" name="Text Box 1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00" name="Text Box 1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15" name="Text Box 1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17" name="Text Box 1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18" name="Text Box 1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19" name="Text Box 1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21" name="Text Box 1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23" name="Text Box 1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24" name="Text Box 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25" name="Text Box 1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26" name="Text Box 1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27" name="Text Box 1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28" name="Text Box 1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29" name="Text Box 1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30" name="Text Box 1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31" name="Text Box 1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32" name="Text Box 1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33" name="Text Box 1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35" name="Text Box 1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37" name="Text Box 1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38" name="Text Box 1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39" name="Text Box 1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40" name="Text Box 1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41" name="Text Box 1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42" name="Text Box 1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43" name="Text Box 1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45" name="Text Box 1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46" name="Text Box 1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47" name="Text Box 1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48" name="Text Box 1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49" name="Text Box 1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51" name="Text Box 1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52" name="Text Box 1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53" name="Text Box 1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54" name="Text Box 1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55" name="Text Box 1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56" name="Text Box 1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57" name="Text Box 1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59" name="Text Box 1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61" name="Text Box 1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63" name="Text Box 1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64" name="Text Box 1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65" name="Text Box 1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67" name="Text Box 1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68" name="Text Box 1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69" name="Text Box 1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71" name="Text Box 1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72" name="Text Box 1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73" name="Text Box 1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74" name="Text Box 1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75" name="Text Box 1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76" name="Text Box 1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77" name="Text Box 1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79" name="Text Box 1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81" name="Text Box 1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82" name="Text Box 1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83" name="Text Box 1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85" name="Text Box 1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86" name="Text Box 1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87" name="Text Box 1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89" name="Text Box 1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90" name="Text Box 1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91" name="Text Box 1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93" name="Text Box 1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95" name="Text Box 1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96" name="Text Box 1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97" name="Text Box 1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98" name="Text Box 1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199" name="Text Box 1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200" name="Text Box 1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201" name="Text Box 1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203" name="Text Box 1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204" name="Text Box 1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205" name="Text Box 1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206" name="Text Box 1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207" name="Text Box 1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208" name="Text Box 1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209" name="Text Box 1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174</xdr:row>
      <xdr:rowOff>0</xdr:rowOff>
    </xdr:from>
    <xdr:ext cx="0" cy="28575"/>
    <xdr:sp macro="" textlink="">
      <xdr:nvSpPr>
        <xdr:cNvPr id="2210" name="Text Box 1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11" name="Text Box 1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12" name="Text Box 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13" name="Text Box 1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14" name="Text Box 1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15" name="Text Box 1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17" name="Text Box 1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19" name="Text Box 1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20" name="Text Box 1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21" name="Text Box 1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22" name="Text Box 1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23" name="Text Box 1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24" name="Text Box 1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25" name="Text Box 1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26" name="Text Box 1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27" name="Text Box 1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28" name="Text Box 1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29" name="Text Box 1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30" name="Text Box 1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31" name="Text Box 1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32" name="Text Box 1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33" name="Text Box 1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34" name="Text Box 1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35" name="Text Box 1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36" name="Text Box 1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37" name="Text Box 1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38" name="Text Box 1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39" name="Text Box 1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40" name="Text Box 1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41" name="Text Box 1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43" name="Text Box 1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44" name="Text Box 1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45" name="Text Box 1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46" name="Text Box 1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47" name="Text Box 1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48" name="Text Box 1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49" name="Text Box 1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51" name="Text Box 1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52" name="Text Box 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53" name="Text Box 1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54" name="Text Box 1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55" name="Text Box 1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56" name="Text Box 1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57" name="Text Box 1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59" name="Text Box 1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60" name="Text Box 1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61" name="Text Box 1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63" name="Text Box 1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64" name="Text Box 1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65" name="Text Box 1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66" name="Text Box 1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67" name="Text Box 1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68" name="Text Box 1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69" name="Text Box 1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71" name="Text Box 1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72" name="Text Box 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73" name="Text Box 1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74" name="Text Box 1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75" name="Text Box 1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76" name="Text Box 1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77" name="Text Box 1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78" name="Text Box 1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79" name="Text Box 1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80" name="Text Box 1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81" name="Text Box 1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82" name="Text Box 1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83" name="Text Box 1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84" name="Text Box 1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85" name="Text Box 1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86" name="Text Box 1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87" name="Text Box 1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88" name="Text Box 1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89" name="Text Box 1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90" name="Text Box 1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91" name="Text Box 1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92" name="Text Box 1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93" name="Text Box 1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94" name="Text Box 1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95" name="Text Box 1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96" name="Text Box 1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97" name="Text Box 1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98" name="Text Box 1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299" name="Text Box 1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00" name="Text Box 1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01" name="Text Box 1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02" name="Text Box 1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03" name="Text Box 1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04" name="Text Box 1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05" name="Text Box 1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06" name="Text Box 1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07" name="Text Box 1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08" name="Text Box 1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09" name="Text Box 1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10" name="Text Box 1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11" name="Text Box 1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12" name="Text Box 1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13" name="Text Box 1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14" name="Text Box 1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15" name="Text Box 1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16" name="Text Box 1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17" name="Text Box 1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18" name="Text Box 1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19" name="Text Box 1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20" name="Text Box 1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21" name="Text Box 1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22" name="Text Box 1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23" name="Text Box 1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24" name="Text Box 1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25" name="Text Box 1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26" name="Text Box 1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27" name="Text Box 1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28" name="Text Box 1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29" name="Text Box 1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30" name="Text Box 1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31" name="Text Box 1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32" name="Text Box 1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33" name="Text Box 1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34" name="Text Box 1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35" name="Text Box 1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36" name="Text Box 1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37" name="Text Box 1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38" name="Text Box 1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39" name="Text Box 1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40" name="Text Box 1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41" name="Text Box 1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42" name="Text Box 1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43" name="Text Box 1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44" name="Text Box 1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45" name="Text Box 1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46" name="Text Box 1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47" name="Text Box 1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48" name="Text Box 1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49" name="Text Box 1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50" name="Text Box 1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51" name="Text Box 1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52" name="Text Box 1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53" name="Text Box 1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54" name="Text Box 1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55" name="Text Box 1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56" name="Text Box 1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57" name="Text Box 1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58" name="Text Box 1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59" name="Text Box 1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60" name="Text Box 1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61" name="Text Box 1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62" name="Text Box 1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63" name="Text Box 1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64" name="Text Box 1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65" name="Text Box 1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66" name="Text Box 1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67" name="Text Box 1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68" name="Text Box 1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69" name="Text Box 1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70" name="Text Box 1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71" name="Text Box 1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72" name="Text Box 1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73" name="Text Box 1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74" name="Text Box 1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75" name="Text Box 1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76" name="Text Box 1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77" name="Text Box 1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78" name="Text Box 1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79" name="Text Box 1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80" name="Text Box 1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81" name="Text Box 1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82" name="Text Box 1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83" name="Text Box 1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84" name="Text Box 1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85" name="Text Box 1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86" name="Text Box 1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87" name="Text Box 1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88" name="Text Box 1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89" name="Text Box 1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90" name="Text Box 1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91" name="Text Box 1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92" name="Text Box 1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93" name="Text Box 1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94" name="Text Box 1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95" name="Text Box 1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96" name="Text Box 1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97" name="Text Box 1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98" name="Text Box 1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399" name="Text Box 1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00" name="Text Box 1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01" name="Text Box 1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02" name="Text Box 1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03" name="Text Box 1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04" name="Text Box 1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05" name="Text Box 1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06" name="Text Box 1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07" name="Text Box 1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08" name="Text Box 1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09" name="Text Box 1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10" name="Text Box 1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11" name="Text Box 1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12" name="Text Box 1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13" name="Text Box 1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14" name="Text Box 1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15" name="Text Box 1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16" name="Text Box 1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17" name="Text Box 1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18" name="Text Box 1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19" name="Text Box 1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20" name="Text Box 1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21" name="Text Box 1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22" name="Text Box 1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23" name="Text Box 1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24" name="Text Box 1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25" name="Text Box 1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26" name="Text Box 1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27" name="Text Box 1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28" name="Text Box 1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29" name="Text Box 1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30" name="Text Box 1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31" name="Text Box 1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32" name="Text Box 1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33" name="Text Box 1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34" name="Text Box 1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35" name="Text Box 1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36" name="Text Box 1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37" name="Text Box 1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38" name="Text Box 1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39" name="Text Box 1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40" name="Text Box 1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41" name="Text Box 1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42" name="Text Box 1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43" name="Text Box 1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44" name="Text Box 1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45" name="Text Box 1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46" name="Text Box 1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47" name="Text Box 1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48" name="Text Box 1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49" name="Text Box 1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50" name="Text Box 1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51" name="Text Box 1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52" name="Text Box 1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53" name="Text Box 1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54" name="Text Box 1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55" name="Text Box 1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56" name="Text Box 1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57" name="Text Box 1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58" name="Text Box 1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59" name="Text Box 1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60" name="Text Box 1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61" name="Text Box 1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62" name="Text Box 1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63" name="Text Box 1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64" name="Text Box 1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65" name="Text Box 1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66" name="Text Box 1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67" name="Text Box 1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68" name="Text Box 1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69" name="Text Box 1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70" name="Text Box 1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71" name="Text Box 1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72" name="Text Box 1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73" name="Text Box 1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74" name="Text Box 1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75" name="Text Box 1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76" name="Text Box 1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77" name="Text Box 1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78" name="Text Box 1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79" name="Text Box 1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80" name="Text Box 1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81" name="Text Box 1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82" name="Text Box 1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83" name="Text Box 1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84" name="Text Box 1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85" name="Text Box 1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86" name="Text Box 1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87" name="Text Box 1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88" name="Text Box 1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89" name="Text Box 1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90" name="Text Box 1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91" name="Text Box 1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92" name="Text Box 1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93" name="Text Box 1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94" name="Text Box 1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95" name="Text Box 1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96" name="Text Box 1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97" name="Text Box 1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98" name="Text Box 1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499" name="Text Box 1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00" name="Text Box 1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01" name="Text Box 1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02" name="Text Box 1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03" name="Text Box 1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04" name="Text Box 1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05" name="Text Box 1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06" name="Text Box 1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07" name="Text Box 1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08" name="Text Box 1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09" name="Text Box 1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10" name="Text Box 1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11" name="Text Box 1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12" name="Text Box 1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13" name="Text Box 1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14" name="Text Box 1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15" name="Text Box 1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16" name="Text Box 1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17" name="Text Box 1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18" name="Text Box 1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19" name="Text Box 1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20" name="Text Box 1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21" name="Text Box 1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22" name="Text Box 1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23" name="Text Box 1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24" name="Text Box 1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25" name="Text Box 1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26" name="Text Box 1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27" name="Text Box 1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28" name="Text Box 1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29" name="Text Box 1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30" name="Text Box 1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31" name="Text Box 1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32" name="Text Box 1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33" name="Text Box 1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34" name="Text Box 1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35" name="Text Box 1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36" name="Text Box 1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37" name="Text Box 1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38" name="Text Box 1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39" name="Text Box 1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40" name="Text Box 1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41" name="Text Box 1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42" name="Text Box 1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43" name="Text Box 1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44" name="Text Box 1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45" name="Text Box 1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46" name="Text Box 1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47" name="Text Box 1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48" name="Text Box 1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49" name="Text Box 1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50" name="Text Box 1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51" name="Text Box 1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52" name="Text Box 1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53" name="Text Box 1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54" name="Text Box 1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55" name="Text Box 1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56" name="Text Box 1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57" name="Text Box 1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58" name="Text Box 1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59" name="Text Box 1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60" name="Text Box 1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61" name="Text Box 1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62" name="Text Box 1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63" name="Text Box 1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64" name="Text Box 1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65" name="Text Box 1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66" name="Text Box 1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67" name="Text Box 1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68" name="Text Box 1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69" name="Text Box 1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70" name="Text Box 1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71" name="Text Box 1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72" name="Text Box 1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73" name="Text Box 1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74" name="Text Box 1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75" name="Text Box 1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76" name="Text Box 1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77" name="Text Box 1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78" name="Text Box 1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79" name="Text Box 1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80" name="Text Box 1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81" name="Text Box 1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82" name="Text Box 1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83" name="Text Box 1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84" name="Text Box 1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85" name="Text Box 1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86" name="Text Box 1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87" name="Text Box 1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88" name="Text Box 1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89" name="Text Box 1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90" name="Text Box 1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91" name="Text Box 1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92" name="Text Box 1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93" name="Text Box 1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137</xdr:row>
      <xdr:rowOff>0</xdr:rowOff>
    </xdr:from>
    <xdr:ext cx="0" cy="28575"/>
    <xdr:sp macro="" textlink="">
      <xdr:nvSpPr>
        <xdr:cNvPr id="2594" name="Text Box 1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0"/>
  <sheetViews>
    <sheetView showGridLines="0" tabSelected="1" view="pageBreakPreview" topLeftCell="A58" zoomScale="85" zoomScaleNormal="85" zoomScaleSheetLayoutView="85" workbookViewId="0">
      <selection activeCell="C193" sqref="C193"/>
    </sheetView>
  </sheetViews>
  <sheetFormatPr defaultColWidth="8.85546875" defaultRowHeight="16.5" customHeight="1" x14ac:dyDescent="0.25"/>
  <cols>
    <col min="1" max="1" width="4.42578125" style="7" customWidth="1"/>
    <col min="2" max="2" width="20" style="7" bestFit="1" customWidth="1"/>
    <col min="3" max="3" width="49.7109375" style="7" customWidth="1"/>
    <col min="4" max="4" width="9" style="7" customWidth="1"/>
    <col min="5" max="5" width="12.7109375" style="7" customWidth="1"/>
    <col min="6" max="6" width="14" style="7" customWidth="1"/>
    <col min="7" max="7" width="12.7109375" style="7" customWidth="1"/>
    <col min="8" max="8" width="14.85546875" style="7" customWidth="1"/>
    <col min="9" max="9" width="11.42578125" style="7" customWidth="1"/>
    <col min="10" max="10" width="16.140625" style="7" bestFit="1" customWidth="1"/>
    <col min="11" max="11" width="11.7109375" style="7" customWidth="1"/>
    <col min="12" max="12" width="15.7109375" style="7" customWidth="1"/>
    <col min="13" max="13" width="19.5703125" style="7" customWidth="1"/>
    <col min="14" max="14" width="15.140625" style="7" customWidth="1"/>
    <col min="15" max="15" width="14.85546875" style="7" customWidth="1"/>
    <col min="16" max="21" width="9.140625" style="7" customWidth="1"/>
    <col min="22" max="256" width="8.85546875" style="7" customWidth="1"/>
    <col min="257" max="16384" width="8.85546875" style="8"/>
  </cols>
  <sheetData>
    <row r="1" spans="1:21" ht="16.5" customHeight="1" x14ac:dyDescent="0.25">
      <c r="H1" s="222"/>
      <c r="I1" s="222"/>
      <c r="J1" s="222"/>
      <c r="K1" s="222"/>
      <c r="L1" s="222"/>
      <c r="M1" s="222"/>
    </row>
    <row r="2" spans="1:21" ht="24" customHeight="1" x14ac:dyDescent="0.25">
      <c r="A2" s="9"/>
      <c r="B2" s="229" t="s">
        <v>61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10"/>
      <c r="O2" s="10"/>
      <c r="P2" s="10"/>
      <c r="Q2" s="10"/>
      <c r="R2" s="10"/>
      <c r="S2" s="10"/>
      <c r="T2" s="10"/>
      <c r="U2" s="10"/>
    </row>
    <row r="3" spans="1:21" ht="18" customHeight="1" x14ac:dyDescent="0.25">
      <c r="A3" s="223" t="s">
        <v>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10"/>
      <c r="O3" s="10"/>
      <c r="P3" s="10"/>
      <c r="Q3" s="10"/>
      <c r="R3" s="10"/>
      <c r="S3" s="10"/>
      <c r="T3" s="10"/>
      <c r="U3" s="10"/>
    </row>
    <row r="4" spans="1:21" ht="28.5" customHeight="1" x14ac:dyDescent="0.25">
      <c r="A4" s="223" t="s">
        <v>1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10"/>
      <c r="O4" s="10"/>
      <c r="P4" s="10"/>
      <c r="Q4" s="10"/>
      <c r="R4" s="10"/>
      <c r="S4" s="10"/>
      <c r="T4" s="10"/>
      <c r="U4" s="10"/>
    </row>
    <row r="5" spans="1:21" ht="79.5" customHeight="1" x14ac:dyDescent="0.25">
      <c r="A5" s="230" t="s">
        <v>144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10"/>
      <c r="O5" s="10"/>
      <c r="P5" s="10"/>
      <c r="Q5" s="10"/>
      <c r="R5" s="10"/>
      <c r="S5" s="10"/>
      <c r="T5" s="10"/>
      <c r="U5" s="10"/>
    </row>
    <row r="6" spans="1:21" ht="18" customHeight="1" x14ac:dyDescent="0.35">
      <c r="A6" s="226" t="s">
        <v>2</v>
      </c>
      <c r="B6" s="227"/>
      <c r="C6" s="228"/>
      <c r="D6" s="238">
        <f>M192</f>
        <v>0</v>
      </c>
      <c r="E6" s="238"/>
      <c r="F6" s="11" t="s">
        <v>3</v>
      </c>
      <c r="G6" s="12"/>
      <c r="H6" s="231"/>
      <c r="I6" s="232"/>
      <c r="J6" s="232"/>
      <c r="K6" s="232"/>
      <c r="L6" s="232"/>
      <c r="M6" s="10"/>
      <c r="N6" s="10"/>
      <c r="O6" s="10"/>
      <c r="P6" s="10"/>
      <c r="Q6" s="10"/>
      <c r="R6" s="10"/>
      <c r="S6" s="10"/>
      <c r="T6" s="10"/>
      <c r="U6" s="10"/>
    </row>
    <row r="7" spans="1:21" ht="16.5" customHeight="1" x14ac:dyDescent="0.25">
      <c r="A7" s="13"/>
      <c r="B7" s="14"/>
      <c r="C7" s="15"/>
      <c r="D7" s="16"/>
      <c r="E7" s="16"/>
      <c r="F7" s="17"/>
      <c r="G7" s="18"/>
      <c r="H7" s="15"/>
      <c r="I7" s="19"/>
      <c r="J7" s="16"/>
      <c r="K7" s="16"/>
      <c r="L7" s="16"/>
      <c r="M7" s="20"/>
      <c r="N7" s="10"/>
      <c r="O7" s="10"/>
      <c r="P7" s="10"/>
      <c r="Q7" s="10"/>
      <c r="R7" s="10"/>
      <c r="S7" s="10"/>
      <c r="T7" s="10"/>
      <c r="U7" s="10"/>
    </row>
    <row r="8" spans="1:21" ht="18" customHeight="1" x14ac:dyDescent="0.25">
      <c r="A8" s="224" t="s">
        <v>4</v>
      </c>
      <c r="B8" s="224" t="s">
        <v>5</v>
      </c>
      <c r="C8" s="224" t="s">
        <v>6</v>
      </c>
      <c r="D8" s="233" t="s">
        <v>7</v>
      </c>
      <c r="E8" s="233" t="s">
        <v>8</v>
      </c>
      <c r="F8" s="224" t="s">
        <v>9</v>
      </c>
      <c r="G8" s="224" t="s">
        <v>10</v>
      </c>
      <c r="H8" s="225"/>
      <c r="I8" s="224" t="s">
        <v>11</v>
      </c>
      <c r="J8" s="225"/>
      <c r="K8" s="224" t="s">
        <v>12</v>
      </c>
      <c r="L8" s="225"/>
      <c r="M8" s="172" t="s">
        <v>13</v>
      </c>
      <c r="N8" s="21"/>
      <c r="O8" s="22"/>
      <c r="P8" s="22"/>
      <c r="Q8" s="10"/>
      <c r="R8" s="10"/>
      <c r="S8" s="10"/>
      <c r="T8" s="10"/>
      <c r="U8" s="10"/>
    </row>
    <row r="9" spans="1:21" ht="26.25" customHeight="1" x14ac:dyDescent="0.25">
      <c r="A9" s="225"/>
      <c r="B9" s="225"/>
      <c r="C9" s="225"/>
      <c r="D9" s="225"/>
      <c r="E9" s="225"/>
      <c r="F9" s="225"/>
      <c r="G9" s="172" t="s">
        <v>14</v>
      </c>
      <c r="H9" s="172" t="s">
        <v>15</v>
      </c>
      <c r="I9" s="172" t="s">
        <v>14</v>
      </c>
      <c r="J9" s="172" t="s">
        <v>15</v>
      </c>
      <c r="K9" s="172" t="s">
        <v>14</v>
      </c>
      <c r="L9" s="172" t="s">
        <v>15</v>
      </c>
      <c r="M9" s="172" t="s">
        <v>16</v>
      </c>
      <c r="N9" s="23"/>
      <c r="O9" s="10"/>
      <c r="P9" s="10"/>
      <c r="Q9" s="10"/>
      <c r="R9" s="10"/>
      <c r="S9" s="10"/>
      <c r="T9" s="10"/>
      <c r="U9" s="10"/>
    </row>
    <row r="10" spans="1:21" ht="15.75" x14ac:dyDescent="0.25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24">
        <v>13</v>
      </c>
      <c r="N10" s="23"/>
      <c r="O10" s="10"/>
      <c r="P10" s="10"/>
      <c r="Q10" s="10"/>
      <c r="R10" s="10"/>
      <c r="S10" s="10"/>
      <c r="T10" s="10"/>
      <c r="U10" s="10"/>
    </row>
    <row r="11" spans="1:21" ht="54" customHeight="1" x14ac:dyDescent="0.25">
      <c r="A11" s="25"/>
      <c r="B11" s="26"/>
      <c r="C11" s="27" t="s">
        <v>17</v>
      </c>
      <c r="D11" s="28"/>
      <c r="E11" s="173"/>
      <c r="F11" s="173"/>
      <c r="G11" s="173"/>
      <c r="H11" s="173"/>
      <c r="I11" s="173"/>
      <c r="J11" s="173"/>
      <c r="K11" s="173"/>
      <c r="L11" s="173"/>
      <c r="M11" s="173"/>
      <c r="N11" s="23"/>
      <c r="O11" s="10"/>
      <c r="P11" s="10"/>
      <c r="Q11" s="10"/>
      <c r="R11" s="10"/>
      <c r="S11" s="10"/>
      <c r="T11" s="10"/>
      <c r="U11" s="10"/>
    </row>
    <row r="12" spans="1:21" ht="47.25" x14ac:dyDescent="0.25">
      <c r="A12" s="29">
        <v>1</v>
      </c>
      <c r="B12" s="30" t="s">
        <v>79</v>
      </c>
      <c r="C12" s="31" t="s">
        <v>18</v>
      </c>
      <c r="D12" s="32" t="s">
        <v>19</v>
      </c>
      <c r="E12" s="33"/>
      <c r="F12" s="1">
        <v>0.56499999999999995</v>
      </c>
      <c r="G12" s="34"/>
      <c r="H12" s="34"/>
      <c r="I12" s="34"/>
      <c r="J12" s="34"/>
      <c r="K12" s="34"/>
      <c r="L12" s="34"/>
      <c r="M12" s="34"/>
      <c r="N12" s="23"/>
      <c r="O12" s="10"/>
      <c r="P12" s="10"/>
      <c r="Q12" s="10"/>
      <c r="R12" s="10"/>
      <c r="S12" s="10"/>
      <c r="T12" s="10"/>
      <c r="U12" s="10"/>
    </row>
    <row r="13" spans="1:21" ht="18" customHeight="1" x14ac:dyDescent="0.35">
      <c r="A13" s="35"/>
      <c r="B13" s="36"/>
      <c r="C13" s="37" t="s">
        <v>20</v>
      </c>
      <c r="D13" s="172" t="s">
        <v>21</v>
      </c>
      <c r="E13" s="34">
        <v>93.22</v>
      </c>
      <c r="F13" s="34">
        <f>F12*E13</f>
        <v>52.669299999999993</v>
      </c>
      <c r="G13" s="34"/>
      <c r="H13" s="34"/>
      <c r="I13" s="34"/>
      <c r="J13" s="34"/>
      <c r="K13" s="34"/>
      <c r="L13" s="34"/>
      <c r="M13" s="34"/>
      <c r="N13" s="23"/>
      <c r="O13" s="10"/>
      <c r="P13" s="10"/>
      <c r="Q13" s="10"/>
      <c r="R13" s="10"/>
      <c r="S13" s="10"/>
      <c r="T13" s="10"/>
      <c r="U13" s="10"/>
    </row>
    <row r="14" spans="1:21" ht="18" customHeight="1" x14ac:dyDescent="0.35">
      <c r="A14" s="38"/>
      <c r="B14" s="39"/>
      <c r="C14" s="40" t="s">
        <v>23</v>
      </c>
      <c r="D14" s="41" t="s">
        <v>24</v>
      </c>
      <c r="E14" s="39"/>
      <c r="F14" s="39"/>
      <c r="G14" s="39"/>
      <c r="H14" s="39"/>
      <c r="I14" s="39"/>
      <c r="J14" s="39"/>
      <c r="K14" s="39"/>
      <c r="L14" s="39"/>
      <c r="M14" s="39"/>
      <c r="N14" s="23"/>
      <c r="O14" s="10"/>
      <c r="P14" s="10"/>
      <c r="Q14" s="10"/>
      <c r="R14" s="10"/>
      <c r="S14" s="10"/>
      <c r="T14" s="10"/>
      <c r="U14" s="10"/>
    </row>
    <row r="15" spans="1:21" ht="18" customHeight="1" x14ac:dyDescent="0.25">
      <c r="A15" s="25"/>
      <c r="B15" s="42"/>
      <c r="C15" s="43" t="s">
        <v>25</v>
      </c>
      <c r="D15" s="44"/>
      <c r="E15" s="45"/>
      <c r="F15" s="34"/>
      <c r="G15" s="34"/>
      <c r="H15" s="34"/>
      <c r="I15" s="34"/>
      <c r="J15" s="34"/>
      <c r="K15" s="34"/>
      <c r="L15" s="34"/>
      <c r="M15" s="34"/>
      <c r="N15" s="23"/>
      <c r="O15" s="10"/>
      <c r="P15" s="10"/>
      <c r="Q15" s="10"/>
      <c r="R15" s="10"/>
      <c r="S15" s="10"/>
      <c r="T15" s="10"/>
      <c r="U15" s="10"/>
    </row>
    <row r="16" spans="1:21" ht="54" customHeight="1" x14ac:dyDescent="0.25">
      <c r="A16" s="29">
        <v>1</v>
      </c>
      <c r="B16" s="27" t="s">
        <v>26</v>
      </c>
      <c r="C16" s="46" t="s">
        <v>27</v>
      </c>
      <c r="D16" s="32" t="s">
        <v>66</v>
      </c>
      <c r="E16" s="33"/>
      <c r="F16" s="2">
        <v>630.52</v>
      </c>
      <c r="G16" s="34"/>
      <c r="H16" s="34"/>
      <c r="I16" s="34"/>
      <c r="J16" s="34"/>
      <c r="K16" s="34"/>
      <c r="L16" s="34"/>
      <c r="M16" s="34"/>
      <c r="N16" s="23"/>
      <c r="O16" s="10"/>
      <c r="P16" s="10"/>
      <c r="Q16" s="10"/>
      <c r="R16" s="10"/>
      <c r="S16" s="10"/>
      <c r="T16" s="10"/>
      <c r="U16" s="10"/>
    </row>
    <row r="17" spans="1:21" ht="18" customHeight="1" x14ac:dyDescent="0.25">
      <c r="A17" s="47"/>
      <c r="B17" s="6"/>
      <c r="C17" s="48" t="s">
        <v>46</v>
      </c>
      <c r="D17" s="172" t="s">
        <v>28</v>
      </c>
      <c r="E17" s="49">
        <f>(19.1+14.4*2)/1000</f>
        <v>4.7900000000000005E-2</v>
      </c>
      <c r="F17" s="34">
        <f>F16*E17</f>
        <v>30.201908000000003</v>
      </c>
      <c r="G17" s="34"/>
      <c r="H17" s="34"/>
      <c r="I17" s="34"/>
      <c r="J17" s="34"/>
      <c r="K17" s="34"/>
      <c r="L17" s="34"/>
      <c r="M17" s="34"/>
      <c r="N17" s="23"/>
      <c r="O17" s="10"/>
      <c r="P17" s="10"/>
      <c r="Q17" s="10"/>
      <c r="R17" s="10"/>
      <c r="S17" s="10"/>
      <c r="T17" s="10"/>
      <c r="U17" s="10"/>
    </row>
    <row r="18" spans="1:21" ht="36" customHeight="1" x14ac:dyDescent="0.25">
      <c r="A18" s="29">
        <v>2</v>
      </c>
      <c r="B18" s="43" t="s">
        <v>65</v>
      </c>
      <c r="C18" s="46" t="s">
        <v>29</v>
      </c>
      <c r="D18" s="32" t="s">
        <v>66</v>
      </c>
      <c r="E18" s="50"/>
      <c r="F18" s="2">
        <f>F16</f>
        <v>630.52</v>
      </c>
      <c r="G18" s="34"/>
      <c r="H18" s="34"/>
      <c r="I18" s="34"/>
      <c r="J18" s="34"/>
      <c r="K18" s="34"/>
      <c r="L18" s="34"/>
      <c r="M18" s="34"/>
      <c r="N18" s="23"/>
      <c r="O18" s="10"/>
      <c r="P18" s="10"/>
      <c r="Q18" s="10"/>
      <c r="R18" s="10"/>
      <c r="S18" s="10"/>
      <c r="T18" s="10"/>
      <c r="U18" s="10"/>
    </row>
    <row r="19" spans="1:21" ht="18" customHeight="1" x14ac:dyDescent="0.25">
      <c r="A19" s="25"/>
      <c r="B19" s="36"/>
      <c r="C19" s="48" t="s">
        <v>20</v>
      </c>
      <c r="D19" s="172" t="s">
        <v>21</v>
      </c>
      <c r="E19" s="51">
        <f>20/1000</f>
        <v>0.02</v>
      </c>
      <c r="F19" s="34">
        <f>F18*E19</f>
        <v>12.6104</v>
      </c>
      <c r="G19" s="34"/>
      <c r="H19" s="34"/>
      <c r="I19" s="34"/>
      <c r="J19" s="34"/>
      <c r="K19" s="34"/>
      <c r="L19" s="34"/>
      <c r="M19" s="34"/>
      <c r="N19" s="23"/>
      <c r="O19" s="10"/>
      <c r="P19" s="10"/>
      <c r="Q19" s="10"/>
      <c r="R19" s="10"/>
      <c r="S19" s="10"/>
      <c r="T19" s="10"/>
      <c r="U19" s="10"/>
    </row>
    <row r="20" spans="1:21" ht="36" customHeight="1" x14ac:dyDescent="0.25">
      <c r="A20" s="25"/>
      <c r="B20" s="6" t="s">
        <v>77</v>
      </c>
      <c r="C20" s="52" t="s">
        <v>30</v>
      </c>
      <c r="D20" s="172" t="s">
        <v>28</v>
      </c>
      <c r="E20" s="51">
        <f>44.8/1000</f>
        <v>4.48E-2</v>
      </c>
      <c r="F20" s="34">
        <f>F18*E20</f>
        <v>28.247295999999999</v>
      </c>
      <c r="G20" s="34"/>
      <c r="H20" s="34"/>
      <c r="I20" s="34"/>
      <c r="J20" s="34"/>
      <c r="K20" s="34"/>
      <c r="L20" s="34"/>
      <c r="M20" s="34"/>
      <c r="N20" s="23"/>
      <c r="O20" s="10"/>
      <c r="P20" s="10"/>
      <c r="Q20" s="10"/>
      <c r="R20" s="10"/>
      <c r="S20" s="10"/>
      <c r="T20" s="10"/>
      <c r="U20" s="10"/>
    </row>
    <row r="21" spans="1:21" ht="18" customHeight="1" x14ac:dyDescent="0.25">
      <c r="A21" s="25"/>
      <c r="B21" s="36"/>
      <c r="C21" s="48" t="s">
        <v>31</v>
      </c>
      <c r="D21" s="53" t="s">
        <v>24</v>
      </c>
      <c r="E21" s="49">
        <f>2.1/1000</f>
        <v>2.1000000000000003E-3</v>
      </c>
      <c r="F21" s="34">
        <f>F18*E21</f>
        <v>1.324092</v>
      </c>
      <c r="G21" s="34"/>
      <c r="H21" s="34"/>
      <c r="I21" s="34"/>
      <c r="J21" s="34"/>
      <c r="K21" s="34"/>
      <c r="L21" s="34"/>
      <c r="M21" s="34"/>
      <c r="N21" s="23"/>
      <c r="O21" s="10"/>
      <c r="P21" s="10"/>
      <c r="Q21" s="10"/>
      <c r="R21" s="10"/>
      <c r="S21" s="10"/>
      <c r="T21" s="10"/>
      <c r="U21" s="10"/>
    </row>
    <row r="22" spans="1:21" ht="18" customHeight="1" x14ac:dyDescent="0.25">
      <c r="A22" s="25"/>
      <c r="B22" s="36"/>
      <c r="C22" s="54" t="s">
        <v>75</v>
      </c>
      <c r="D22" s="55" t="s">
        <v>57</v>
      </c>
      <c r="E22" s="56">
        <f>0.05/1000</f>
        <v>5.0000000000000002E-5</v>
      </c>
      <c r="F22" s="34">
        <f>F18*E22</f>
        <v>3.1525999999999998E-2</v>
      </c>
      <c r="G22" s="34"/>
      <c r="H22" s="34"/>
      <c r="I22" s="34"/>
      <c r="J22" s="34"/>
      <c r="K22" s="34"/>
      <c r="L22" s="34"/>
      <c r="M22" s="34"/>
      <c r="N22" s="23"/>
      <c r="O22" s="10"/>
      <c r="P22" s="10"/>
      <c r="Q22" s="10"/>
      <c r="R22" s="10"/>
      <c r="S22" s="10"/>
      <c r="T22" s="10"/>
      <c r="U22" s="10"/>
    </row>
    <row r="23" spans="1:21" ht="30" customHeight="1" x14ac:dyDescent="0.25">
      <c r="A23" s="57">
        <v>3</v>
      </c>
      <c r="B23" s="58"/>
      <c r="C23" s="59" t="s">
        <v>32</v>
      </c>
      <c r="D23" s="60" t="s">
        <v>37</v>
      </c>
      <c r="E23" s="61"/>
      <c r="F23" s="2">
        <f>F18*1.8</f>
        <v>1134.9359999999999</v>
      </c>
      <c r="G23" s="34"/>
      <c r="H23" s="34"/>
      <c r="I23" s="34"/>
      <c r="J23" s="34"/>
      <c r="K23" s="34"/>
      <c r="L23" s="34"/>
      <c r="M23" s="34"/>
      <c r="N23" s="23"/>
      <c r="O23" s="10"/>
      <c r="P23" s="10"/>
      <c r="Q23" s="10"/>
      <c r="R23" s="10"/>
      <c r="S23" s="10"/>
      <c r="T23" s="10"/>
      <c r="U23" s="10"/>
    </row>
    <row r="24" spans="1:21" s="162" customFormat="1" ht="19.5" x14ac:dyDescent="0.3">
      <c r="A24" s="66">
        <v>4</v>
      </c>
      <c r="B24" s="169" t="s">
        <v>87</v>
      </c>
      <c r="C24" s="170" t="s">
        <v>88</v>
      </c>
      <c r="D24" s="55" t="s">
        <v>57</v>
      </c>
      <c r="E24" s="160"/>
      <c r="F24" s="3">
        <f>F18</f>
        <v>630.52</v>
      </c>
      <c r="G24" s="161"/>
      <c r="H24" s="161"/>
      <c r="I24" s="161"/>
      <c r="J24" s="161"/>
      <c r="K24" s="161"/>
      <c r="L24" s="161"/>
      <c r="M24" s="161"/>
    </row>
    <row r="25" spans="1:21" s="162" customFormat="1" ht="18" x14ac:dyDescent="0.3">
      <c r="A25" s="66"/>
      <c r="B25" s="159"/>
      <c r="C25" s="163" t="s">
        <v>20</v>
      </c>
      <c r="D25" s="164" t="s">
        <v>21</v>
      </c>
      <c r="E25" s="165">
        <v>3.2299999999999998E-3</v>
      </c>
      <c r="F25" s="166">
        <f>F24*E25</f>
        <v>2.0365795999999996</v>
      </c>
      <c r="G25" s="161"/>
      <c r="H25" s="161"/>
      <c r="I25" s="161"/>
      <c r="J25" s="161"/>
      <c r="K25" s="161"/>
      <c r="L25" s="161"/>
      <c r="M25" s="161"/>
    </row>
    <row r="26" spans="1:21" s="162" customFormat="1" ht="18" x14ac:dyDescent="0.3">
      <c r="A26" s="66"/>
      <c r="B26" s="6" t="s">
        <v>89</v>
      </c>
      <c r="C26" s="163" t="s">
        <v>90</v>
      </c>
      <c r="D26" s="164" t="s">
        <v>91</v>
      </c>
      <c r="E26" s="165">
        <v>3.62E-3</v>
      </c>
      <c r="F26" s="166">
        <f>ROUND(F24*E26,2)</f>
        <v>2.2799999999999998</v>
      </c>
      <c r="G26" s="161"/>
      <c r="H26" s="161"/>
      <c r="I26" s="161"/>
      <c r="J26" s="161"/>
      <c r="K26" s="161"/>
      <c r="L26" s="161"/>
      <c r="M26" s="161"/>
    </row>
    <row r="27" spans="1:21" s="162" customFormat="1" ht="18" x14ac:dyDescent="0.3">
      <c r="A27" s="66"/>
      <c r="B27" s="159"/>
      <c r="C27" s="163" t="s">
        <v>31</v>
      </c>
      <c r="D27" s="164" t="s">
        <v>24</v>
      </c>
      <c r="E27" s="165">
        <v>1.8000000000000001E-4</v>
      </c>
      <c r="F27" s="166">
        <f>ROUND(F24*E27,2)</f>
        <v>0.11</v>
      </c>
      <c r="G27" s="161"/>
      <c r="H27" s="161"/>
      <c r="I27" s="161"/>
      <c r="J27" s="161"/>
      <c r="K27" s="161"/>
      <c r="L27" s="161"/>
      <c r="M27" s="161"/>
    </row>
    <row r="28" spans="1:21" s="162" customFormat="1" ht="18" x14ac:dyDescent="0.35">
      <c r="A28" s="66"/>
      <c r="B28" s="167"/>
      <c r="C28" s="168" t="s">
        <v>92</v>
      </c>
      <c r="D28" s="164" t="s">
        <v>93</v>
      </c>
      <c r="E28" s="165">
        <v>4.0000000000000003E-5</v>
      </c>
      <c r="F28" s="166">
        <f>ROUND(F24*E28,2)</f>
        <v>0.03</v>
      </c>
      <c r="G28" s="161"/>
      <c r="H28" s="161"/>
      <c r="I28" s="161"/>
      <c r="J28" s="161"/>
      <c r="K28" s="161"/>
      <c r="L28" s="161"/>
      <c r="M28" s="161"/>
    </row>
    <row r="29" spans="1:21" ht="20.25" customHeight="1" x14ac:dyDescent="0.25">
      <c r="A29" s="29">
        <v>5</v>
      </c>
      <c r="B29" s="43" t="s">
        <v>33</v>
      </c>
      <c r="C29" s="62" t="s">
        <v>34</v>
      </c>
      <c r="D29" s="60" t="s">
        <v>67</v>
      </c>
      <c r="E29" s="61"/>
      <c r="F29" s="2">
        <f>565*4.4</f>
        <v>2486</v>
      </c>
      <c r="G29" s="34"/>
      <c r="H29" s="34"/>
      <c r="I29" s="34"/>
      <c r="J29" s="34"/>
      <c r="K29" s="34"/>
      <c r="L29" s="34"/>
      <c r="M29" s="34"/>
      <c r="N29" s="23"/>
      <c r="O29" s="10"/>
      <c r="P29" s="10"/>
      <c r="Q29" s="10"/>
      <c r="R29" s="10"/>
      <c r="S29" s="10"/>
      <c r="T29" s="10"/>
      <c r="U29" s="10"/>
    </row>
    <row r="30" spans="1:21" ht="18" customHeight="1" x14ac:dyDescent="0.25">
      <c r="A30" s="47"/>
      <c r="B30" s="63"/>
      <c r="C30" s="48" t="s">
        <v>35</v>
      </c>
      <c r="D30" s="64" t="s">
        <v>28</v>
      </c>
      <c r="E30" s="65">
        <f>0.4/1000</f>
        <v>4.0000000000000002E-4</v>
      </c>
      <c r="F30" s="34">
        <f>F29*E30</f>
        <v>0.99440000000000006</v>
      </c>
      <c r="G30" s="34"/>
      <c r="H30" s="34"/>
      <c r="I30" s="34"/>
      <c r="J30" s="34"/>
      <c r="K30" s="34"/>
      <c r="L30" s="34"/>
      <c r="M30" s="34"/>
      <c r="N30" s="23"/>
      <c r="O30" s="10"/>
      <c r="P30" s="10"/>
      <c r="Q30" s="10"/>
      <c r="R30" s="10"/>
      <c r="S30" s="10"/>
      <c r="T30" s="10"/>
      <c r="U30" s="10"/>
    </row>
    <row r="31" spans="1:21" ht="18" customHeight="1" x14ac:dyDescent="0.25">
      <c r="A31" s="47"/>
      <c r="B31" s="42"/>
      <c r="C31" s="48" t="s">
        <v>59</v>
      </c>
      <c r="D31" s="172" t="s">
        <v>28</v>
      </c>
      <c r="E31" s="65">
        <f>0.4/1000</f>
        <v>4.0000000000000002E-4</v>
      </c>
      <c r="F31" s="34">
        <f>F29*E31</f>
        <v>0.99440000000000006</v>
      </c>
      <c r="G31" s="34"/>
      <c r="H31" s="34"/>
      <c r="I31" s="34"/>
      <c r="J31" s="34"/>
      <c r="K31" s="34"/>
      <c r="L31" s="34"/>
      <c r="M31" s="34"/>
      <c r="N31" s="23"/>
      <c r="O31" s="10"/>
      <c r="P31" s="10"/>
      <c r="Q31" s="10"/>
      <c r="R31" s="10"/>
      <c r="S31" s="10"/>
      <c r="T31" s="10"/>
      <c r="U31" s="10"/>
    </row>
    <row r="32" spans="1:21" ht="18" customHeight="1" x14ac:dyDescent="0.25">
      <c r="A32" s="25"/>
      <c r="C32" s="80" t="s">
        <v>22</v>
      </c>
      <c r="D32" s="36"/>
      <c r="E32" s="51"/>
      <c r="F32" s="34"/>
      <c r="G32" s="34"/>
      <c r="H32" s="5"/>
      <c r="I32" s="5"/>
      <c r="J32" s="5"/>
      <c r="K32" s="5"/>
      <c r="L32" s="5"/>
      <c r="M32" s="5"/>
      <c r="N32" s="23"/>
      <c r="O32" s="10"/>
      <c r="P32" s="10"/>
      <c r="Q32" s="10"/>
      <c r="R32" s="10"/>
      <c r="S32" s="10"/>
      <c r="T32" s="10"/>
      <c r="U32" s="10"/>
    </row>
    <row r="33" spans="1:256" ht="18" customHeight="1" x14ac:dyDescent="0.25">
      <c r="A33" s="57"/>
      <c r="B33" s="57"/>
      <c r="C33" s="80" t="s">
        <v>38</v>
      </c>
      <c r="D33" s="43" t="s">
        <v>24</v>
      </c>
      <c r="E33" s="57"/>
      <c r="F33" s="34"/>
      <c r="G33" s="5"/>
      <c r="H33" s="5"/>
      <c r="I33" s="5"/>
      <c r="J33" s="5"/>
      <c r="K33" s="5"/>
      <c r="L33" s="5"/>
      <c r="M33" s="5"/>
      <c r="N33" s="23"/>
      <c r="O33" s="10"/>
      <c r="P33" s="10"/>
      <c r="Q33" s="10"/>
      <c r="R33" s="10"/>
      <c r="S33" s="10"/>
      <c r="T33" s="10"/>
      <c r="U33" s="10"/>
    </row>
    <row r="34" spans="1:256" ht="18" customHeight="1" x14ac:dyDescent="0.25">
      <c r="A34" s="57"/>
      <c r="B34" s="174"/>
      <c r="C34" s="27" t="s">
        <v>140</v>
      </c>
      <c r="D34" s="221"/>
      <c r="E34" s="55"/>
      <c r="F34" s="209"/>
      <c r="G34" s="5"/>
      <c r="H34" s="5"/>
      <c r="I34" s="5"/>
      <c r="J34" s="5"/>
      <c r="K34" s="5"/>
      <c r="L34" s="5"/>
      <c r="M34" s="5"/>
      <c r="N34" s="23"/>
      <c r="O34" s="10"/>
      <c r="P34" s="10"/>
      <c r="Q34" s="10"/>
      <c r="R34" s="10"/>
      <c r="S34" s="10"/>
      <c r="T34" s="10"/>
      <c r="U34" s="10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1:256" ht="33" x14ac:dyDescent="0.25">
      <c r="A35" s="175"/>
      <c r="B35" s="175"/>
      <c r="C35" s="176" t="s">
        <v>95</v>
      </c>
      <c r="D35" s="177"/>
      <c r="E35" s="178"/>
      <c r="F35" s="179"/>
      <c r="G35" s="180"/>
      <c r="H35" s="180"/>
      <c r="I35" s="180"/>
      <c r="J35" s="180"/>
      <c r="K35" s="180"/>
      <c r="L35" s="180"/>
      <c r="M35" s="181"/>
      <c r="N35" s="69"/>
      <c r="O35" s="10"/>
      <c r="P35" s="10"/>
      <c r="Q35" s="10"/>
      <c r="R35" s="10"/>
      <c r="S35" s="10"/>
      <c r="T35" s="10"/>
      <c r="U35" s="10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1:256" ht="90" x14ac:dyDescent="0.35">
      <c r="A36" s="182">
        <v>1</v>
      </c>
      <c r="B36" s="183" t="s">
        <v>96</v>
      </c>
      <c r="C36" s="184" t="s">
        <v>97</v>
      </c>
      <c r="D36" s="191" t="s">
        <v>102</v>
      </c>
      <c r="E36" s="186"/>
      <c r="F36" s="187">
        <f>0.9*0.7*F60</f>
        <v>5.04</v>
      </c>
      <c r="G36" s="186"/>
      <c r="H36" s="186"/>
      <c r="I36" s="186"/>
      <c r="J36" s="186"/>
      <c r="K36" s="186"/>
      <c r="L36" s="186"/>
      <c r="M36" s="186"/>
      <c r="N36" s="69"/>
      <c r="O36" s="10"/>
      <c r="P36" s="10"/>
      <c r="Q36" s="10"/>
      <c r="R36" s="10"/>
      <c r="S36" s="10"/>
      <c r="T36" s="10"/>
      <c r="U36" s="10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</row>
    <row r="37" spans="1:256" ht="18" x14ac:dyDescent="0.25">
      <c r="A37" s="188"/>
      <c r="B37" s="189"/>
      <c r="C37" s="190" t="s">
        <v>20</v>
      </c>
      <c r="D37" s="191" t="s">
        <v>21</v>
      </c>
      <c r="E37" s="192">
        <f t="shared" ref="E37:E43" si="0">34/1000</f>
        <v>3.4000000000000002E-2</v>
      </c>
      <c r="F37" s="186">
        <f>F36*E37</f>
        <v>0.17136000000000001</v>
      </c>
      <c r="G37" s="186"/>
      <c r="H37" s="186"/>
      <c r="I37" s="186"/>
      <c r="J37" s="186"/>
      <c r="K37" s="186"/>
      <c r="L37" s="186"/>
      <c r="M37" s="186"/>
      <c r="N37" s="69"/>
      <c r="O37" s="10"/>
      <c r="P37" s="10"/>
      <c r="Q37" s="10"/>
      <c r="R37" s="10"/>
      <c r="S37" s="10"/>
      <c r="T37" s="10"/>
      <c r="U37" s="10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</row>
    <row r="38" spans="1:256" ht="37.5" x14ac:dyDescent="0.25">
      <c r="A38" s="188"/>
      <c r="B38" s="6" t="s">
        <v>98</v>
      </c>
      <c r="C38" s="193" t="s">
        <v>99</v>
      </c>
      <c r="D38" s="191" t="s">
        <v>28</v>
      </c>
      <c r="E38" s="192">
        <f>80.3/1000</f>
        <v>8.0299999999999996E-2</v>
      </c>
      <c r="F38" s="186">
        <f>F36*E38</f>
        <v>0.40471199999999996</v>
      </c>
      <c r="G38" s="186"/>
      <c r="H38" s="186"/>
      <c r="I38" s="186"/>
      <c r="J38" s="186"/>
      <c r="K38" s="186"/>
      <c r="L38" s="186"/>
      <c r="M38" s="186"/>
      <c r="N38" s="69"/>
      <c r="O38" s="10"/>
      <c r="P38" s="10"/>
      <c r="Q38" s="10"/>
      <c r="R38" s="10"/>
      <c r="S38" s="10"/>
      <c r="T38" s="10"/>
      <c r="U38" s="10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</row>
    <row r="39" spans="1:256" ht="18" x14ac:dyDescent="0.35">
      <c r="A39" s="188"/>
      <c r="B39" s="189"/>
      <c r="C39" s="194" t="s">
        <v>31</v>
      </c>
      <c r="D39" s="191" t="s">
        <v>24</v>
      </c>
      <c r="E39" s="192">
        <f t="shared" ref="E39:E45" si="1">5.63/1000</f>
        <v>5.6299999999999996E-3</v>
      </c>
      <c r="F39" s="186">
        <f>F36*E39</f>
        <v>2.83752E-2</v>
      </c>
      <c r="G39" s="186"/>
      <c r="H39" s="186"/>
      <c r="I39" s="186"/>
      <c r="J39" s="186"/>
      <c r="K39" s="186"/>
      <c r="L39" s="186"/>
      <c r="M39" s="186"/>
      <c r="N39" s="69"/>
      <c r="O39" s="10"/>
      <c r="P39" s="10"/>
      <c r="Q39" s="10"/>
      <c r="R39" s="10"/>
      <c r="S39" s="10"/>
      <c r="T39" s="10"/>
      <c r="U39" s="10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</row>
    <row r="40" spans="1:256" ht="54" x14ac:dyDescent="0.25">
      <c r="A40" s="182">
        <v>2</v>
      </c>
      <c r="B40" s="183" t="s">
        <v>100</v>
      </c>
      <c r="C40" s="195" t="s">
        <v>101</v>
      </c>
      <c r="D40" s="191" t="s">
        <v>102</v>
      </c>
      <c r="E40" s="192"/>
      <c r="F40" s="187">
        <f>F36*10/100</f>
        <v>0.504</v>
      </c>
      <c r="G40" s="186"/>
      <c r="H40" s="186"/>
      <c r="I40" s="186"/>
      <c r="J40" s="186"/>
      <c r="K40" s="186"/>
      <c r="L40" s="186"/>
      <c r="M40" s="186"/>
      <c r="N40" s="69"/>
      <c r="O40" s="10"/>
      <c r="P40" s="10"/>
      <c r="Q40" s="10"/>
      <c r="R40" s="10"/>
      <c r="S40" s="10"/>
      <c r="T40" s="10"/>
      <c r="U40" s="10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</row>
    <row r="41" spans="1:256" ht="18" x14ac:dyDescent="0.35">
      <c r="A41" s="188"/>
      <c r="B41" s="196"/>
      <c r="C41" s="197" t="s">
        <v>20</v>
      </c>
      <c r="D41" s="198" t="s">
        <v>21</v>
      </c>
      <c r="E41" s="192">
        <f t="shared" ref="E41" si="2">206/100</f>
        <v>2.06</v>
      </c>
      <c r="F41" s="186">
        <f>F40*E41</f>
        <v>1.0382400000000001</v>
      </c>
      <c r="G41" s="186"/>
      <c r="H41" s="186"/>
      <c r="I41" s="186"/>
      <c r="J41" s="186"/>
      <c r="K41" s="186"/>
      <c r="L41" s="186"/>
      <c r="M41" s="186"/>
      <c r="N41" s="69"/>
      <c r="O41" s="10"/>
      <c r="P41" s="10"/>
      <c r="Q41" s="10"/>
      <c r="R41" s="10"/>
      <c r="S41" s="10"/>
      <c r="T41" s="10"/>
      <c r="U41" s="10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</row>
    <row r="42" spans="1:256" ht="36" x14ac:dyDescent="0.25">
      <c r="A42" s="199">
        <v>3</v>
      </c>
      <c r="B42" s="183" t="s">
        <v>96</v>
      </c>
      <c r="C42" s="195" t="s">
        <v>103</v>
      </c>
      <c r="D42" s="171" t="s">
        <v>57</v>
      </c>
      <c r="E42" s="192"/>
      <c r="F42" s="187">
        <f>F40</f>
        <v>0.504</v>
      </c>
      <c r="G42" s="186"/>
      <c r="H42" s="186"/>
      <c r="I42" s="186"/>
      <c r="J42" s="186"/>
      <c r="K42" s="186"/>
      <c r="L42" s="186"/>
      <c r="M42" s="186"/>
      <c r="N42" s="69"/>
      <c r="O42" s="10"/>
      <c r="P42" s="10"/>
      <c r="Q42" s="10"/>
      <c r="R42" s="10"/>
      <c r="S42" s="10"/>
      <c r="T42" s="10"/>
      <c r="U42" s="10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</row>
    <row r="43" spans="1:256" ht="18" x14ac:dyDescent="0.25">
      <c r="A43" s="188"/>
      <c r="B43" s="189"/>
      <c r="C43" s="190" t="s">
        <v>20</v>
      </c>
      <c r="D43" s="191" t="s">
        <v>21</v>
      </c>
      <c r="E43" s="192">
        <f t="shared" si="0"/>
        <v>3.4000000000000002E-2</v>
      </c>
      <c r="F43" s="186">
        <f>F42*E43</f>
        <v>1.7136000000000002E-2</v>
      </c>
      <c r="G43" s="186"/>
      <c r="H43" s="186"/>
      <c r="I43" s="186"/>
      <c r="J43" s="186"/>
      <c r="K43" s="186"/>
      <c r="L43" s="186"/>
      <c r="M43" s="186"/>
      <c r="N43" s="69"/>
      <c r="O43" s="10"/>
      <c r="P43" s="10"/>
      <c r="Q43" s="10"/>
      <c r="R43" s="10"/>
      <c r="S43" s="10"/>
      <c r="T43" s="10"/>
      <c r="U43" s="10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</row>
    <row r="44" spans="1:256" ht="37.5" x14ac:dyDescent="0.25">
      <c r="A44" s="188"/>
      <c r="B44" s="6" t="s">
        <v>98</v>
      </c>
      <c r="C44" s="193" t="s">
        <v>99</v>
      </c>
      <c r="D44" s="191" t="s">
        <v>28</v>
      </c>
      <c r="E44" s="192">
        <f>80.3/1000</f>
        <v>8.0299999999999996E-2</v>
      </c>
      <c r="F44" s="186">
        <f>F42*E44</f>
        <v>4.0471199999999999E-2</v>
      </c>
      <c r="G44" s="186"/>
      <c r="H44" s="186"/>
      <c r="I44" s="186"/>
      <c r="J44" s="186"/>
      <c r="K44" s="186"/>
      <c r="L44" s="186"/>
      <c r="M44" s="186"/>
      <c r="N44" s="69"/>
      <c r="O44" s="10"/>
      <c r="P44" s="10"/>
      <c r="Q44" s="10"/>
      <c r="R44" s="10"/>
      <c r="S44" s="10"/>
      <c r="T44" s="10"/>
      <c r="U44" s="10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</row>
    <row r="45" spans="1:256" ht="18" x14ac:dyDescent="0.35">
      <c r="A45" s="188"/>
      <c r="B45" s="189"/>
      <c r="C45" s="190" t="s">
        <v>31</v>
      </c>
      <c r="D45" s="198" t="s">
        <v>24</v>
      </c>
      <c r="E45" s="192">
        <f t="shared" si="1"/>
        <v>5.6299999999999996E-3</v>
      </c>
      <c r="F45" s="186">
        <f>F42*E45</f>
        <v>2.8375199999999996E-3</v>
      </c>
      <c r="G45" s="186"/>
      <c r="H45" s="186"/>
      <c r="I45" s="186"/>
      <c r="J45" s="186"/>
      <c r="K45" s="186"/>
      <c r="L45" s="186"/>
      <c r="M45" s="186"/>
      <c r="N45" s="69"/>
      <c r="O45" s="10"/>
      <c r="P45" s="10"/>
      <c r="Q45" s="10"/>
      <c r="R45" s="10"/>
      <c r="S45" s="10"/>
      <c r="T45" s="10"/>
      <c r="U45" s="10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</row>
    <row r="46" spans="1:256" ht="36" x14ac:dyDescent="0.25">
      <c r="A46" s="188"/>
      <c r="B46" s="76" t="s">
        <v>104</v>
      </c>
      <c r="C46" s="195" t="s">
        <v>105</v>
      </c>
      <c r="D46" s="185" t="s">
        <v>37</v>
      </c>
      <c r="E46" s="192"/>
      <c r="F46" s="187">
        <f>(F36+F42)*1.8</f>
        <v>9.9792000000000005</v>
      </c>
      <c r="G46" s="186"/>
      <c r="H46" s="186"/>
      <c r="I46" s="186"/>
      <c r="J46" s="186"/>
      <c r="K46" s="186"/>
      <c r="L46" s="186"/>
      <c r="M46" s="186"/>
      <c r="N46" s="69"/>
      <c r="O46" s="10"/>
      <c r="P46" s="10"/>
      <c r="Q46" s="10"/>
      <c r="R46" s="10"/>
      <c r="S46" s="10"/>
      <c r="T46" s="10"/>
      <c r="U46" s="10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</row>
    <row r="47" spans="1:256" ht="82.5" x14ac:dyDescent="0.25">
      <c r="A47" s="182">
        <v>4</v>
      </c>
      <c r="B47" s="183" t="s">
        <v>106</v>
      </c>
      <c r="C47" s="200" t="s">
        <v>107</v>
      </c>
      <c r="D47" s="171" t="s">
        <v>57</v>
      </c>
      <c r="E47" s="192"/>
      <c r="F47" s="187">
        <f>0.6*0.1*F60</f>
        <v>0.48</v>
      </c>
      <c r="G47" s="186"/>
      <c r="H47" s="186"/>
      <c r="I47" s="186"/>
      <c r="J47" s="186"/>
      <c r="K47" s="186"/>
      <c r="L47" s="186"/>
      <c r="M47" s="186"/>
      <c r="N47" s="69"/>
      <c r="O47" s="10"/>
      <c r="P47" s="10"/>
      <c r="Q47" s="10"/>
      <c r="R47" s="10"/>
      <c r="S47" s="10"/>
      <c r="T47" s="10"/>
      <c r="U47" s="10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</row>
    <row r="48" spans="1:256" ht="18" x14ac:dyDescent="0.25">
      <c r="A48" s="201"/>
      <c r="B48" s="189"/>
      <c r="C48" s="190" t="s">
        <v>20</v>
      </c>
      <c r="D48" s="191" t="s">
        <v>21</v>
      </c>
      <c r="E48" s="192">
        <f t="shared" ref="E48" si="3">212/100</f>
        <v>2.12</v>
      </c>
      <c r="F48" s="186">
        <f>F47*E48</f>
        <v>1.0176000000000001</v>
      </c>
      <c r="G48" s="186"/>
      <c r="H48" s="186"/>
      <c r="I48" s="186"/>
      <c r="J48" s="186"/>
      <c r="K48" s="186"/>
      <c r="L48" s="186"/>
      <c r="M48" s="186"/>
      <c r="N48" s="69"/>
      <c r="O48" s="10"/>
      <c r="P48" s="10"/>
      <c r="Q48" s="10"/>
      <c r="R48" s="10"/>
      <c r="S48" s="10"/>
      <c r="T48" s="10"/>
      <c r="U48" s="10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</row>
    <row r="49" spans="1:256" ht="18" x14ac:dyDescent="0.35">
      <c r="A49" s="201"/>
      <c r="B49" s="189"/>
      <c r="C49" s="194" t="s">
        <v>31</v>
      </c>
      <c r="D49" s="191" t="s">
        <v>24</v>
      </c>
      <c r="E49" s="192">
        <f t="shared" ref="E49" si="4">10.1/100</f>
        <v>0.10099999999999999</v>
      </c>
      <c r="F49" s="186">
        <f>F47*E49</f>
        <v>4.8479999999999995E-2</v>
      </c>
      <c r="G49" s="186"/>
      <c r="H49" s="186"/>
      <c r="I49" s="186"/>
      <c r="J49" s="186"/>
      <c r="K49" s="186"/>
      <c r="L49" s="186"/>
      <c r="M49" s="186"/>
      <c r="N49" s="69"/>
      <c r="O49" s="10"/>
      <c r="P49" s="10"/>
      <c r="Q49" s="10"/>
      <c r="R49" s="10"/>
      <c r="S49" s="10"/>
      <c r="T49" s="10"/>
      <c r="U49" s="10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</row>
    <row r="50" spans="1:256" ht="18" x14ac:dyDescent="0.25">
      <c r="A50" s="201"/>
      <c r="B50" s="189"/>
      <c r="C50" s="191" t="s">
        <v>36</v>
      </c>
      <c r="D50" s="177"/>
      <c r="E50" s="192"/>
      <c r="F50" s="186"/>
      <c r="G50" s="186"/>
      <c r="H50" s="186"/>
      <c r="I50" s="186"/>
      <c r="J50" s="186"/>
      <c r="K50" s="186"/>
      <c r="L50" s="186"/>
      <c r="M50" s="186"/>
      <c r="N50" s="69"/>
      <c r="O50" s="10"/>
      <c r="P50" s="10"/>
      <c r="Q50" s="10"/>
      <c r="R50" s="10"/>
      <c r="S50" s="10"/>
      <c r="T50" s="10"/>
      <c r="U50" s="10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</row>
    <row r="51" spans="1:256" ht="54" x14ac:dyDescent="0.25">
      <c r="A51" s="201"/>
      <c r="B51" s="76"/>
      <c r="C51" s="202" t="s">
        <v>108</v>
      </c>
      <c r="D51" s="55" t="s">
        <v>57</v>
      </c>
      <c r="E51" s="192">
        <v>1.1000000000000001</v>
      </c>
      <c r="F51" s="186">
        <f>F47*E51</f>
        <v>0.52800000000000002</v>
      </c>
      <c r="G51" s="186"/>
      <c r="H51" s="186"/>
      <c r="I51" s="186"/>
      <c r="J51" s="186"/>
      <c r="K51" s="186"/>
      <c r="L51" s="186"/>
      <c r="M51" s="186"/>
      <c r="N51" s="69"/>
      <c r="O51" s="10"/>
      <c r="P51" s="10"/>
      <c r="Q51" s="10"/>
      <c r="R51" s="10"/>
      <c r="S51" s="10"/>
      <c r="T51" s="10"/>
      <c r="U51" s="10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</row>
    <row r="52" spans="1:256" ht="47.25" x14ac:dyDescent="0.25">
      <c r="A52" s="182">
        <v>5</v>
      </c>
      <c r="B52" s="183" t="s">
        <v>109</v>
      </c>
      <c r="C52" s="203" t="s">
        <v>110</v>
      </c>
      <c r="D52" s="171" t="s">
        <v>19</v>
      </c>
      <c r="E52" s="192"/>
      <c r="F52" s="204">
        <f>F60/1000</f>
        <v>8.0000000000000002E-3</v>
      </c>
      <c r="G52" s="186"/>
      <c r="H52" s="186"/>
      <c r="I52" s="186"/>
      <c r="J52" s="186"/>
      <c r="K52" s="186"/>
      <c r="L52" s="186"/>
      <c r="M52" s="186"/>
      <c r="N52" s="69"/>
      <c r="O52" s="10"/>
      <c r="P52" s="10"/>
      <c r="Q52" s="10"/>
      <c r="R52" s="10"/>
      <c r="S52" s="10"/>
      <c r="T52" s="10"/>
      <c r="U52" s="10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</row>
    <row r="53" spans="1:256" ht="18" x14ac:dyDescent="0.25">
      <c r="A53" s="201"/>
      <c r="B53" s="189"/>
      <c r="C53" s="190" t="s">
        <v>20</v>
      </c>
      <c r="D53" s="191" t="s">
        <v>21</v>
      </c>
      <c r="E53" s="205">
        <v>426</v>
      </c>
      <c r="F53" s="186">
        <f>F52*E53</f>
        <v>3.4079999999999999</v>
      </c>
      <c r="G53" s="186"/>
      <c r="H53" s="186"/>
      <c r="I53" s="186"/>
      <c r="J53" s="186"/>
      <c r="K53" s="186"/>
      <c r="L53" s="186"/>
      <c r="M53" s="186"/>
      <c r="N53" s="69"/>
      <c r="O53" s="10"/>
      <c r="P53" s="10"/>
      <c r="Q53" s="10"/>
      <c r="R53" s="10"/>
      <c r="S53" s="10"/>
      <c r="T53" s="10"/>
      <c r="U53" s="10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</row>
    <row r="54" spans="1:256" ht="18" x14ac:dyDescent="0.35">
      <c r="A54" s="201"/>
      <c r="B54" s="189"/>
      <c r="C54" s="194" t="s">
        <v>31</v>
      </c>
      <c r="D54" s="191" t="s">
        <v>24</v>
      </c>
      <c r="E54" s="205">
        <v>596</v>
      </c>
      <c r="F54" s="186">
        <f>F52*E54</f>
        <v>4.7679999999999998</v>
      </c>
      <c r="G54" s="186"/>
      <c r="H54" s="186"/>
      <c r="I54" s="186"/>
      <c r="J54" s="186"/>
      <c r="K54" s="186"/>
      <c r="L54" s="186"/>
      <c r="M54" s="186"/>
      <c r="N54" s="69"/>
      <c r="O54" s="10"/>
      <c r="P54" s="10"/>
      <c r="Q54" s="10"/>
      <c r="R54" s="10"/>
      <c r="S54" s="10"/>
      <c r="T54" s="10"/>
      <c r="U54" s="10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</row>
    <row r="55" spans="1:256" ht="18" x14ac:dyDescent="0.25">
      <c r="A55" s="201"/>
      <c r="B55" s="189"/>
      <c r="C55" s="191" t="s">
        <v>36</v>
      </c>
      <c r="D55" s="177"/>
      <c r="E55" s="192"/>
      <c r="F55" s="186"/>
      <c r="G55" s="186"/>
      <c r="H55" s="186"/>
      <c r="I55" s="186"/>
      <c r="J55" s="186"/>
      <c r="K55" s="186"/>
      <c r="L55" s="186"/>
      <c r="M55" s="186"/>
      <c r="N55" s="69"/>
      <c r="O55" s="10"/>
      <c r="P55" s="10"/>
      <c r="Q55" s="10"/>
      <c r="R55" s="10"/>
      <c r="S55" s="10"/>
      <c r="T55" s="10"/>
      <c r="U55" s="10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  <row r="56" spans="1:256" ht="30" x14ac:dyDescent="0.25">
      <c r="A56" s="201"/>
      <c r="B56" s="76" t="s">
        <v>111</v>
      </c>
      <c r="C56" s="202" t="s">
        <v>112</v>
      </c>
      <c r="D56" s="55" t="s">
        <v>37</v>
      </c>
      <c r="E56" s="192">
        <v>16.2</v>
      </c>
      <c r="F56" s="186">
        <f>F52*E56</f>
        <v>0.12959999999999999</v>
      </c>
      <c r="G56" s="186"/>
      <c r="H56" s="186"/>
      <c r="I56" s="186"/>
      <c r="J56" s="186"/>
      <c r="K56" s="186"/>
      <c r="L56" s="186"/>
      <c r="M56" s="186"/>
      <c r="N56" s="69"/>
      <c r="O56" s="10"/>
      <c r="P56" s="10"/>
      <c r="Q56" s="10"/>
      <c r="R56" s="10"/>
      <c r="S56" s="10"/>
      <c r="T56" s="10"/>
      <c r="U56" s="10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:256" ht="30" x14ac:dyDescent="0.25">
      <c r="A57" s="201"/>
      <c r="B57" s="76" t="s">
        <v>113</v>
      </c>
      <c r="C57" s="202" t="s">
        <v>114</v>
      </c>
      <c r="D57" s="55" t="s">
        <v>115</v>
      </c>
      <c r="E57" s="192">
        <v>405</v>
      </c>
      <c r="F57" s="186">
        <f>F52*E57</f>
        <v>3.24</v>
      </c>
      <c r="G57" s="186"/>
      <c r="H57" s="186"/>
      <c r="I57" s="186"/>
      <c r="J57" s="186"/>
      <c r="K57" s="186"/>
      <c r="L57" s="186"/>
      <c r="M57" s="186"/>
      <c r="N57" s="69"/>
      <c r="O57" s="10"/>
      <c r="P57" s="10"/>
      <c r="Q57" s="10"/>
      <c r="R57" s="10"/>
      <c r="S57" s="10"/>
      <c r="T57" s="10"/>
      <c r="U57" s="10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</row>
    <row r="58" spans="1:256" ht="30" x14ac:dyDescent="0.25">
      <c r="A58" s="201"/>
      <c r="B58" s="76" t="s">
        <v>116</v>
      </c>
      <c r="C58" s="202" t="s">
        <v>117</v>
      </c>
      <c r="D58" s="55" t="s">
        <v>115</v>
      </c>
      <c r="E58" s="192">
        <v>346</v>
      </c>
      <c r="F58" s="186">
        <f>F52*E58</f>
        <v>2.7680000000000002</v>
      </c>
      <c r="G58" s="206"/>
      <c r="H58" s="186"/>
      <c r="I58" s="186"/>
      <c r="J58" s="186"/>
      <c r="K58" s="186"/>
      <c r="L58" s="186"/>
      <c r="M58" s="186"/>
      <c r="N58" s="69"/>
      <c r="O58" s="10"/>
      <c r="P58" s="10"/>
      <c r="Q58" s="10"/>
      <c r="R58" s="10"/>
      <c r="S58" s="10"/>
      <c r="T58" s="10"/>
      <c r="U58" s="10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</row>
    <row r="59" spans="1:256" ht="18" x14ac:dyDescent="0.35">
      <c r="A59" s="35"/>
      <c r="B59" s="36"/>
      <c r="C59" s="37" t="s">
        <v>39</v>
      </c>
      <c r="D59" s="207" t="s">
        <v>24</v>
      </c>
      <c r="E59" s="208">
        <v>34</v>
      </c>
      <c r="F59" s="209">
        <f>F52*E59</f>
        <v>0.27200000000000002</v>
      </c>
      <c r="G59" s="34"/>
      <c r="H59" s="34"/>
      <c r="I59" s="34"/>
      <c r="J59" s="34"/>
      <c r="K59" s="34"/>
      <c r="L59" s="34"/>
      <c r="M59" s="34"/>
      <c r="N59" s="69"/>
      <c r="O59" s="10"/>
      <c r="P59" s="10"/>
      <c r="Q59" s="10"/>
      <c r="R59" s="10"/>
      <c r="S59" s="10"/>
      <c r="T59" s="10"/>
      <c r="U59" s="10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</row>
    <row r="60" spans="1:256" ht="54" x14ac:dyDescent="0.35">
      <c r="A60" s="182">
        <v>6</v>
      </c>
      <c r="B60" s="183" t="s">
        <v>118</v>
      </c>
      <c r="C60" s="184" t="s">
        <v>119</v>
      </c>
      <c r="D60" s="191" t="s">
        <v>120</v>
      </c>
      <c r="E60" s="192"/>
      <c r="F60" s="187">
        <v>8</v>
      </c>
      <c r="G60" s="186"/>
      <c r="H60" s="186"/>
      <c r="I60" s="186"/>
      <c r="J60" s="186"/>
      <c r="K60" s="186"/>
      <c r="L60" s="186"/>
      <c r="M60" s="186"/>
      <c r="N60" s="69"/>
      <c r="O60" s="10"/>
      <c r="P60" s="10"/>
      <c r="Q60" s="10"/>
      <c r="R60" s="10"/>
      <c r="S60" s="10"/>
      <c r="T60" s="10"/>
      <c r="U60" s="10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</row>
    <row r="61" spans="1:256" ht="18" x14ac:dyDescent="0.25">
      <c r="A61" s="201"/>
      <c r="B61" s="189"/>
      <c r="C61" s="190" t="s">
        <v>20</v>
      </c>
      <c r="D61" s="191" t="s">
        <v>21</v>
      </c>
      <c r="E61" s="192">
        <f t="shared" ref="E61" si="5">973/1000</f>
        <v>0.97299999999999998</v>
      </c>
      <c r="F61" s="186">
        <f>F60*E61</f>
        <v>7.7839999999999998</v>
      </c>
      <c r="G61" s="186"/>
      <c r="H61" s="186"/>
      <c r="I61" s="186"/>
      <c r="J61" s="186"/>
      <c r="K61" s="186"/>
      <c r="L61" s="186"/>
      <c r="M61" s="186"/>
      <c r="N61" s="69"/>
      <c r="O61" s="10"/>
      <c r="P61" s="10"/>
      <c r="Q61" s="10"/>
      <c r="R61" s="10"/>
      <c r="S61" s="10"/>
      <c r="T61" s="10"/>
      <c r="U61" s="10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</row>
    <row r="62" spans="1:256" ht="18" x14ac:dyDescent="0.35">
      <c r="A62" s="201"/>
      <c r="B62" s="189"/>
      <c r="C62" s="194" t="s">
        <v>31</v>
      </c>
      <c r="D62" s="191" t="s">
        <v>24</v>
      </c>
      <c r="E62" s="192">
        <f t="shared" ref="E62" si="6">483/1000</f>
        <v>0.48299999999999998</v>
      </c>
      <c r="F62" s="186">
        <f>F60*E62</f>
        <v>3.8639999999999999</v>
      </c>
      <c r="G62" s="186"/>
      <c r="H62" s="186"/>
      <c r="I62" s="186"/>
      <c r="J62" s="186"/>
      <c r="K62" s="186"/>
      <c r="L62" s="186"/>
      <c r="M62" s="186"/>
      <c r="N62" s="69"/>
      <c r="O62" s="10"/>
      <c r="P62" s="10"/>
      <c r="Q62" s="10"/>
      <c r="R62" s="10"/>
      <c r="S62" s="10"/>
      <c r="T62" s="10"/>
      <c r="U62" s="10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</row>
    <row r="63" spans="1:256" ht="18" x14ac:dyDescent="0.25">
      <c r="A63" s="201"/>
      <c r="B63" s="189"/>
      <c r="C63" s="191" t="s">
        <v>36</v>
      </c>
      <c r="D63" s="177"/>
      <c r="E63" s="192"/>
      <c r="F63" s="186"/>
      <c r="G63" s="186"/>
      <c r="H63" s="186"/>
      <c r="I63" s="186"/>
      <c r="J63" s="186"/>
      <c r="K63" s="186"/>
      <c r="L63" s="186"/>
      <c r="M63" s="186"/>
      <c r="N63" s="69"/>
      <c r="O63" s="10"/>
      <c r="P63" s="10"/>
      <c r="Q63" s="10"/>
      <c r="R63" s="10"/>
      <c r="S63" s="10"/>
      <c r="T63" s="10"/>
      <c r="U63" s="10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</row>
    <row r="64" spans="1:256" ht="30" x14ac:dyDescent="0.25">
      <c r="A64" s="201"/>
      <c r="B64" s="210" t="s">
        <v>121</v>
      </c>
      <c r="C64" s="211" t="s">
        <v>122</v>
      </c>
      <c r="D64" s="191" t="s">
        <v>120</v>
      </c>
      <c r="E64" s="192" t="s">
        <v>123</v>
      </c>
      <c r="F64" s="186">
        <f>F60</f>
        <v>8</v>
      </c>
      <c r="G64" s="186"/>
      <c r="H64" s="186"/>
      <c r="I64" s="186"/>
      <c r="J64" s="186"/>
      <c r="K64" s="186"/>
      <c r="L64" s="186"/>
      <c r="M64" s="186"/>
      <c r="N64" s="69"/>
      <c r="O64" s="10"/>
      <c r="P64" s="10"/>
      <c r="Q64" s="10"/>
      <c r="R64" s="10"/>
      <c r="S64" s="10"/>
      <c r="T64" s="10"/>
      <c r="U64" s="10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</row>
    <row r="65" spans="1:256" ht="18" x14ac:dyDescent="0.35">
      <c r="A65" s="201"/>
      <c r="B65" s="189"/>
      <c r="C65" s="194" t="s">
        <v>39</v>
      </c>
      <c r="D65" s="84" t="s">
        <v>24</v>
      </c>
      <c r="E65" s="192">
        <v>0.22</v>
      </c>
      <c r="F65" s="186">
        <f>F60*E65</f>
        <v>1.76</v>
      </c>
      <c r="G65" s="186"/>
      <c r="H65" s="186"/>
      <c r="I65" s="186"/>
      <c r="J65" s="186"/>
      <c r="K65" s="186"/>
      <c r="L65" s="186"/>
      <c r="M65" s="186"/>
      <c r="N65" s="69"/>
      <c r="O65" s="10"/>
      <c r="P65" s="10"/>
      <c r="Q65" s="10"/>
      <c r="R65" s="10"/>
      <c r="S65" s="10"/>
      <c r="T65" s="10"/>
      <c r="U65" s="10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</row>
    <row r="66" spans="1:256" ht="72" x14ac:dyDescent="0.35">
      <c r="A66" s="182">
        <v>7</v>
      </c>
      <c r="B66" s="183" t="s">
        <v>106</v>
      </c>
      <c r="C66" s="184" t="s">
        <v>124</v>
      </c>
      <c r="D66" s="171" t="s">
        <v>57</v>
      </c>
      <c r="E66" s="192"/>
      <c r="F66" s="187">
        <f>F60*0.7*0.9</f>
        <v>5.04</v>
      </c>
      <c r="G66" s="186"/>
      <c r="H66" s="186"/>
      <c r="I66" s="186"/>
      <c r="J66" s="186"/>
      <c r="K66" s="186"/>
      <c r="L66" s="186"/>
      <c r="M66" s="186"/>
      <c r="N66" s="69"/>
      <c r="O66" s="10"/>
      <c r="P66" s="10"/>
      <c r="Q66" s="10"/>
      <c r="R66" s="10"/>
      <c r="S66" s="10"/>
      <c r="T66" s="10"/>
      <c r="U66" s="10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</row>
    <row r="67" spans="1:256" ht="18" x14ac:dyDescent="0.25">
      <c r="A67" s="201"/>
      <c r="B67" s="189"/>
      <c r="C67" s="190" t="s">
        <v>20</v>
      </c>
      <c r="D67" s="191" t="s">
        <v>21</v>
      </c>
      <c r="E67" s="192">
        <v>2.12</v>
      </c>
      <c r="F67" s="186">
        <f>F66*E67</f>
        <v>10.684800000000001</v>
      </c>
      <c r="G67" s="186"/>
      <c r="H67" s="186"/>
      <c r="I67" s="186"/>
      <c r="J67" s="186"/>
      <c r="K67" s="186"/>
      <c r="L67" s="186"/>
      <c r="M67" s="186"/>
      <c r="N67" s="69"/>
      <c r="O67" s="10"/>
      <c r="P67" s="10"/>
      <c r="Q67" s="10"/>
      <c r="R67" s="10"/>
      <c r="S67" s="10"/>
      <c r="T67" s="10"/>
      <c r="U67" s="10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</row>
    <row r="68" spans="1:256" ht="18" x14ac:dyDescent="0.35">
      <c r="A68" s="201"/>
      <c r="B68" s="189"/>
      <c r="C68" s="194" t="s">
        <v>31</v>
      </c>
      <c r="D68" s="191" t="s">
        <v>24</v>
      </c>
      <c r="E68" s="192">
        <v>0.10100000000000001</v>
      </c>
      <c r="F68" s="186">
        <f>F66*E68</f>
        <v>0.50904000000000005</v>
      </c>
      <c r="G68" s="186"/>
      <c r="H68" s="186"/>
      <c r="I68" s="186"/>
      <c r="J68" s="186"/>
      <c r="K68" s="186"/>
      <c r="L68" s="186"/>
      <c r="M68" s="186"/>
      <c r="N68" s="69"/>
      <c r="O68" s="10"/>
      <c r="P68" s="10"/>
      <c r="Q68" s="10"/>
      <c r="R68" s="10"/>
      <c r="S68" s="10"/>
      <c r="T68" s="10"/>
      <c r="U68" s="10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</row>
    <row r="69" spans="1:256" ht="18" x14ac:dyDescent="0.25">
      <c r="A69" s="201"/>
      <c r="B69" s="189"/>
      <c r="C69" s="191" t="s">
        <v>36</v>
      </c>
      <c r="D69" s="177"/>
      <c r="E69" s="192"/>
      <c r="F69" s="186"/>
      <c r="G69" s="186"/>
      <c r="H69" s="186"/>
      <c r="I69" s="186"/>
      <c r="J69" s="186"/>
      <c r="K69" s="186"/>
      <c r="L69" s="186"/>
      <c r="M69" s="186"/>
      <c r="N69" s="69"/>
      <c r="O69" s="10"/>
      <c r="P69" s="10"/>
      <c r="Q69" s="10"/>
      <c r="R69" s="10"/>
      <c r="S69" s="10"/>
      <c r="T69" s="10"/>
      <c r="U69" s="10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</row>
    <row r="70" spans="1:256" ht="48" x14ac:dyDescent="0.25">
      <c r="A70" s="201"/>
      <c r="B70" s="76"/>
      <c r="C70" s="212" t="s">
        <v>125</v>
      </c>
      <c r="D70" s="55" t="s">
        <v>57</v>
      </c>
      <c r="E70" s="192">
        <v>1.1000000000000001</v>
      </c>
      <c r="F70" s="186">
        <f>F66*E70</f>
        <v>5.5440000000000005</v>
      </c>
      <c r="G70" s="186"/>
      <c r="H70" s="186"/>
      <c r="I70" s="186"/>
      <c r="J70" s="186"/>
      <c r="K70" s="186"/>
      <c r="L70" s="186"/>
      <c r="M70" s="186"/>
      <c r="N70" s="69"/>
      <c r="O70" s="10"/>
      <c r="P70" s="10"/>
      <c r="Q70" s="10"/>
      <c r="R70" s="10"/>
      <c r="S70" s="10"/>
      <c r="T70" s="10"/>
      <c r="U70" s="10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</row>
    <row r="71" spans="1:256" ht="82.5" x14ac:dyDescent="0.25">
      <c r="A71" s="182">
        <v>8</v>
      </c>
      <c r="B71" s="183" t="s">
        <v>96</v>
      </c>
      <c r="C71" s="213" t="s">
        <v>126</v>
      </c>
      <c r="D71" s="171" t="s">
        <v>57</v>
      </c>
      <c r="E71" s="192"/>
      <c r="F71" s="187">
        <f>3.12*2*1</f>
        <v>6.24</v>
      </c>
      <c r="G71" s="186"/>
      <c r="H71" s="186"/>
      <c r="I71" s="186"/>
      <c r="J71" s="186"/>
      <c r="K71" s="186"/>
      <c r="L71" s="186"/>
      <c r="M71" s="186"/>
      <c r="N71" s="69"/>
      <c r="O71" s="10"/>
      <c r="P71" s="10"/>
      <c r="Q71" s="10"/>
      <c r="R71" s="10"/>
      <c r="S71" s="10"/>
      <c r="T71" s="10"/>
      <c r="U71" s="10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</row>
    <row r="72" spans="1:256" ht="18" x14ac:dyDescent="0.25">
      <c r="A72" s="188"/>
      <c r="B72" s="189"/>
      <c r="C72" s="190" t="s">
        <v>20</v>
      </c>
      <c r="D72" s="191" t="s">
        <v>21</v>
      </c>
      <c r="E72" s="192">
        <f t="shared" ref="E72" si="7">34/1000</f>
        <v>3.4000000000000002E-2</v>
      </c>
      <c r="F72" s="186">
        <f>F71*E72</f>
        <v>0.21216000000000002</v>
      </c>
      <c r="G72" s="186"/>
      <c r="H72" s="186"/>
      <c r="I72" s="186"/>
      <c r="J72" s="186"/>
      <c r="K72" s="186"/>
      <c r="L72" s="186"/>
      <c r="M72" s="186"/>
      <c r="N72" s="69"/>
      <c r="O72" s="10"/>
      <c r="P72" s="10"/>
      <c r="Q72" s="10"/>
      <c r="R72" s="10"/>
      <c r="S72" s="10"/>
      <c r="T72" s="10"/>
      <c r="U72" s="10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</row>
    <row r="73" spans="1:256" ht="37.5" x14ac:dyDescent="0.25">
      <c r="A73" s="188"/>
      <c r="B73" s="6" t="s">
        <v>98</v>
      </c>
      <c r="C73" s="193" t="s">
        <v>99</v>
      </c>
      <c r="D73" s="191" t="s">
        <v>28</v>
      </c>
      <c r="E73" s="192">
        <f>80.3/1000</f>
        <v>8.0299999999999996E-2</v>
      </c>
      <c r="F73" s="186">
        <f>F71*E73</f>
        <v>0.50107199999999996</v>
      </c>
      <c r="G73" s="186"/>
      <c r="H73" s="186"/>
      <c r="I73" s="186"/>
      <c r="J73" s="186"/>
      <c r="K73" s="186"/>
      <c r="L73" s="186"/>
      <c r="M73" s="186"/>
      <c r="N73" s="69"/>
      <c r="O73" s="10"/>
      <c r="P73" s="10"/>
      <c r="Q73" s="10"/>
      <c r="R73" s="10"/>
      <c r="S73" s="10"/>
      <c r="T73" s="10"/>
      <c r="U73" s="10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</row>
    <row r="74" spans="1:256" ht="18" x14ac:dyDescent="0.35">
      <c r="A74" s="188"/>
      <c r="B74" s="189"/>
      <c r="C74" s="194" t="s">
        <v>31</v>
      </c>
      <c r="D74" s="191" t="s">
        <v>24</v>
      </c>
      <c r="E74" s="192">
        <f t="shared" ref="E74" si="8">5.63/1000</f>
        <v>5.6299999999999996E-3</v>
      </c>
      <c r="F74" s="186">
        <f>F71*E74</f>
        <v>3.5131200000000001E-2</v>
      </c>
      <c r="G74" s="186"/>
      <c r="H74" s="186"/>
      <c r="I74" s="186"/>
      <c r="J74" s="186"/>
      <c r="K74" s="186"/>
      <c r="L74" s="186"/>
      <c r="M74" s="186"/>
      <c r="N74" s="69"/>
      <c r="O74" s="10"/>
      <c r="P74" s="10"/>
      <c r="Q74" s="10"/>
      <c r="R74" s="10"/>
      <c r="S74" s="10"/>
      <c r="T74" s="10"/>
      <c r="U74" s="10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</row>
    <row r="75" spans="1:256" ht="33" x14ac:dyDescent="0.25">
      <c r="A75" s="188"/>
      <c r="B75" s="76" t="s">
        <v>104</v>
      </c>
      <c r="C75" s="213" t="s">
        <v>105</v>
      </c>
      <c r="D75" s="55" t="s">
        <v>57</v>
      </c>
      <c r="E75" s="192"/>
      <c r="F75" s="186">
        <f>F71*1.8</f>
        <v>11.232000000000001</v>
      </c>
      <c r="G75" s="186"/>
      <c r="H75" s="186"/>
      <c r="I75" s="186"/>
      <c r="J75" s="186"/>
      <c r="K75" s="186"/>
      <c r="L75" s="186"/>
      <c r="M75" s="186"/>
      <c r="N75" s="69"/>
      <c r="O75" s="10"/>
      <c r="P75" s="10"/>
      <c r="Q75" s="10"/>
      <c r="R75" s="10"/>
      <c r="S75" s="10"/>
      <c r="T75" s="10"/>
      <c r="U75" s="10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</row>
    <row r="76" spans="1:256" ht="82.5" x14ac:dyDescent="0.25">
      <c r="A76" s="182">
        <v>9</v>
      </c>
      <c r="B76" s="183" t="s">
        <v>106</v>
      </c>
      <c r="C76" s="200" t="s">
        <v>127</v>
      </c>
      <c r="D76" s="55" t="s">
        <v>57</v>
      </c>
      <c r="E76" s="192"/>
      <c r="F76" s="187">
        <f>0.6*0.1*2*1</f>
        <v>0.12</v>
      </c>
      <c r="G76" s="186"/>
      <c r="H76" s="186"/>
      <c r="I76" s="186"/>
      <c r="J76" s="186"/>
      <c r="K76" s="186"/>
      <c r="L76" s="186"/>
      <c r="M76" s="186"/>
      <c r="N76" s="69"/>
      <c r="O76" s="10"/>
      <c r="P76" s="10"/>
      <c r="Q76" s="10"/>
      <c r="R76" s="10"/>
      <c r="S76" s="10"/>
      <c r="T76" s="10"/>
      <c r="U76" s="10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</row>
    <row r="77" spans="1:256" ht="18" x14ac:dyDescent="0.35">
      <c r="A77" s="201"/>
      <c r="B77" s="189"/>
      <c r="C77" s="194" t="s">
        <v>20</v>
      </c>
      <c r="D77" s="191" t="s">
        <v>21</v>
      </c>
      <c r="E77" s="192">
        <v>2.12</v>
      </c>
      <c r="F77" s="186">
        <f>F76*E77</f>
        <v>0.25440000000000002</v>
      </c>
      <c r="G77" s="186"/>
      <c r="H77" s="186"/>
      <c r="I77" s="186"/>
      <c r="J77" s="186"/>
      <c r="K77" s="186"/>
      <c r="L77" s="186"/>
      <c r="M77" s="186"/>
      <c r="N77" s="69"/>
      <c r="O77" s="10"/>
      <c r="P77" s="10"/>
      <c r="Q77" s="10"/>
      <c r="R77" s="10"/>
      <c r="S77" s="10"/>
      <c r="T77" s="10"/>
      <c r="U77" s="10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</row>
    <row r="78" spans="1:256" ht="18" x14ac:dyDescent="0.35">
      <c r="A78" s="201"/>
      <c r="B78" s="189"/>
      <c r="C78" s="194" t="s">
        <v>31</v>
      </c>
      <c r="D78" s="191" t="s">
        <v>24</v>
      </c>
      <c r="E78" s="192">
        <v>0.10100000000000001</v>
      </c>
      <c r="F78" s="186">
        <f>F76*E78</f>
        <v>1.2120000000000001E-2</v>
      </c>
      <c r="G78" s="186"/>
      <c r="H78" s="186"/>
      <c r="I78" s="186"/>
      <c r="J78" s="186"/>
      <c r="K78" s="186"/>
      <c r="L78" s="186"/>
      <c r="M78" s="186"/>
      <c r="N78" s="69"/>
      <c r="O78" s="10"/>
      <c r="P78" s="10"/>
      <c r="Q78" s="10"/>
      <c r="R78" s="10"/>
      <c r="S78" s="10"/>
      <c r="T78" s="10"/>
      <c r="U78" s="10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</row>
    <row r="79" spans="1:256" ht="18" x14ac:dyDescent="0.25">
      <c r="A79" s="201"/>
      <c r="B79" s="189"/>
      <c r="C79" s="191" t="s">
        <v>36</v>
      </c>
      <c r="D79" s="214"/>
      <c r="E79" s="192"/>
      <c r="F79" s="186"/>
      <c r="G79" s="186"/>
      <c r="H79" s="186"/>
      <c r="I79" s="186"/>
      <c r="J79" s="186"/>
      <c r="K79" s="186"/>
      <c r="L79" s="186"/>
      <c r="M79" s="186"/>
      <c r="N79" s="69"/>
      <c r="O79" s="10"/>
      <c r="P79" s="10"/>
      <c r="Q79" s="10"/>
      <c r="R79" s="10"/>
      <c r="S79" s="10"/>
      <c r="T79" s="10"/>
      <c r="U79" s="10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</row>
    <row r="80" spans="1:256" ht="48" x14ac:dyDescent="0.25">
      <c r="A80" s="175"/>
      <c r="B80" s="76"/>
      <c r="C80" s="212" t="s">
        <v>128</v>
      </c>
      <c r="D80" s="55" t="s">
        <v>57</v>
      </c>
      <c r="E80" s="192">
        <v>1.1000000000000001</v>
      </c>
      <c r="F80" s="186">
        <f>F76*E80</f>
        <v>0.13200000000000001</v>
      </c>
      <c r="G80" s="186"/>
      <c r="H80" s="186"/>
      <c r="I80" s="186"/>
      <c r="J80" s="186"/>
      <c r="K80" s="186"/>
      <c r="L80" s="186"/>
      <c r="M80" s="186"/>
      <c r="N80" s="69"/>
      <c r="O80" s="10"/>
      <c r="P80" s="10"/>
      <c r="Q80" s="10"/>
      <c r="R80" s="10"/>
      <c r="S80" s="10"/>
      <c r="T80" s="10"/>
      <c r="U80" s="10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</row>
    <row r="81" spans="1:256" ht="66" x14ac:dyDescent="0.25">
      <c r="A81" s="182">
        <v>10</v>
      </c>
      <c r="B81" s="183" t="s">
        <v>129</v>
      </c>
      <c r="C81" s="213" t="s">
        <v>130</v>
      </c>
      <c r="D81" s="171" t="s">
        <v>57</v>
      </c>
      <c r="E81" s="192"/>
      <c r="F81" s="187">
        <f>2.47*2*1</f>
        <v>4.9400000000000004</v>
      </c>
      <c r="G81" s="186"/>
      <c r="H81" s="186"/>
      <c r="I81" s="186"/>
      <c r="J81" s="186"/>
      <c r="K81" s="186"/>
      <c r="L81" s="186"/>
      <c r="M81" s="186"/>
      <c r="N81" s="69"/>
      <c r="O81" s="10"/>
      <c r="P81" s="10"/>
      <c r="Q81" s="10"/>
      <c r="R81" s="10"/>
      <c r="S81" s="10"/>
      <c r="T81" s="10"/>
      <c r="U81" s="10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</row>
    <row r="82" spans="1:256" ht="18" x14ac:dyDescent="0.35">
      <c r="A82" s="201"/>
      <c r="B82" s="189"/>
      <c r="C82" s="194" t="s">
        <v>20</v>
      </c>
      <c r="D82" s="191" t="s">
        <v>21</v>
      </c>
      <c r="E82" s="192">
        <f>9.52</f>
        <v>9.52</v>
      </c>
      <c r="F82" s="186">
        <f>F81*E82</f>
        <v>47.028800000000004</v>
      </c>
      <c r="G82" s="186"/>
      <c r="H82" s="186"/>
      <c r="I82" s="186"/>
      <c r="J82" s="186"/>
      <c r="K82" s="186"/>
      <c r="L82" s="186"/>
      <c r="M82" s="186"/>
      <c r="N82" s="69"/>
      <c r="O82" s="10"/>
      <c r="P82" s="10"/>
      <c r="Q82" s="10"/>
      <c r="R82" s="10"/>
      <c r="S82" s="10"/>
      <c r="T82" s="10"/>
      <c r="U82" s="10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</row>
    <row r="83" spans="1:256" ht="18" x14ac:dyDescent="0.35">
      <c r="A83" s="201"/>
      <c r="B83" s="6" t="s">
        <v>131</v>
      </c>
      <c r="C83" s="194" t="s">
        <v>132</v>
      </c>
      <c r="D83" s="191" t="s">
        <v>28</v>
      </c>
      <c r="E83" s="192">
        <v>0.74</v>
      </c>
      <c r="F83" s="186">
        <f>F81*E83</f>
        <v>3.6556000000000002</v>
      </c>
      <c r="G83" s="186"/>
      <c r="H83" s="186"/>
      <c r="I83" s="186"/>
      <c r="J83" s="186"/>
      <c r="K83" s="186"/>
      <c r="L83" s="186"/>
      <c r="M83" s="186"/>
      <c r="N83" s="69"/>
      <c r="O83" s="10"/>
      <c r="P83" s="10"/>
      <c r="Q83" s="10"/>
      <c r="R83" s="10"/>
      <c r="S83" s="10"/>
      <c r="T83" s="10"/>
      <c r="U83" s="10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</row>
    <row r="84" spans="1:256" ht="18" x14ac:dyDescent="0.35">
      <c r="A84" s="201"/>
      <c r="B84" s="189"/>
      <c r="C84" s="194" t="s">
        <v>31</v>
      </c>
      <c r="D84" s="191" t="s">
        <v>24</v>
      </c>
      <c r="E84" s="192">
        <v>1.22</v>
      </c>
      <c r="F84" s="186">
        <f>F81*E84</f>
        <v>6.0268000000000006</v>
      </c>
      <c r="G84" s="186"/>
      <c r="H84" s="186"/>
      <c r="I84" s="186"/>
      <c r="J84" s="186"/>
      <c r="K84" s="186"/>
      <c r="L84" s="186"/>
      <c r="M84" s="186"/>
      <c r="N84" s="69"/>
      <c r="O84" s="10"/>
      <c r="P84" s="10"/>
      <c r="Q84" s="10"/>
      <c r="R84" s="10"/>
      <c r="S84" s="10"/>
      <c r="T84" s="10"/>
      <c r="U84" s="10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</row>
    <row r="85" spans="1:256" ht="18" x14ac:dyDescent="0.25">
      <c r="A85" s="201"/>
      <c r="B85" s="189"/>
      <c r="C85" s="191" t="s">
        <v>36</v>
      </c>
      <c r="D85" s="177"/>
      <c r="E85" s="192"/>
      <c r="F85" s="186"/>
      <c r="G85" s="186"/>
      <c r="H85" s="186"/>
      <c r="I85" s="186"/>
      <c r="J85" s="186"/>
      <c r="K85" s="186"/>
      <c r="L85" s="186"/>
      <c r="M85" s="186"/>
      <c r="N85" s="69"/>
      <c r="O85" s="10"/>
      <c r="P85" s="10"/>
      <c r="Q85" s="10"/>
      <c r="R85" s="10"/>
      <c r="S85" s="10"/>
      <c r="T85" s="10"/>
      <c r="U85" s="10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</row>
    <row r="86" spans="1:256" ht="30" x14ac:dyDescent="0.25">
      <c r="A86" s="201"/>
      <c r="B86" s="215" t="s">
        <v>133</v>
      </c>
      <c r="C86" s="211" t="s">
        <v>134</v>
      </c>
      <c r="D86" s="55" t="s">
        <v>57</v>
      </c>
      <c r="E86" s="192">
        <v>1.04</v>
      </c>
      <c r="F86" s="186">
        <f>F81*E86</f>
        <v>5.1376000000000008</v>
      </c>
      <c r="G86" s="186"/>
      <c r="H86" s="186"/>
      <c r="I86" s="186"/>
      <c r="J86" s="186"/>
      <c r="K86" s="186"/>
      <c r="L86" s="186"/>
      <c r="M86" s="186"/>
      <c r="N86" s="69"/>
      <c r="O86" s="10"/>
      <c r="P86" s="10"/>
      <c r="Q86" s="10"/>
      <c r="R86" s="10"/>
      <c r="S86" s="10"/>
      <c r="T86" s="10"/>
      <c r="U86" s="10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</row>
    <row r="87" spans="1:256" ht="30" x14ac:dyDescent="0.25">
      <c r="A87" s="201"/>
      <c r="B87" s="76" t="s">
        <v>135</v>
      </c>
      <c r="C87" s="211" t="s">
        <v>136</v>
      </c>
      <c r="D87" s="55" t="s">
        <v>57</v>
      </c>
      <c r="E87" s="192">
        <f>1.07*0.01</f>
        <v>1.0700000000000001E-2</v>
      </c>
      <c r="F87" s="186">
        <f>E87*F81</f>
        <v>5.2858000000000009E-2</v>
      </c>
      <c r="G87" s="186"/>
      <c r="H87" s="186"/>
      <c r="I87" s="186"/>
      <c r="J87" s="186"/>
      <c r="K87" s="186"/>
      <c r="L87" s="186"/>
      <c r="M87" s="186"/>
      <c r="N87" s="69"/>
      <c r="O87" s="10"/>
      <c r="P87" s="10"/>
      <c r="Q87" s="10"/>
      <c r="R87" s="10"/>
      <c r="S87" s="10"/>
      <c r="T87" s="10"/>
      <c r="U87" s="10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  <c r="IV87" s="8"/>
    </row>
    <row r="88" spans="1:256" ht="30" x14ac:dyDescent="0.25">
      <c r="A88" s="201"/>
      <c r="B88" s="215" t="s">
        <v>137</v>
      </c>
      <c r="C88" s="211" t="s">
        <v>138</v>
      </c>
      <c r="D88" s="55" t="s">
        <v>57</v>
      </c>
      <c r="E88" s="192">
        <f>(10.5+2.1+0.4)*0.01</f>
        <v>0.13</v>
      </c>
      <c r="F88" s="186">
        <f>E88*F81</f>
        <v>0.6422000000000001</v>
      </c>
      <c r="G88" s="68"/>
      <c r="H88" s="186"/>
      <c r="I88" s="186"/>
      <c r="J88" s="186"/>
      <c r="K88" s="186"/>
      <c r="L88" s="186"/>
      <c r="M88" s="186"/>
      <c r="N88" s="69"/>
      <c r="O88" s="10"/>
      <c r="P88" s="10"/>
      <c r="Q88" s="10"/>
      <c r="R88" s="10"/>
      <c r="S88" s="10"/>
      <c r="T88" s="10"/>
      <c r="U88" s="10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  <c r="IV88" s="8"/>
    </row>
    <row r="89" spans="1:256" ht="18" x14ac:dyDescent="0.35">
      <c r="A89" s="201"/>
      <c r="B89" s="189"/>
      <c r="C89" s="194" t="s">
        <v>39</v>
      </c>
      <c r="D89" s="84" t="s">
        <v>24</v>
      </c>
      <c r="E89" s="192">
        <v>1.69</v>
      </c>
      <c r="F89" s="186">
        <f>E89*F81</f>
        <v>8.3486000000000011</v>
      </c>
      <c r="G89" s="186"/>
      <c r="H89" s="186"/>
      <c r="I89" s="186"/>
      <c r="J89" s="186"/>
      <c r="K89" s="186"/>
      <c r="L89" s="186"/>
      <c r="M89" s="186"/>
      <c r="N89" s="69"/>
      <c r="O89" s="10"/>
      <c r="P89" s="10"/>
      <c r="Q89" s="10"/>
      <c r="R89" s="10"/>
      <c r="S89" s="10"/>
      <c r="T89" s="10"/>
      <c r="U89" s="10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  <c r="IV89" s="8"/>
    </row>
    <row r="90" spans="1:256" ht="82.5" x14ac:dyDescent="0.25">
      <c r="A90" s="182">
        <v>11</v>
      </c>
      <c r="B90" s="183" t="s">
        <v>106</v>
      </c>
      <c r="C90" s="213" t="s">
        <v>139</v>
      </c>
      <c r="D90" s="171" t="s">
        <v>57</v>
      </c>
      <c r="E90" s="192"/>
      <c r="F90" s="187">
        <f>1.3*1</f>
        <v>1.3</v>
      </c>
      <c r="G90" s="186"/>
      <c r="H90" s="186"/>
      <c r="I90" s="186"/>
      <c r="J90" s="186"/>
      <c r="K90" s="186"/>
      <c r="L90" s="186"/>
      <c r="M90" s="186"/>
      <c r="N90" s="69"/>
      <c r="O90" s="10"/>
      <c r="P90" s="10"/>
      <c r="Q90" s="10"/>
      <c r="R90" s="10"/>
      <c r="S90" s="10"/>
      <c r="T90" s="10"/>
      <c r="U90" s="10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  <c r="IV90" s="8"/>
    </row>
    <row r="91" spans="1:256" ht="18" x14ac:dyDescent="0.35">
      <c r="A91" s="201"/>
      <c r="B91" s="189"/>
      <c r="C91" s="194" t="s">
        <v>20</v>
      </c>
      <c r="D91" s="84" t="s">
        <v>21</v>
      </c>
      <c r="E91" s="192">
        <v>2.12</v>
      </c>
      <c r="F91" s="186">
        <f>F90*E91</f>
        <v>2.7560000000000002</v>
      </c>
      <c r="G91" s="186"/>
      <c r="H91" s="186"/>
      <c r="I91" s="186"/>
      <c r="J91" s="186"/>
      <c r="K91" s="186"/>
      <c r="L91" s="186"/>
      <c r="M91" s="186"/>
      <c r="N91" s="69"/>
      <c r="O91" s="10"/>
      <c r="P91" s="10"/>
      <c r="Q91" s="10"/>
      <c r="R91" s="10"/>
      <c r="S91" s="10"/>
      <c r="T91" s="10"/>
      <c r="U91" s="10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  <c r="IU91" s="8"/>
      <c r="IV91" s="8"/>
    </row>
    <row r="92" spans="1:256" ht="18" x14ac:dyDescent="0.35">
      <c r="A92" s="201"/>
      <c r="B92" s="189"/>
      <c r="C92" s="194" t="s">
        <v>31</v>
      </c>
      <c r="D92" s="84" t="s">
        <v>24</v>
      </c>
      <c r="E92" s="192">
        <v>0.10100000000000001</v>
      </c>
      <c r="F92" s="186">
        <f>F90*E92</f>
        <v>0.1313</v>
      </c>
      <c r="G92" s="186"/>
      <c r="H92" s="186"/>
      <c r="I92" s="186"/>
      <c r="J92" s="186"/>
      <c r="K92" s="186"/>
      <c r="L92" s="186"/>
      <c r="M92" s="186"/>
      <c r="N92" s="69"/>
      <c r="O92" s="10"/>
      <c r="P92" s="10"/>
      <c r="Q92" s="10"/>
      <c r="R92" s="10"/>
      <c r="S92" s="10"/>
      <c r="T92" s="10"/>
      <c r="U92" s="10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  <c r="IV92" s="8"/>
    </row>
    <row r="93" spans="1:256" ht="18" x14ac:dyDescent="0.25">
      <c r="A93" s="201"/>
      <c r="B93" s="189"/>
      <c r="C93" s="191" t="s">
        <v>36</v>
      </c>
      <c r="D93" s="177"/>
      <c r="E93" s="192"/>
      <c r="F93" s="186"/>
      <c r="G93" s="186"/>
      <c r="H93" s="186"/>
      <c r="I93" s="186"/>
      <c r="J93" s="186"/>
      <c r="K93" s="186"/>
      <c r="L93" s="186"/>
      <c r="M93" s="186"/>
      <c r="N93" s="69"/>
      <c r="O93" s="10"/>
      <c r="P93" s="10"/>
      <c r="Q93" s="10"/>
      <c r="R93" s="10"/>
      <c r="S93" s="10"/>
      <c r="T93" s="10"/>
      <c r="U93" s="10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  <c r="IV93" s="8"/>
    </row>
    <row r="94" spans="1:256" ht="48" x14ac:dyDescent="0.25">
      <c r="A94" s="175"/>
      <c r="B94" s="76"/>
      <c r="C94" s="212" t="s">
        <v>128</v>
      </c>
      <c r="D94" s="171" t="s">
        <v>57</v>
      </c>
      <c r="E94" s="192">
        <v>1.1000000000000001</v>
      </c>
      <c r="F94" s="186">
        <f>F90*E94</f>
        <v>1.4300000000000002</v>
      </c>
      <c r="G94" s="186"/>
      <c r="H94" s="186"/>
      <c r="I94" s="186"/>
      <c r="J94" s="186"/>
      <c r="K94" s="186"/>
      <c r="L94" s="186"/>
      <c r="M94" s="186"/>
      <c r="N94" s="69"/>
      <c r="O94" s="10"/>
      <c r="P94" s="10"/>
      <c r="Q94" s="10"/>
      <c r="R94" s="10"/>
      <c r="S94" s="10"/>
      <c r="T94" s="10"/>
      <c r="U94" s="10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  <c r="IV94" s="8"/>
    </row>
    <row r="95" spans="1:256" ht="18" x14ac:dyDescent="0.25">
      <c r="A95" s="188"/>
      <c r="B95" s="216" t="s">
        <v>22</v>
      </c>
      <c r="C95" s="217"/>
      <c r="D95" s="218"/>
      <c r="E95" s="186"/>
      <c r="F95" s="186"/>
      <c r="G95" s="186"/>
      <c r="H95" s="219"/>
      <c r="I95" s="219"/>
      <c r="J95" s="219"/>
      <c r="K95" s="219"/>
      <c r="L95" s="219"/>
      <c r="M95" s="219"/>
      <c r="N95" s="69"/>
      <c r="O95" s="10"/>
      <c r="P95" s="10"/>
      <c r="Q95" s="10"/>
      <c r="R95" s="10"/>
      <c r="S95" s="10"/>
      <c r="T95" s="10"/>
      <c r="U95" s="10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  <c r="IV95" s="8"/>
    </row>
    <row r="96" spans="1:256" ht="18" customHeight="1" x14ac:dyDescent="0.25">
      <c r="A96" s="85"/>
      <c r="B96" s="85"/>
      <c r="C96" s="220" t="s">
        <v>41</v>
      </c>
      <c r="D96" s="43" t="s">
        <v>24</v>
      </c>
      <c r="E96" s="57"/>
      <c r="F96" s="34"/>
      <c r="G96" s="5"/>
      <c r="H96" s="5"/>
      <c r="I96" s="5"/>
      <c r="J96" s="5"/>
      <c r="K96" s="5"/>
      <c r="L96" s="5"/>
      <c r="M96" s="5"/>
      <c r="N96" s="23"/>
      <c r="O96" s="86"/>
      <c r="P96" s="10"/>
      <c r="Q96" s="10"/>
      <c r="R96" s="10"/>
      <c r="S96" s="10"/>
      <c r="T96" s="10"/>
      <c r="U96" s="10"/>
    </row>
    <row r="97" spans="1:21" ht="18" customHeight="1" x14ac:dyDescent="0.25">
      <c r="A97" s="87"/>
      <c r="B97" s="88"/>
      <c r="C97" s="89" t="s">
        <v>141</v>
      </c>
      <c r="D97" s="90"/>
      <c r="E97" s="91"/>
      <c r="F97" s="92"/>
      <c r="G97" s="92"/>
      <c r="H97" s="92"/>
      <c r="I97" s="92"/>
      <c r="J97" s="92"/>
      <c r="K97" s="92"/>
      <c r="L97" s="92"/>
      <c r="M97" s="92"/>
      <c r="N97" s="23"/>
      <c r="O97" s="10"/>
      <c r="P97" s="10"/>
      <c r="Q97" s="10"/>
      <c r="R97" s="10"/>
      <c r="S97" s="10"/>
      <c r="T97" s="10"/>
      <c r="U97" s="10"/>
    </row>
    <row r="98" spans="1:21" ht="90" x14ac:dyDescent="0.25">
      <c r="A98" s="66">
        <v>1</v>
      </c>
      <c r="B98" s="66" t="s">
        <v>63</v>
      </c>
      <c r="C98" s="67" t="s">
        <v>64</v>
      </c>
      <c r="D98" s="60" t="s">
        <v>68</v>
      </c>
      <c r="E98" s="60"/>
      <c r="F98" s="3">
        <f>371.56/1.22</f>
        <v>304.55737704918033</v>
      </c>
      <c r="G98" s="68"/>
      <c r="H98" s="68"/>
      <c r="I98" s="68"/>
      <c r="J98" s="68"/>
      <c r="K98" s="68"/>
      <c r="L98" s="68"/>
      <c r="M98" s="68"/>
      <c r="N98" s="69"/>
      <c r="O98" s="10"/>
      <c r="P98" s="10"/>
      <c r="Q98" s="10"/>
      <c r="R98" s="10"/>
      <c r="S98" s="10"/>
      <c r="T98" s="10"/>
      <c r="U98" s="10"/>
    </row>
    <row r="99" spans="1:21" ht="18" customHeight="1" x14ac:dyDescent="0.25">
      <c r="A99" s="70"/>
      <c r="B99" s="71"/>
      <c r="C99" s="72" t="s">
        <v>20</v>
      </c>
      <c r="D99" s="55" t="s">
        <v>21</v>
      </c>
      <c r="E99" s="73">
        <f>15/100</f>
        <v>0.15</v>
      </c>
      <c r="F99" s="68">
        <f>F98*E99</f>
        <v>45.683606557377047</v>
      </c>
      <c r="G99" s="68"/>
      <c r="H99" s="68"/>
      <c r="I99" s="68"/>
      <c r="J99" s="34"/>
      <c r="K99" s="68"/>
      <c r="L99" s="68"/>
      <c r="M99" s="34"/>
      <c r="N99" s="69"/>
      <c r="O99" s="10"/>
      <c r="P99" s="10"/>
      <c r="Q99" s="10"/>
      <c r="R99" s="10"/>
      <c r="S99" s="10"/>
      <c r="T99" s="10"/>
      <c r="U99" s="10"/>
    </row>
    <row r="100" spans="1:21" ht="18" x14ac:dyDescent="0.25">
      <c r="A100" s="70"/>
      <c r="B100" s="74"/>
      <c r="C100" s="72" t="s">
        <v>42</v>
      </c>
      <c r="D100" s="55" t="s">
        <v>28</v>
      </c>
      <c r="E100" s="73">
        <f>2.16/100</f>
        <v>2.1600000000000001E-2</v>
      </c>
      <c r="F100" s="68">
        <f>F98*E100</f>
        <v>6.5784393442622955</v>
      </c>
      <c r="G100" s="68"/>
      <c r="H100" s="68"/>
      <c r="I100" s="68"/>
      <c r="J100" s="68"/>
      <c r="K100" s="68"/>
      <c r="L100" s="34"/>
      <c r="M100" s="34"/>
      <c r="N100" s="69"/>
      <c r="O100" s="10"/>
      <c r="P100" s="10"/>
      <c r="Q100" s="10"/>
      <c r="R100" s="10"/>
      <c r="S100" s="10"/>
      <c r="T100" s="10"/>
      <c r="U100" s="10"/>
    </row>
    <row r="101" spans="1:21" ht="18" x14ac:dyDescent="0.25">
      <c r="A101" s="70"/>
      <c r="B101" s="74"/>
      <c r="C101" s="52" t="s">
        <v>72</v>
      </c>
      <c r="D101" s="55" t="s">
        <v>28</v>
      </c>
      <c r="E101" s="73">
        <f>2.73/100</f>
        <v>2.7300000000000001E-2</v>
      </c>
      <c r="F101" s="68">
        <f>E101*F98</f>
        <v>8.3144163934426238</v>
      </c>
      <c r="G101" s="68"/>
      <c r="H101" s="68"/>
      <c r="I101" s="68"/>
      <c r="J101" s="68"/>
      <c r="K101" s="68"/>
      <c r="L101" s="34"/>
      <c r="M101" s="34"/>
      <c r="N101" s="69"/>
      <c r="O101" s="10"/>
      <c r="P101" s="10"/>
      <c r="Q101" s="10"/>
      <c r="R101" s="10"/>
      <c r="S101" s="10"/>
      <c r="T101" s="10"/>
      <c r="U101" s="10"/>
    </row>
    <row r="102" spans="1:21" ht="18" x14ac:dyDescent="0.25">
      <c r="A102" s="70"/>
      <c r="B102" s="74"/>
      <c r="C102" s="72" t="s">
        <v>43</v>
      </c>
      <c r="D102" s="55" t="s">
        <v>28</v>
      </c>
      <c r="E102" s="73">
        <f>0.97/100</f>
        <v>9.7000000000000003E-3</v>
      </c>
      <c r="F102" s="68">
        <f>F98*E102</f>
        <v>2.9542065573770495</v>
      </c>
      <c r="G102" s="68"/>
      <c r="H102" s="68"/>
      <c r="I102" s="68"/>
      <c r="J102" s="68"/>
      <c r="K102" s="68"/>
      <c r="L102" s="34"/>
      <c r="M102" s="34"/>
      <c r="N102" s="69"/>
      <c r="O102" s="10"/>
      <c r="P102" s="10"/>
      <c r="Q102" s="10"/>
      <c r="R102" s="10"/>
      <c r="S102" s="10"/>
      <c r="T102" s="10"/>
      <c r="U102" s="10"/>
    </row>
    <row r="103" spans="1:21" ht="18" x14ac:dyDescent="0.25">
      <c r="A103" s="70"/>
      <c r="B103" s="71"/>
      <c r="C103" s="55" t="s">
        <v>36</v>
      </c>
      <c r="D103" s="75"/>
      <c r="E103" s="55"/>
      <c r="F103" s="68"/>
      <c r="G103" s="68"/>
      <c r="H103" s="68"/>
      <c r="I103" s="68"/>
      <c r="J103" s="68"/>
      <c r="K103" s="68"/>
      <c r="L103" s="68"/>
      <c r="M103" s="68"/>
      <c r="N103" s="69"/>
      <c r="O103" s="10"/>
      <c r="P103" s="10"/>
      <c r="Q103" s="10"/>
      <c r="R103" s="10"/>
      <c r="S103" s="10"/>
      <c r="T103" s="10"/>
      <c r="U103" s="10"/>
    </row>
    <row r="104" spans="1:21" ht="54" x14ac:dyDescent="0.25">
      <c r="A104" s="66"/>
      <c r="B104" s="76"/>
      <c r="C104" s="77" t="s">
        <v>60</v>
      </c>
      <c r="D104" s="55" t="s">
        <v>57</v>
      </c>
      <c r="E104" s="55">
        <v>1.22</v>
      </c>
      <c r="F104" s="68">
        <f>F98*E104</f>
        <v>371.56</v>
      </c>
      <c r="G104" s="68"/>
      <c r="H104" s="68"/>
      <c r="I104" s="68"/>
      <c r="J104" s="68"/>
      <c r="K104" s="68"/>
      <c r="L104" s="68"/>
      <c r="M104" s="34"/>
      <c r="N104" s="69"/>
      <c r="O104" s="10"/>
      <c r="P104" s="10"/>
      <c r="Q104" s="10"/>
      <c r="R104" s="10"/>
      <c r="S104" s="10"/>
      <c r="T104" s="10"/>
      <c r="U104" s="10"/>
    </row>
    <row r="105" spans="1:21" ht="18" customHeight="1" x14ac:dyDescent="0.35">
      <c r="A105" s="70"/>
      <c r="B105" s="71"/>
      <c r="C105" s="78" t="s">
        <v>44</v>
      </c>
      <c r="D105" s="55" t="s">
        <v>57</v>
      </c>
      <c r="E105" s="79">
        <v>7.0000000000000007E-2</v>
      </c>
      <c r="F105" s="68">
        <f>F98*E105</f>
        <v>21.319016393442624</v>
      </c>
      <c r="G105" s="34"/>
      <c r="H105" s="68"/>
      <c r="I105" s="68"/>
      <c r="J105" s="68"/>
      <c r="K105" s="68"/>
      <c r="L105" s="68"/>
      <c r="M105" s="34"/>
      <c r="N105" s="69"/>
      <c r="O105" s="10"/>
      <c r="P105" s="10"/>
      <c r="Q105" s="10"/>
      <c r="R105" s="10"/>
      <c r="S105" s="10"/>
      <c r="T105" s="10"/>
      <c r="U105" s="10"/>
    </row>
    <row r="106" spans="1:21" ht="49.5" x14ac:dyDescent="0.25">
      <c r="A106" s="70">
        <v>2</v>
      </c>
      <c r="B106" s="83" t="s">
        <v>45</v>
      </c>
      <c r="C106" s="93" t="s">
        <v>62</v>
      </c>
      <c r="D106" s="94" t="s">
        <v>69</v>
      </c>
      <c r="E106" s="66"/>
      <c r="F106" s="4">
        <v>2488.23</v>
      </c>
      <c r="G106" s="68"/>
      <c r="H106" s="68"/>
      <c r="I106" s="68"/>
      <c r="J106" s="68"/>
      <c r="K106" s="68"/>
      <c r="L106" s="68"/>
      <c r="M106" s="68"/>
      <c r="N106" s="23"/>
      <c r="O106" s="10"/>
      <c r="P106" s="10"/>
      <c r="Q106" s="10"/>
      <c r="R106" s="10"/>
      <c r="S106" s="10"/>
      <c r="T106" s="10"/>
      <c r="U106" s="10"/>
    </row>
    <row r="107" spans="1:21" ht="18" x14ac:dyDescent="0.25">
      <c r="A107" s="70"/>
      <c r="B107" s="71"/>
      <c r="C107" s="72" t="s">
        <v>20</v>
      </c>
      <c r="D107" s="55" t="s">
        <v>21</v>
      </c>
      <c r="E107" s="55">
        <f>33/1000</f>
        <v>3.3000000000000002E-2</v>
      </c>
      <c r="F107" s="68">
        <f>F106*E107</f>
        <v>82.111590000000007</v>
      </c>
      <c r="G107" s="68"/>
      <c r="H107" s="68"/>
      <c r="I107" s="68"/>
      <c r="J107" s="34"/>
      <c r="K107" s="68"/>
      <c r="L107" s="68"/>
      <c r="M107" s="34"/>
      <c r="N107" s="23"/>
      <c r="O107" s="10"/>
      <c r="P107" s="10"/>
      <c r="Q107" s="10"/>
      <c r="R107" s="10"/>
      <c r="S107" s="10"/>
      <c r="T107" s="10"/>
      <c r="U107" s="10"/>
    </row>
    <row r="108" spans="1:21" ht="18" x14ac:dyDescent="0.35">
      <c r="A108" s="70"/>
      <c r="B108" s="71"/>
      <c r="C108" s="78" t="s">
        <v>46</v>
      </c>
      <c r="D108" s="55" t="s">
        <v>28</v>
      </c>
      <c r="E108" s="55">
        <f>2.58/1000</f>
        <v>2.5800000000000003E-3</v>
      </c>
      <c r="F108" s="68">
        <f>F106*E108</f>
        <v>6.4196334000000004</v>
      </c>
      <c r="G108" s="68"/>
      <c r="H108" s="68"/>
      <c r="I108" s="68"/>
      <c r="J108" s="68"/>
      <c r="K108" s="68"/>
      <c r="L108" s="34"/>
      <c r="M108" s="34"/>
      <c r="N108" s="23"/>
      <c r="O108" s="10"/>
      <c r="P108" s="10"/>
      <c r="Q108" s="10"/>
      <c r="R108" s="10"/>
      <c r="S108" s="10"/>
      <c r="T108" s="10"/>
      <c r="U108" s="10"/>
    </row>
    <row r="109" spans="1:21" ht="18" x14ac:dyDescent="0.25">
      <c r="A109" s="70"/>
      <c r="B109" s="74"/>
      <c r="C109" s="72" t="s">
        <v>42</v>
      </c>
      <c r="D109" s="55" t="s">
        <v>28</v>
      </c>
      <c r="E109" s="55">
        <f>0.42/1000</f>
        <v>4.1999999999999996E-4</v>
      </c>
      <c r="F109" s="68">
        <f>F106*E109</f>
        <v>1.0450565999999999</v>
      </c>
      <c r="G109" s="68"/>
      <c r="H109" s="68"/>
      <c r="I109" s="68"/>
      <c r="J109" s="68"/>
      <c r="K109" s="68"/>
      <c r="L109" s="34"/>
      <c r="M109" s="34"/>
      <c r="N109" s="23"/>
      <c r="O109" s="10"/>
      <c r="P109" s="10"/>
      <c r="Q109" s="10"/>
      <c r="R109" s="10"/>
      <c r="S109" s="10"/>
      <c r="T109" s="10"/>
      <c r="U109" s="10"/>
    </row>
    <row r="110" spans="1:21" ht="18" x14ac:dyDescent="0.35">
      <c r="A110" s="70"/>
      <c r="B110" s="74"/>
      <c r="C110" s="78" t="s">
        <v>47</v>
      </c>
      <c r="D110" s="55" t="s">
        <v>28</v>
      </c>
      <c r="E110" s="55">
        <f>11.2/1000</f>
        <v>1.12E-2</v>
      </c>
      <c r="F110" s="68">
        <f>E110*F106</f>
        <v>27.868175999999998</v>
      </c>
      <c r="G110" s="68"/>
      <c r="H110" s="68"/>
      <c r="I110" s="68"/>
      <c r="J110" s="68"/>
      <c r="K110" s="68"/>
      <c r="L110" s="34"/>
      <c r="M110" s="34"/>
      <c r="N110" s="23"/>
      <c r="O110" s="10"/>
      <c r="P110" s="10"/>
      <c r="Q110" s="10"/>
      <c r="R110" s="10"/>
      <c r="S110" s="10"/>
      <c r="T110" s="10"/>
      <c r="U110" s="10"/>
    </row>
    <row r="111" spans="1:21" ht="18" x14ac:dyDescent="0.35">
      <c r="A111" s="70"/>
      <c r="B111" s="74"/>
      <c r="C111" s="78" t="s">
        <v>48</v>
      </c>
      <c r="D111" s="55" t="s">
        <v>28</v>
      </c>
      <c r="E111" s="55">
        <f>24.8/1000</f>
        <v>2.4799999999999999E-2</v>
      </c>
      <c r="F111" s="68">
        <f>E111*F106</f>
        <v>61.708103999999999</v>
      </c>
      <c r="G111" s="68"/>
      <c r="H111" s="68"/>
      <c r="I111" s="68"/>
      <c r="J111" s="68"/>
      <c r="K111" s="68"/>
      <c r="L111" s="34"/>
      <c r="M111" s="34"/>
      <c r="N111" s="23"/>
      <c r="O111" s="10"/>
      <c r="P111" s="10"/>
      <c r="Q111" s="10"/>
      <c r="R111" s="10"/>
      <c r="S111" s="10"/>
      <c r="T111" s="10"/>
      <c r="U111" s="10"/>
    </row>
    <row r="112" spans="1:21" ht="18" x14ac:dyDescent="0.35">
      <c r="A112" s="70"/>
      <c r="B112" s="74"/>
      <c r="C112" s="78" t="s">
        <v>43</v>
      </c>
      <c r="D112" s="55" t="s">
        <v>28</v>
      </c>
      <c r="E112" s="55">
        <f>4.14/1000</f>
        <v>4.1399999999999996E-3</v>
      </c>
      <c r="F112" s="68">
        <f>F106*E112</f>
        <v>10.3012722</v>
      </c>
      <c r="G112" s="68"/>
      <c r="H112" s="68"/>
      <c r="I112" s="68"/>
      <c r="J112" s="68"/>
      <c r="K112" s="68"/>
      <c r="L112" s="34"/>
      <c r="M112" s="34"/>
      <c r="N112" s="23"/>
      <c r="O112" s="10"/>
      <c r="P112" s="10"/>
      <c r="Q112" s="10"/>
      <c r="R112" s="10"/>
      <c r="S112" s="10"/>
      <c r="T112" s="10"/>
      <c r="U112" s="10"/>
    </row>
    <row r="113" spans="1:21" ht="36" x14ac:dyDescent="0.35">
      <c r="A113" s="70"/>
      <c r="B113" s="74"/>
      <c r="C113" s="95" t="s">
        <v>49</v>
      </c>
      <c r="D113" s="55" t="s">
        <v>28</v>
      </c>
      <c r="E113" s="55">
        <f>0.53/1000</f>
        <v>5.2999999999999998E-4</v>
      </c>
      <c r="F113" s="68">
        <f>F106*E113</f>
        <v>1.3187618999999999</v>
      </c>
      <c r="G113" s="68"/>
      <c r="H113" s="68"/>
      <c r="I113" s="68"/>
      <c r="J113" s="68"/>
      <c r="K113" s="68"/>
      <c r="L113" s="34"/>
      <c r="M113" s="34"/>
      <c r="N113" s="23"/>
      <c r="O113" s="10"/>
      <c r="P113" s="10"/>
      <c r="Q113" s="10"/>
      <c r="R113" s="10"/>
      <c r="S113" s="10"/>
      <c r="T113" s="10"/>
      <c r="U113" s="10"/>
    </row>
    <row r="114" spans="1:21" ht="18" x14ac:dyDescent="0.25">
      <c r="A114" s="70"/>
      <c r="B114" s="71"/>
      <c r="C114" s="55" t="s">
        <v>36</v>
      </c>
      <c r="D114" s="75"/>
      <c r="E114" s="55"/>
      <c r="F114" s="68"/>
      <c r="G114" s="68"/>
      <c r="H114" s="68"/>
      <c r="I114" s="68"/>
      <c r="J114" s="68"/>
      <c r="K114" s="68"/>
      <c r="L114" s="68"/>
      <c r="M114" s="68"/>
      <c r="N114" s="23"/>
      <c r="O114" s="10"/>
      <c r="P114" s="10"/>
      <c r="Q114" s="10"/>
      <c r="R114" s="10"/>
      <c r="S114" s="10"/>
      <c r="T114" s="10"/>
      <c r="U114" s="10"/>
    </row>
    <row r="115" spans="1:21" ht="36" x14ac:dyDescent="0.25">
      <c r="A115" s="70"/>
      <c r="B115" s="76"/>
      <c r="C115" s="77" t="s">
        <v>50</v>
      </c>
      <c r="D115" s="55" t="s">
        <v>57</v>
      </c>
      <c r="E115" s="84">
        <v>0.126</v>
      </c>
      <c r="F115" s="68">
        <f>F106*E115</f>
        <v>313.51697999999999</v>
      </c>
      <c r="G115" s="68"/>
      <c r="H115" s="68"/>
      <c r="I115" s="68"/>
      <c r="J115" s="68"/>
      <c r="K115" s="68"/>
      <c r="L115" s="68"/>
      <c r="M115" s="34"/>
      <c r="N115" s="23"/>
      <c r="O115" s="10"/>
      <c r="P115" s="10"/>
      <c r="Q115" s="10"/>
      <c r="R115" s="10"/>
      <c r="S115" s="10"/>
      <c r="T115" s="10"/>
      <c r="U115" s="10"/>
    </row>
    <row r="116" spans="1:21" ht="20.25" x14ac:dyDescent="0.35">
      <c r="A116" s="70"/>
      <c r="B116" s="71"/>
      <c r="C116" s="78" t="s">
        <v>44</v>
      </c>
      <c r="D116" s="75" t="s">
        <v>58</v>
      </c>
      <c r="E116" s="55">
        <f>30/1000</f>
        <v>0.03</v>
      </c>
      <c r="F116" s="68">
        <f>F106*E116</f>
        <v>74.646900000000002</v>
      </c>
      <c r="G116" s="68"/>
      <c r="H116" s="68"/>
      <c r="I116" s="68"/>
      <c r="J116" s="68"/>
      <c r="K116" s="68"/>
      <c r="L116" s="68"/>
      <c r="M116" s="34"/>
      <c r="N116" s="23"/>
      <c r="O116" s="10"/>
      <c r="P116" s="10"/>
      <c r="Q116" s="10"/>
      <c r="R116" s="10"/>
      <c r="S116" s="10"/>
      <c r="T116" s="10"/>
      <c r="U116" s="10"/>
    </row>
    <row r="117" spans="1:21" ht="36" x14ac:dyDescent="0.25">
      <c r="A117" s="81">
        <v>3</v>
      </c>
      <c r="B117" s="60" t="s">
        <v>51</v>
      </c>
      <c r="C117" s="96" t="s">
        <v>74</v>
      </c>
      <c r="D117" s="66" t="s">
        <v>37</v>
      </c>
      <c r="E117" s="57"/>
      <c r="F117" s="5">
        <f>F121*0.0006</f>
        <v>1.3559999999999999</v>
      </c>
      <c r="G117" s="34"/>
      <c r="H117" s="34"/>
      <c r="I117" s="34"/>
      <c r="J117" s="34"/>
      <c r="K117" s="34"/>
      <c r="L117" s="34"/>
      <c r="M117" s="34"/>
      <c r="N117" s="23"/>
      <c r="O117" s="10"/>
      <c r="P117" s="10"/>
      <c r="Q117" s="10"/>
      <c r="R117" s="10"/>
      <c r="S117" s="10"/>
      <c r="T117" s="10"/>
      <c r="U117" s="10"/>
    </row>
    <row r="118" spans="1:21" ht="18" x14ac:dyDescent="0.35">
      <c r="A118" s="35"/>
      <c r="B118" s="97"/>
      <c r="C118" s="37" t="s">
        <v>52</v>
      </c>
      <c r="D118" s="172" t="s">
        <v>28</v>
      </c>
      <c r="E118" s="98">
        <v>0.3</v>
      </c>
      <c r="F118" s="34">
        <f>F117*E118</f>
        <v>0.40679999999999994</v>
      </c>
      <c r="G118" s="34"/>
      <c r="H118" s="34"/>
      <c r="I118" s="34"/>
      <c r="J118" s="34"/>
      <c r="K118" s="34"/>
      <c r="L118" s="34"/>
      <c r="M118" s="34"/>
      <c r="N118" s="23"/>
      <c r="O118" s="10"/>
      <c r="P118" s="10"/>
      <c r="Q118" s="10"/>
      <c r="R118" s="10"/>
      <c r="S118" s="10"/>
      <c r="T118" s="10"/>
      <c r="U118" s="10"/>
    </row>
    <row r="119" spans="1:21" ht="18" x14ac:dyDescent="0.25">
      <c r="A119" s="35"/>
      <c r="B119" s="36"/>
      <c r="C119" s="172" t="s">
        <v>36</v>
      </c>
      <c r="D119" s="99"/>
      <c r="E119" s="173"/>
      <c r="F119" s="34"/>
      <c r="G119" s="34"/>
      <c r="H119" s="34"/>
      <c r="I119" s="34"/>
      <c r="J119" s="34"/>
      <c r="K119" s="34"/>
      <c r="L119" s="34"/>
      <c r="M119" s="34"/>
      <c r="N119" s="23"/>
      <c r="O119" s="10"/>
      <c r="P119" s="10"/>
      <c r="Q119" s="10"/>
      <c r="R119" s="10"/>
      <c r="S119" s="10"/>
      <c r="T119" s="10"/>
      <c r="U119" s="10"/>
    </row>
    <row r="120" spans="1:21" ht="18" x14ac:dyDescent="0.25">
      <c r="A120" s="35"/>
      <c r="B120" s="58"/>
      <c r="C120" s="100" t="s">
        <v>40</v>
      </c>
      <c r="D120" s="55" t="s">
        <v>37</v>
      </c>
      <c r="E120" s="82" t="s">
        <v>70</v>
      </c>
      <c r="F120" s="34">
        <f>F117*E120</f>
        <v>1.3966799999999999</v>
      </c>
      <c r="G120" s="34"/>
      <c r="H120" s="68"/>
      <c r="I120" s="34"/>
      <c r="J120" s="34"/>
      <c r="K120" s="34"/>
      <c r="L120" s="34"/>
      <c r="M120" s="34"/>
      <c r="N120" s="23"/>
      <c r="O120" s="10"/>
      <c r="P120" s="10"/>
      <c r="Q120" s="10"/>
      <c r="R120" s="10"/>
      <c r="S120" s="10"/>
      <c r="T120" s="10"/>
      <c r="U120" s="10"/>
    </row>
    <row r="121" spans="1:21" ht="66" x14ac:dyDescent="0.25">
      <c r="A121" s="101">
        <v>4</v>
      </c>
      <c r="B121" s="102" t="s">
        <v>73</v>
      </c>
      <c r="C121" s="103" t="s">
        <v>76</v>
      </c>
      <c r="D121" s="104" t="s">
        <v>71</v>
      </c>
      <c r="E121" s="57"/>
      <c r="F121" s="5">
        <v>2260</v>
      </c>
      <c r="G121" s="34"/>
      <c r="H121" s="34"/>
      <c r="I121" s="34"/>
      <c r="J121" s="34"/>
      <c r="K121" s="34"/>
      <c r="L121" s="34"/>
      <c r="M121" s="34"/>
      <c r="N121" s="23"/>
      <c r="O121" s="10"/>
      <c r="P121" s="10"/>
      <c r="Q121" s="10"/>
      <c r="R121" s="10"/>
      <c r="S121" s="10"/>
      <c r="T121" s="10"/>
      <c r="U121" s="10"/>
    </row>
    <row r="122" spans="1:21" ht="18" x14ac:dyDescent="0.25">
      <c r="A122" s="25"/>
      <c r="B122" s="36"/>
      <c r="C122" s="105" t="s">
        <v>20</v>
      </c>
      <c r="D122" s="172" t="s">
        <v>21</v>
      </c>
      <c r="E122" s="98">
        <f>37.5/1000+2*0.07/1000</f>
        <v>3.764E-2</v>
      </c>
      <c r="F122" s="34">
        <f>F121*E122</f>
        <v>85.066400000000002</v>
      </c>
      <c r="G122" s="34"/>
      <c r="H122" s="34"/>
      <c r="I122" s="34"/>
      <c r="J122" s="34"/>
      <c r="K122" s="34"/>
      <c r="L122" s="34"/>
      <c r="M122" s="34"/>
      <c r="N122" s="23"/>
      <c r="O122" s="10"/>
      <c r="P122" s="10"/>
      <c r="Q122" s="10"/>
      <c r="R122" s="10"/>
      <c r="S122" s="10"/>
      <c r="T122" s="10"/>
      <c r="U122" s="10"/>
    </row>
    <row r="123" spans="1:21" ht="18" x14ac:dyDescent="0.35">
      <c r="A123" s="25"/>
      <c r="B123" s="6"/>
      <c r="C123" s="37" t="s">
        <v>47</v>
      </c>
      <c r="D123" s="172" t="s">
        <v>28</v>
      </c>
      <c r="E123" s="98">
        <f t="shared" ref="E123" si="9">3.02/1000</f>
        <v>3.0200000000000001E-3</v>
      </c>
      <c r="F123" s="34">
        <f>E123*F121</f>
        <v>6.8252000000000006</v>
      </c>
      <c r="G123" s="34"/>
      <c r="H123" s="34"/>
      <c r="I123" s="34"/>
      <c r="J123" s="34"/>
      <c r="K123" s="34"/>
      <c r="L123" s="34"/>
      <c r="M123" s="34"/>
      <c r="N123" s="23"/>
      <c r="O123" s="10"/>
      <c r="P123" s="10"/>
      <c r="Q123" s="10"/>
      <c r="R123" s="10"/>
      <c r="S123" s="10"/>
      <c r="T123" s="10"/>
      <c r="U123" s="10"/>
    </row>
    <row r="124" spans="1:21" ht="18" x14ac:dyDescent="0.35">
      <c r="A124" s="25"/>
      <c r="B124" s="6"/>
      <c r="C124" s="78" t="s">
        <v>48</v>
      </c>
      <c r="D124" s="172" t="s">
        <v>28</v>
      </c>
      <c r="E124" s="98">
        <f t="shared" ref="E124" si="10">3.7/1000</f>
        <v>3.7000000000000002E-3</v>
      </c>
      <c r="F124" s="34">
        <f>E124*F121</f>
        <v>8.3620000000000001</v>
      </c>
      <c r="G124" s="34"/>
      <c r="H124" s="34"/>
      <c r="I124" s="34"/>
      <c r="J124" s="34"/>
      <c r="K124" s="34"/>
      <c r="L124" s="34"/>
      <c r="M124" s="34"/>
      <c r="N124" s="23"/>
      <c r="O124" s="10"/>
      <c r="P124" s="10"/>
      <c r="Q124" s="10"/>
      <c r="R124" s="10"/>
      <c r="S124" s="10"/>
      <c r="T124" s="10"/>
      <c r="U124" s="10"/>
    </row>
    <row r="125" spans="1:21" ht="18" x14ac:dyDescent="0.35">
      <c r="A125" s="25"/>
      <c r="B125" s="6"/>
      <c r="C125" s="37" t="s">
        <v>53</v>
      </c>
      <c r="D125" s="172" t="s">
        <v>28</v>
      </c>
      <c r="E125" s="98">
        <f t="shared" ref="E125" si="11">11.1/1000</f>
        <v>1.11E-2</v>
      </c>
      <c r="F125" s="34">
        <f>E125*F121</f>
        <v>25.086000000000002</v>
      </c>
      <c r="G125" s="34"/>
      <c r="H125" s="34"/>
      <c r="I125" s="34"/>
      <c r="J125" s="34"/>
      <c r="K125" s="34"/>
      <c r="L125" s="34"/>
      <c r="M125" s="34"/>
      <c r="N125" s="23"/>
      <c r="O125" s="10"/>
      <c r="P125" s="10"/>
      <c r="Q125" s="10"/>
      <c r="R125" s="10"/>
      <c r="S125" s="10"/>
      <c r="T125" s="10"/>
      <c r="U125" s="10"/>
    </row>
    <row r="126" spans="1:21" ht="18" x14ac:dyDescent="0.35">
      <c r="A126" s="25"/>
      <c r="B126" s="36"/>
      <c r="C126" s="37" t="s">
        <v>31</v>
      </c>
      <c r="D126" s="172" t="s">
        <v>24</v>
      </c>
      <c r="E126" s="98">
        <v>2.3E-3</v>
      </c>
      <c r="F126" s="34">
        <f>E126*F121</f>
        <v>5.1979999999999995</v>
      </c>
      <c r="G126" s="34"/>
      <c r="H126" s="34"/>
      <c r="I126" s="34"/>
      <c r="J126" s="34"/>
      <c r="K126" s="34"/>
      <c r="L126" s="34"/>
      <c r="M126" s="34"/>
      <c r="N126" s="23"/>
      <c r="O126" s="10"/>
      <c r="P126" s="10"/>
      <c r="Q126" s="10"/>
      <c r="R126" s="10"/>
      <c r="S126" s="10"/>
      <c r="T126" s="10"/>
      <c r="U126" s="10"/>
    </row>
    <row r="127" spans="1:21" ht="18" x14ac:dyDescent="0.25">
      <c r="A127" s="25"/>
      <c r="B127" s="36"/>
      <c r="C127" s="172" t="s">
        <v>36</v>
      </c>
      <c r="D127" s="44"/>
      <c r="E127" s="173"/>
      <c r="F127" s="34"/>
      <c r="G127" s="34"/>
      <c r="H127" s="34"/>
      <c r="I127" s="34"/>
      <c r="J127" s="34"/>
      <c r="K127" s="34"/>
      <c r="L127" s="34"/>
      <c r="M127" s="34"/>
      <c r="N127" s="23"/>
      <c r="O127" s="10"/>
      <c r="P127" s="10"/>
      <c r="Q127" s="10"/>
      <c r="R127" s="10"/>
      <c r="S127" s="10"/>
      <c r="T127" s="10"/>
      <c r="U127" s="10"/>
    </row>
    <row r="128" spans="1:21" ht="18" x14ac:dyDescent="0.35">
      <c r="A128" s="25"/>
      <c r="B128" s="58"/>
      <c r="C128" s="37" t="s">
        <v>78</v>
      </c>
      <c r="D128" s="55" t="s">
        <v>37</v>
      </c>
      <c r="E128" s="98">
        <f>(97.4+12.1*2)/1000</f>
        <v>0.12160000000000001</v>
      </c>
      <c r="F128" s="34">
        <f>F121*E128</f>
        <v>274.81600000000003</v>
      </c>
      <c r="G128" s="34"/>
      <c r="H128" s="68"/>
      <c r="I128" s="34"/>
      <c r="J128" s="34"/>
      <c r="K128" s="34"/>
      <c r="L128" s="34"/>
      <c r="M128" s="34"/>
      <c r="N128" s="23"/>
      <c r="O128" s="10"/>
      <c r="P128" s="10"/>
      <c r="Q128" s="10"/>
      <c r="R128" s="10"/>
      <c r="S128" s="10"/>
      <c r="T128" s="10"/>
      <c r="U128" s="10"/>
    </row>
    <row r="129" spans="1:21" ht="18" x14ac:dyDescent="0.35">
      <c r="A129" s="25"/>
      <c r="B129" s="36"/>
      <c r="C129" s="37" t="s">
        <v>39</v>
      </c>
      <c r="D129" s="172" t="s">
        <v>24</v>
      </c>
      <c r="E129" s="98">
        <f>0.0145+0.2*2/1000</f>
        <v>1.49E-2</v>
      </c>
      <c r="F129" s="34">
        <f>F121*E129</f>
        <v>33.673999999999999</v>
      </c>
      <c r="G129" s="34"/>
      <c r="H129" s="68"/>
      <c r="I129" s="34"/>
      <c r="J129" s="34"/>
      <c r="K129" s="34"/>
      <c r="L129" s="34"/>
      <c r="M129" s="34"/>
      <c r="N129" s="23"/>
      <c r="O129" s="10"/>
      <c r="P129" s="10"/>
      <c r="Q129" s="10"/>
      <c r="R129" s="10"/>
      <c r="S129" s="10"/>
      <c r="T129" s="10"/>
      <c r="U129" s="10"/>
    </row>
    <row r="130" spans="1:21" ht="90" x14ac:dyDescent="0.35">
      <c r="A130" s="81">
        <v>6</v>
      </c>
      <c r="B130" s="66" t="s">
        <v>80</v>
      </c>
      <c r="C130" s="151" t="s">
        <v>81</v>
      </c>
      <c r="D130" s="55" t="s">
        <v>57</v>
      </c>
      <c r="E130" s="173"/>
      <c r="F130" s="2">
        <f>94.82/1.22</f>
        <v>77.721311475409834</v>
      </c>
      <c r="G130" s="34"/>
      <c r="H130" s="34"/>
      <c r="I130" s="34"/>
      <c r="J130" s="34"/>
      <c r="K130" s="34"/>
      <c r="L130" s="34"/>
      <c r="M130" s="34"/>
      <c r="N130" s="23"/>
      <c r="O130" s="10"/>
      <c r="P130" s="10"/>
      <c r="Q130" s="10"/>
      <c r="R130" s="10"/>
      <c r="S130" s="10"/>
      <c r="T130" s="10"/>
      <c r="U130" s="10"/>
    </row>
    <row r="131" spans="1:21" ht="18" x14ac:dyDescent="0.35">
      <c r="A131" s="25"/>
      <c r="B131" s="152"/>
      <c r="C131" s="153" t="s">
        <v>20</v>
      </c>
      <c r="D131" s="154" t="s">
        <v>21</v>
      </c>
      <c r="E131" s="98">
        <v>0.15</v>
      </c>
      <c r="F131" s="34">
        <f>F130*E131</f>
        <v>11.658196721311475</v>
      </c>
      <c r="G131" s="34"/>
      <c r="H131" s="34"/>
      <c r="I131" s="34"/>
      <c r="J131" s="34"/>
      <c r="K131" s="34"/>
      <c r="L131" s="34"/>
      <c r="M131" s="34"/>
      <c r="N131" s="23"/>
      <c r="O131" s="10"/>
      <c r="P131" s="10"/>
      <c r="Q131" s="10"/>
      <c r="R131" s="10"/>
      <c r="S131" s="10"/>
      <c r="T131" s="10"/>
      <c r="U131" s="10"/>
    </row>
    <row r="132" spans="1:21" ht="18" x14ac:dyDescent="0.25">
      <c r="A132" s="25"/>
      <c r="B132" s="6" t="s">
        <v>82</v>
      </c>
      <c r="C132" s="52" t="s">
        <v>42</v>
      </c>
      <c r="D132" s="154" t="s">
        <v>28</v>
      </c>
      <c r="E132" s="98">
        <v>2.1999999999999999E-2</v>
      </c>
      <c r="F132" s="34">
        <f>F130*E132</f>
        <v>1.7098688524590162</v>
      </c>
      <c r="G132" s="34"/>
      <c r="H132" s="34"/>
      <c r="I132" s="34"/>
      <c r="J132" s="34"/>
      <c r="K132" s="34"/>
      <c r="L132" s="34"/>
      <c r="M132" s="34"/>
      <c r="N132" s="23"/>
      <c r="O132" s="155"/>
      <c r="P132" s="69"/>
      <c r="Q132" s="10"/>
      <c r="R132" s="10"/>
      <c r="S132" s="10"/>
      <c r="T132" s="10"/>
      <c r="U132" s="10"/>
    </row>
    <row r="133" spans="1:21" ht="18" x14ac:dyDescent="0.25">
      <c r="A133" s="25"/>
      <c r="B133" s="74" t="s">
        <v>83</v>
      </c>
      <c r="C133" s="52" t="s">
        <v>84</v>
      </c>
      <c r="D133" s="154" t="s">
        <v>28</v>
      </c>
      <c r="E133" s="98">
        <v>2.7E-2</v>
      </c>
      <c r="F133" s="34">
        <f>F130*E133</f>
        <v>2.0984754098360656</v>
      </c>
      <c r="G133" s="34"/>
      <c r="H133" s="34"/>
      <c r="I133" s="34"/>
      <c r="J133" s="34"/>
      <c r="K133" s="34"/>
      <c r="L133" s="34"/>
      <c r="M133" s="34"/>
      <c r="N133" s="23"/>
      <c r="O133" s="156"/>
      <c r="P133" s="10"/>
      <c r="Q133" s="10"/>
      <c r="R133" s="10"/>
      <c r="S133" s="10"/>
      <c r="T133" s="10"/>
      <c r="U133" s="10"/>
    </row>
    <row r="134" spans="1:21" ht="18" x14ac:dyDescent="0.25">
      <c r="A134" s="25"/>
      <c r="B134" s="74" t="s">
        <v>85</v>
      </c>
      <c r="C134" s="52" t="s">
        <v>43</v>
      </c>
      <c r="D134" s="154" t="s">
        <v>28</v>
      </c>
      <c r="E134" s="98">
        <v>0.01</v>
      </c>
      <c r="F134" s="34">
        <f>F130*E134</f>
        <v>0.77721311475409838</v>
      </c>
      <c r="G134" s="34"/>
      <c r="H134" s="34"/>
      <c r="I134" s="34"/>
      <c r="J134" s="34"/>
      <c r="K134" s="34"/>
      <c r="L134" s="34"/>
      <c r="M134" s="34"/>
      <c r="N134" s="23"/>
      <c r="O134" s="156"/>
      <c r="P134" s="10"/>
      <c r="Q134" s="10"/>
      <c r="R134" s="10"/>
      <c r="S134" s="10"/>
      <c r="T134" s="10"/>
      <c r="U134" s="10"/>
    </row>
    <row r="135" spans="1:21" ht="18" x14ac:dyDescent="0.35">
      <c r="A135" s="25"/>
      <c r="B135" s="71"/>
      <c r="C135" s="153" t="s">
        <v>36</v>
      </c>
      <c r="D135" s="157"/>
      <c r="E135" s="173"/>
      <c r="F135" s="34"/>
      <c r="G135" s="34"/>
      <c r="H135" s="34"/>
      <c r="I135" s="34"/>
      <c r="J135" s="34"/>
      <c r="K135" s="34"/>
      <c r="L135" s="34"/>
      <c r="M135" s="34"/>
      <c r="N135" s="23"/>
      <c r="O135" s="156"/>
      <c r="P135" s="10"/>
      <c r="Q135" s="10"/>
      <c r="R135" s="10"/>
      <c r="S135" s="10"/>
      <c r="T135" s="10"/>
      <c r="U135" s="10"/>
    </row>
    <row r="136" spans="1:21" ht="54" x14ac:dyDescent="0.25">
      <c r="A136" s="25"/>
      <c r="B136" s="76" t="s">
        <v>86</v>
      </c>
      <c r="C136" s="158" t="s">
        <v>60</v>
      </c>
      <c r="D136" s="55" t="s">
        <v>57</v>
      </c>
      <c r="E136" s="98">
        <v>1.22</v>
      </c>
      <c r="F136" s="34">
        <f>F130*E136</f>
        <v>94.82</v>
      </c>
      <c r="G136" s="34"/>
      <c r="H136" s="34"/>
      <c r="I136" s="34"/>
      <c r="J136" s="34"/>
      <c r="K136" s="34"/>
      <c r="L136" s="34"/>
      <c r="M136" s="34"/>
      <c r="N136" s="23"/>
      <c r="O136" s="156"/>
      <c r="P136" s="10"/>
      <c r="Q136" s="10"/>
      <c r="R136" s="10"/>
      <c r="S136" s="10"/>
      <c r="T136" s="10"/>
      <c r="U136" s="10"/>
    </row>
    <row r="137" spans="1:21" ht="19.5" x14ac:dyDescent="0.35">
      <c r="A137" s="25"/>
      <c r="B137" s="71"/>
      <c r="C137" s="153" t="s">
        <v>44</v>
      </c>
      <c r="D137" s="55" t="s">
        <v>57</v>
      </c>
      <c r="E137" s="98">
        <v>7.0000000000000007E-2</v>
      </c>
      <c r="F137" s="34">
        <f>F130*E137</f>
        <v>5.4404918032786886</v>
      </c>
      <c r="G137" s="34"/>
      <c r="H137" s="34"/>
      <c r="I137" s="34"/>
      <c r="J137" s="34"/>
      <c r="K137" s="34"/>
      <c r="L137" s="34"/>
      <c r="M137" s="34"/>
      <c r="N137" s="23"/>
      <c r="O137" s="156"/>
      <c r="P137" s="10"/>
      <c r="Q137" s="10"/>
      <c r="R137" s="10"/>
      <c r="S137" s="10"/>
      <c r="T137" s="10"/>
      <c r="U137" s="10"/>
    </row>
    <row r="138" spans="1:21" ht="18" customHeight="1" x14ac:dyDescent="0.25">
      <c r="A138" s="109"/>
      <c r="B138" s="110"/>
      <c r="C138" s="106" t="s">
        <v>22</v>
      </c>
      <c r="D138" s="111"/>
      <c r="E138" s="173"/>
      <c r="F138" s="34"/>
      <c r="G138" s="34"/>
      <c r="H138" s="5"/>
      <c r="I138" s="5"/>
      <c r="J138" s="5"/>
      <c r="K138" s="5"/>
      <c r="L138" s="5"/>
      <c r="M138" s="5"/>
      <c r="N138" s="23"/>
      <c r="O138" s="108"/>
      <c r="P138" s="10"/>
      <c r="Q138" s="10"/>
      <c r="R138" s="10"/>
      <c r="S138" s="10"/>
      <c r="T138" s="10"/>
      <c r="U138" s="10"/>
    </row>
    <row r="139" spans="1:21" ht="18" customHeight="1" x14ac:dyDescent="0.25">
      <c r="A139" s="87"/>
      <c r="B139" s="88"/>
      <c r="C139" s="89" t="s">
        <v>94</v>
      </c>
      <c r="D139" s="90"/>
      <c r="E139" s="91"/>
      <c r="F139" s="92"/>
      <c r="G139" s="92"/>
      <c r="H139" s="92"/>
      <c r="I139" s="92"/>
      <c r="J139" s="92"/>
      <c r="K139" s="92"/>
      <c r="L139" s="92"/>
      <c r="M139" s="92"/>
      <c r="N139" s="23"/>
      <c r="O139" s="10"/>
      <c r="P139" s="10"/>
      <c r="Q139" s="10"/>
      <c r="R139" s="10"/>
      <c r="S139" s="10"/>
      <c r="T139" s="10"/>
      <c r="U139" s="10"/>
    </row>
    <row r="140" spans="1:21" ht="90" x14ac:dyDescent="0.25">
      <c r="A140" s="66">
        <v>1</v>
      </c>
      <c r="B140" s="66" t="s">
        <v>63</v>
      </c>
      <c r="C140" s="67" t="s">
        <v>64</v>
      </c>
      <c r="D140" s="60" t="s">
        <v>68</v>
      </c>
      <c r="E140" s="60"/>
      <c r="F140" s="3">
        <f>19.06/1.22</f>
        <v>15.622950819672131</v>
      </c>
      <c r="G140" s="68"/>
      <c r="H140" s="68"/>
      <c r="I140" s="68"/>
      <c r="J140" s="68"/>
      <c r="K140" s="68"/>
      <c r="L140" s="68"/>
      <c r="M140" s="68"/>
      <c r="N140" s="69"/>
      <c r="O140" s="10"/>
      <c r="P140" s="10"/>
      <c r="Q140" s="10"/>
      <c r="R140" s="10"/>
      <c r="S140" s="10"/>
      <c r="T140" s="10"/>
      <c r="U140" s="10"/>
    </row>
    <row r="141" spans="1:21" ht="18" customHeight="1" x14ac:dyDescent="0.25">
      <c r="A141" s="70"/>
      <c r="B141" s="71"/>
      <c r="C141" s="72" t="s">
        <v>20</v>
      </c>
      <c r="D141" s="55" t="s">
        <v>21</v>
      </c>
      <c r="E141" s="73">
        <f>15/100</f>
        <v>0.15</v>
      </c>
      <c r="F141" s="68">
        <f>F140*E141</f>
        <v>2.3434426229508194</v>
      </c>
      <c r="G141" s="68"/>
      <c r="H141" s="68"/>
      <c r="I141" s="68"/>
      <c r="J141" s="34"/>
      <c r="K141" s="68"/>
      <c r="L141" s="68"/>
      <c r="M141" s="34"/>
      <c r="N141" s="69"/>
      <c r="O141" s="10"/>
      <c r="P141" s="10"/>
      <c r="Q141" s="10"/>
      <c r="R141" s="10"/>
      <c r="S141" s="10"/>
      <c r="T141" s="10"/>
      <c r="U141" s="10"/>
    </row>
    <row r="142" spans="1:21" ht="18" x14ac:dyDescent="0.25">
      <c r="A142" s="70"/>
      <c r="B142" s="74"/>
      <c r="C142" s="72" t="s">
        <v>42</v>
      </c>
      <c r="D142" s="55" t="s">
        <v>28</v>
      </c>
      <c r="E142" s="73">
        <f>2.16/100</f>
        <v>2.1600000000000001E-2</v>
      </c>
      <c r="F142" s="68">
        <f>F140*E142</f>
        <v>0.33745573770491805</v>
      </c>
      <c r="G142" s="68"/>
      <c r="H142" s="68"/>
      <c r="I142" s="68"/>
      <c r="J142" s="68"/>
      <c r="K142" s="68"/>
      <c r="L142" s="34"/>
      <c r="M142" s="34"/>
      <c r="N142" s="69"/>
      <c r="O142" s="10"/>
      <c r="P142" s="10"/>
      <c r="Q142" s="10"/>
      <c r="R142" s="10"/>
      <c r="S142" s="10"/>
      <c r="T142" s="10"/>
      <c r="U142" s="10"/>
    </row>
    <row r="143" spans="1:21" ht="18" x14ac:dyDescent="0.25">
      <c r="A143" s="70"/>
      <c r="B143" s="74"/>
      <c r="C143" s="52" t="s">
        <v>72</v>
      </c>
      <c r="D143" s="55" t="s">
        <v>28</v>
      </c>
      <c r="E143" s="73">
        <f>2.73/100</f>
        <v>2.7300000000000001E-2</v>
      </c>
      <c r="F143" s="68">
        <f>E143*F140</f>
        <v>0.42650655737704918</v>
      </c>
      <c r="G143" s="68"/>
      <c r="H143" s="68"/>
      <c r="I143" s="68"/>
      <c r="J143" s="68"/>
      <c r="K143" s="68"/>
      <c r="L143" s="34"/>
      <c r="M143" s="34"/>
      <c r="N143" s="69"/>
      <c r="O143" s="10"/>
      <c r="P143" s="10"/>
      <c r="Q143" s="10"/>
      <c r="R143" s="10"/>
      <c r="S143" s="10"/>
      <c r="T143" s="10"/>
      <c r="U143" s="10"/>
    </row>
    <row r="144" spans="1:21" ht="18" x14ac:dyDescent="0.25">
      <c r="A144" s="70"/>
      <c r="B144" s="74"/>
      <c r="C144" s="72" t="s">
        <v>43</v>
      </c>
      <c r="D144" s="55" t="s">
        <v>28</v>
      </c>
      <c r="E144" s="73">
        <f>0.97/100</f>
        <v>9.7000000000000003E-3</v>
      </c>
      <c r="F144" s="68">
        <f>F140*E144</f>
        <v>0.15154262295081966</v>
      </c>
      <c r="G144" s="68"/>
      <c r="H144" s="68"/>
      <c r="I144" s="68"/>
      <c r="J144" s="68"/>
      <c r="K144" s="68"/>
      <c r="L144" s="34"/>
      <c r="M144" s="34"/>
      <c r="N144" s="69"/>
      <c r="O144" s="10"/>
      <c r="P144" s="10"/>
      <c r="Q144" s="10"/>
      <c r="R144" s="10"/>
      <c r="S144" s="10"/>
      <c r="T144" s="10"/>
      <c r="U144" s="10"/>
    </row>
    <row r="145" spans="1:21" ht="18" x14ac:dyDescent="0.25">
      <c r="A145" s="70"/>
      <c r="B145" s="71"/>
      <c r="C145" s="55" t="s">
        <v>36</v>
      </c>
      <c r="D145" s="75"/>
      <c r="E145" s="55"/>
      <c r="F145" s="68"/>
      <c r="G145" s="68"/>
      <c r="H145" s="68"/>
      <c r="I145" s="68"/>
      <c r="J145" s="68"/>
      <c r="K145" s="68"/>
      <c r="L145" s="68"/>
      <c r="M145" s="68"/>
      <c r="N145" s="69"/>
      <c r="O145" s="10"/>
      <c r="P145" s="10"/>
      <c r="Q145" s="10"/>
      <c r="R145" s="10"/>
      <c r="S145" s="10"/>
      <c r="T145" s="10"/>
      <c r="U145" s="10"/>
    </row>
    <row r="146" spans="1:21" ht="54" x14ac:dyDescent="0.25">
      <c r="A146" s="66"/>
      <c r="B146" s="76"/>
      <c r="C146" s="77" t="s">
        <v>60</v>
      </c>
      <c r="D146" s="55" t="s">
        <v>57</v>
      </c>
      <c r="E146" s="55">
        <v>1.22</v>
      </c>
      <c r="F146" s="68">
        <f>F140*E146</f>
        <v>19.059999999999999</v>
      </c>
      <c r="G146" s="68"/>
      <c r="H146" s="68"/>
      <c r="I146" s="68"/>
      <c r="J146" s="68"/>
      <c r="K146" s="68"/>
      <c r="L146" s="68"/>
      <c r="M146" s="34"/>
      <c r="N146" s="69"/>
      <c r="O146" s="10"/>
      <c r="P146" s="10"/>
      <c r="Q146" s="10"/>
      <c r="R146" s="10"/>
      <c r="S146" s="10"/>
      <c r="T146" s="10"/>
      <c r="U146" s="10"/>
    </row>
    <row r="147" spans="1:21" ht="18" customHeight="1" x14ac:dyDescent="0.35">
      <c r="A147" s="70"/>
      <c r="B147" s="71"/>
      <c r="C147" s="78" t="s">
        <v>44</v>
      </c>
      <c r="D147" s="55" t="s">
        <v>57</v>
      </c>
      <c r="E147" s="79">
        <v>7.0000000000000007E-2</v>
      </c>
      <c r="F147" s="68">
        <f>F140*E147</f>
        <v>1.0936065573770493</v>
      </c>
      <c r="G147" s="34"/>
      <c r="H147" s="68"/>
      <c r="I147" s="68"/>
      <c r="J147" s="68"/>
      <c r="K147" s="68"/>
      <c r="L147" s="68"/>
      <c r="M147" s="34"/>
      <c r="N147" s="69"/>
      <c r="O147" s="10"/>
      <c r="P147" s="10"/>
      <c r="Q147" s="10"/>
      <c r="R147" s="10"/>
      <c r="S147" s="10"/>
      <c r="T147" s="10"/>
      <c r="U147" s="10"/>
    </row>
    <row r="148" spans="1:21" ht="49.5" x14ac:dyDescent="0.25">
      <c r="A148" s="70">
        <v>2</v>
      </c>
      <c r="B148" s="83" t="s">
        <v>45</v>
      </c>
      <c r="C148" s="93" t="s">
        <v>62</v>
      </c>
      <c r="D148" s="94" t="s">
        <v>69</v>
      </c>
      <c r="E148" s="66"/>
      <c r="F148" s="4">
        <v>130.19999999999999</v>
      </c>
      <c r="G148" s="68"/>
      <c r="H148" s="68"/>
      <c r="I148" s="68"/>
      <c r="J148" s="68"/>
      <c r="K148" s="68"/>
      <c r="L148" s="68"/>
      <c r="M148" s="68"/>
      <c r="N148" s="23"/>
      <c r="O148" s="10"/>
      <c r="P148" s="10"/>
      <c r="Q148" s="10"/>
      <c r="R148" s="10"/>
      <c r="S148" s="10"/>
      <c r="T148" s="10"/>
      <c r="U148" s="10"/>
    </row>
    <row r="149" spans="1:21" ht="18" x14ac:dyDescent="0.25">
      <c r="A149" s="70"/>
      <c r="B149" s="71"/>
      <c r="C149" s="72" t="s">
        <v>20</v>
      </c>
      <c r="D149" s="55" t="s">
        <v>21</v>
      </c>
      <c r="E149" s="55">
        <f>33/1000</f>
        <v>3.3000000000000002E-2</v>
      </c>
      <c r="F149" s="68">
        <f>F148*E149</f>
        <v>4.2965999999999998</v>
      </c>
      <c r="G149" s="68"/>
      <c r="H149" s="68"/>
      <c r="I149" s="68"/>
      <c r="J149" s="34"/>
      <c r="K149" s="68"/>
      <c r="L149" s="68"/>
      <c r="M149" s="34"/>
      <c r="N149" s="23"/>
      <c r="O149" s="10"/>
      <c r="P149" s="10"/>
      <c r="Q149" s="10"/>
      <c r="R149" s="10"/>
      <c r="S149" s="10"/>
      <c r="T149" s="10"/>
      <c r="U149" s="10"/>
    </row>
    <row r="150" spans="1:21" ht="18" x14ac:dyDescent="0.35">
      <c r="A150" s="70"/>
      <c r="B150" s="71"/>
      <c r="C150" s="78" t="s">
        <v>46</v>
      </c>
      <c r="D150" s="55" t="s">
        <v>28</v>
      </c>
      <c r="E150" s="55">
        <f>2.58/1000</f>
        <v>2.5800000000000003E-3</v>
      </c>
      <c r="F150" s="68">
        <f>F148*E150</f>
        <v>0.33591599999999999</v>
      </c>
      <c r="G150" s="68"/>
      <c r="H150" s="68"/>
      <c r="I150" s="68"/>
      <c r="J150" s="68"/>
      <c r="K150" s="68"/>
      <c r="L150" s="34"/>
      <c r="M150" s="34"/>
      <c r="N150" s="23"/>
      <c r="O150" s="10"/>
      <c r="P150" s="10"/>
      <c r="Q150" s="10"/>
      <c r="R150" s="10"/>
      <c r="S150" s="10"/>
      <c r="T150" s="10"/>
      <c r="U150" s="10"/>
    </row>
    <row r="151" spans="1:21" ht="18" x14ac:dyDescent="0.25">
      <c r="A151" s="70"/>
      <c r="B151" s="74"/>
      <c r="C151" s="72" t="s">
        <v>42</v>
      </c>
      <c r="D151" s="55" t="s">
        <v>28</v>
      </c>
      <c r="E151" s="55">
        <f>0.42/1000</f>
        <v>4.1999999999999996E-4</v>
      </c>
      <c r="F151" s="68">
        <f>F148*E151</f>
        <v>5.468399999999999E-2</v>
      </c>
      <c r="G151" s="68"/>
      <c r="H151" s="68"/>
      <c r="I151" s="68"/>
      <c r="J151" s="68"/>
      <c r="K151" s="68"/>
      <c r="L151" s="34"/>
      <c r="M151" s="34"/>
      <c r="N151" s="23"/>
      <c r="O151" s="10"/>
      <c r="P151" s="10"/>
      <c r="Q151" s="10"/>
      <c r="R151" s="10"/>
      <c r="S151" s="10"/>
      <c r="T151" s="10"/>
      <c r="U151" s="10"/>
    </row>
    <row r="152" spans="1:21" ht="18" x14ac:dyDescent="0.35">
      <c r="A152" s="70"/>
      <c r="B152" s="74"/>
      <c r="C152" s="78" t="s">
        <v>47</v>
      </c>
      <c r="D152" s="55" t="s">
        <v>28</v>
      </c>
      <c r="E152" s="55">
        <f>11.2/1000</f>
        <v>1.12E-2</v>
      </c>
      <c r="F152" s="68">
        <f>E152*F148</f>
        <v>1.4582399999999998</v>
      </c>
      <c r="G152" s="68"/>
      <c r="H152" s="68"/>
      <c r="I152" s="68"/>
      <c r="J152" s="68"/>
      <c r="K152" s="68"/>
      <c r="L152" s="34"/>
      <c r="M152" s="34"/>
      <c r="N152" s="23"/>
      <c r="O152" s="10"/>
      <c r="P152" s="10"/>
      <c r="Q152" s="10"/>
      <c r="R152" s="10"/>
      <c r="S152" s="10"/>
      <c r="T152" s="10"/>
      <c r="U152" s="10"/>
    </row>
    <row r="153" spans="1:21" ht="18" x14ac:dyDescent="0.35">
      <c r="A153" s="70"/>
      <c r="B153" s="74"/>
      <c r="C153" s="78" t="s">
        <v>48</v>
      </c>
      <c r="D153" s="55" t="s">
        <v>28</v>
      </c>
      <c r="E153" s="55">
        <f>24.8/1000</f>
        <v>2.4799999999999999E-2</v>
      </c>
      <c r="F153" s="68">
        <f>E153*F148</f>
        <v>3.2289599999999994</v>
      </c>
      <c r="G153" s="68"/>
      <c r="H153" s="68"/>
      <c r="I153" s="68"/>
      <c r="J153" s="68"/>
      <c r="K153" s="68"/>
      <c r="L153" s="34"/>
      <c r="M153" s="34"/>
      <c r="N153" s="23"/>
      <c r="O153" s="10"/>
      <c r="P153" s="10"/>
      <c r="Q153" s="10"/>
      <c r="R153" s="10"/>
      <c r="S153" s="10"/>
      <c r="T153" s="10"/>
      <c r="U153" s="10"/>
    </row>
    <row r="154" spans="1:21" ht="18" x14ac:dyDescent="0.35">
      <c r="A154" s="70"/>
      <c r="B154" s="74"/>
      <c r="C154" s="78" t="s">
        <v>43</v>
      </c>
      <c r="D154" s="55" t="s">
        <v>28</v>
      </c>
      <c r="E154" s="55">
        <f>4.14/1000</f>
        <v>4.1399999999999996E-3</v>
      </c>
      <c r="F154" s="68">
        <f>F148*E154</f>
        <v>0.53902799999999995</v>
      </c>
      <c r="G154" s="68"/>
      <c r="H154" s="68"/>
      <c r="I154" s="68"/>
      <c r="J154" s="68"/>
      <c r="K154" s="68"/>
      <c r="L154" s="34"/>
      <c r="M154" s="34"/>
      <c r="N154" s="23"/>
      <c r="O154" s="10"/>
      <c r="P154" s="10"/>
      <c r="Q154" s="10"/>
      <c r="R154" s="10"/>
      <c r="S154" s="10"/>
      <c r="T154" s="10"/>
      <c r="U154" s="10"/>
    </row>
    <row r="155" spans="1:21" ht="36" x14ac:dyDescent="0.35">
      <c r="A155" s="70"/>
      <c r="B155" s="74"/>
      <c r="C155" s="95" t="s">
        <v>49</v>
      </c>
      <c r="D155" s="55" t="s">
        <v>28</v>
      </c>
      <c r="E155" s="55">
        <f>0.53/1000</f>
        <v>5.2999999999999998E-4</v>
      </c>
      <c r="F155" s="68">
        <f>F148*E155</f>
        <v>6.9005999999999998E-2</v>
      </c>
      <c r="G155" s="68"/>
      <c r="H155" s="68"/>
      <c r="I155" s="68"/>
      <c r="J155" s="68"/>
      <c r="K155" s="68"/>
      <c r="L155" s="34"/>
      <c r="M155" s="34"/>
      <c r="N155" s="23"/>
      <c r="O155" s="10"/>
      <c r="P155" s="10"/>
      <c r="Q155" s="10"/>
      <c r="R155" s="10"/>
      <c r="S155" s="10"/>
      <c r="T155" s="10"/>
      <c r="U155" s="10"/>
    </row>
    <row r="156" spans="1:21" ht="18" x14ac:dyDescent="0.25">
      <c r="A156" s="70"/>
      <c r="B156" s="71"/>
      <c r="C156" s="55" t="s">
        <v>36</v>
      </c>
      <c r="D156" s="75"/>
      <c r="E156" s="55"/>
      <c r="F156" s="68"/>
      <c r="G156" s="68"/>
      <c r="H156" s="68"/>
      <c r="I156" s="68"/>
      <c r="J156" s="68"/>
      <c r="K156" s="68"/>
      <c r="L156" s="68"/>
      <c r="M156" s="68"/>
      <c r="N156" s="23"/>
      <c r="O156" s="10"/>
      <c r="P156" s="10"/>
      <c r="Q156" s="10"/>
      <c r="R156" s="10"/>
      <c r="S156" s="10"/>
      <c r="T156" s="10"/>
      <c r="U156" s="10"/>
    </row>
    <row r="157" spans="1:21" ht="36" x14ac:dyDescent="0.25">
      <c r="A157" s="70"/>
      <c r="B157" s="76"/>
      <c r="C157" s="77" t="s">
        <v>50</v>
      </c>
      <c r="D157" s="55" t="s">
        <v>57</v>
      </c>
      <c r="E157" s="84">
        <v>0.126</v>
      </c>
      <c r="F157" s="68">
        <f>F148*E157</f>
        <v>16.405199999999997</v>
      </c>
      <c r="G157" s="68"/>
      <c r="H157" s="68"/>
      <c r="I157" s="68"/>
      <c r="J157" s="68"/>
      <c r="K157" s="68"/>
      <c r="L157" s="68"/>
      <c r="M157" s="34"/>
      <c r="N157" s="23"/>
      <c r="O157" s="10"/>
      <c r="P157" s="10"/>
      <c r="Q157" s="10"/>
      <c r="R157" s="10"/>
      <c r="S157" s="10"/>
      <c r="T157" s="10"/>
      <c r="U157" s="10"/>
    </row>
    <row r="158" spans="1:21" ht="20.25" x14ac:dyDescent="0.35">
      <c r="A158" s="70"/>
      <c r="B158" s="71"/>
      <c r="C158" s="78" t="s">
        <v>44</v>
      </c>
      <c r="D158" s="75" t="s">
        <v>58</v>
      </c>
      <c r="E158" s="55">
        <f>30/1000</f>
        <v>0.03</v>
      </c>
      <c r="F158" s="68">
        <f>F148*E158</f>
        <v>3.9059999999999997</v>
      </c>
      <c r="G158" s="68"/>
      <c r="H158" s="68"/>
      <c r="I158" s="68"/>
      <c r="J158" s="68"/>
      <c r="K158" s="68"/>
      <c r="L158" s="68"/>
      <c r="M158" s="34"/>
      <c r="N158" s="23"/>
      <c r="O158" s="10"/>
      <c r="P158" s="10"/>
      <c r="Q158" s="10"/>
      <c r="R158" s="10"/>
      <c r="S158" s="10"/>
      <c r="T158" s="10"/>
      <c r="U158" s="10"/>
    </row>
    <row r="159" spans="1:21" ht="36" x14ac:dyDescent="0.25">
      <c r="A159" s="81">
        <v>3</v>
      </c>
      <c r="B159" s="60" t="s">
        <v>51</v>
      </c>
      <c r="C159" s="96" t="s">
        <v>74</v>
      </c>
      <c r="D159" s="66" t="s">
        <v>37</v>
      </c>
      <c r="E159" s="57"/>
      <c r="F159" s="5">
        <f>F163*0.0006</f>
        <v>7.5599999999999987E-2</v>
      </c>
      <c r="G159" s="34"/>
      <c r="H159" s="34"/>
      <c r="I159" s="34"/>
      <c r="J159" s="34"/>
      <c r="K159" s="34"/>
      <c r="L159" s="34"/>
      <c r="M159" s="34"/>
      <c r="N159" s="23"/>
      <c r="O159" s="10"/>
      <c r="P159" s="10"/>
      <c r="Q159" s="10"/>
      <c r="R159" s="10"/>
      <c r="S159" s="10"/>
      <c r="T159" s="10"/>
      <c r="U159" s="10"/>
    </row>
    <row r="160" spans="1:21" ht="18" x14ac:dyDescent="0.35">
      <c r="A160" s="35"/>
      <c r="B160" s="97"/>
      <c r="C160" s="37" t="s">
        <v>52</v>
      </c>
      <c r="D160" s="172" t="s">
        <v>28</v>
      </c>
      <c r="E160" s="98">
        <v>0.3</v>
      </c>
      <c r="F160" s="34">
        <f>F159*E160</f>
        <v>2.2679999999999995E-2</v>
      </c>
      <c r="G160" s="34"/>
      <c r="H160" s="34"/>
      <c r="I160" s="34"/>
      <c r="J160" s="34"/>
      <c r="K160" s="34"/>
      <c r="L160" s="34"/>
      <c r="M160" s="34"/>
      <c r="N160" s="23"/>
      <c r="O160" s="10"/>
      <c r="P160" s="10"/>
      <c r="Q160" s="10"/>
      <c r="R160" s="10"/>
      <c r="S160" s="10"/>
      <c r="T160" s="10"/>
      <c r="U160" s="10"/>
    </row>
    <row r="161" spans="1:21" ht="18" x14ac:dyDescent="0.25">
      <c r="A161" s="35"/>
      <c r="B161" s="36"/>
      <c r="C161" s="172" t="s">
        <v>36</v>
      </c>
      <c r="D161" s="99"/>
      <c r="E161" s="173"/>
      <c r="F161" s="34"/>
      <c r="G161" s="34"/>
      <c r="H161" s="34"/>
      <c r="I161" s="34"/>
      <c r="J161" s="34"/>
      <c r="K161" s="34"/>
      <c r="L161" s="34"/>
      <c r="M161" s="34"/>
      <c r="N161" s="23"/>
      <c r="O161" s="10"/>
      <c r="P161" s="10"/>
      <c r="Q161" s="10"/>
      <c r="R161" s="10"/>
      <c r="S161" s="10"/>
      <c r="T161" s="10"/>
      <c r="U161" s="10"/>
    </row>
    <row r="162" spans="1:21" ht="18" x14ac:dyDescent="0.25">
      <c r="A162" s="35"/>
      <c r="B162" s="58"/>
      <c r="C162" s="100" t="s">
        <v>40</v>
      </c>
      <c r="D162" s="55" t="s">
        <v>37</v>
      </c>
      <c r="E162" s="82" t="s">
        <v>70</v>
      </c>
      <c r="F162" s="34">
        <f>F159*E162</f>
        <v>7.7867999999999993E-2</v>
      </c>
      <c r="G162" s="34"/>
      <c r="H162" s="68"/>
      <c r="I162" s="34"/>
      <c r="J162" s="34"/>
      <c r="K162" s="34"/>
      <c r="L162" s="34"/>
      <c r="M162" s="34"/>
      <c r="N162" s="23"/>
      <c r="O162" s="10"/>
      <c r="P162" s="10"/>
      <c r="Q162" s="10"/>
      <c r="R162" s="10"/>
      <c r="S162" s="10"/>
      <c r="T162" s="10"/>
      <c r="U162" s="10"/>
    </row>
    <row r="163" spans="1:21" ht="66" x14ac:dyDescent="0.25">
      <c r="A163" s="101">
        <v>4</v>
      </c>
      <c r="B163" s="102" t="s">
        <v>73</v>
      </c>
      <c r="C163" s="103" t="s">
        <v>76</v>
      </c>
      <c r="D163" s="104" t="s">
        <v>71</v>
      </c>
      <c r="E163" s="57"/>
      <c r="F163" s="5">
        <v>126</v>
      </c>
      <c r="G163" s="34"/>
      <c r="H163" s="34"/>
      <c r="I163" s="34"/>
      <c r="J163" s="34"/>
      <c r="K163" s="34"/>
      <c r="L163" s="34"/>
      <c r="M163" s="34"/>
      <c r="N163" s="23"/>
      <c r="O163" s="10"/>
      <c r="P163" s="10"/>
      <c r="Q163" s="10"/>
      <c r="R163" s="10"/>
      <c r="S163" s="10"/>
      <c r="T163" s="10"/>
      <c r="U163" s="10"/>
    </row>
    <row r="164" spans="1:21" ht="18" x14ac:dyDescent="0.25">
      <c r="A164" s="25"/>
      <c r="B164" s="36"/>
      <c r="C164" s="105" t="s">
        <v>20</v>
      </c>
      <c r="D164" s="172" t="s">
        <v>21</v>
      </c>
      <c r="E164" s="98">
        <f>37.5/1000+2*0.07/1000</f>
        <v>3.764E-2</v>
      </c>
      <c r="F164" s="34">
        <f>F163*E164</f>
        <v>4.7426399999999997</v>
      </c>
      <c r="G164" s="34"/>
      <c r="H164" s="34"/>
      <c r="I164" s="34"/>
      <c r="J164" s="34"/>
      <c r="K164" s="34"/>
      <c r="L164" s="34"/>
      <c r="M164" s="34"/>
      <c r="N164" s="23"/>
      <c r="O164" s="10"/>
      <c r="P164" s="10"/>
      <c r="Q164" s="10"/>
      <c r="R164" s="10"/>
      <c r="S164" s="10"/>
      <c r="T164" s="10"/>
      <c r="U164" s="10"/>
    </row>
    <row r="165" spans="1:21" ht="18" x14ac:dyDescent="0.35">
      <c r="A165" s="25"/>
      <c r="B165" s="6"/>
      <c r="C165" s="37" t="s">
        <v>47</v>
      </c>
      <c r="D165" s="172" t="s">
        <v>28</v>
      </c>
      <c r="E165" s="98">
        <f t="shared" ref="E165" si="12">3.02/1000</f>
        <v>3.0200000000000001E-3</v>
      </c>
      <c r="F165" s="34">
        <f>E165*F163</f>
        <v>0.38052000000000002</v>
      </c>
      <c r="G165" s="34"/>
      <c r="H165" s="34"/>
      <c r="I165" s="34"/>
      <c r="J165" s="34"/>
      <c r="K165" s="34"/>
      <c r="L165" s="34"/>
      <c r="M165" s="34"/>
      <c r="N165" s="23"/>
      <c r="O165" s="10"/>
      <c r="P165" s="10"/>
      <c r="Q165" s="10"/>
      <c r="R165" s="10"/>
      <c r="S165" s="10"/>
      <c r="T165" s="10"/>
      <c r="U165" s="10"/>
    </row>
    <row r="166" spans="1:21" ht="18" x14ac:dyDescent="0.35">
      <c r="A166" s="25"/>
      <c r="B166" s="6"/>
      <c r="C166" s="78" t="s">
        <v>48</v>
      </c>
      <c r="D166" s="172" t="s">
        <v>28</v>
      </c>
      <c r="E166" s="98">
        <f t="shared" ref="E166" si="13">3.7/1000</f>
        <v>3.7000000000000002E-3</v>
      </c>
      <c r="F166" s="34">
        <f>E166*F163</f>
        <v>0.4662</v>
      </c>
      <c r="G166" s="34"/>
      <c r="H166" s="34"/>
      <c r="I166" s="34"/>
      <c r="J166" s="34"/>
      <c r="K166" s="34"/>
      <c r="L166" s="34"/>
      <c r="M166" s="34"/>
      <c r="N166" s="23"/>
      <c r="O166" s="10"/>
      <c r="P166" s="10"/>
      <c r="Q166" s="10"/>
      <c r="R166" s="10"/>
      <c r="S166" s="10"/>
      <c r="T166" s="10"/>
      <c r="U166" s="10"/>
    </row>
    <row r="167" spans="1:21" ht="18" x14ac:dyDescent="0.35">
      <c r="A167" s="25"/>
      <c r="B167" s="6"/>
      <c r="C167" s="37" t="s">
        <v>53</v>
      </c>
      <c r="D167" s="172" t="s">
        <v>28</v>
      </c>
      <c r="E167" s="98">
        <f t="shared" ref="E167" si="14">11.1/1000</f>
        <v>1.11E-2</v>
      </c>
      <c r="F167" s="34">
        <f>E167*F163</f>
        <v>1.3986000000000001</v>
      </c>
      <c r="G167" s="34"/>
      <c r="H167" s="34"/>
      <c r="I167" s="34"/>
      <c r="J167" s="34"/>
      <c r="K167" s="34"/>
      <c r="L167" s="34"/>
      <c r="M167" s="34"/>
      <c r="N167" s="23"/>
      <c r="O167" s="10"/>
      <c r="P167" s="10"/>
      <c r="Q167" s="10"/>
      <c r="R167" s="10"/>
      <c r="S167" s="10"/>
      <c r="T167" s="10"/>
      <c r="U167" s="10"/>
    </row>
    <row r="168" spans="1:21" ht="18" x14ac:dyDescent="0.35">
      <c r="A168" s="25"/>
      <c r="B168" s="36"/>
      <c r="C168" s="37" t="s">
        <v>31</v>
      </c>
      <c r="D168" s="172" t="s">
        <v>24</v>
      </c>
      <c r="E168" s="98">
        <v>2.3E-3</v>
      </c>
      <c r="F168" s="34">
        <f>E168*F163</f>
        <v>0.2898</v>
      </c>
      <c r="G168" s="34"/>
      <c r="H168" s="34"/>
      <c r="I168" s="34"/>
      <c r="J168" s="34"/>
      <c r="K168" s="34"/>
      <c r="L168" s="34"/>
      <c r="M168" s="34"/>
      <c r="N168" s="23"/>
      <c r="O168" s="10"/>
      <c r="P168" s="10"/>
      <c r="Q168" s="10"/>
      <c r="R168" s="10"/>
      <c r="S168" s="10"/>
      <c r="T168" s="10"/>
      <c r="U168" s="10"/>
    </row>
    <row r="169" spans="1:21" ht="18" x14ac:dyDescent="0.25">
      <c r="A169" s="25"/>
      <c r="B169" s="36"/>
      <c r="C169" s="172" t="s">
        <v>36</v>
      </c>
      <c r="D169" s="44"/>
      <c r="E169" s="173"/>
      <c r="F169" s="34"/>
      <c r="G169" s="34"/>
      <c r="H169" s="34"/>
      <c r="I169" s="34"/>
      <c r="J169" s="34"/>
      <c r="K169" s="34"/>
      <c r="L169" s="34"/>
      <c r="M169" s="34"/>
      <c r="N169" s="23"/>
      <c r="O169" s="10"/>
      <c r="P169" s="10"/>
      <c r="Q169" s="10"/>
      <c r="R169" s="10"/>
      <c r="S169" s="10"/>
      <c r="T169" s="10"/>
      <c r="U169" s="10"/>
    </row>
    <row r="170" spans="1:21" ht="18" x14ac:dyDescent="0.35">
      <c r="A170" s="25"/>
      <c r="B170" s="58"/>
      <c r="C170" s="37" t="s">
        <v>78</v>
      </c>
      <c r="D170" s="55" t="s">
        <v>37</v>
      </c>
      <c r="E170" s="98">
        <f>(97.4+12.1*2)/1000</f>
        <v>0.12160000000000001</v>
      </c>
      <c r="F170" s="34">
        <f>F163*E170</f>
        <v>15.321600000000002</v>
      </c>
      <c r="G170" s="34"/>
      <c r="H170" s="68"/>
      <c r="I170" s="34"/>
      <c r="J170" s="34"/>
      <c r="K170" s="34"/>
      <c r="L170" s="34"/>
      <c r="M170" s="34"/>
      <c r="N170" s="23"/>
      <c r="O170" s="10"/>
      <c r="P170" s="10"/>
      <c r="Q170" s="10"/>
      <c r="R170" s="10"/>
      <c r="S170" s="10"/>
      <c r="T170" s="10"/>
      <c r="U170" s="10"/>
    </row>
    <row r="171" spans="1:21" ht="18" x14ac:dyDescent="0.35">
      <c r="A171" s="25"/>
      <c r="B171" s="36"/>
      <c r="C171" s="37" t="s">
        <v>39</v>
      </c>
      <c r="D171" s="172" t="s">
        <v>24</v>
      </c>
      <c r="E171" s="98">
        <f>0.0145+0.2*2/1000</f>
        <v>1.49E-2</v>
      </c>
      <c r="F171" s="34">
        <f>F163*E171</f>
        <v>1.8774</v>
      </c>
      <c r="G171" s="34"/>
      <c r="H171" s="68"/>
      <c r="I171" s="34"/>
      <c r="J171" s="34"/>
      <c r="K171" s="34"/>
      <c r="L171" s="34"/>
      <c r="M171" s="34"/>
      <c r="N171" s="23"/>
      <c r="O171" s="10"/>
      <c r="P171" s="10"/>
      <c r="Q171" s="10"/>
      <c r="R171" s="10"/>
      <c r="S171" s="10"/>
      <c r="T171" s="10"/>
      <c r="U171" s="10"/>
    </row>
    <row r="172" spans="1:21" ht="90" x14ac:dyDescent="0.35">
      <c r="A172" s="81">
        <v>6</v>
      </c>
      <c r="B172" s="66" t="s">
        <v>80</v>
      </c>
      <c r="C172" s="151" t="s">
        <v>81</v>
      </c>
      <c r="D172" s="55" t="s">
        <v>57</v>
      </c>
      <c r="E172" s="173"/>
      <c r="F172" s="2">
        <f>0.46/1.22</f>
        <v>0.37704918032786888</v>
      </c>
      <c r="G172" s="34"/>
      <c r="H172" s="34"/>
      <c r="I172" s="34"/>
      <c r="J172" s="34"/>
      <c r="K172" s="34"/>
      <c r="L172" s="34"/>
      <c r="M172" s="34"/>
      <c r="N172" s="23"/>
      <c r="O172" s="10"/>
      <c r="P172" s="10"/>
      <c r="Q172" s="10"/>
      <c r="R172" s="10"/>
      <c r="S172" s="10"/>
      <c r="T172" s="10"/>
      <c r="U172" s="10"/>
    </row>
    <row r="173" spans="1:21" ht="18" x14ac:dyDescent="0.35">
      <c r="A173" s="25"/>
      <c r="B173" s="152"/>
      <c r="C173" s="153" t="s">
        <v>20</v>
      </c>
      <c r="D173" s="154" t="s">
        <v>21</v>
      </c>
      <c r="E173" s="98">
        <v>0.15</v>
      </c>
      <c r="F173" s="34">
        <f>F172*E173</f>
        <v>5.6557377049180332E-2</v>
      </c>
      <c r="G173" s="34"/>
      <c r="H173" s="34"/>
      <c r="I173" s="34"/>
      <c r="J173" s="34"/>
      <c r="K173" s="34"/>
      <c r="L173" s="34"/>
      <c r="M173" s="34"/>
      <c r="N173" s="23"/>
      <c r="O173" s="10"/>
      <c r="P173" s="10"/>
      <c r="Q173" s="10"/>
      <c r="R173" s="10"/>
      <c r="S173" s="10"/>
      <c r="T173" s="10"/>
      <c r="U173" s="10"/>
    </row>
    <row r="174" spans="1:21" ht="18" x14ac:dyDescent="0.25">
      <c r="A174" s="25"/>
      <c r="B174" s="6" t="s">
        <v>82</v>
      </c>
      <c r="C174" s="52" t="s">
        <v>42</v>
      </c>
      <c r="D174" s="154" t="s">
        <v>28</v>
      </c>
      <c r="E174" s="98">
        <v>2.1999999999999999E-2</v>
      </c>
      <c r="F174" s="34">
        <f>F172*E174</f>
        <v>8.2950819672131144E-3</v>
      </c>
      <c r="G174" s="34"/>
      <c r="H174" s="34"/>
      <c r="I174" s="34"/>
      <c r="J174" s="34"/>
      <c r="K174" s="34"/>
      <c r="L174" s="34"/>
      <c r="M174" s="34"/>
      <c r="N174" s="23"/>
      <c r="O174" s="155"/>
      <c r="P174" s="69"/>
      <c r="Q174" s="10"/>
      <c r="R174" s="10"/>
      <c r="S174" s="10"/>
      <c r="T174" s="10"/>
      <c r="U174" s="10"/>
    </row>
    <row r="175" spans="1:21" ht="18" x14ac:dyDescent="0.25">
      <c r="A175" s="25"/>
      <c r="B175" s="74" t="s">
        <v>83</v>
      </c>
      <c r="C175" s="52" t="s">
        <v>84</v>
      </c>
      <c r="D175" s="154" t="s">
        <v>28</v>
      </c>
      <c r="E175" s="98">
        <v>2.7E-2</v>
      </c>
      <c r="F175" s="34">
        <f>F172*E175</f>
        <v>1.018032786885246E-2</v>
      </c>
      <c r="G175" s="34"/>
      <c r="H175" s="34"/>
      <c r="I175" s="34"/>
      <c r="J175" s="34"/>
      <c r="K175" s="34"/>
      <c r="L175" s="34"/>
      <c r="M175" s="34"/>
      <c r="N175" s="23"/>
      <c r="O175" s="156"/>
      <c r="P175" s="10"/>
      <c r="Q175" s="10"/>
      <c r="R175" s="10"/>
      <c r="S175" s="10"/>
      <c r="T175" s="10"/>
      <c r="U175" s="10"/>
    </row>
    <row r="176" spans="1:21" ht="18" x14ac:dyDescent="0.25">
      <c r="A176" s="25"/>
      <c r="B176" s="74" t="s">
        <v>85</v>
      </c>
      <c r="C176" s="52" t="s">
        <v>43</v>
      </c>
      <c r="D176" s="154" t="s">
        <v>28</v>
      </c>
      <c r="E176" s="98">
        <v>0.01</v>
      </c>
      <c r="F176" s="34">
        <f>F172*E176</f>
        <v>3.7704918032786887E-3</v>
      </c>
      <c r="G176" s="34"/>
      <c r="H176" s="34"/>
      <c r="I176" s="34"/>
      <c r="J176" s="34"/>
      <c r="K176" s="34"/>
      <c r="L176" s="34"/>
      <c r="M176" s="34"/>
      <c r="N176" s="23"/>
      <c r="O176" s="156"/>
      <c r="P176" s="10"/>
      <c r="Q176" s="10"/>
      <c r="R176" s="10"/>
      <c r="S176" s="10"/>
      <c r="T176" s="10"/>
      <c r="U176" s="10"/>
    </row>
    <row r="177" spans="1:21" ht="18" x14ac:dyDescent="0.35">
      <c r="A177" s="25"/>
      <c r="B177" s="71"/>
      <c r="C177" s="153" t="s">
        <v>36</v>
      </c>
      <c r="D177" s="157"/>
      <c r="E177" s="173"/>
      <c r="F177" s="34"/>
      <c r="G177" s="34"/>
      <c r="H177" s="34"/>
      <c r="I177" s="34"/>
      <c r="J177" s="34"/>
      <c r="K177" s="34"/>
      <c r="L177" s="34"/>
      <c r="M177" s="34"/>
      <c r="N177" s="23"/>
      <c r="O177" s="156"/>
      <c r="P177" s="10"/>
      <c r="Q177" s="10"/>
      <c r="R177" s="10"/>
      <c r="S177" s="10"/>
      <c r="T177" s="10"/>
      <c r="U177" s="10"/>
    </row>
    <row r="178" spans="1:21" ht="54" x14ac:dyDescent="0.25">
      <c r="A178" s="25"/>
      <c r="B178" s="76" t="s">
        <v>86</v>
      </c>
      <c r="C178" s="158" t="s">
        <v>60</v>
      </c>
      <c r="D178" s="55" t="s">
        <v>57</v>
      </c>
      <c r="E178" s="98">
        <v>1.22</v>
      </c>
      <c r="F178" s="34">
        <f>F172*E178</f>
        <v>0.46</v>
      </c>
      <c r="G178" s="34"/>
      <c r="H178" s="34"/>
      <c r="I178" s="34"/>
      <c r="J178" s="34"/>
      <c r="K178" s="34"/>
      <c r="L178" s="34"/>
      <c r="M178" s="34"/>
      <c r="N178" s="23"/>
      <c r="O178" s="156"/>
      <c r="P178" s="10"/>
      <c r="Q178" s="10"/>
      <c r="R178" s="10"/>
      <c r="S178" s="10"/>
      <c r="T178" s="10"/>
      <c r="U178" s="10"/>
    </row>
    <row r="179" spans="1:21" ht="19.5" x14ac:dyDescent="0.35">
      <c r="A179" s="25"/>
      <c r="B179" s="71"/>
      <c r="C179" s="153" t="s">
        <v>44</v>
      </c>
      <c r="D179" s="55" t="s">
        <v>57</v>
      </c>
      <c r="E179" s="98">
        <v>7.0000000000000007E-2</v>
      </c>
      <c r="F179" s="34">
        <f>F172*E179</f>
        <v>2.6393442622950826E-2</v>
      </c>
      <c r="G179" s="34"/>
      <c r="H179" s="34"/>
      <c r="I179" s="34"/>
      <c r="J179" s="34"/>
      <c r="K179" s="34"/>
      <c r="L179" s="34"/>
      <c r="M179" s="34"/>
      <c r="N179" s="23"/>
      <c r="O179" s="156"/>
      <c r="P179" s="10"/>
      <c r="Q179" s="10"/>
      <c r="R179" s="10"/>
      <c r="S179" s="10"/>
      <c r="T179" s="10"/>
      <c r="U179" s="10"/>
    </row>
    <row r="180" spans="1:21" ht="18" customHeight="1" x14ac:dyDescent="0.25">
      <c r="A180" s="109"/>
      <c r="B180" s="110"/>
      <c r="C180" s="106" t="s">
        <v>22</v>
      </c>
      <c r="D180" s="111"/>
      <c r="E180" s="173"/>
      <c r="F180" s="34"/>
      <c r="G180" s="34"/>
      <c r="H180" s="5"/>
      <c r="I180" s="5"/>
      <c r="J180" s="5"/>
      <c r="K180" s="5"/>
      <c r="L180" s="5"/>
      <c r="M180" s="5"/>
      <c r="N180" s="23"/>
      <c r="O180" s="108"/>
      <c r="P180" s="10"/>
      <c r="Q180" s="10"/>
      <c r="R180" s="10"/>
      <c r="S180" s="10"/>
      <c r="T180" s="10"/>
      <c r="U180" s="10"/>
    </row>
    <row r="181" spans="1:21" ht="18" customHeight="1" x14ac:dyDescent="0.25">
      <c r="A181" s="85"/>
      <c r="B181" s="234" t="s">
        <v>142</v>
      </c>
      <c r="C181" s="235"/>
      <c r="D181" s="43" t="s">
        <v>24</v>
      </c>
      <c r="E181" s="57"/>
      <c r="F181" s="34"/>
      <c r="G181" s="5"/>
      <c r="H181" s="5"/>
      <c r="I181" s="5"/>
      <c r="J181" s="5"/>
      <c r="K181" s="5"/>
      <c r="L181" s="5"/>
      <c r="M181" s="5"/>
      <c r="N181" s="23"/>
      <c r="O181" s="86"/>
      <c r="P181" s="10"/>
      <c r="Q181" s="10"/>
      <c r="R181" s="10"/>
      <c r="S181" s="10"/>
      <c r="T181" s="10"/>
      <c r="U181" s="10"/>
    </row>
    <row r="182" spans="1:21" ht="18" customHeight="1" x14ac:dyDescent="0.25">
      <c r="A182" s="85"/>
      <c r="B182" s="234" t="s">
        <v>143</v>
      </c>
      <c r="C182" s="235"/>
      <c r="D182" s="43" t="s">
        <v>24</v>
      </c>
      <c r="E182" s="57"/>
      <c r="F182" s="34"/>
      <c r="G182" s="5"/>
      <c r="H182" s="5"/>
      <c r="I182" s="5"/>
      <c r="J182" s="5"/>
      <c r="K182" s="5"/>
      <c r="L182" s="5"/>
      <c r="M182" s="5"/>
      <c r="N182" s="23"/>
      <c r="O182" s="86"/>
      <c r="P182" s="10"/>
      <c r="Q182" s="10"/>
      <c r="R182" s="10"/>
      <c r="S182" s="10"/>
      <c r="T182" s="10"/>
      <c r="U182" s="10"/>
    </row>
    <row r="183" spans="1:21" ht="18" customHeight="1" x14ac:dyDescent="0.25">
      <c r="A183" s="112"/>
      <c r="B183" s="113"/>
      <c r="C183" s="114" t="s">
        <v>145</v>
      </c>
      <c r="D183" s="115" t="s">
        <v>54</v>
      </c>
      <c r="E183" s="98">
        <v>5</v>
      </c>
      <c r="F183" s="34"/>
      <c r="G183" s="34"/>
      <c r="H183" s="5"/>
      <c r="I183" s="5"/>
      <c r="J183" s="5"/>
      <c r="K183" s="5"/>
      <c r="L183" s="5"/>
      <c r="M183" s="5"/>
      <c r="N183" s="107"/>
      <c r="O183" s="116"/>
      <c r="P183" s="69"/>
      <c r="Q183" s="10"/>
      <c r="R183" s="10"/>
      <c r="S183" s="10"/>
      <c r="T183" s="10"/>
      <c r="U183" s="10"/>
    </row>
    <row r="184" spans="1:21" ht="18" customHeight="1" x14ac:dyDescent="0.25">
      <c r="A184" s="112"/>
      <c r="B184" s="113"/>
      <c r="C184" s="117" t="s">
        <v>22</v>
      </c>
      <c r="D184" s="43" t="s">
        <v>24</v>
      </c>
      <c r="E184" s="173"/>
      <c r="F184" s="34"/>
      <c r="G184" s="34"/>
      <c r="H184" s="5"/>
      <c r="I184" s="5"/>
      <c r="J184" s="5"/>
      <c r="K184" s="5"/>
      <c r="L184" s="5"/>
      <c r="M184" s="5"/>
      <c r="N184" s="107"/>
      <c r="O184" s="116"/>
      <c r="P184" s="69"/>
      <c r="Q184" s="10"/>
      <c r="R184" s="10"/>
      <c r="S184" s="10"/>
      <c r="T184" s="10"/>
      <c r="U184" s="10"/>
    </row>
    <row r="185" spans="1:21" ht="18" customHeight="1" x14ac:dyDescent="0.25">
      <c r="A185" s="112"/>
      <c r="B185" s="113"/>
      <c r="C185" s="114" t="s">
        <v>146</v>
      </c>
      <c r="D185" s="115" t="s">
        <v>54</v>
      </c>
      <c r="E185" s="98">
        <v>10</v>
      </c>
      <c r="F185" s="34"/>
      <c r="G185" s="34"/>
      <c r="H185" s="5"/>
      <c r="I185" s="5"/>
      <c r="J185" s="5"/>
      <c r="K185" s="5"/>
      <c r="L185" s="5"/>
      <c r="M185" s="5"/>
      <c r="N185" s="23"/>
      <c r="O185" s="10"/>
      <c r="P185" s="10"/>
      <c r="Q185" s="10"/>
      <c r="R185" s="10"/>
      <c r="S185" s="10"/>
      <c r="T185" s="10"/>
      <c r="U185" s="10"/>
    </row>
    <row r="186" spans="1:21" ht="18" customHeight="1" x14ac:dyDescent="0.25">
      <c r="A186" s="112"/>
      <c r="B186" s="113"/>
      <c r="C186" s="117" t="s">
        <v>22</v>
      </c>
      <c r="D186" s="43" t="s">
        <v>24</v>
      </c>
      <c r="E186" s="173"/>
      <c r="F186" s="34"/>
      <c r="G186" s="34"/>
      <c r="H186" s="5"/>
      <c r="I186" s="5"/>
      <c r="J186" s="5"/>
      <c r="K186" s="5"/>
      <c r="L186" s="5"/>
      <c r="M186" s="5"/>
      <c r="N186" s="23"/>
      <c r="O186" s="10"/>
      <c r="P186" s="10"/>
      <c r="Q186" s="10"/>
      <c r="R186" s="10"/>
      <c r="S186" s="10"/>
      <c r="T186" s="10"/>
      <c r="U186" s="10"/>
    </row>
    <row r="187" spans="1:21" ht="18" customHeight="1" x14ac:dyDescent="0.25">
      <c r="A187" s="112"/>
      <c r="B187" s="113"/>
      <c r="C187" s="114" t="s">
        <v>147</v>
      </c>
      <c r="D187" s="115" t="s">
        <v>54</v>
      </c>
      <c r="E187" s="98">
        <v>8</v>
      </c>
      <c r="F187" s="34"/>
      <c r="G187" s="34"/>
      <c r="H187" s="5"/>
      <c r="I187" s="5"/>
      <c r="J187" s="5"/>
      <c r="K187" s="5"/>
      <c r="L187" s="5"/>
      <c r="M187" s="5"/>
      <c r="N187" s="23"/>
      <c r="O187" s="10"/>
      <c r="P187" s="10"/>
      <c r="Q187" s="10"/>
      <c r="R187" s="10"/>
      <c r="S187" s="10"/>
      <c r="T187" s="10"/>
      <c r="U187" s="10"/>
    </row>
    <row r="188" spans="1:21" ht="18" customHeight="1" x14ac:dyDescent="0.25">
      <c r="A188" s="112"/>
      <c r="B188" s="113"/>
      <c r="C188" s="117" t="s">
        <v>22</v>
      </c>
      <c r="D188" s="43" t="s">
        <v>24</v>
      </c>
      <c r="E188" s="173"/>
      <c r="F188" s="34"/>
      <c r="G188" s="34"/>
      <c r="H188" s="5"/>
      <c r="I188" s="5"/>
      <c r="J188" s="5"/>
      <c r="K188" s="5"/>
      <c r="L188" s="5"/>
      <c r="M188" s="5"/>
      <c r="N188" s="23"/>
      <c r="O188" s="10"/>
      <c r="P188" s="10"/>
      <c r="Q188" s="10"/>
      <c r="R188" s="10"/>
      <c r="S188" s="10"/>
      <c r="T188" s="10"/>
      <c r="U188" s="10"/>
    </row>
    <row r="189" spans="1:21" ht="18" customHeight="1" x14ac:dyDescent="0.25">
      <c r="A189" s="112"/>
      <c r="B189" s="113"/>
      <c r="C189" s="114" t="s">
        <v>148</v>
      </c>
      <c r="D189" s="115" t="s">
        <v>54</v>
      </c>
      <c r="E189" s="98">
        <v>3</v>
      </c>
      <c r="F189" s="34"/>
      <c r="G189" s="34"/>
      <c r="H189" s="5"/>
      <c r="I189" s="5"/>
      <c r="J189" s="5"/>
      <c r="K189" s="5"/>
      <c r="L189" s="5"/>
      <c r="M189" s="5"/>
      <c r="N189" s="23"/>
      <c r="O189" s="10"/>
      <c r="P189" s="10"/>
      <c r="Q189" s="10"/>
      <c r="R189" s="10"/>
      <c r="S189" s="10"/>
      <c r="T189" s="10"/>
      <c r="U189" s="10"/>
    </row>
    <row r="190" spans="1:21" ht="18" customHeight="1" x14ac:dyDescent="0.25">
      <c r="A190" s="118"/>
      <c r="B190" s="119"/>
      <c r="C190" s="120" t="s">
        <v>22</v>
      </c>
      <c r="D190" s="89" t="s">
        <v>24</v>
      </c>
      <c r="E190" s="91"/>
      <c r="F190" s="92"/>
      <c r="G190" s="92"/>
      <c r="H190" s="121"/>
      <c r="I190" s="121"/>
      <c r="J190" s="121"/>
      <c r="K190" s="121"/>
      <c r="L190" s="121"/>
      <c r="M190" s="121"/>
      <c r="N190" s="23"/>
      <c r="O190" s="10"/>
      <c r="P190" s="10"/>
      <c r="Q190" s="10"/>
      <c r="R190" s="10"/>
      <c r="S190" s="10"/>
      <c r="T190" s="10"/>
      <c r="U190" s="10"/>
    </row>
    <row r="191" spans="1:21" ht="18" customHeight="1" x14ac:dyDescent="0.25">
      <c r="A191" s="122"/>
      <c r="B191" s="123"/>
      <c r="C191" s="124" t="s">
        <v>55</v>
      </c>
      <c r="D191" s="125" t="s">
        <v>54</v>
      </c>
      <c r="E191" s="126">
        <v>18</v>
      </c>
      <c r="F191" s="127"/>
      <c r="G191" s="127"/>
      <c r="H191" s="128"/>
      <c r="I191" s="128"/>
      <c r="J191" s="128"/>
      <c r="K191" s="128"/>
      <c r="L191" s="128"/>
      <c r="M191" s="128"/>
      <c r="N191" s="69"/>
      <c r="O191" s="10"/>
      <c r="P191" s="10"/>
      <c r="Q191" s="10"/>
      <c r="R191" s="10"/>
      <c r="S191" s="10"/>
      <c r="T191" s="10"/>
      <c r="U191" s="10"/>
    </row>
    <row r="192" spans="1:21" ht="18" customHeight="1" x14ac:dyDescent="0.25">
      <c r="A192" s="122"/>
      <c r="B192" s="123"/>
      <c r="C192" s="129" t="s">
        <v>56</v>
      </c>
      <c r="D192" s="130" t="s">
        <v>24</v>
      </c>
      <c r="E192" s="131"/>
      <c r="F192" s="127"/>
      <c r="G192" s="127"/>
      <c r="H192" s="128"/>
      <c r="I192" s="128"/>
      <c r="J192" s="128"/>
      <c r="K192" s="128"/>
      <c r="L192" s="128"/>
      <c r="M192" s="128"/>
      <c r="N192" s="69"/>
      <c r="O192" s="10"/>
      <c r="P192" s="10"/>
      <c r="Q192" s="10"/>
      <c r="R192" s="10"/>
      <c r="S192" s="10"/>
      <c r="T192" s="10"/>
      <c r="U192" s="10"/>
    </row>
    <row r="193" spans="1:256" ht="16.5" customHeight="1" x14ac:dyDescent="0.25">
      <c r="A193" s="132"/>
      <c r="B193" s="133"/>
      <c r="C193" s="134"/>
      <c r="D193" s="135"/>
      <c r="E193" s="135"/>
      <c r="F193" s="135"/>
      <c r="G193" s="135"/>
      <c r="H193" s="135"/>
      <c r="I193" s="135"/>
      <c r="J193" s="135"/>
      <c r="K193" s="135"/>
      <c r="L193" s="136"/>
      <c r="M193" s="136"/>
      <c r="N193" s="69"/>
      <c r="O193" s="10"/>
      <c r="P193" s="10"/>
      <c r="Q193" s="10"/>
      <c r="R193" s="10"/>
      <c r="S193" s="10"/>
      <c r="T193" s="10"/>
      <c r="U193" s="10"/>
    </row>
    <row r="194" spans="1:256" s="116" customFormat="1" ht="127.5" customHeight="1" x14ac:dyDescent="0.25">
      <c r="A194" s="236"/>
      <c r="B194" s="237"/>
      <c r="C194" s="237"/>
      <c r="D194" s="237"/>
      <c r="E194" s="237"/>
      <c r="F194" s="237"/>
      <c r="G194" s="237"/>
      <c r="H194" s="237"/>
      <c r="I194" s="237"/>
      <c r="J194" s="237"/>
      <c r="K194" s="237"/>
      <c r="L194" s="237"/>
      <c r="M194" s="237"/>
      <c r="N194" s="69"/>
      <c r="O194" s="10"/>
      <c r="P194" s="10"/>
      <c r="Q194" s="10"/>
      <c r="R194" s="10"/>
      <c r="S194" s="10"/>
      <c r="T194" s="10"/>
      <c r="U194" s="10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  <c r="BT194" s="137"/>
      <c r="BU194" s="137"/>
      <c r="BV194" s="137"/>
      <c r="BW194" s="137"/>
      <c r="BX194" s="137"/>
      <c r="BY194" s="137"/>
      <c r="BZ194" s="137"/>
      <c r="CA194" s="137"/>
      <c r="CB194" s="137"/>
      <c r="CC194" s="137"/>
      <c r="CD194" s="137"/>
      <c r="CE194" s="137"/>
      <c r="CF194" s="137"/>
      <c r="CG194" s="137"/>
      <c r="CH194" s="137"/>
      <c r="CI194" s="137"/>
      <c r="CJ194" s="137"/>
      <c r="CK194" s="137"/>
      <c r="CL194" s="137"/>
      <c r="CM194" s="137"/>
      <c r="CN194" s="137"/>
      <c r="CO194" s="137"/>
      <c r="CP194" s="137"/>
      <c r="CQ194" s="137"/>
      <c r="CR194" s="137"/>
      <c r="CS194" s="137"/>
      <c r="CT194" s="137"/>
      <c r="CU194" s="137"/>
      <c r="CV194" s="137"/>
      <c r="CW194" s="137"/>
      <c r="CX194" s="137"/>
      <c r="CY194" s="137"/>
      <c r="CZ194" s="137"/>
      <c r="DA194" s="137"/>
      <c r="DB194" s="137"/>
      <c r="DC194" s="137"/>
      <c r="DD194" s="137"/>
      <c r="DE194" s="137"/>
      <c r="DF194" s="137"/>
      <c r="DG194" s="137"/>
      <c r="DH194" s="137"/>
      <c r="DI194" s="137"/>
      <c r="DJ194" s="137"/>
      <c r="DK194" s="137"/>
      <c r="DL194" s="137"/>
      <c r="DM194" s="137"/>
      <c r="DN194" s="137"/>
      <c r="DO194" s="137"/>
      <c r="DP194" s="137"/>
      <c r="DQ194" s="137"/>
      <c r="DR194" s="137"/>
      <c r="DS194" s="137"/>
      <c r="DT194" s="137"/>
      <c r="DU194" s="137"/>
      <c r="DV194" s="137"/>
      <c r="DW194" s="137"/>
      <c r="DX194" s="137"/>
      <c r="DY194" s="137"/>
      <c r="DZ194" s="137"/>
      <c r="EA194" s="137"/>
      <c r="EB194" s="137"/>
      <c r="EC194" s="137"/>
      <c r="ED194" s="137"/>
      <c r="EE194" s="137"/>
      <c r="EF194" s="137"/>
      <c r="EG194" s="137"/>
      <c r="EH194" s="137"/>
      <c r="EI194" s="137"/>
      <c r="EJ194" s="137"/>
      <c r="EK194" s="137"/>
      <c r="EL194" s="137"/>
      <c r="EM194" s="137"/>
      <c r="EN194" s="137"/>
      <c r="EO194" s="137"/>
      <c r="EP194" s="137"/>
      <c r="EQ194" s="137"/>
      <c r="ER194" s="137"/>
      <c r="ES194" s="137"/>
      <c r="ET194" s="137"/>
      <c r="EU194" s="137"/>
      <c r="EV194" s="137"/>
      <c r="EW194" s="137"/>
      <c r="EX194" s="137"/>
      <c r="EY194" s="137"/>
      <c r="EZ194" s="137"/>
      <c r="FA194" s="137"/>
      <c r="FB194" s="137"/>
      <c r="FC194" s="137"/>
      <c r="FD194" s="137"/>
      <c r="FE194" s="137"/>
      <c r="FF194" s="137"/>
      <c r="FG194" s="137"/>
      <c r="FH194" s="137"/>
      <c r="FI194" s="137"/>
      <c r="FJ194" s="137"/>
      <c r="FK194" s="137"/>
      <c r="FL194" s="137"/>
      <c r="FM194" s="137"/>
      <c r="FN194" s="137"/>
      <c r="FO194" s="137"/>
      <c r="FP194" s="137"/>
      <c r="FQ194" s="137"/>
      <c r="FR194" s="137"/>
      <c r="FS194" s="137"/>
      <c r="FT194" s="137"/>
      <c r="FU194" s="137"/>
      <c r="FV194" s="137"/>
      <c r="FW194" s="137"/>
      <c r="FX194" s="137"/>
      <c r="FY194" s="137"/>
      <c r="FZ194" s="137"/>
      <c r="GA194" s="137"/>
      <c r="GB194" s="137"/>
      <c r="GC194" s="137"/>
      <c r="GD194" s="137"/>
      <c r="GE194" s="137"/>
      <c r="GF194" s="137"/>
      <c r="GG194" s="137"/>
      <c r="GH194" s="137"/>
      <c r="GI194" s="137"/>
      <c r="GJ194" s="137"/>
      <c r="GK194" s="137"/>
      <c r="GL194" s="137"/>
      <c r="GM194" s="137"/>
      <c r="GN194" s="137"/>
      <c r="GO194" s="137"/>
      <c r="GP194" s="137"/>
      <c r="GQ194" s="137"/>
      <c r="GR194" s="137"/>
      <c r="GS194" s="137"/>
      <c r="GT194" s="137"/>
      <c r="GU194" s="137"/>
      <c r="GV194" s="137"/>
      <c r="GW194" s="137"/>
      <c r="GX194" s="137"/>
      <c r="GY194" s="137"/>
      <c r="GZ194" s="137"/>
      <c r="HA194" s="137"/>
      <c r="HB194" s="137"/>
      <c r="HC194" s="137"/>
      <c r="HD194" s="137"/>
      <c r="HE194" s="137"/>
      <c r="HF194" s="137"/>
      <c r="HG194" s="137"/>
      <c r="HH194" s="137"/>
      <c r="HI194" s="137"/>
      <c r="HJ194" s="137"/>
      <c r="HK194" s="137"/>
      <c r="HL194" s="137"/>
      <c r="HM194" s="137"/>
      <c r="HN194" s="137"/>
      <c r="HO194" s="137"/>
      <c r="HP194" s="137"/>
      <c r="HQ194" s="137"/>
      <c r="HR194" s="137"/>
      <c r="HS194" s="137"/>
      <c r="HT194" s="137"/>
      <c r="HU194" s="137"/>
      <c r="HV194" s="137"/>
      <c r="HW194" s="137"/>
      <c r="HX194" s="137"/>
      <c r="HY194" s="137"/>
      <c r="HZ194" s="137"/>
      <c r="IA194" s="137"/>
      <c r="IB194" s="137"/>
      <c r="IC194" s="137"/>
      <c r="ID194" s="137"/>
      <c r="IE194" s="137"/>
      <c r="IF194" s="137"/>
      <c r="IG194" s="137"/>
      <c r="IH194" s="137"/>
      <c r="II194" s="137"/>
      <c r="IJ194" s="137"/>
      <c r="IK194" s="137"/>
      <c r="IL194" s="137"/>
      <c r="IM194" s="137"/>
      <c r="IN194" s="137"/>
      <c r="IO194" s="137"/>
      <c r="IP194" s="137"/>
      <c r="IQ194" s="137"/>
      <c r="IR194" s="137"/>
      <c r="IS194" s="137"/>
      <c r="IT194" s="137"/>
      <c r="IU194" s="137"/>
      <c r="IV194" s="137"/>
    </row>
    <row r="195" spans="1:256" ht="16.5" customHeight="1" x14ac:dyDescent="0.25">
      <c r="A195" s="138"/>
      <c r="B195" s="133"/>
      <c r="C195" s="139"/>
      <c r="D195" s="140"/>
      <c r="E195" s="140"/>
      <c r="F195" s="141"/>
      <c r="G195" s="142"/>
      <c r="H195" s="143"/>
      <c r="I195" s="140"/>
      <c r="J195" s="140"/>
      <c r="K195" s="140"/>
      <c r="L195" s="140"/>
      <c r="M195" s="10"/>
      <c r="N195" s="10"/>
      <c r="O195" s="10"/>
      <c r="P195" s="10"/>
      <c r="Q195" s="10"/>
      <c r="R195" s="10"/>
      <c r="S195" s="10"/>
      <c r="T195" s="10"/>
      <c r="U195" s="10"/>
    </row>
    <row r="196" spans="1:256" ht="16.5" customHeight="1" x14ac:dyDescent="0.25">
      <c r="A196" s="138"/>
      <c r="B196" s="133"/>
      <c r="C196" s="139"/>
      <c r="D196" s="140"/>
      <c r="E196" s="140"/>
      <c r="F196" s="141"/>
      <c r="G196" s="142"/>
      <c r="H196" s="143"/>
      <c r="I196" s="140"/>
      <c r="J196" s="140"/>
      <c r="K196" s="140"/>
      <c r="L196" s="140"/>
      <c r="M196" s="10"/>
      <c r="N196" s="10"/>
      <c r="O196" s="10"/>
      <c r="P196" s="10"/>
      <c r="Q196" s="10"/>
      <c r="R196" s="10"/>
      <c r="S196" s="10"/>
      <c r="T196" s="10"/>
      <c r="U196" s="10"/>
    </row>
    <row r="197" spans="1:256" ht="16.5" customHeight="1" x14ac:dyDescent="0.25">
      <c r="A197" s="138"/>
      <c r="B197" s="133"/>
      <c r="C197" s="139"/>
      <c r="D197" s="140"/>
      <c r="E197" s="140"/>
      <c r="F197" s="141"/>
      <c r="G197" s="142"/>
      <c r="H197" s="143"/>
      <c r="I197" s="140"/>
      <c r="J197" s="140"/>
      <c r="K197" s="140"/>
      <c r="L197" s="140"/>
      <c r="M197" s="10"/>
      <c r="N197" s="10"/>
      <c r="O197" s="10"/>
      <c r="P197" s="10"/>
      <c r="Q197" s="10"/>
      <c r="R197" s="10"/>
      <c r="S197" s="10"/>
      <c r="T197" s="10"/>
      <c r="U197" s="10"/>
    </row>
    <row r="198" spans="1:256" ht="16.5" customHeight="1" x14ac:dyDescent="0.25">
      <c r="A198" s="138"/>
      <c r="B198" s="133"/>
      <c r="C198" s="139"/>
      <c r="D198" s="140"/>
      <c r="E198" s="140"/>
      <c r="F198" s="141"/>
      <c r="G198" s="142"/>
      <c r="H198" s="143"/>
      <c r="I198" s="140"/>
      <c r="J198" s="140"/>
      <c r="K198" s="140"/>
      <c r="L198" s="140"/>
      <c r="M198" s="10"/>
      <c r="N198" s="10"/>
      <c r="O198" s="10"/>
      <c r="P198" s="10"/>
      <c r="Q198" s="10"/>
      <c r="R198" s="10"/>
      <c r="S198" s="10"/>
      <c r="T198" s="10"/>
      <c r="U198" s="10"/>
    </row>
    <row r="199" spans="1:256" ht="16.5" customHeight="1" x14ac:dyDescent="0.25">
      <c r="A199" s="138"/>
      <c r="B199" s="133"/>
      <c r="C199" s="139"/>
      <c r="D199" s="140"/>
      <c r="E199" s="140"/>
      <c r="F199" s="141"/>
      <c r="G199" s="142"/>
      <c r="H199" s="143"/>
      <c r="I199" s="140"/>
      <c r="J199" s="140"/>
      <c r="K199" s="140"/>
      <c r="L199" s="140"/>
      <c r="M199" s="10"/>
      <c r="N199" s="10"/>
      <c r="O199" s="10"/>
      <c r="P199" s="10"/>
      <c r="Q199" s="10"/>
      <c r="R199" s="10"/>
      <c r="S199" s="10"/>
      <c r="T199" s="10"/>
      <c r="U199" s="10"/>
    </row>
    <row r="200" spans="1:256" ht="16.5" customHeight="1" x14ac:dyDescent="0.25">
      <c r="A200" s="138"/>
      <c r="B200" s="133"/>
      <c r="C200" s="139"/>
      <c r="D200" s="140"/>
      <c r="E200" s="140"/>
      <c r="F200" s="141"/>
      <c r="G200" s="142"/>
      <c r="H200" s="143"/>
      <c r="I200" s="140"/>
      <c r="J200" s="140"/>
      <c r="K200" s="140"/>
      <c r="L200" s="140"/>
      <c r="M200" s="10"/>
      <c r="N200" s="10"/>
      <c r="O200" s="10"/>
      <c r="P200" s="10"/>
      <c r="Q200" s="10"/>
      <c r="R200" s="10"/>
      <c r="S200" s="10"/>
      <c r="T200" s="10"/>
      <c r="U200" s="10"/>
    </row>
    <row r="201" spans="1:256" ht="16.5" customHeight="1" x14ac:dyDescent="0.25">
      <c r="A201" s="138"/>
      <c r="B201" s="133"/>
      <c r="C201" s="139"/>
      <c r="D201" s="140"/>
      <c r="E201" s="140"/>
      <c r="F201" s="141"/>
      <c r="G201" s="142"/>
      <c r="H201" s="143"/>
      <c r="I201" s="140"/>
      <c r="J201" s="140"/>
      <c r="K201" s="140"/>
      <c r="L201" s="140"/>
      <c r="M201" s="10"/>
      <c r="N201" s="10"/>
      <c r="O201" s="10"/>
      <c r="P201" s="10"/>
      <c r="Q201" s="10"/>
      <c r="R201" s="10"/>
      <c r="S201" s="10"/>
      <c r="T201" s="10"/>
      <c r="U201" s="10"/>
    </row>
    <row r="202" spans="1:256" ht="16.5" customHeight="1" x14ac:dyDescent="0.25">
      <c r="A202" s="138"/>
      <c r="B202" s="133"/>
      <c r="C202" s="139"/>
      <c r="D202" s="140"/>
      <c r="E202" s="140"/>
      <c r="F202" s="141"/>
      <c r="G202" s="142"/>
      <c r="H202" s="143"/>
      <c r="I202" s="140"/>
      <c r="J202" s="140"/>
      <c r="K202" s="140"/>
      <c r="L202" s="140"/>
      <c r="M202" s="10"/>
      <c r="N202" s="10"/>
      <c r="O202" s="10"/>
      <c r="P202" s="10"/>
      <c r="Q202" s="10"/>
      <c r="R202" s="10"/>
      <c r="S202" s="10"/>
      <c r="T202" s="10"/>
      <c r="U202" s="10"/>
    </row>
    <row r="203" spans="1:256" ht="16.5" customHeight="1" x14ac:dyDescent="0.25">
      <c r="A203" s="138"/>
      <c r="B203" s="133"/>
      <c r="C203" s="139"/>
      <c r="D203" s="140"/>
      <c r="E203" s="140"/>
      <c r="F203" s="141"/>
      <c r="G203" s="142"/>
      <c r="H203" s="143"/>
      <c r="I203" s="140"/>
      <c r="J203" s="140"/>
      <c r="K203" s="140"/>
      <c r="L203" s="140"/>
      <c r="M203" s="10"/>
      <c r="N203" s="10"/>
      <c r="O203" s="10"/>
      <c r="P203" s="10"/>
      <c r="Q203" s="10"/>
      <c r="R203" s="10"/>
      <c r="S203" s="10"/>
      <c r="T203" s="10"/>
      <c r="U203" s="10"/>
    </row>
    <row r="204" spans="1:256" ht="16.5" customHeight="1" x14ac:dyDescent="0.25">
      <c r="A204" s="138"/>
      <c r="B204" s="133"/>
      <c r="C204" s="139"/>
      <c r="D204" s="140"/>
      <c r="E204" s="140"/>
      <c r="F204" s="141"/>
      <c r="G204" s="142"/>
      <c r="H204" s="143"/>
      <c r="I204" s="140"/>
      <c r="J204" s="140"/>
      <c r="K204" s="140"/>
      <c r="L204" s="140"/>
      <c r="M204" s="10"/>
      <c r="N204" s="10"/>
      <c r="O204" s="10"/>
      <c r="P204" s="10"/>
      <c r="Q204" s="10"/>
      <c r="R204" s="10"/>
      <c r="S204" s="10"/>
      <c r="T204" s="10"/>
      <c r="U204" s="10"/>
    </row>
    <row r="205" spans="1:256" ht="16.5" customHeight="1" x14ac:dyDescent="0.25">
      <c r="A205" s="138"/>
      <c r="B205" s="133"/>
      <c r="C205" s="139"/>
      <c r="D205" s="140"/>
      <c r="E205" s="140"/>
      <c r="F205" s="141"/>
      <c r="G205" s="142"/>
      <c r="H205" s="143"/>
      <c r="I205" s="140"/>
      <c r="J205" s="140"/>
      <c r="K205" s="140"/>
      <c r="L205" s="140"/>
      <c r="M205" s="10"/>
      <c r="N205" s="10"/>
      <c r="O205" s="10"/>
      <c r="P205" s="10"/>
      <c r="Q205" s="10"/>
      <c r="R205" s="10"/>
      <c r="S205" s="10"/>
      <c r="T205" s="10"/>
      <c r="U205" s="10"/>
    </row>
    <row r="206" spans="1:256" ht="16.5" customHeight="1" x14ac:dyDescent="0.25">
      <c r="A206" s="138"/>
      <c r="B206" s="133"/>
      <c r="C206" s="139"/>
      <c r="D206" s="140"/>
      <c r="E206" s="140"/>
      <c r="F206" s="141"/>
      <c r="G206" s="142"/>
      <c r="H206" s="143"/>
      <c r="I206" s="140"/>
      <c r="J206" s="140"/>
      <c r="K206" s="140"/>
      <c r="L206" s="140"/>
      <c r="M206" s="10"/>
      <c r="N206" s="10"/>
      <c r="O206" s="10"/>
      <c r="P206" s="10"/>
      <c r="Q206" s="10"/>
      <c r="R206" s="10"/>
      <c r="S206" s="10"/>
      <c r="T206" s="10"/>
      <c r="U206" s="10"/>
    </row>
    <row r="207" spans="1:256" ht="16.5" customHeight="1" x14ac:dyDescent="0.25">
      <c r="A207" s="138"/>
      <c r="B207" s="133"/>
      <c r="C207" s="139"/>
      <c r="D207" s="140"/>
      <c r="E207" s="140"/>
      <c r="F207" s="141"/>
      <c r="G207" s="142"/>
      <c r="H207" s="143"/>
      <c r="I207" s="140"/>
      <c r="J207" s="140"/>
      <c r="K207" s="140"/>
      <c r="L207" s="140"/>
      <c r="M207" s="10"/>
      <c r="N207" s="10"/>
      <c r="O207" s="10"/>
      <c r="P207" s="10"/>
      <c r="Q207" s="10"/>
      <c r="R207" s="10"/>
      <c r="S207" s="10"/>
      <c r="T207" s="10"/>
      <c r="U207" s="10"/>
    </row>
    <row r="208" spans="1:256" ht="16.5" customHeight="1" x14ac:dyDescent="0.25">
      <c r="A208" s="138"/>
      <c r="B208" s="133"/>
      <c r="C208" s="139"/>
      <c r="D208" s="140"/>
      <c r="E208" s="140"/>
      <c r="F208" s="141"/>
      <c r="G208" s="142"/>
      <c r="H208" s="143"/>
      <c r="I208" s="140"/>
      <c r="J208" s="140"/>
      <c r="K208" s="140"/>
      <c r="L208" s="140"/>
      <c r="M208" s="10"/>
      <c r="N208" s="10"/>
      <c r="O208" s="10"/>
      <c r="P208" s="10"/>
      <c r="Q208" s="10"/>
      <c r="R208" s="10"/>
      <c r="S208" s="10"/>
      <c r="T208" s="10"/>
      <c r="U208" s="10"/>
    </row>
    <row r="209" spans="1:21" ht="16.5" customHeight="1" x14ac:dyDescent="0.25">
      <c r="A209" s="138"/>
      <c r="B209" s="133"/>
      <c r="C209" s="139"/>
      <c r="D209" s="140"/>
      <c r="E209" s="140"/>
      <c r="F209" s="141"/>
      <c r="G209" s="142"/>
      <c r="H209" s="143"/>
      <c r="I209" s="140"/>
      <c r="J209" s="140"/>
      <c r="K209" s="140"/>
      <c r="L209" s="140"/>
      <c r="M209" s="10"/>
      <c r="N209" s="10"/>
      <c r="O209" s="10"/>
      <c r="P209" s="10"/>
      <c r="Q209" s="10"/>
      <c r="R209" s="10"/>
      <c r="S209" s="10"/>
      <c r="T209" s="10"/>
      <c r="U209" s="10"/>
    </row>
    <row r="210" spans="1:21" ht="16.5" customHeight="1" x14ac:dyDescent="0.25">
      <c r="A210" s="138"/>
      <c r="B210" s="133"/>
      <c r="C210" s="139"/>
      <c r="D210" s="140"/>
      <c r="E210" s="140"/>
      <c r="F210" s="141"/>
      <c r="G210" s="142"/>
      <c r="H210" s="143"/>
      <c r="I210" s="140"/>
      <c r="J210" s="140"/>
      <c r="K210" s="140"/>
      <c r="L210" s="140"/>
      <c r="M210" s="10"/>
      <c r="N210" s="10"/>
      <c r="O210" s="10"/>
      <c r="P210" s="10"/>
      <c r="Q210" s="10"/>
      <c r="R210" s="10"/>
      <c r="S210" s="10"/>
      <c r="T210" s="10"/>
      <c r="U210" s="10"/>
    </row>
    <row r="211" spans="1:21" ht="16.5" customHeight="1" x14ac:dyDescent="0.25">
      <c r="A211" s="138"/>
      <c r="B211" s="133"/>
      <c r="C211" s="139"/>
      <c r="D211" s="140"/>
      <c r="E211" s="140"/>
      <c r="F211" s="141"/>
      <c r="G211" s="142"/>
      <c r="H211" s="143"/>
      <c r="I211" s="140"/>
      <c r="J211" s="140"/>
      <c r="K211" s="140"/>
      <c r="L211" s="140"/>
      <c r="M211" s="10"/>
      <c r="N211" s="10"/>
      <c r="O211" s="10"/>
      <c r="P211" s="10"/>
      <c r="Q211" s="10"/>
      <c r="R211" s="10"/>
      <c r="S211" s="10"/>
      <c r="T211" s="10"/>
      <c r="U211" s="10"/>
    </row>
    <row r="212" spans="1:21" ht="16.5" customHeight="1" x14ac:dyDescent="0.25">
      <c r="A212" s="138"/>
      <c r="B212" s="133"/>
      <c r="C212" s="139"/>
      <c r="D212" s="140"/>
      <c r="E212" s="140"/>
      <c r="F212" s="141"/>
      <c r="G212" s="142"/>
      <c r="H212" s="143"/>
      <c r="I212" s="140"/>
      <c r="J212" s="140"/>
      <c r="K212" s="140"/>
      <c r="L212" s="140"/>
      <c r="M212" s="10"/>
      <c r="N212" s="10"/>
      <c r="O212" s="10"/>
      <c r="P212" s="10"/>
      <c r="Q212" s="10"/>
      <c r="R212" s="10"/>
      <c r="S212" s="10"/>
      <c r="T212" s="10"/>
      <c r="U212" s="10"/>
    </row>
    <row r="213" spans="1:21" ht="16.5" customHeight="1" x14ac:dyDescent="0.25">
      <c r="A213" s="138"/>
      <c r="B213" s="133"/>
      <c r="C213" s="139"/>
      <c r="D213" s="140"/>
      <c r="E213" s="140"/>
      <c r="F213" s="141"/>
      <c r="G213" s="142"/>
      <c r="H213" s="143"/>
      <c r="I213" s="140"/>
      <c r="J213" s="140"/>
      <c r="K213" s="140"/>
      <c r="L213" s="140"/>
      <c r="M213" s="10"/>
      <c r="N213" s="10"/>
      <c r="O213" s="10"/>
      <c r="P213" s="10"/>
      <c r="Q213" s="10"/>
      <c r="R213" s="10"/>
      <c r="S213" s="10"/>
      <c r="T213" s="10"/>
      <c r="U213" s="10"/>
    </row>
    <row r="214" spans="1:21" ht="16.5" customHeight="1" x14ac:dyDescent="0.25">
      <c r="A214" s="138"/>
      <c r="B214" s="133"/>
      <c r="C214" s="139"/>
      <c r="D214" s="140"/>
      <c r="E214" s="140"/>
      <c r="F214" s="141"/>
      <c r="G214" s="142"/>
      <c r="H214" s="143"/>
      <c r="I214" s="140"/>
      <c r="J214" s="140"/>
      <c r="K214" s="140"/>
      <c r="L214" s="140"/>
      <c r="M214" s="10"/>
      <c r="N214" s="10"/>
      <c r="O214" s="10"/>
      <c r="P214" s="10"/>
      <c r="Q214" s="10"/>
      <c r="R214" s="10"/>
      <c r="S214" s="10"/>
      <c r="T214" s="10"/>
      <c r="U214" s="10"/>
    </row>
    <row r="215" spans="1:21" ht="16.5" customHeight="1" x14ac:dyDescent="0.25">
      <c r="A215" s="138"/>
      <c r="B215" s="133"/>
      <c r="C215" s="139"/>
      <c r="D215" s="140"/>
      <c r="E215" s="140"/>
      <c r="F215" s="141"/>
      <c r="G215" s="142"/>
      <c r="H215" s="143"/>
      <c r="I215" s="140"/>
      <c r="J215" s="140"/>
      <c r="K215" s="140"/>
      <c r="L215" s="140"/>
      <c r="M215" s="10"/>
      <c r="N215" s="10"/>
      <c r="O215" s="10"/>
      <c r="P215" s="10"/>
      <c r="Q215" s="10"/>
      <c r="R215" s="10"/>
      <c r="S215" s="10"/>
      <c r="T215" s="10"/>
      <c r="U215" s="10"/>
    </row>
    <row r="216" spans="1:21" ht="16.5" customHeight="1" x14ac:dyDescent="0.25">
      <c r="A216" s="138"/>
      <c r="B216" s="133"/>
      <c r="C216" s="139"/>
      <c r="D216" s="140"/>
      <c r="E216" s="140"/>
      <c r="F216" s="141"/>
      <c r="G216" s="142"/>
      <c r="H216" s="143"/>
      <c r="I216" s="140"/>
      <c r="J216" s="140"/>
      <c r="K216" s="140"/>
      <c r="L216" s="140"/>
      <c r="M216" s="10"/>
      <c r="N216" s="10"/>
      <c r="O216" s="10"/>
      <c r="P216" s="10"/>
      <c r="Q216" s="10"/>
      <c r="R216" s="10"/>
      <c r="S216" s="10"/>
      <c r="T216" s="10"/>
      <c r="U216" s="10"/>
    </row>
    <row r="217" spans="1:21" ht="16.5" customHeight="1" x14ac:dyDescent="0.25">
      <c r="A217" s="138"/>
      <c r="B217" s="133"/>
      <c r="C217" s="139"/>
      <c r="D217" s="140"/>
      <c r="E217" s="140"/>
      <c r="F217" s="141"/>
      <c r="G217" s="142"/>
      <c r="H217" s="143"/>
      <c r="I217" s="140"/>
      <c r="J217" s="140"/>
      <c r="K217" s="140"/>
      <c r="L217" s="140"/>
      <c r="M217" s="10"/>
      <c r="N217" s="10"/>
      <c r="O217" s="10"/>
      <c r="P217" s="10"/>
      <c r="Q217" s="10"/>
      <c r="R217" s="10"/>
      <c r="S217" s="10"/>
      <c r="T217" s="10"/>
      <c r="U217" s="10"/>
    </row>
    <row r="218" spans="1:21" ht="16.5" customHeight="1" x14ac:dyDescent="0.25">
      <c r="A218" s="138"/>
      <c r="B218" s="133"/>
      <c r="C218" s="139"/>
      <c r="D218" s="140"/>
      <c r="E218" s="140"/>
      <c r="F218" s="141"/>
      <c r="G218" s="142"/>
      <c r="H218" s="143"/>
      <c r="I218" s="140"/>
      <c r="J218" s="140"/>
      <c r="K218" s="140"/>
      <c r="L218" s="140"/>
      <c r="M218" s="10"/>
      <c r="N218" s="10"/>
      <c r="O218" s="10"/>
      <c r="P218" s="10"/>
      <c r="Q218" s="10"/>
      <c r="R218" s="10"/>
      <c r="S218" s="10"/>
      <c r="T218" s="10"/>
      <c r="U218" s="10"/>
    </row>
    <row r="219" spans="1:21" ht="16.5" customHeight="1" x14ac:dyDescent="0.25">
      <c r="A219" s="138"/>
      <c r="B219" s="133"/>
      <c r="C219" s="139"/>
      <c r="D219" s="140"/>
      <c r="E219" s="140"/>
      <c r="F219" s="141"/>
      <c r="G219" s="142"/>
      <c r="H219" s="143"/>
      <c r="I219" s="140"/>
      <c r="J219" s="140"/>
      <c r="K219" s="140"/>
      <c r="L219" s="140"/>
      <c r="M219" s="10"/>
      <c r="N219" s="10"/>
      <c r="O219" s="10"/>
      <c r="P219" s="10"/>
      <c r="Q219" s="10"/>
      <c r="R219" s="10"/>
      <c r="S219" s="10"/>
      <c r="T219" s="10"/>
      <c r="U219" s="10"/>
    </row>
    <row r="220" spans="1:21" ht="16.5" customHeight="1" x14ac:dyDescent="0.25">
      <c r="A220" s="138"/>
      <c r="B220" s="133"/>
      <c r="C220" s="139"/>
      <c r="D220" s="140"/>
      <c r="E220" s="140"/>
      <c r="F220" s="141"/>
      <c r="G220" s="142"/>
      <c r="H220" s="143"/>
      <c r="I220" s="140"/>
      <c r="J220" s="140"/>
      <c r="K220" s="140"/>
      <c r="L220" s="140"/>
      <c r="M220" s="10"/>
      <c r="N220" s="10"/>
      <c r="O220" s="10"/>
      <c r="P220" s="10"/>
      <c r="Q220" s="10"/>
      <c r="R220" s="10"/>
      <c r="S220" s="10"/>
      <c r="T220" s="10"/>
      <c r="U220" s="10"/>
    </row>
    <row r="221" spans="1:21" ht="16.5" customHeight="1" x14ac:dyDescent="0.25">
      <c r="A221" s="138"/>
      <c r="B221" s="133"/>
      <c r="C221" s="139"/>
      <c r="D221" s="140"/>
      <c r="E221" s="140"/>
      <c r="F221" s="141"/>
      <c r="G221" s="142"/>
      <c r="H221" s="143"/>
      <c r="I221" s="140"/>
      <c r="J221" s="140"/>
      <c r="K221" s="140"/>
      <c r="L221" s="140"/>
      <c r="M221" s="10"/>
      <c r="N221" s="10"/>
      <c r="O221" s="10"/>
      <c r="P221" s="10"/>
      <c r="Q221" s="10"/>
      <c r="R221" s="10"/>
      <c r="S221" s="10"/>
      <c r="T221" s="10"/>
      <c r="U221" s="10"/>
    </row>
    <row r="222" spans="1:21" ht="16.5" customHeight="1" x14ac:dyDescent="0.25">
      <c r="A222" s="138"/>
      <c r="B222" s="133"/>
      <c r="C222" s="139"/>
      <c r="D222" s="140"/>
      <c r="E222" s="140"/>
      <c r="F222" s="141"/>
      <c r="G222" s="142"/>
      <c r="H222" s="143"/>
      <c r="I222" s="140"/>
      <c r="J222" s="140"/>
      <c r="K222" s="140"/>
      <c r="L222" s="140"/>
      <c r="M222" s="10"/>
      <c r="N222" s="10"/>
      <c r="O222" s="10"/>
      <c r="P222" s="10"/>
      <c r="Q222" s="10"/>
      <c r="R222" s="10"/>
      <c r="S222" s="10"/>
      <c r="T222" s="10"/>
      <c r="U222" s="10"/>
    </row>
    <row r="223" spans="1:21" ht="16.5" customHeight="1" x14ac:dyDescent="0.25">
      <c r="A223" s="138"/>
      <c r="B223" s="133"/>
      <c r="C223" s="139"/>
      <c r="D223" s="140"/>
      <c r="E223" s="140"/>
      <c r="F223" s="141"/>
      <c r="G223" s="142"/>
      <c r="H223" s="143"/>
      <c r="I223" s="140"/>
      <c r="J223" s="140"/>
      <c r="K223" s="140"/>
      <c r="L223" s="140"/>
      <c r="M223" s="10"/>
      <c r="N223" s="10"/>
      <c r="O223" s="10"/>
      <c r="P223" s="10"/>
      <c r="Q223" s="10"/>
      <c r="R223" s="10"/>
      <c r="S223" s="10"/>
      <c r="T223" s="10"/>
      <c r="U223" s="10"/>
    </row>
    <row r="224" spans="1:21" ht="16.5" customHeight="1" x14ac:dyDescent="0.25">
      <c r="A224" s="138"/>
      <c r="B224" s="133"/>
      <c r="C224" s="139"/>
      <c r="D224" s="140"/>
      <c r="E224" s="140"/>
      <c r="F224" s="141"/>
      <c r="G224" s="142"/>
      <c r="H224" s="143"/>
      <c r="I224" s="140"/>
      <c r="J224" s="140"/>
      <c r="K224" s="140"/>
      <c r="L224" s="140"/>
      <c r="M224" s="10"/>
      <c r="N224" s="10"/>
      <c r="O224" s="10"/>
      <c r="P224" s="10"/>
      <c r="Q224" s="10"/>
      <c r="R224" s="10"/>
      <c r="S224" s="10"/>
      <c r="T224" s="10"/>
      <c r="U224" s="10"/>
    </row>
    <row r="225" spans="1:21" ht="16.5" customHeight="1" x14ac:dyDescent="0.25">
      <c r="A225" s="138"/>
      <c r="B225" s="133"/>
      <c r="C225" s="139"/>
      <c r="D225" s="140"/>
      <c r="E225" s="140"/>
      <c r="F225" s="141"/>
      <c r="G225" s="142"/>
      <c r="H225" s="143"/>
      <c r="I225" s="140"/>
      <c r="J225" s="140"/>
      <c r="K225" s="140"/>
      <c r="L225" s="140"/>
      <c r="M225" s="10"/>
      <c r="N225" s="10"/>
      <c r="O225" s="10"/>
      <c r="P225" s="10"/>
      <c r="Q225" s="10"/>
      <c r="R225" s="10"/>
      <c r="S225" s="10"/>
      <c r="T225" s="10"/>
      <c r="U225" s="10"/>
    </row>
    <row r="226" spans="1:21" ht="16.5" customHeight="1" x14ac:dyDescent="0.25">
      <c r="A226" s="138"/>
      <c r="B226" s="133"/>
      <c r="C226" s="139"/>
      <c r="D226" s="140"/>
      <c r="E226" s="140"/>
      <c r="F226" s="141"/>
      <c r="G226" s="142"/>
      <c r="H226" s="143"/>
      <c r="I226" s="140"/>
      <c r="J226" s="140"/>
      <c r="K226" s="140"/>
      <c r="L226" s="140"/>
      <c r="M226" s="10"/>
      <c r="N226" s="10"/>
      <c r="O226" s="10"/>
      <c r="P226" s="10"/>
      <c r="Q226" s="10"/>
      <c r="R226" s="10"/>
      <c r="S226" s="10"/>
      <c r="T226" s="10"/>
      <c r="U226" s="10"/>
    </row>
    <row r="227" spans="1:21" ht="16.5" customHeight="1" x14ac:dyDescent="0.25">
      <c r="A227" s="138"/>
      <c r="B227" s="133"/>
      <c r="C227" s="139"/>
      <c r="D227" s="140"/>
      <c r="E227" s="140"/>
      <c r="F227" s="141"/>
      <c r="G227" s="142"/>
      <c r="H227" s="143"/>
      <c r="I227" s="140"/>
      <c r="J227" s="140"/>
      <c r="K227" s="140"/>
      <c r="L227" s="140"/>
      <c r="M227" s="10"/>
      <c r="N227" s="10"/>
      <c r="O227" s="10"/>
      <c r="P227" s="10"/>
      <c r="Q227" s="10"/>
      <c r="R227" s="10"/>
      <c r="S227" s="10"/>
      <c r="T227" s="10"/>
      <c r="U227" s="10"/>
    </row>
    <row r="228" spans="1:21" ht="16.5" customHeight="1" x14ac:dyDescent="0.25">
      <c r="A228" s="138"/>
      <c r="B228" s="133"/>
      <c r="C228" s="139"/>
      <c r="D228" s="140"/>
      <c r="E228" s="140"/>
      <c r="F228" s="141"/>
      <c r="G228" s="142"/>
      <c r="H228" s="143"/>
      <c r="I228" s="140"/>
      <c r="J228" s="140"/>
      <c r="K228" s="140"/>
      <c r="L228" s="140"/>
      <c r="M228" s="10"/>
      <c r="N228" s="10"/>
      <c r="O228" s="10"/>
      <c r="P228" s="10"/>
      <c r="Q228" s="10"/>
      <c r="R228" s="10"/>
      <c r="S228" s="10"/>
      <c r="T228" s="10"/>
      <c r="U228" s="10"/>
    </row>
    <row r="229" spans="1:21" ht="16.5" customHeight="1" x14ac:dyDescent="0.25">
      <c r="A229" s="138"/>
      <c r="B229" s="133"/>
      <c r="C229" s="139"/>
      <c r="D229" s="140"/>
      <c r="E229" s="140"/>
      <c r="F229" s="141"/>
      <c r="G229" s="142"/>
      <c r="H229" s="143"/>
      <c r="I229" s="140"/>
      <c r="J229" s="140"/>
      <c r="K229" s="140"/>
      <c r="L229" s="140"/>
      <c r="M229" s="10"/>
      <c r="N229" s="10"/>
      <c r="O229" s="10"/>
      <c r="P229" s="10"/>
      <c r="Q229" s="10"/>
      <c r="R229" s="10"/>
      <c r="S229" s="10"/>
      <c r="T229" s="10"/>
      <c r="U229" s="10"/>
    </row>
    <row r="230" spans="1:21" ht="16.5" customHeight="1" x14ac:dyDescent="0.25">
      <c r="A230" s="138"/>
      <c r="B230" s="133"/>
      <c r="C230" s="139"/>
      <c r="D230" s="140"/>
      <c r="E230" s="140"/>
      <c r="F230" s="141"/>
      <c r="G230" s="142"/>
      <c r="H230" s="143"/>
      <c r="I230" s="140"/>
      <c r="J230" s="140"/>
      <c r="K230" s="140"/>
      <c r="L230" s="140"/>
      <c r="M230" s="10"/>
      <c r="N230" s="10"/>
      <c r="O230" s="10"/>
      <c r="P230" s="10"/>
      <c r="Q230" s="10"/>
      <c r="R230" s="10"/>
      <c r="S230" s="10"/>
      <c r="T230" s="10"/>
      <c r="U230" s="10"/>
    </row>
    <row r="231" spans="1:21" ht="16.5" customHeight="1" x14ac:dyDescent="0.25">
      <c r="A231" s="138"/>
      <c r="B231" s="133"/>
      <c r="C231" s="139"/>
      <c r="D231" s="140"/>
      <c r="E231" s="140"/>
      <c r="F231" s="141"/>
      <c r="G231" s="142"/>
      <c r="H231" s="143"/>
      <c r="I231" s="140"/>
      <c r="J231" s="140"/>
      <c r="K231" s="140"/>
      <c r="L231" s="140"/>
      <c r="M231" s="10"/>
      <c r="N231" s="10"/>
      <c r="O231" s="10"/>
      <c r="P231" s="10"/>
      <c r="Q231" s="10"/>
      <c r="R231" s="10"/>
      <c r="S231" s="10"/>
      <c r="T231" s="10"/>
      <c r="U231" s="10"/>
    </row>
    <row r="232" spans="1:21" ht="16.5" customHeight="1" x14ac:dyDescent="0.25">
      <c r="A232" s="138"/>
      <c r="B232" s="133"/>
      <c r="C232" s="139"/>
      <c r="D232" s="140"/>
      <c r="E232" s="140"/>
      <c r="F232" s="141"/>
      <c r="G232" s="142"/>
      <c r="H232" s="143"/>
      <c r="I232" s="140"/>
      <c r="J232" s="140"/>
      <c r="K232" s="140"/>
      <c r="L232" s="140"/>
      <c r="M232" s="10"/>
      <c r="N232" s="10"/>
      <c r="O232" s="10"/>
      <c r="P232" s="10"/>
      <c r="Q232" s="10"/>
      <c r="R232" s="10"/>
      <c r="S232" s="10"/>
      <c r="T232" s="10"/>
      <c r="U232" s="10"/>
    </row>
    <row r="233" spans="1:21" ht="16.5" customHeight="1" x14ac:dyDescent="0.25">
      <c r="A233" s="138"/>
      <c r="B233" s="133"/>
      <c r="C233" s="139"/>
      <c r="D233" s="140"/>
      <c r="E233" s="140"/>
      <c r="F233" s="141"/>
      <c r="G233" s="142"/>
      <c r="H233" s="143"/>
      <c r="I233" s="140"/>
      <c r="J233" s="140"/>
      <c r="K233" s="140"/>
      <c r="L233" s="140"/>
      <c r="M233" s="10"/>
      <c r="N233" s="10"/>
      <c r="O233" s="10"/>
      <c r="P233" s="10"/>
      <c r="Q233" s="10"/>
      <c r="R233" s="10"/>
      <c r="S233" s="10"/>
      <c r="T233" s="10"/>
      <c r="U233" s="10"/>
    </row>
    <row r="234" spans="1:21" ht="16.5" customHeight="1" x14ac:dyDescent="0.25">
      <c r="A234" s="138"/>
      <c r="B234" s="133"/>
      <c r="C234" s="139"/>
      <c r="D234" s="140"/>
      <c r="E234" s="140"/>
      <c r="F234" s="141"/>
      <c r="G234" s="142"/>
      <c r="H234" s="143"/>
      <c r="I234" s="140"/>
      <c r="J234" s="140"/>
      <c r="K234" s="140"/>
      <c r="L234" s="140"/>
      <c r="M234" s="10"/>
      <c r="N234" s="10"/>
      <c r="O234" s="10"/>
      <c r="P234" s="10"/>
      <c r="Q234" s="10"/>
      <c r="R234" s="10"/>
      <c r="S234" s="10"/>
      <c r="T234" s="10"/>
      <c r="U234" s="10"/>
    </row>
    <row r="235" spans="1:21" ht="16.5" customHeight="1" x14ac:dyDescent="0.25">
      <c r="A235" s="138"/>
      <c r="B235" s="133"/>
      <c r="C235" s="139"/>
      <c r="D235" s="140"/>
      <c r="E235" s="140"/>
      <c r="F235" s="141"/>
      <c r="G235" s="142"/>
      <c r="H235" s="143"/>
      <c r="I235" s="140"/>
      <c r="J235" s="140"/>
      <c r="K235" s="140"/>
      <c r="L235" s="140"/>
      <c r="M235" s="10"/>
      <c r="N235" s="10"/>
      <c r="O235" s="10"/>
      <c r="P235" s="10"/>
      <c r="Q235" s="10"/>
      <c r="R235" s="10"/>
      <c r="S235" s="10"/>
      <c r="T235" s="10"/>
      <c r="U235" s="10"/>
    </row>
    <row r="236" spans="1:21" ht="16.5" customHeight="1" x14ac:dyDescent="0.25">
      <c r="A236" s="138"/>
      <c r="B236" s="133"/>
      <c r="C236" s="139"/>
      <c r="D236" s="140"/>
      <c r="E236" s="140"/>
      <c r="F236" s="141"/>
      <c r="G236" s="142"/>
      <c r="H236" s="143"/>
      <c r="I236" s="140"/>
      <c r="J236" s="140"/>
      <c r="K236" s="140"/>
      <c r="L236" s="140"/>
      <c r="M236" s="10"/>
      <c r="N236" s="10"/>
      <c r="O236" s="10"/>
      <c r="P236" s="10"/>
      <c r="Q236" s="10"/>
      <c r="R236" s="10"/>
      <c r="S236" s="10"/>
      <c r="T236" s="10"/>
      <c r="U236" s="10"/>
    </row>
    <row r="237" spans="1:21" ht="16.5" customHeight="1" x14ac:dyDescent="0.25">
      <c r="A237" s="138"/>
      <c r="B237" s="133"/>
      <c r="C237" s="139"/>
      <c r="D237" s="140"/>
      <c r="E237" s="140"/>
      <c r="F237" s="141"/>
      <c r="G237" s="142"/>
      <c r="H237" s="143"/>
      <c r="I237" s="140"/>
      <c r="J237" s="140"/>
      <c r="K237" s="140"/>
      <c r="L237" s="140"/>
      <c r="M237" s="10"/>
      <c r="N237" s="10"/>
      <c r="O237" s="10"/>
      <c r="P237" s="10"/>
      <c r="Q237" s="10"/>
      <c r="R237" s="10"/>
      <c r="S237" s="10"/>
      <c r="T237" s="10"/>
      <c r="U237" s="10"/>
    </row>
    <row r="238" spans="1:21" ht="16.5" customHeight="1" x14ac:dyDescent="0.25">
      <c r="A238" s="138"/>
      <c r="B238" s="133"/>
      <c r="C238" s="139"/>
      <c r="D238" s="140"/>
      <c r="E238" s="140"/>
      <c r="F238" s="141"/>
      <c r="G238" s="142"/>
      <c r="H238" s="143"/>
      <c r="I238" s="140"/>
      <c r="J238" s="140"/>
      <c r="K238" s="140"/>
      <c r="L238" s="140"/>
      <c r="M238" s="10"/>
      <c r="N238" s="10"/>
      <c r="O238" s="10"/>
      <c r="P238" s="10"/>
      <c r="Q238" s="10"/>
      <c r="R238" s="10"/>
      <c r="S238" s="10"/>
      <c r="T238" s="10"/>
      <c r="U238" s="10"/>
    </row>
    <row r="239" spans="1:21" ht="16.5" customHeight="1" x14ac:dyDescent="0.25">
      <c r="A239" s="138"/>
      <c r="B239" s="133"/>
      <c r="C239" s="139"/>
      <c r="D239" s="140"/>
      <c r="E239" s="140"/>
      <c r="F239" s="141"/>
      <c r="G239" s="142"/>
      <c r="H239" s="143"/>
      <c r="I239" s="140"/>
      <c r="J239" s="140"/>
      <c r="K239" s="140"/>
      <c r="L239" s="140"/>
      <c r="M239" s="10"/>
      <c r="N239" s="10"/>
      <c r="O239" s="10"/>
      <c r="P239" s="10"/>
      <c r="Q239" s="10"/>
      <c r="R239" s="10"/>
      <c r="S239" s="10"/>
      <c r="T239" s="10"/>
      <c r="U239" s="10"/>
    </row>
    <row r="240" spans="1:21" ht="16.5" customHeight="1" x14ac:dyDescent="0.25">
      <c r="A240" s="138"/>
      <c r="B240" s="133"/>
      <c r="C240" s="139"/>
      <c r="D240" s="140"/>
      <c r="E240" s="140"/>
      <c r="F240" s="141"/>
      <c r="G240" s="142"/>
      <c r="H240" s="143"/>
      <c r="I240" s="140"/>
      <c r="J240" s="140"/>
      <c r="K240" s="140"/>
      <c r="L240" s="140"/>
      <c r="M240" s="10"/>
      <c r="N240" s="10"/>
      <c r="O240" s="10"/>
      <c r="P240" s="10"/>
      <c r="Q240" s="10"/>
      <c r="R240" s="10"/>
      <c r="S240" s="10"/>
      <c r="T240" s="10"/>
      <c r="U240" s="10"/>
    </row>
    <row r="241" spans="1:21" ht="16.5" customHeight="1" x14ac:dyDescent="0.25">
      <c r="A241" s="138"/>
      <c r="B241" s="133"/>
      <c r="C241" s="139"/>
      <c r="D241" s="140"/>
      <c r="E241" s="140"/>
      <c r="F241" s="141"/>
      <c r="G241" s="142"/>
      <c r="H241" s="143"/>
      <c r="I241" s="140"/>
      <c r="J241" s="140"/>
      <c r="K241" s="140"/>
      <c r="L241" s="140"/>
      <c r="M241" s="10"/>
      <c r="N241" s="10"/>
      <c r="O241" s="10"/>
      <c r="P241" s="10"/>
      <c r="Q241" s="10"/>
      <c r="R241" s="10"/>
      <c r="S241" s="10"/>
      <c r="T241" s="10"/>
      <c r="U241" s="10"/>
    </row>
    <row r="242" spans="1:21" ht="16.5" customHeight="1" x14ac:dyDescent="0.25">
      <c r="A242" s="138"/>
      <c r="B242" s="133"/>
      <c r="C242" s="139"/>
      <c r="D242" s="140"/>
      <c r="E242" s="140"/>
      <c r="F242" s="141"/>
      <c r="G242" s="142"/>
      <c r="H242" s="143"/>
      <c r="I242" s="140"/>
      <c r="J242" s="140"/>
      <c r="K242" s="140"/>
      <c r="L242" s="140"/>
      <c r="M242" s="10"/>
      <c r="N242" s="10"/>
      <c r="O242" s="10"/>
      <c r="P242" s="10"/>
      <c r="Q242" s="10"/>
      <c r="R242" s="10"/>
      <c r="S242" s="10"/>
      <c r="T242" s="10"/>
      <c r="U242" s="10"/>
    </row>
    <row r="243" spans="1:21" ht="16.5" customHeight="1" x14ac:dyDescent="0.25">
      <c r="A243" s="138"/>
      <c r="B243" s="133"/>
      <c r="C243" s="139"/>
      <c r="D243" s="140"/>
      <c r="E243" s="140"/>
      <c r="F243" s="141"/>
      <c r="G243" s="142"/>
      <c r="H243" s="143"/>
      <c r="I243" s="140"/>
      <c r="J243" s="140"/>
      <c r="K243" s="140"/>
      <c r="L243" s="140"/>
      <c r="M243" s="10"/>
      <c r="N243" s="10"/>
      <c r="O243" s="10"/>
      <c r="P243" s="10"/>
      <c r="Q243" s="10"/>
      <c r="R243" s="10"/>
      <c r="S243" s="10"/>
      <c r="T243" s="10"/>
      <c r="U243" s="10"/>
    </row>
    <row r="244" spans="1:21" ht="16.5" customHeight="1" x14ac:dyDescent="0.25">
      <c r="A244" s="138"/>
      <c r="B244" s="133"/>
      <c r="C244" s="139"/>
      <c r="D244" s="140"/>
      <c r="E244" s="140"/>
      <c r="F244" s="141"/>
      <c r="G244" s="142"/>
      <c r="H244" s="143"/>
      <c r="I244" s="140"/>
      <c r="J244" s="140"/>
      <c r="K244" s="140"/>
      <c r="L244" s="140"/>
      <c r="M244" s="10"/>
      <c r="N244" s="10"/>
      <c r="O244" s="10"/>
      <c r="P244" s="10"/>
      <c r="Q244" s="10"/>
      <c r="R244" s="10"/>
      <c r="S244" s="10"/>
      <c r="T244" s="10"/>
      <c r="U244" s="10"/>
    </row>
    <row r="245" spans="1:21" ht="16.5" customHeight="1" x14ac:dyDescent="0.25">
      <c r="A245" s="138"/>
      <c r="B245" s="133"/>
      <c r="C245" s="139"/>
      <c r="D245" s="140"/>
      <c r="E245" s="140"/>
      <c r="F245" s="141"/>
      <c r="G245" s="142"/>
      <c r="H245" s="143"/>
      <c r="I245" s="140"/>
      <c r="J245" s="140"/>
      <c r="K245" s="140"/>
      <c r="L245" s="140"/>
      <c r="M245" s="10"/>
      <c r="N245" s="10"/>
      <c r="O245" s="10"/>
      <c r="P245" s="10"/>
      <c r="Q245" s="10"/>
      <c r="R245" s="10"/>
      <c r="S245" s="10"/>
      <c r="T245" s="10"/>
      <c r="U245" s="10"/>
    </row>
    <row r="246" spans="1:21" ht="16.5" customHeight="1" x14ac:dyDescent="0.25">
      <c r="A246" s="138"/>
      <c r="B246" s="133"/>
      <c r="C246" s="139"/>
      <c r="D246" s="140"/>
      <c r="E246" s="140"/>
      <c r="F246" s="141"/>
      <c r="G246" s="142"/>
      <c r="H246" s="143"/>
      <c r="I246" s="140"/>
      <c r="J246" s="140"/>
      <c r="K246" s="140"/>
      <c r="L246" s="140"/>
      <c r="M246" s="10"/>
      <c r="N246" s="10"/>
      <c r="O246" s="10"/>
      <c r="P246" s="10"/>
      <c r="Q246" s="10"/>
      <c r="R246" s="10"/>
      <c r="S246" s="10"/>
      <c r="T246" s="10"/>
      <c r="U246" s="10"/>
    </row>
    <row r="247" spans="1:21" ht="16.5" customHeight="1" x14ac:dyDescent="0.25">
      <c r="A247" s="138"/>
      <c r="B247" s="133"/>
      <c r="C247" s="139"/>
      <c r="D247" s="140"/>
      <c r="E247" s="140"/>
      <c r="F247" s="141"/>
      <c r="G247" s="142"/>
      <c r="H247" s="143"/>
      <c r="I247" s="140"/>
      <c r="J247" s="140"/>
      <c r="K247" s="140"/>
      <c r="L247" s="140"/>
      <c r="M247" s="10"/>
      <c r="N247" s="10"/>
      <c r="O247" s="10"/>
      <c r="P247" s="10"/>
      <c r="Q247" s="10"/>
      <c r="R247" s="10"/>
      <c r="S247" s="10"/>
      <c r="T247" s="10"/>
      <c r="U247" s="10"/>
    </row>
    <row r="248" spans="1:21" ht="16.5" customHeight="1" x14ac:dyDescent="0.25">
      <c r="A248" s="138"/>
      <c r="B248" s="133"/>
      <c r="C248" s="139"/>
      <c r="D248" s="140"/>
      <c r="E248" s="140"/>
      <c r="F248" s="141"/>
      <c r="G248" s="142"/>
      <c r="H248" s="143"/>
      <c r="I248" s="140"/>
      <c r="J248" s="140"/>
      <c r="K248" s="140"/>
      <c r="L248" s="140"/>
      <c r="M248" s="10"/>
      <c r="N248" s="10"/>
      <c r="O248" s="10"/>
      <c r="P248" s="10"/>
      <c r="Q248" s="10"/>
      <c r="R248" s="10"/>
      <c r="S248" s="10"/>
      <c r="T248" s="10"/>
      <c r="U248" s="10"/>
    </row>
    <row r="249" spans="1:21" ht="16.5" customHeight="1" x14ac:dyDescent="0.25">
      <c r="A249" s="138"/>
      <c r="B249" s="133"/>
      <c r="C249" s="139"/>
      <c r="D249" s="140"/>
      <c r="E249" s="140"/>
      <c r="F249" s="141"/>
      <c r="G249" s="142"/>
      <c r="H249" s="143"/>
      <c r="I249" s="140"/>
      <c r="J249" s="140"/>
      <c r="K249" s="140"/>
      <c r="L249" s="140"/>
      <c r="M249" s="10"/>
      <c r="N249" s="10"/>
      <c r="O249" s="10"/>
      <c r="P249" s="10"/>
      <c r="Q249" s="10"/>
      <c r="R249" s="10"/>
      <c r="S249" s="10"/>
      <c r="T249" s="10"/>
      <c r="U249" s="10"/>
    </row>
    <row r="250" spans="1:21" ht="16.5" customHeight="1" x14ac:dyDescent="0.25">
      <c r="A250" s="138"/>
      <c r="B250" s="133"/>
      <c r="C250" s="139"/>
      <c r="D250" s="140"/>
      <c r="E250" s="140"/>
      <c r="F250" s="141"/>
      <c r="G250" s="142"/>
      <c r="H250" s="143"/>
      <c r="I250" s="140"/>
      <c r="J250" s="140"/>
      <c r="K250" s="140"/>
      <c r="L250" s="140"/>
      <c r="M250" s="10"/>
      <c r="N250" s="10"/>
      <c r="O250" s="10"/>
      <c r="P250" s="10"/>
      <c r="Q250" s="10"/>
      <c r="R250" s="10"/>
      <c r="S250" s="10"/>
      <c r="T250" s="10"/>
      <c r="U250" s="10"/>
    </row>
    <row r="251" spans="1:21" ht="16.5" customHeight="1" x14ac:dyDescent="0.25">
      <c r="A251" s="138"/>
      <c r="B251" s="133"/>
      <c r="C251" s="139"/>
      <c r="D251" s="140"/>
      <c r="E251" s="140"/>
      <c r="F251" s="141"/>
      <c r="G251" s="142"/>
      <c r="H251" s="143"/>
      <c r="I251" s="140"/>
      <c r="J251" s="140"/>
      <c r="K251" s="140"/>
      <c r="L251" s="140"/>
      <c r="M251" s="10"/>
      <c r="N251" s="10"/>
      <c r="O251" s="10"/>
      <c r="P251" s="10"/>
      <c r="Q251" s="10"/>
      <c r="R251" s="10"/>
      <c r="S251" s="10"/>
      <c r="T251" s="10"/>
      <c r="U251" s="10"/>
    </row>
    <row r="252" spans="1:21" ht="16.5" customHeight="1" x14ac:dyDescent="0.25">
      <c r="A252" s="138"/>
      <c r="B252" s="133"/>
      <c r="C252" s="139"/>
      <c r="D252" s="140"/>
      <c r="E252" s="140"/>
      <c r="F252" s="141"/>
      <c r="G252" s="142"/>
      <c r="H252" s="143"/>
      <c r="I252" s="140"/>
      <c r="J252" s="140"/>
      <c r="K252" s="140"/>
      <c r="L252" s="140"/>
      <c r="M252" s="10"/>
      <c r="N252" s="10"/>
      <c r="O252" s="10"/>
      <c r="P252" s="10"/>
      <c r="Q252" s="10"/>
      <c r="R252" s="10"/>
      <c r="S252" s="10"/>
      <c r="T252" s="10"/>
      <c r="U252" s="10"/>
    </row>
    <row r="253" spans="1:21" ht="16.5" customHeight="1" x14ac:dyDescent="0.25">
      <c r="A253" s="138"/>
      <c r="B253" s="133"/>
      <c r="C253" s="139"/>
      <c r="D253" s="140"/>
      <c r="E253" s="140"/>
      <c r="F253" s="141"/>
      <c r="G253" s="142"/>
      <c r="H253" s="143"/>
      <c r="I253" s="140"/>
      <c r="J253" s="140"/>
      <c r="K253" s="140"/>
      <c r="L253" s="140"/>
      <c r="M253" s="10"/>
      <c r="N253" s="10"/>
      <c r="O253" s="10"/>
      <c r="P253" s="10"/>
      <c r="Q253" s="10"/>
      <c r="R253" s="10"/>
      <c r="S253" s="10"/>
      <c r="T253" s="10"/>
      <c r="U253" s="10"/>
    </row>
    <row r="254" spans="1:21" ht="16.5" customHeight="1" x14ac:dyDescent="0.25">
      <c r="A254" s="138"/>
      <c r="B254" s="133"/>
      <c r="C254" s="139"/>
      <c r="D254" s="140"/>
      <c r="E254" s="140"/>
      <c r="F254" s="141"/>
      <c r="G254" s="142"/>
      <c r="H254" s="143"/>
      <c r="I254" s="140"/>
      <c r="J254" s="140"/>
      <c r="K254" s="140"/>
      <c r="L254" s="140"/>
      <c r="M254" s="10"/>
      <c r="N254" s="10"/>
      <c r="O254" s="10"/>
      <c r="P254" s="10"/>
      <c r="Q254" s="10"/>
      <c r="R254" s="10"/>
      <c r="S254" s="10"/>
      <c r="T254" s="10"/>
      <c r="U254" s="10"/>
    </row>
    <row r="255" spans="1:21" ht="16.5" customHeight="1" x14ac:dyDescent="0.25">
      <c r="A255" s="138"/>
      <c r="B255" s="133"/>
      <c r="C255" s="139"/>
      <c r="D255" s="140"/>
      <c r="E255" s="140"/>
      <c r="F255" s="141"/>
      <c r="G255" s="142"/>
      <c r="H255" s="143"/>
      <c r="I255" s="140"/>
      <c r="J255" s="140"/>
      <c r="K255" s="140"/>
      <c r="L255" s="140"/>
      <c r="M255" s="10"/>
      <c r="N255" s="10"/>
      <c r="O255" s="10"/>
      <c r="P255" s="10"/>
      <c r="Q255" s="10"/>
      <c r="R255" s="10"/>
      <c r="S255" s="10"/>
      <c r="T255" s="10"/>
      <c r="U255" s="10"/>
    </row>
    <row r="256" spans="1:21" ht="16.5" customHeight="1" x14ac:dyDescent="0.25">
      <c r="A256" s="138"/>
      <c r="B256" s="133"/>
      <c r="C256" s="139"/>
      <c r="D256" s="140"/>
      <c r="E256" s="140"/>
      <c r="F256" s="141"/>
      <c r="G256" s="142"/>
      <c r="H256" s="143"/>
      <c r="I256" s="140"/>
      <c r="J256" s="140"/>
      <c r="K256" s="140"/>
      <c r="L256" s="140"/>
      <c r="M256" s="10"/>
      <c r="N256" s="10"/>
      <c r="O256" s="10"/>
      <c r="P256" s="10"/>
      <c r="Q256" s="10"/>
      <c r="R256" s="10"/>
      <c r="S256" s="10"/>
      <c r="T256" s="10"/>
      <c r="U256" s="10"/>
    </row>
    <row r="257" spans="1:21" ht="16.5" customHeight="1" x14ac:dyDescent="0.25">
      <c r="A257" s="138"/>
      <c r="B257" s="133"/>
      <c r="C257" s="139"/>
      <c r="D257" s="140"/>
      <c r="E257" s="140"/>
      <c r="F257" s="141"/>
      <c r="G257" s="142"/>
      <c r="H257" s="143"/>
      <c r="I257" s="140"/>
      <c r="J257" s="140"/>
      <c r="K257" s="140"/>
      <c r="L257" s="140"/>
      <c r="M257" s="10"/>
      <c r="N257" s="10"/>
      <c r="O257" s="10"/>
      <c r="P257" s="10"/>
      <c r="Q257" s="10"/>
      <c r="R257" s="10"/>
      <c r="S257" s="10"/>
      <c r="T257" s="10"/>
      <c r="U257" s="10"/>
    </row>
    <row r="258" spans="1:21" ht="16.5" customHeight="1" x14ac:dyDescent="0.25">
      <c r="A258" s="138"/>
      <c r="B258" s="133"/>
      <c r="C258" s="139"/>
      <c r="D258" s="140"/>
      <c r="E258" s="140"/>
      <c r="F258" s="141"/>
      <c r="G258" s="142"/>
      <c r="H258" s="143"/>
      <c r="I258" s="140"/>
      <c r="J258" s="140"/>
      <c r="K258" s="140"/>
      <c r="L258" s="140"/>
      <c r="M258" s="10"/>
      <c r="N258" s="10"/>
      <c r="O258" s="10"/>
      <c r="P258" s="10"/>
      <c r="Q258" s="10"/>
      <c r="R258" s="10"/>
      <c r="S258" s="10"/>
      <c r="T258" s="10"/>
      <c r="U258" s="10"/>
    </row>
    <row r="259" spans="1:21" ht="16.5" customHeight="1" x14ac:dyDescent="0.25">
      <c r="A259" s="138"/>
      <c r="B259" s="133"/>
      <c r="C259" s="139"/>
      <c r="D259" s="140"/>
      <c r="E259" s="140"/>
      <c r="F259" s="141"/>
      <c r="G259" s="142"/>
      <c r="H259" s="143"/>
      <c r="I259" s="140"/>
      <c r="J259" s="140"/>
      <c r="K259" s="140"/>
      <c r="L259" s="140"/>
      <c r="M259" s="10"/>
      <c r="N259" s="10"/>
      <c r="O259" s="10"/>
      <c r="P259" s="10"/>
      <c r="Q259" s="10"/>
      <c r="R259" s="10"/>
      <c r="S259" s="10"/>
      <c r="T259" s="10"/>
      <c r="U259" s="10"/>
    </row>
    <row r="260" spans="1:21" ht="16.5" customHeight="1" x14ac:dyDescent="0.25">
      <c r="A260" s="138"/>
      <c r="B260" s="133"/>
      <c r="C260" s="139"/>
      <c r="D260" s="140"/>
      <c r="E260" s="140"/>
      <c r="F260" s="141"/>
      <c r="G260" s="142"/>
      <c r="H260" s="143"/>
      <c r="I260" s="140"/>
      <c r="J260" s="140"/>
      <c r="K260" s="140"/>
      <c r="L260" s="140"/>
      <c r="M260" s="10"/>
      <c r="N260" s="10"/>
      <c r="O260" s="10"/>
      <c r="P260" s="10"/>
      <c r="Q260" s="10"/>
      <c r="R260" s="10"/>
      <c r="S260" s="10"/>
      <c r="T260" s="10"/>
      <c r="U260" s="10"/>
    </row>
    <row r="261" spans="1:21" ht="16.5" customHeight="1" x14ac:dyDescent="0.25">
      <c r="A261" s="138"/>
      <c r="B261" s="133"/>
      <c r="C261" s="139"/>
      <c r="D261" s="140"/>
      <c r="E261" s="140"/>
      <c r="F261" s="141"/>
      <c r="G261" s="142"/>
      <c r="H261" s="143"/>
      <c r="I261" s="140"/>
      <c r="J261" s="140"/>
      <c r="K261" s="140"/>
      <c r="L261" s="140"/>
      <c r="M261" s="10"/>
      <c r="N261" s="10"/>
      <c r="O261" s="10"/>
      <c r="P261" s="10"/>
      <c r="Q261" s="10"/>
      <c r="R261" s="10"/>
      <c r="S261" s="10"/>
      <c r="T261" s="10"/>
      <c r="U261" s="10"/>
    </row>
    <row r="262" spans="1:21" ht="16.5" customHeight="1" x14ac:dyDescent="0.25">
      <c r="A262" s="138"/>
      <c r="B262" s="133"/>
      <c r="C262" s="139"/>
      <c r="D262" s="140"/>
      <c r="E262" s="140"/>
      <c r="F262" s="141"/>
      <c r="G262" s="142"/>
      <c r="H262" s="143"/>
      <c r="I262" s="140"/>
      <c r="J262" s="140"/>
      <c r="K262" s="140"/>
      <c r="L262" s="140"/>
      <c r="M262" s="10"/>
      <c r="N262" s="10"/>
      <c r="O262" s="10"/>
      <c r="P262" s="10"/>
      <c r="Q262" s="10"/>
      <c r="R262" s="10"/>
      <c r="S262" s="10"/>
      <c r="T262" s="10"/>
      <c r="U262" s="10"/>
    </row>
    <row r="263" spans="1:21" ht="16.5" customHeight="1" x14ac:dyDescent="0.25">
      <c r="A263" s="138"/>
      <c r="B263" s="133"/>
      <c r="C263" s="139"/>
      <c r="D263" s="140"/>
      <c r="E263" s="140"/>
      <c r="F263" s="141"/>
      <c r="G263" s="142"/>
      <c r="H263" s="143"/>
      <c r="I263" s="140"/>
      <c r="J263" s="140"/>
      <c r="K263" s="140"/>
      <c r="L263" s="140"/>
      <c r="M263" s="10"/>
      <c r="N263" s="10"/>
      <c r="O263" s="10"/>
      <c r="P263" s="10"/>
      <c r="Q263" s="10"/>
      <c r="R263" s="10"/>
      <c r="S263" s="10"/>
      <c r="T263" s="10"/>
      <c r="U263" s="10"/>
    </row>
    <row r="264" spans="1:21" ht="16.5" customHeight="1" x14ac:dyDescent="0.25">
      <c r="A264" s="138"/>
      <c r="B264" s="133"/>
      <c r="C264" s="139"/>
      <c r="D264" s="140"/>
      <c r="E264" s="140"/>
      <c r="F264" s="141"/>
      <c r="G264" s="142"/>
      <c r="H264" s="143"/>
      <c r="I264" s="140"/>
      <c r="J264" s="140"/>
      <c r="K264" s="140"/>
      <c r="L264" s="140"/>
      <c r="M264" s="10"/>
      <c r="N264" s="10"/>
      <c r="O264" s="10"/>
      <c r="P264" s="10"/>
      <c r="Q264" s="10"/>
      <c r="R264" s="10"/>
      <c r="S264" s="10"/>
      <c r="T264" s="10"/>
      <c r="U264" s="10"/>
    </row>
    <row r="265" spans="1:21" ht="16.5" customHeight="1" x14ac:dyDescent="0.25">
      <c r="A265" s="138"/>
      <c r="B265" s="133"/>
      <c r="C265" s="139"/>
      <c r="D265" s="140"/>
      <c r="E265" s="140"/>
      <c r="F265" s="141"/>
      <c r="G265" s="142"/>
      <c r="H265" s="143"/>
      <c r="I265" s="140"/>
      <c r="J265" s="140"/>
      <c r="K265" s="140"/>
      <c r="L265" s="140"/>
      <c r="M265" s="10"/>
      <c r="N265" s="10"/>
      <c r="O265" s="10"/>
      <c r="P265" s="10"/>
      <c r="Q265" s="10"/>
      <c r="R265" s="10"/>
      <c r="S265" s="10"/>
      <c r="T265" s="10"/>
      <c r="U265" s="10"/>
    </row>
    <row r="266" spans="1:21" ht="16.5" customHeight="1" x14ac:dyDescent="0.25">
      <c r="A266" s="138"/>
      <c r="B266" s="133"/>
      <c r="C266" s="139"/>
      <c r="D266" s="140"/>
      <c r="E266" s="140"/>
      <c r="F266" s="141"/>
      <c r="G266" s="142"/>
      <c r="H266" s="143"/>
      <c r="I266" s="140"/>
      <c r="J266" s="140"/>
      <c r="K266" s="140"/>
      <c r="L266" s="140"/>
      <c r="M266" s="10"/>
      <c r="N266" s="10"/>
      <c r="O266" s="10"/>
      <c r="P266" s="10"/>
      <c r="Q266" s="10"/>
      <c r="R266" s="10"/>
      <c r="S266" s="10"/>
      <c r="T266" s="10"/>
      <c r="U266" s="10"/>
    </row>
    <row r="267" spans="1:21" ht="16.5" customHeight="1" x14ac:dyDescent="0.25">
      <c r="A267" s="138"/>
      <c r="B267" s="133"/>
      <c r="C267" s="139"/>
      <c r="D267" s="140"/>
      <c r="E267" s="140"/>
      <c r="F267" s="141"/>
      <c r="G267" s="142"/>
      <c r="H267" s="143"/>
      <c r="I267" s="140"/>
      <c r="J267" s="140"/>
      <c r="K267" s="140"/>
      <c r="L267" s="140"/>
      <c r="M267" s="10"/>
      <c r="N267" s="10"/>
      <c r="O267" s="10"/>
      <c r="P267" s="10"/>
      <c r="Q267" s="10"/>
      <c r="R267" s="10"/>
      <c r="S267" s="10"/>
      <c r="T267" s="10"/>
      <c r="U267" s="10"/>
    </row>
    <row r="268" spans="1:21" ht="16.5" customHeight="1" x14ac:dyDescent="0.25">
      <c r="A268" s="138"/>
      <c r="B268" s="133"/>
      <c r="C268" s="139"/>
      <c r="D268" s="140"/>
      <c r="E268" s="140"/>
      <c r="F268" s="141"/>
      <c r="G268" s="142"/>
      <c r="H268" s="143"/>
      <c r="I268" s="140"/>
      <c r="J268" s="140"/>
      <c r="K268" s="140"/>
      <c r="L268" s="140"/>
      <c r="M268" s="10"/>
      <c r="N268" s="10"/>
      <c r="O268" s="10"/>
      <c r="P268" s="10"/>
      <c r="Q268" s="10"/>
      <c r="R268" s="10"/>
      <c r="S268" s="10"/>
      <c r="T268" s="10"/>
      <c r="U268" s="10"/>
    </row>
    <row r="269" spans="1:21" ht="16.5" customHeight="1" x14ac:dyDescent="0.25">
      <c r="A269" s="138"/>
      <c r="B269" s="133"/>
      <c r="C269" s="139"/>
      <c r="D269" s="140"/>
      <c r="E269" s="140"/>
      <c r="F269" s="141"/>
      <c r="G269" s="142"/>
      <c r="H269" s="143"/>
      <c r="I269" s="140"/>
      <c r="J269" s="140"/>
      <c r="K269" s="140"/>
      <c r="L269" s="140"/>
      <c r="M269" s="10"/>
      <c r="N269" s="10"/>
      <c r="O269" s="10"/>
      <c r="P269" s="10"/>
      <c r="Q269" s="10"/>
      <c r="R269" s="10"/>
      <c r="S269" s="10"/>
      <c r="T269" s="10"/>
      <c r="U269" s="10"/>
    </row>
    <row r="270" spans="1:21" ht="16.5" customHeight="1" x14ac:dyDescent="0.25">
      <c r="A270" s="138"/>
      <c r="B270" s="133"/>
      <c r="C270" s="139"/>
      <c r="D270" s="140"/>
      <c r="E270" s="140"/>
      <c r="F270" s="141"/>
      <c r="G270" s="142"/>
      <c r="H270" s="143"/>
      <c r="I270" s="140"/>
      <c r="J270" s="140"/>
      <c r="K270" s="140"/>
      <c r="L270" s="140"/>
      <c r="M270" s="10"/>
      <c r="N270" s="10"/>
      <c r="O270" s="10"/>
      <c r="P270" s="10"/>
      <c r="Q270" s="10"/>
      <c r="R270" s="10"/>
      <c r="S270" s="10"/>
      <c r="T270" s="10"/>
      <c r="U270" s="10"/>
    </row>
    <row r="271" spans="1:21" ht="16.5" customHeight="1" x14ac:dyDescent="0.25">
      <c r="A271" s="138"/>
      <c r="B271" s="133"/>
      <c r="C271" s="139"/>
      <c r="D271" s="140"/>
      <c r="E271" s="140"/>
      <c r="F271" s="141"/>
      <c r="G271" s="142"/>
      <c r="H271" s="143"/>
      <c r="I271" s="140"/>
      <c r="J271" s="140"/>
      <c r="K271" s="140"/>
      <c r="L271" s="140"/>
      <c r="M271" s="10"/>
      <c r="N271" s="10"/>
      <c r="O271" s="10"/>
      <c r="P271" s="10"/>
      <c r="Q271" s="10"/>
      <c r="R271" s="10"/>
      <c r="S271" s="10"/>
      <c r="T271" s="10"/>
      <c r="U271" s="10"/>
    </row>
    <row r="272" spans="1:21" ht="16.5" customHeight="1" x14ac:dyDescent="0.25">
      <c r="A272" s="138"/>
      <c r="B272" s="133"/>
      <c r="C272" s="139"/>
      <c r="D272" s="140"/>
      <c r="E272" s="140"/>
      <c r="F272" s="141"/>
      <c r="G272" s="142"/>
      <c r="H272" s="143"/>
      <c r="I272" s="140"/>
      <c r="J272" s="140"/>
      <c r="K272" s="140"/>
      <c r="L272" s="140"/>
      <c r="M272" s="10"/>
      <c r="N272" s="10"/>
      <c r="O272" s="10"/>
      <c r="P272" s="10"/>
      <c r="Q272" s="10"/>
      <c r="R272" s="10"/>
      <c r="S272" s="10"/>
      <c r="T272" s="10"/>
      <c r="U272" s="10"/>
    </row>
    <row r="273" spans="1:21" ht="16.5" customHeight="1" x14ac:dyDescent="0.25">
      <c r="A273" s="138"/>
      <c r="B273" s="133"/>
      <c r="C273" s="139"/>
      <c r="D273" s="140"/>
      <c r="E273" s="140"/>
      <c r="F273" s="141"/>
      <c r="G273" s="142"/>
      <c r="H273" s="143"/>
      <c r="I273" s="140"/>
      <c r="J273" s="140"/>
      <c r="K273" s="140"/>
      <c r="L273" s="140"/>
      <c r="M273" s="10"/>
      <c r="N273" s="10"/>
      <c r="O273" s="10"/>
      <c r="P273" s="10"/>
      <c r="Q273" s="10"/>
      <c r="R273" s="10"/>
      <c r="S273" s="10"/>
      <c r="T273" s="10"/>
      <c r="U273" s="10"/>
    </row>
    <row r="274" spans="1:21" ht="16.5" customHeight="1" x14ac:dyDescent="0.25">
      <c r="A274" s="138"/>
      <c r="B274" s="133"/>
      <c r="C274" s="139"/>
      <c r="D274" s="140"/>
      <c r="E274" s="140"/>
      <c r="F274" s="141"/>
      <c r="G274" s="142"/>
      <c r="H274" s="143"/>
      <c r="I274" s="140"/>
      <c r="J274" s="140"/>
      <c r="K274" s="140"/>
      <c r="L274" s="140"/>
      <c r="M274" s="10"/>
      <c r="N274" s="10"/>
      <c r="O274" s="10"/>
      <c r="P274" s="10"/>
      <c r="Q274" s="10"/>
      <c r="R274" s="10"/>
      <c r="S274" s="10"/>
      <c r="T274" s="10"/>
      <c r="U274" s="10"/>
    </row>
    <row r="275" spans="1:21" ht="16.5" customHeight="1" x14ac:dyDescent="0.25">
      <c r="A275" s="138"/>
      <c r="B275" s="133"/>
      <c r="C275" s="139"/>
      <c r="D275" s="140"/>
      <c r="E275" s="140"/>
      <c r="F275" s="141"/>
      <c r="G275" s="142"/>
      <c r="H275" s="143"/>
      <c r="I275" s="140"/>
      <c r="J275" s="140"/>
      <c r="K275" s="140"/>
      <c r="L275" s="140"/>
      <c r="M275" s="10"/>
      <c r="N275" s="10"/>
      <c r="O275" s="10"/>
      <c r="P275" s="10"/>
      <c r="Q275" s="10"/>
      <c r="R275" s="10"/>
      <c r="S275" s="10"/>
      <c r="T275" s="10"/>
      <c r="U275" s="10"/>
    </row>
    <row r="276" spans="1:21" ht="16.5" customHeight="1" x14ac:dyDescent="0.25">
      <c r="A276" s="138"/>
      <c r="B276" s="133"/>
      <c r="C276" s="139"/>
      <c r="D276" s="140"/>
      <c r="E276" s="140"/>
      <c r="F276" s="141"/>
      <c r="G276" s="142"/>
      <c r="H276" s="143"/>
      <c r="I276" s="140"/>
      <c r="J276" s="140"/>
      <c r="K276" s="140"/>
      <c r="L276" s="140"/>
      <c r="M276" s="10"/>
      <c r="N276" s="10"/>
      <c r="O276" s="10"/>
      <c r="P276" s="10"/>
      <c r="Q276" s="10"/>
      <c r="R276" s="10"/>
      <c r="S276" s="10"/>
      <c r="T276" s="10"/>
      <c r="U276" s="10"/>
    </row>
    <row r="277" spans="1:21" ht="16.5" customHeight="1" x14ac:dyDescent="0.25">
      <c r="A277" s="138"/>
      <c r="B277" s="133"/>
      <c r="C277" s="139"/>
      <c r="D277" s="140"/>
      <c r="E277" s="140"/>
      <c r="F277" s="141"/>
      <c r="G277" s="142"/>
      <c r="H277" s="143"/>
      <c r="I277" s="140"/>
      <c r="J277" s="140"/>
      <c r="K277" s="140"/>
      <c r="L277" s="140"/>
      <c r="M277" s="10"/>
      <c r="N277" s="10"/>
      <c r="O277" s="10"/>
      <c r="P277" s="10"/>
      <c r="Q277" s="10"/>
      <c r="R277" s="10"/>
      <c r="S277" s="10"/>
      <c r="T277" s="10"/>
      <c r="U277" s="10"/>
    </row>
    <row r="278" spans="1:21" ht="16.5" customHeight="1" x14ac:dyDescent="0.25">
      <c r="A278" s="138"/>
      <c r="B278" s="133"/>
      <c r="C278" s="139"/>
      <c r="D278" s="140"/>
      <c r="E278" s="140"/>
      <c r="F278" s="141"/>
      <c r="G278" s="142"/>
      <c r="H278" s="143"/>
      <c r="I278" s="140"/>
      <c r="J278" s="140"/>
      <c r="K278" s="140"/>
      <c r="L278" s="140"/>
      <c r="M278" s="10"/>
      <c r="N278" s="10"/>
      <c r="O278" s="10"/>
      <c r="P278" s="10"/>
      <c r="Q278" s="10"/>
      <c r="R278" s="10"/>
      <c r="S278" s="10"/>
      <c r="T278" s="10"/>
      <c r="U278" s="10"/>
    </row>
    <row r="279" spans="1:21" ht="16.5" customHeight="1" x14ac:dyDescent="0.25">
      <c r="A279" s="138"/>
      <c r="B279" s="133"/>
      <c r="C279" s="139"/>
      <c r="D279" s="140"/>
      <c r="E279" s="140"/>
      <c r="F279" s="141"/>
      <c r="G279" s="142"/>
      <c r="H279" s="143"/>
      <c r="I279" s="140"/>
      <c r="J279" s="140"/>
      <c r="K279" s="140"/>
      <c r="L279" s="140"/>
      <c r="M279" s="10"/>
      <c r="N279" s="10"/>
      <c r="O279" s="10"/>
      <c r="P279" s="10"/>
      <c r="Q279" s="10"/>
      <c r="R279" s="10"/>
      <c r="S279" s="10"/>
      <c r="T279" s="10"/>
      <c r="U279" s="10"/>
    </row>
    <row r="280" spans="1:21" ht="16.5" customHeight="1" x14ac:dyDescent="0.25">
      <c r="A280" s="138"/>
      <c r="B280" s="133"/>
      <c r="C280" s="139"/>
      <c r="D280" s="140"/>
      <c r="E280" s="140"/>
      <c r="F280" s="141"/>
      <c r="G280" s="142"/>
      <c r="H280" s="143"/>
      <c r="I280" s="140"/>
      <c r="J280" s="140"/>
      <c r="K280" s="140"/>
      <c r="L280" s="140"/>
      <c r="M280" s="10"/>
      <c r="N280" s="10"/>
      <c r="O280" s="10"/>
      <c r="P280" s="10"/>
      <c r="Q280" s="10"/>
      <c r="R280" s="10"/>
      <c r="S280" s="10"/>
      <c r="T280" s="10"/>
      <c r="U280" s="10"/>
    </row>
    <row r="281" spans="1:21" ht="16.5" customHeight="1" x14ac:dyDescent="0.25">
      <c r="A281" s="138"/>
      <c r="B281" s="133"/>
      <c r="C281" s="139"/>
      <c r="D281" s="140"/>
      <c r="E281" s="140"/>
      <c r="F281" s="141"/>
      <c r="G281" s="142"/>
      <c r="H281" s="143"/>
      <c r="I281" s="140"/>
      <c r="J281" s="140"/>
      <c r="K281" s="140"/>
      <c r="L281" s="140"/>
      <c r="M281" s="10"/>
      <c r="N281" s="10"/>
      <c r="O281" s="10"/>
      <c r="P281" s="10"/>
      <c r="Q281" s="10"/>
      <c r="R281" s="10"/>
      <c r="S281" s="10"/>
      <c r="T281" s="10"/>
      <c r="U281" s="10"/>
    </row>
    <row r="282" spans="1:21" ht="16.5" customHeight="1" x14ac:dyDescent="0.25">
      <c r="A282" s="138"/>
      <c r="B282" s="133"/>
      <c r="C282" s="139"/>
      <c r="D282" s="140"/>
      <c r="E282" s="140"/>
      <c r="F282" s="141"/>
      <c r="G282" s="142"/>
      <c r="H282" s="143"/>
      <c r="I282" s="140"/>
      <c r="J282" s="140"/>
      <c r="K282" s="140"/>
      <c r="L282" s="140"/>
      <c r="M282" s="10"/>
      <c r="N282" s="10"/>
      <c r="O282" s="10"/>
      <c r="P282" s="10"/>
      <c r="Q282" s="10"/>
      <c r="R282" s="10"/>
      <c r="S282" s="10"/>
      <c r="T282" s="10"/>
      <c r="U282" s="10"/>
    </row>
    <row r="283" spans="1:21" ht="16.5" customHeight="1" x14ac:dyDescent="0.25">
      <c r="A283" s="138"/>
      <c r="B283" s="133"/>
      <c r="C283" s="139"/>
      <c r="D283" s="140"/>
      <c r="E283" s="140"/>
      <c r="F283" s="141"/>
      <c r="G283" s="142"/>
      <c r="H283" s="143"/>
      <c r="I283" s="140"/>
      <c r="J283" s="140"/>
      <c r="K283" s="140"/>
      <c r="L283" s="140"/>
      <c r="M283" s="10"/>
      <c r="N283" s="10"/>
      <c r="O283" s="10"/>
      <c r="P283" s="10"/>
      <c r="Q283" s="10"/>
      <c r="R283" s="10"/>
      <c r="S283" s="10"/>
      <c r="T283" s="10"/>
      <c r="U283" s="10"/>
    </row>
    <row r="284" spans="1:21" ht="16.5" customHeight="1" x14ac:dyDescent="0.25">
      <c r="A284" s="138"/>
      <c r="B284" s="133"/>
      <c r="C284" s="139"/>
      <c r="D284" s="140"/>
      <c r="E284" s="140"/>
      <c r="F284" s="141"/>
      <c r="G284" s="142"/>
      <c r="H284" s="143"/>
      <c r="I284" s="140"/>
      <c r="J284" s="140"/>
      <c r="K284" s="140"/>
      <c r="L284" s="140"/>
      <c r="M284" s="10"/>
      <c r="N284" s="10"/>
      <c r="O284" s="10"/>
      <c r="P284" s="10"/>
      <c r="Q284" s="10"/>
      <c r="R284" s="10"/>
      <c r="S284" s="10"/>
      <c r="T284" s="10"/>
      <c r="U284" s="10"/>
    </row>
    <row r="285" spans="1:21" ht="16.5" customHeight="1" x14ac:dyDescent="0.25">
      <c r="A285" s="138"/>
      <c r="B285" s="133"/>
      <c r="C285" s="139"/>
      <c r="D285" s="140"/>
      <c r="E285" s="140"/>
      <c r="F285" s="141"/>
      <c r="G285" s="142"/>
      <c r="H285" s="143"/>
      <c r="I285" s="140"/>
      <c r="J285" s="140"/>
      <c r="K285" s="140"/>
      <c r="L285" s="140"/>
      <c r="M285" s="10"/>
      <c r="N285" s="10"/>
      <c r="O285" s="10"/>
      <c r="P285" s="10"/>
      <c r="Q285" s="10"/>
      <c r="R285" s="10"/>
      <c r="S285" s="10"/>
      <c r="T285" s="10"/>
      <c r="U285" s="10"/>
    </row>
    <row r="286" spans="1:21" ht="16.5" customHeight="1" x14ac:dyDescent="0.25">
      <c r="A286" s="138"/>
      <c r="B286" s="133"/>
      <c r="C286" s="139"/>
      <c r="D286" s="140"/>
      <c r="E286" s="140"/>
      <c r="F286" s="141"/>
      <c r="G286" s="142"/>
      <c r="H286" s="143"/>
      <c r="I286" s="140"/>
      <c r="J286" s="140"/>
      <c r="K286" s="140"/>
      <c r="L286" s="140"/>
      <c r="M286" s="10"/>
      <c r="N286" s="10"/>
      <c r="O286" s="10"/>
      <c r="P286" s="10"/>
      <c r="Q286" s="10"/>
      <c r="R286" s="10"/>
      <c r="S286" s="10"/>
      <c r="T286" s="10"/>
      <c r="U286" s="10"/>
    </row>
    <row r="287" spans="1:21" ht="16.5" customHeight="1" x14ac:dyDescent="0.25">
      <c r="A287" s="138"/>
      <c r="B287" s="133"/>
      <c r="C287" s="139"/>
      <c r="D287" s="140"/>
      <c r="E287" s="140"/>
      <c r="F287" s="141"/>
      <c r="G287" s="142"/>
      <c r="H287" s="143"/>
      <c r="I287" s="140"/>
      <c r="J287" s="140"/>
      <c r="K287" s="140"/>
      <c r="L287" s="140"/>
      <c r="M287" s="10"/>
      <c r="N287" s="10"/>
      <c r="O287" s="10"/>
      <c r="P287" s="10"/>
      <c r="Q287" s="10"/>
      <c r="R287" s="10"/>
      <c r="S287" s="10"/>
      <c r="T287" s="10"/>
      <c r="U287" s="10"/>
    </row>
    <row r="288" spans="1:21" ht="16.5" customHeight="1" x14ac:dyDescent="0.25">
      <c r="A288" s="138"/>
      <c r="B288" s="133"/>
      <c r="C288" s="139"/>
      <c r="D288" s="140"/>
      <c r="E288" s="140"/>
      <c r="F288" s="141"/>
      <c r="G288" s="142"/>
      <c r="H288" s="143"/>
      <c r="I288" s="140"/>
      <c r="J288" s="140"/>
      <c r="K288" s="140"/>
      <c r="L288" s="140"/>
      <c r="M288" s="10"/>
      <c r="N288" s="10"/>
      <c r="O288" s="10"/>
      <c r="P288" s="10"/>
      <c r="Q288" s="10"/>
      <c r="R288" s="10"/>
      <c r="S288" s="10"/>
      <c r="T288" s="10"/>
      <c r="U288" s="10"/>
    </row>
    <row r="289" spans="1:21" ht="16.5" customHeight="1" x14ac:dyDescent="0.25">
      <c r="A289" s="138"/>
      <c r="B289" s="133"/>
      <c r="C289" s="139"/>
      <c r="D289" s="140"/>
      <c r="E289" s="140"/>
      <c r="F289" s="141"/>
      <c r="G289" s="142"/>
      <c r="H289" s="143"/>
      <c r="I289" s="140"/>
      <c r="J289" s="140"/>
      <c r="K289" s="140"/>
      <c r="L289" s="140"/>
      <c r="M289" s="10"/>
      <c r="N289" s="10"/>
      <c r="O289" s="10"/>
      <c r="P289" s="10"/>
      <c r="Q289" s="10"/>
      <c r="R289" s="10"/>
      <c r="S289" s="10"/>
      <c r="T289" s="10"/>
      <c r="U289" s="10"/>
    </row>
    <row r="290" spans="1:21" ht="16.5" customHeight="1" x14ac:dyDescent="0.25">
      <c r="A290" s="138"/>
      <c r="B290" s="133"/>
      <c r="C290" s="139"/>
      <c r="D290" s="140"/>
      <c r="E290" s="140"/>
      <c r="F290" s="141"/>
      <c r="G290" s="142"/>
      <c r="H290" s="143"/>
      <c r="I290" s="140"/>
      <c r="J290" s="140"/>
      <c r="K290" s="140"/>
      <c r="L290" s="140"/>
      <c r="M290" s="10"/>
      <c r="N290" s="10"/>
      <c r="O290" s="10"/>
      <c r="P290" s="10"/>
      <c r="Q290" s="10"/>
      <c r="R290" s="10"/>
      <c r="S290" s="10"/>
      <c r="T290" s="10"/>
      <c r="U290" s="10"/>
    </row>
    <row r="291" spans="1:21" ht="16.5" customHeight="1" x14ac:dyDescent="0.25">
      <c r="A291" s="138"/>
      <c r="B291" s="133"/>
      <c r="C291" s="139"/>
      <c r="D291" s="140"/>
      <c r="E291" s="140"/>
      <c r="F291" s="141"/>
      <c r="G291" s="142"/>
      <c r="H291" s="143"/>
      <c r="I291" s="140"/>
      <c r="J291" s="140"/>
      <c r="K291" s="140"/>
      <c r="L291" s="140"/>
      <c r="M291" s="10"/>
      <c r="N291" s="10"/>
      <c r="O291" s="10"/>
      <c r="P291" s="10"/>
      <c r="Q291" s="10"/>
      <c r="R291" s="10"/>
      <c r="S291" s="10"/>
      <c r="T291" s="10"/>
      <c r="U291" s="10"/>
    </row>
    <row r="292" spans="1:21" ht="16.5" customHeight="1" x14ac:dyDescent="0.25">
      <c r="A292" s="138"/>
      <c r="B292" s="133"/>
      <c r="C292" s="139"/>
      <c r="D292" s="140"/>
      <c r="E292" s="140"/>
      <c r="F292" s="141"/>
      <c r="G292" s="142"/>
      <c r="H292" s="143"/>
      <c r="I292" s="140"/>
      <c r="J292" s="140"/>
      <c r="K292" s="140"/>
      <c r="L292" s="140"/>
      <c r="M292" s="10"/>
      <c r="N292" s="10"/>
      <c r="O292" s="10"/>
      <c r="P292" s="10"/>
      <c r="Q292" s="10"/>
      <c r="R292" s="10"/>
      <c r="S292" s="10"/>
      <c r="T292" s="10"/>
      <c r="U292" s="10"/>
    </row>
    <row r="293" spans="1:21" ht="16.5" customHeight="1" x14ac:dyDescent="0.25">
      <c r="A293" s="138"/>
      <c r="B293" s="133"/>
      <c r="C293" s="139"/>
      <c r="D293" s="140"/>
      <c r="E293" s="140"/>
      <c r="F293" s="141"/>
      <c r="G293" s="142"/>
      <c r="H293" s="143"/>
      <c r="I293" s="140"/>
      <c r="J293" s="140"/>
      <c r="K293" s="140"/>
      <c r="L293" s="140"/>
      <c r="M293" s="10"/>
      <c r="N293" s="10"/>
      <c r="O293" s="10"/>
      <c r="P293" s="10"/>
      <c r="Q293" s="10"/>
      <c r="R293" s="10"/>
      <c r="S293" s="10"/>
      <c r="T293" s="10"/>
      <c r="U293" s="10"/>
    </row>
    <row r="294" spans="1:21" ht="16.5" customHeight="1" x14ac:dyDescent="0.25">
      <c r="A294" s="138"/>
      <c r="B294" s="133"/>
      <c r="C294" s="139"/>
      <c r="D294" s="140"/>
      <c r="E294" s="140"/>
      <c r="F294" s="141"/>
      <c r="G294" s="142"/>
      <c r="H294" s="143"/>
      <c r="I294" s="140"/>
      <c r="J294" s="140"/>
      <c r="K294" s="140"/>
      <c r="L294" s="140"/>
      <c r="M294" s="10"/>
      <c r="N294" s="10"/>
      <c r="O294" s="10"/>
      <c r="P294" s="10"/>
      <c r="Q294" s="10"/>
      <c r="R294" s="10"/>
      <c r="S294" s="10"/>
      <c r="T294" s="10"/>
      <c r="U294" s="10"/>
    </row>
    <row r="295" spans="1:21" ht="16.5" customHeight="1" x14ac:dyDescent="0.25">
      <c r="A295" s="138"/>
      <c r="B295" s="133"/>
      <c r="C295" s="139"/>
      <c r="D295" s="140"/>
      <c r="E295" s="140"/>
      <c r="F295" s="141"/>
      <c r="G295" s="142"/>
      <c r="H295" s="143"/>
      <c r="I295" s="140"/>
      <c r="J295" s="140"/>
      <c r="K295" s="140"/>
      <c r="L295" s="140"/>
      <c r="M295" s="10"/>
      <c r="N295" s="10"/>
      <c r="O295" s="10"/>
      <c r="P295" s="10"/>
      <c r="Q295" s="10"/>
      <c r="R295" s="10"/>
      <c r="S295" s="10"/>
      <c r="T295" s="10"/>
      <c r="U295" s="10"/>
    </row>
    <row r="296" spans="1:21" ht="16.5" customHeight="1" x14ac:dyDescent="0.25">
      <c r="A296" s="138"/>
      <c r="B296" s="133"/>
      <c r="C296" s="139"/>
      <c r="D296" s="140"/>
      <c r="E296" s="140"/>
      <c r="F296" s="141"/>
      <c r="G296" s="142"/>
      <c r="H296" s="143"/>
      <c r="I296" s="140"/>
      <c r="J296" s="140"/>
      <c r="K296" s="140"/>
      <c r="L296" s="140"/>
      <c r="M296" s="10"/>
      <c r="N296" s="10"/>
      <c r="O296" s="10"/>
      <c r="P296" s="10"/>
      <c r="Q296" s="10"/>
      <c r="R296" s="10"/>
      <c r="S296" s="10"/>
      <c r="T296" s="10"/>
      <c r="U296" s="10"/>
    </row>
    <row r="297" spans="1:21" ht="16.5" customHeight="1" x14ac:dyDescent="0.25">
      <c r="A297" s="138"/>
      <c r="B297" s="133"/>
      <c r="C297" s="139"/>
      <c r="D297" s="140"/>
      <c r="E297" s="140"/>
      <c r="F297" s="141"/>
      <c r="G297" s="142"/>
      <c r="H297" s="143"/>
      <c r="I297" s="140"/>
      <c r="J297" s="140"/>
      <c r="K297" s="140"/>
      <c r="L297" s="140"/>
      <c r="M297" s="10"/>
      <c r="N297" s="10"/>
      <c r="O297" s="10"/>
      <c r="P297" s="10"/>
      <c r="Q297" s="10"/>
      <c r="R297" s="10"/>
      <c r="S297" s="10"/>
      <c r="T297" s="10"/>
      <c r="U297" s="10"/>
    </row>
    <row r="298" spans="1:21" ht="16.5" customHeight="1" x14ac:dyDescent="0.25">
      <c r="A298" s="138"/>
      <c r="B298" s="133"/>
      <c r="C298" s="139"/>
      <c r="D298" s="140"/>
      <c r="E298" s="140"/>
      <c r="F298" s="141"/>
      <c r="G298" s="142"/>
      <c r="H298" s="143"/>
      <c r="I298" s="140"/>
      <c r="J298" s="140"/>
      <c r="K298" s="140"/>
      <c r="L298" s="140"/>
      <c r="M298" s="10"/>
      <c r="N298" s="10"/>
      <c r="O298" s="10"/>
      <c r="P298" s="10"/>
      <c r="Q298" s="10"/>
      <c r="R298" s="10"/>
      <c r="S298" s="10"/>
      <c r="T298" s="10"/>
      <c r="U298" s="10"/>
    </row>
    <row r="299" spans="1:21" ht="16.5" customHeight="1" x14ac:dyDescent="0.25">
      <c r="A299" s="138"/>
      <c r="B299" s="133"/>
      <c r="C299" s="139"/>
      <c r="D299" s="140"/>
      <c r="E299" s="140"/>
      <c r="F299" s="141"/>
      <c r="G299" s="142"/>
      <c r="H299" s="143"/>
      <c r="I299" s="140"/>
      <c r="J299" s="140"/>
      <c r="K299" s="140"/>
      <c r="L299" s="140"/>
      <c r="M299" s="10"/>
      <c r="N299" s="10"/>
      <c r="O299" s="10"/>
      <c r="P299" s="10"/>
      <c r="Q299" s="10"/>
      <c r="R299" s="10"/>
      <c r="S299" s="10"/>
      <c r="T299" s="10"/>
      <c r="U299" s="10"/>
    </row>
    <row r="300" spans="1:21" ht="16.5" customHeight="1" x14ac:dyDescent="0.25">
      <c r="A300" s="138"/>
      <c r="B300" s="133"/>
      <c r="C300" s="139"/>
      <c r="D300" s="140"/>
      <c r="E300" s="140"/>
      <c r="F300" s="141"/>
      <c r="G300" s="142"/>
      <c r="H300" s="143"/>
      <c r="I300" s="140"/>
      <c r="J300" s="140"/>
      <c r="K300" s="140"/>
      <c r="L300" s="140"/>
      <c r="M300" s="10"/>
      <c r="N300" s="10"/>
      <c r="O300" s="10"/>
      <c r="P300" s="10"/>
      <c r="Q300" s="10"/>
      <c r="R300" s="10"/>
      <c r="S300" s="10"/>
      <c r="T300" s="10"/>
      <c r="U300" s="10"/>
    </row>
    <row r="301" spans="1:21" ht="16.5" customHeight="1" x14ac:dyDescent="0.25">
      <c r="A301" s="138"/>
      <c r="B301" s="133"/>
      <c r="C301" s="139"/>
      <c r="D301" s="140"/>
      <c r="E301" s="140"/>
      <c r="F301" s="141"/>
      <c r="G301" s="142"/>
      <c r="H301" s="143"/>
      <c r="I301" s="140"/>
      <c r="J301" s="140"/>
      <c r="K301" s="140"/>
      <c r="L301" s="140"/>
      <c r="M301" s="10"/>
      <c r="N301" s="10"/>
      <c r="O301" s="10"/>
      <c r="P301" s="10"/>
      <c r="Q301" s="10"/>
      <c r="R301" s="10"/>
      <c r="S301" s="10"/>
      <c r="T301" s="10"/>
      <c r="U301" s="10"/>
    </row>
    <row r="302" spans="1:21" ht="16.5" customHeight="1" x14ac:dyDescent="0.25">
      <c r="A302" s="138"/>
      <c r="B302" s="133"/>
      <c r="C302" s="139"/>
      <c r="D302" s="140"/>
      <c r="E302" s="140"/>
      <c r="F302" s="141"/>
      <c r="G302" s="142"/>
      <c r="H302" s="143"/>
      <c r="I302" s="140"/>
      <c r="J302" s="140"/>
      <c r="K302" s="140"/>
      <c r="L302" s="140"/>
      <c r="M302" s="10"/>
      <c r="N302" s="10"/>
      <c r="O302" s="10"/>
      <c r="P302" s="10"/>
      <c r="Q302" s="10"/>
      <c r="R302" s="10"/>
      <c r="S302" s="10"/>
      <c r="T302" s="10"/>
      <c r="U302" s="10"/>
    </row>
    <row r="303" spans="1:21" ht="16.5" customHeight="1" x14ac:dyDescent="0.25">
      <c r="A303" s="138"/>
      <c r="B303" s="133"/>
      <c r="C303" s="139"/>
      <c r="D303" s="140"/>
      <c r="E303" s="140"/>
      <c r="F303" s="141"/>
      <c r="G303" s="142"/>
      <c r="H303" s="143"/>
      <c r="I303" s="140"/>
      <c r="J303" s="140"/>
      <c r="K303" s="140"/>
      <c r="L303" s="140"/>
      <c r="M303" s="10"/>
      <c r="N303" s="10"/>
      <c r="O303" s="10"/>
      <c r="P303" s="10"/>
      <c r="Q303" s="10"/>
      <c r="R303" s="10"/>
      <c r="S303" s="10"/>
      <c r="T303" s="10"/>
      <c r="U303" s="10"/>
    </row>
    <row r="304" spans="1:21" ht="16.5" customHeight="1" x14ac:dyDescent="0.25">
      <c r="A304" s="138"/>
      <c r="B304" s="133"/>
      <c r="C304" s="139"/>
      <c r="D304" s="140"/>
      <c r="E304" s="140"/>
      <c r="F304" s="141"/>
      <c r="G304" s="142"/>
      <c r="H304" s="143"/>
      <c r="I304" s="140"/>
      <c r="J304" s="140"/>
      <c r="K304" s="140"/>
      <c r="L304" s="140"/>
      <c r="M304" s="10"/>
      <c r="N304" s="10"/>
      <c r="O304" s="10"/>
      <c r="P304" s="10"/>
      <c r="Q304" s="10"/>
      <c r="R304" s="10"/>
      <c r="S304" s="10"/>
      <c r="T304" s="10"/>
      <c r="U304" s="10"/>
    </row>
    <row r="305" spans="1:21" ht="16.5" customHeight="1" x14ac:dyDescent="0.25">
      <c r="A305" s="138"/>
      <c r="B305" s="133"/>
      <c r="C305" s="139"/>
      <c r="D305" s="140"/>
      <c r="E305" s="140"/>
      <c r="F305" s="141"/>
      <c r="G305" s="142"/>
      <c r="H305" s="143"/>
      <c r="I305" s="140"/>
      <c r="J305" s="140"/>
      <c r="K305" s="140"/>
      <c r="L305" s="140"/>
      <c r="M305" s="10"/>
      <c r="N305" s="10"/>
      <c r="O305" s="10"/>
      <c r="P305" s="10"/>
      <c r="Q305" s="10"/>
      <c r="R305" s="10"/>
      <c r="S305" s="10"/>
      <c r="T305" s="10"/>
      <c r="U305" s="10"/>
    </row>
    <row r="306" spans="1:21" ht="16.5" customHeight="1" x14ac:dyDescent="0.25">
      <c r="A306" s="138"/>
      <c r="B306" s="133"/>
      <c r="C306" s="139"/>
      <c r="D306" s="140"/>
      <c r="E306" s="140"/>
      <c r="F306" s="141"/>
      <c r="G306" s="142"/>
      <c r="H306" s="143"/>
      <c r="I306" s="140"/>
      <c r="J306" s="140"/>
      <c r="K306" s="140"/>
      <c r="L306" s="140"/>
      <c r="M306" s="10"/>
      <c r="N306" s="10"/>
      <c r="O306" s="10"/>
      <c r="P306" s="10"/>
      <c r="Q306" s="10"/>
      <c r="R306" s="10"/>
      <c r="S306" s="10"/>
      <c r="T306" s="10"/>
      <c r="U306" s="10"/>
    </row>
    <row r="307" spans="1:21" ht="16.5" customHeight="1" x14ac:dyDescent="0.25">
      <c r="A307" s="138"/>
      <c r="B307" s="133"/>
      <c r="C307" s="139"/>
      <c r="D307" s="140"/>
      <c r="E307" s="140"/>
      <c r="F307" s="141"/>
      <c r="G307" s="142"/>
      <c r="H307" s="143"/>
      <c r="I307" s="140"/>
      <c r="J307" s="140"/>
      <c r="K307" s="140"/>
      <c r="L307" s="140"/>
      <c r="M307" s="10"/>
      <c r="N307" s="10"/>
      <c r="O307" s="10"/>
      <c r="P307" s="10"/>
      <c r="Q307" s="10"/>
      <c r="R307" s="10"/>
      <c r="S307" s="10"/>
      <c r="T307" s="10"/>
      <c r="U307" s="10"/>
    </row>
    <row r="308" spans="1:21" ht="16.5" customHeight="1" x14ac:dyDescent="0.25">
      <c r="A308" s="138"/>
      <c r="B308" s="133"/>
      <c r="C308" s="139"/>
      <c r="D308" s="140"/>
      <c r="E308" s="140"/>
      <c r="F308" s="141"/>
      <c r="G308" s="142"/>
      <c r="H308" s="143"/>
      <c r="I308" s="140"/>
      <c r="J308" s="140"/>
      <c r="K308" s="140"/>
      <c r="L308" s="140"/>
      <c r="M308" s="10"/>
      <c r="N308" s="10"/>
      <c r="O308" s="10"/>
      <c r="P308" s="10"/>
      <c r="Q308" s="10"/>
      <c r="R308" s="10"/>
      <c r="S308" s="10"/>
      <c r="T308" s="10"/>
      <c r="U308" s="10"/>
    </row>
    <row r="309" spans="1:21" ht="16.5" customHeight="1" x14ac:dyDescent="0.25">
      <c r="A309" s="138"/>
      <c r="B309" s="133"/>
      <c r="C309" s="139"/>
      <c r="D309" s="140"/>
      <c r="E309" s="140"/>
      <c r="F309" s="141"/>
      <c r="G309" s="142"/>
      <c r="H309" s="143"/>
      <c r="I309" s="140"/>
      <c r="J309" s="140"/>
      <c r="K309" s="140"/>
      <c r="L309" s="140"/>
      <c r="M309" s="10"/>
      <c r="N309" s="10"/>
      <c r="O309" s="10"/>
      <c r="P309" s="10"/>
      <c r="Q309" s="10"/>
      <c r="R309" s="10"/>
      <c r="S309" s="10"/>
      <c r="T309" s="10"/>
      <c r="U309" s="10"/>
    </row>
    <row r="310" spans="1:21" ht="16.5" customHeight="1" x14ac:dyDescent="0.25">
      <c r="A310" s="138"/>
      <c r="B310" s="133"/>
      <c r="C310" s="139"/>
      <c r="D310" s="140"/>
      <c r="E310" s="140"/>
      <c r="F310" s="141"/>
      <c r="G310" s="142"/>
      <c r="H310" s="143"/>
      <c r="I310" s="140"/>
      <c r="J310" s="140"/>
      <c r="K310" s="140"/>
      <c r="L310" s="140"/>
      <c r="M310" s="10"/>
      <c r="N310" s="10"/>
      <c r="O310" s="10"/>
      <c r="P310" s="10"/>
      <c r="Q310" s="10"/>
      <c r="R310" s="10"/>
      <c r="S310" s="10"/>
      <c r="T310" s="10"/>
      <c r="U310" s="10"/>
    </row>
    <row r="311" spans="1:21" ht="16.5" customHeight="1" x14ac:dyDescent="0.25">
      <c r="A311" s="138"/>
      <c r="B311" s="133"/>
      <c r="C311" s="139"/>
      <c r="D311" s="140"/>
      <c r="E311" s="140"/>
      <c r="F311" s="141"/>
      <c r="G311" s="142"/>
      <c r="H311" s="143"/>
      <c r="I311" s="140"/>
      <c r="J311" s="140"/>
      <c r="K311" s="140"/>
      <c r="L311" s="140"/>
      <c r="M311" s="10"/>
      <c r="N311" s="10"/>
      <c r="O311" s="10"/>
      <c r="P311" s="10"/>
      <c r="Q311" s="10"/>
      <c r="R311" s="10"/>
      <c r="S311" s="10"/>
      <c r="T311" s="10"/>
      <c r="U311" s="10"/>
    </row>
    <row r="312" spans="1:21" ht="16.5" customHeight="1" x14ac:dyDescent="0.25">
      <c r="A312" s="138"/>
      <c r="B312" s="133"/>
      <c r="C312" s="139"/>
      <c r="D312" s="140"/>
      <c r="E312" s="140"/>
      <c r="F312" s="141"/>
      <c r="G312" s="142"/>
      <c r="H312" s="143"/>
      <c r="I312" s="140"/>
      <c r="J312" s="140"/>
      <c r="K312" s="140"/>
      <c r="L312" s="140"/>
      <c r="M312" s="10"/>
      <c r="N312" s="10"/>
      <c r="O312" s="10"/>
      <c r="P312" s="10"/>
      <c r="Q312" s="10"/>
      <c r="R312" s="10"/>
      <c r="S312" s="10"/>
      <c r="T312" s="10"/>
      <c r="U312" s="10"/>
    </row>
    <row r="313" spans="1:21" ht="16.5" customHeight="1" x14ac:dyDescent="0.25">
      <c r="A313" s="138"/>
      <c r="B313" s="133"/>
      <c r="C313" s="139"/>
      <c r="D313" s="140"/>
      <c r="E313" s="140"/>
      <c r="F313" s="141"/>
      <c r="G313" s="142"/>
      <c r="H313" s="143"/>
      <c r="I313" s="140"/>
      <c r="J313" s="140"/>
      <c r="K313" s="140"/>
      <c r="L313" s="140"/>
      <c r="M313" s="10"/>
      <c r="N313" s="10"/>
      <c r="O313" s="10"/>
      <c r="P313" s="10"/>
      <c r="Q313" s="10"/>
      <c r="R313" s="10"/>
      <c r="S313" s="10"/>
      <c r="T313" s="10"/>
      <c r="U313" s="10"/>
    </row>
    <row r="314" spans="1:21" ht="16.5" customHeight="1" x14ac:dyDescent="0.25">
      <c r="A314" s="138"/>
      <c r="B314" s="133"/>
      <c r="C314" s="139"/>
      <c r="D314" s="140"/>
      <c r="E314" s="140"/>
      <c r="F314" s="141"/>
      <c r="G314" s="142"/>
      <c r="H314" s="143"/>
      <c r="I314" s="140"/>
      <c r="J314" s="140"/>
      <c r="K314" s="140"/>
      <c r="L314" s="140"/>
      <c r="M314" s="10"/>
      <c r="N314" s="10"/>
      <c r="O314" s="10"/>
      <c r="P314" s="10"/>
      <c r="Q314" s="10"/>
      <c r="R314" s="10"/>
      <c r="S314" s="10"/>
      <c r="T314" s="10"/>
      <c r="U314" s="10"/>
    </row>
    <row r="315" spans="1:21" ht="16.5" customHeight="1" x14ac:dyDescent="0.25">
      <c r="A315" s="138"/>
      <c r="B315" s="133"/>
      <c r="C315" s="139"/>
      <c r="D315" s="140"/>
      <c r="E315" s="140"/>
      <c r="F315" s="141"/>
      <c r="G315" s="142"/>
      <c r="H315" s="143"/>
      <c r="I315" s="140"/>
      <c r="J315" s="140"/>
      <c r="K315" s="140"/>
      <c r="L315" s="140"/>
      <c r="M315" s="10"/>
      <c r="N315" s="10"/>
      <c r="O315" s="10"/>
      <c r="P315" s="10"/>
      <c r="Q315" s="10"/>
      <c r="R315" s="10"/>
      <c r="S315" s="10"/>
      <c r="T315" s="10"/>
      <c r="U315" s="10"/>
    </row>
    <row r="316" spans="1:21" ht="16.5" customHeight="1" x14ac:dyDescent="0.25">
      <c r="A316" s="138"/>
      <c r="B316" s="133"/>
      <c r="C316" s="139"/>
      <c r="D316" s="140"/>
      <c r="E316" s="140"/>
      <c r="F316" s="141"/>
      <c r="G316" s="142"/>
      <c r="H316" s="143"/>
      <c r="I316" s="140"/>
      <c r="J316" s="140"/>
      <c r="K316" s="140"/>
      <c r="L316" s="140"/>
      <c r="M316" s="10"/>
      <c r="N316" s="10"/>
      <c r="O316" s="10"/>
      <c r="P316" s="10"/>
      <c r="Q316" s="10"/>
      <c r="R316" s="10"/>
      <c r="S316" s="10"/>
      <c r="T316" s="10"/>
      <c r="U316" s="10"/>
    </row>
    <row r="317" spans="1:21" ht="16.5" customHeight="1" x14ac:dyDescent="0.25">
      <c r="A317" s="138"/>
      <c r="B317" s="133"/>
      <c r="C317" s="139"/>
      <c r="D317" s="140"/>
      <c r="E317" s="140"/>
      <c r="F317" s="141"/>
      <c r="G317" s="142"/>
      <c r="H317" s="143"/>
      <c r="I317" s="140"/>
      <c r="J317" s="140"/>
      <c r="K317" s="140"/>
      <c r="L317" s="140"/>
      <c r="M317" s="10"/>
      <c r="N317" s="10"/>
      <c r="O317" s="10"/>
      <c r="P317" s="10"/>
      <c r="Q317" s="10"/>
      <c r="R317" s="10"/>
      <c r="S317" s="10"/>
      <c r="T317" s="10"/>
      <c r="U317" s="10"/>
    </row>
    <row r="318" spans="1:21" ht="16.5" customHeight="1" x14ac:dyDescent="0.25">
      <c r="A318" s="138"/>
      <c r="B318" s="133"/>
      <c r="C318" s="139"/>
      <c r="D318" s="140"/>
      <c r="E318" s="140"/>
      <c r="F318" s="141"/>
      <c r="G318" s="142"/>
      <c r="H318" s="143"/>
      <c r="I318" s="140"/>
      <c r="J318" s="140"/>
      <c r="K318" s="140"/>
      <c r="L318" s="140"/>
      <c r="M318" s="10"/>
      <c r="N318" s="10"/>
      <c r="O318" s="10"/>
      <c r="P318" s="10"/>
      <c r="Q318" s="10"/>
      <c r="R318" s="10"/>
      <c r="S318" s="10"/>
      <c r="T318" s="10"/>
      <c r="U318" s="10"/>
    </row>
    <row r="319" spans="1:21" ht="16.5" customHeight="1" x14ac:dyDescent="0.25">
      <c r="A319" s="138"/>
      <c r="B319" s="133"/>
      <c r="C319" s="139"/>
      <c r="D319" s="140"/>
      <c r="E319" s="140"/>
      <c r="F319" s="141"/>
      <c r="G319" s="142"/>
      <c r="H319" s="143"/>
      <c r="I319" s="140"/>
      <c r="J319" s="140"/>
      <c r="K319" s="140"/>
      <c r="L319" s="140"/>
      <c r="M319" s="10"/>
      <c r="N319" s="10"/>
      <c r="O319" s="10"/>
      <c r="P319" s="10"/>
      <c r="Q319" s="10"/>
      <c r="R319" s="10"/>
      <c r="S319" s="10"/>
      <c r="T319" s="10"/>
      <c r="U319" s="10"/>
    </row>
    <row r="320" spans="1:21" ht="16.5" customHeight="1" x14ac:dyDescent="0.25">
      <c r="A320" s="138"/>
      <c r="B320" s="133"/>
      <c r="C320" s="139"/>
      <c r="D320" s="140"/>
      <c r="E320" s="140"/>
      <c r="F320" s="141"/>
      <c r="G320" s="142"/>
      <c r="H320" s="143"/>
      <c r="I320" s="140"/>
      <c r="J320" s="140"/>
      <c r="K320" s="140"/>
      <c r="L320" s="140"/>
      <c r="M320" s="10"/>
      <c r="N320" s="10"/>
      <c r="O320" s="10"/>
      <c r="P320" s="10"/>
      <c r="Q320" s="10"/>
      <c r="R320" s="10"/>
      <c r="S320" s="10"/>
      <c r="T320" s="10"/>
      <c r="U320" s="10"/>
    </row>
    <row r="321" spans="1:21" ht="16.5" customHeight="1" x14ac:dyDescent="0.25">
      <c r="A321" s="138"/>
      <c r="B321" s="133"/>
      <c r="C321" s="139"/>
      <c r="D321" s="140"/>
      <c r="E321" s="140"/>
      <c r="F321" s="141"/>
      <c r="G321" s="142"/>
      <c r="H321" s="143"/>
      <c r="I321" s="140"/>
      <c r="J321" s="140"/>
      <c r="K321" s="140"/>
      <c r="L321" s="140"/>
      <c r="M321" s="10"/>
      <c r="N321" s="10"/>
      <c r="O321" s="10"/>
      <c r="P321" s="10"/>
      <c r="Q321" s="10"/>
      <c r="R321" s="10"/>
      <c r="S321" s="10"/>
      <c r="T321" s="10"/>
      <c r="U321" s="10"/>
    </row>
    <row r="322" spans="1:21" ht="16.5" customHeight="1" x14ac:dyDescent="0.25">
      <c r="A322" s="138"/>
      <c r="B322" s="133"/>
      <c r="C322" s="139"/>
      <c r="D322" s="140"/>
      <c r="E322" s="140"/>
      <c r="F322" s="141"/>
      <c r="G322" s="142"/>
      <c r="H322" s="143"/>
      <c r="I322" s="140"/>
      <c r="J322" s="140"/>
      <c r="K322" s="140"/>
      <c r="L322" s="140"/>
      <c r="M322" s="10"/>
      <c r="N322" s="10"/>
      <c r="O322" s="10"/>
      <c r="P322" s="10"/>
      <c r="Q322" s="10"/>
      <c r="R322" s="10"/>
      <c r="S322" s="10"/>
      <c r="T322" s="10"/>
      <c r="U322" s="10"/>
    </row>
    <row r="323" spans="1:21" ht="16.5" customHeight="1" x14ac:dyDescent="0.25">
      <c r="A323" s="138"/>
      <c r="B323" s="133"/>
      <c r="C323" s="139"/>
      <c r="D323" s="140"/>
      <c r="E323" s="140"/>
      <c r="F323" s="141"/>
      <c r="G323" s="142"/>
      <c r="H323" s="143"/>
      <c r="I323" s="140"/>
      <c r="J323" s="140"/>
      <c r="K323" s="140"/>
      <c r="L323" s="140"/>
      <c r="M323" s="10"/>
      <c r="N323" s="10"/>
      <c r="O323" s="10"/>
      <c r="P323" s="10"/>
      <c r="Q323" s="10"/>
      <c r="R323" s="10"/>
      <c r="S323" s="10"/>
      <c r="T323" s="10"/>
      <c r="U323" s="10"/>
    </row>
    <row r="324" spans="1:21" ht="16.5" customHeight="1" x14ac:dyDescent="0.25">
      <c r="A324" s="138"/>
      <c r="B324" s="133"/>
      <c r="C324" s="139"/>
      <c r="D324" s="140"/>
      <c r="E324" s="140"/>
      <c r="F324" s="141"/>
      <c r="G324" s="142"/>
      <c r="H324" s="143"/>
      <c r="I324" s="140"/>
      <c r="J324" s="140"/>
      <c r="K324" s="140"/>
      <c r="L324" s="140"/>
      <c r="M324" s="10"/>
      <c r="N324" s="10"/>
      <c r="O324" s="10"/>
      <c r="P324" s="10"/>
      <c r="Q324" s="10"/>
      <c r="R324" s="10"/>
      <c r="S324" s="10"/>
      <c r="T324" s="10"/>
      <c r="U324" s="10"/>
    </row>
    <row r="325" spans="1:21" ht="16.5" customHeight="1" x14ac:dyDescent="0.25">
      <c r="A325" s="138"/>
      <c r="B325" s="133"/>
      <c r="C325" s="139"/>
      <c r="D325" s="140"/>
      <c r="E325" s="140"/>
      <c r="F325" s="141"/>
      <c r="G325" s="142"/>
      <c r="H325" s="143"/>
      <c r="I325" s="140"/>
      <c r="J325" s="140"/>
      <c r="K325" s="140"/>
      <c r="L325" s="140"/>
      <c r="M325" s="10"/>
      <c r="N325" s="10"/>
      <c r="O325" s="10"/>
      <c r="P325" s="10"/>
      <c r="Q325" s="10"/>
      <c r="R325" s="10"/>
      <c r="S325" s="10"/>
      <c r="T325" s="10"/>
      <c r="U325" s="10"/>
    </row>
    <row r="326" spans="1:21" ht="16.5" customHeight="1" x14ac:dyDescent="0.25">
      <c r="A326" s="138"/>
      <c r="B326" s="133"/>
      <c r="C326" s="139"/>
      <c r="D326" s="140"/>
      <c r="E326" s="140"/>
      <c r="F326" s="141"/>
      <c r="G326" s="142"/>
      <c r="H326" s="143"/>
      <c r="I326" s="140"/>
      <c r="J326" s="140"/>
      <c r="K326" s="140"/>
      <c r="L326" s="140"/>
      <c r="M326" s="10"/>
      <c r="N326" s="10"/>
      <c r="O326" s="10"/>
      <c r="P326" s="10"/>
      <c r="Q326" s="10"/>
      <c r="R326" s="10"/>
      <c r="S326" s="10"/>
      <c r="T326" s="10"/>
      <c r="U326" s="10"/>
    </row>
    <row r="327" spans="1:21" ht="16.5" customHeight="1" x14ac:dyDescent="0.25">
      <c r="A327" s="138"/>
      <c r="B327" s="133"/>
      <c r="C327" s="139"/>
      <c r="D327" s="140"/>
      <c r="E327" s="140"/>
      <c r="F327" s="141"/>
      <c r="G327" s="142"/>
      <c r="H327" s="143"/>
      <c r="I327" s="140"/>
      <c r="J327" s="140"/>
      <c r="K327" s="140"/>
      <c r="L327" s="140"/>
      <c r="M327" s="10"/>
      <c r="N327" s="10"/>
      <c r="O327" s="10"/>
      <c r="P327" s="10"/>
      <c r="Q327" s="10"/>
      <c r="R327" s="10"/>
      <c r="S327" s="10"/>
      <c r="T327" s="10"/>
      <c r="U327" s="10"/>
    </row>
    <row r="328" spans="1:21" ht="16.5" customHeight="1" x14ac:dyDescent="0.25">
      <c r="A328" s="138"/>
      <c r="B328" s="133"/>
      <c r="C328" s="139"/>
      <c r="D328" s="140"/>
      <c r="E328" s="140"/>
      <c r="F328" s="141"/>
      <c r="G328" s="142"/>
      <c r="H328" s="143"/>
      <c r="I328" s="140"/>
      <c r="J328" s="140"/>
      <c r="K328" s="140"/>
      <c r="L328" s="140"/>
      <c r="M328" s="10"/>
      <c r="N328" s="10"/>
      <c r="O328" s="10"/>
      <c r="P328" s="10"/>
      <c r="Q328" s="10"/>
      <c r="R328" s="10"/>
      <c r="S328" s="10"/>
      <c r="T328" s="10"/>
      <c r="U328" s="10"/>
    </row>
    <row r="329" spans="1:21" ht="16.5" customHeight="1" x14ac:dyDescent="0.25">
      <c r="A329" s="138"/>
      <c r="B329" s="133"/>
      <c r="C329" s="139"/>
      <c r="D329" s="140"/>
      <c r="E329" s="140"/>
      <c r="F329" s="141"/>
      <c r="G329" s="142"/>
      <c r="H329" s="143"/>
      <c r="I329" s="140"/>
      <c r="J329" s="140"/>
      <c r="K329" s="140"/>
      <c r="L329" s="140"/>
      <c r="M329" s="10"/>
      <c r="N329" s="10"/>
      <c r="O329" s="10"/>
      <c r="P329" s="10"/>
      <c r="Q329" s="10"/>
      <c r="R329" s="10"/>
      <c r="S329" s="10"/>
      <c r="T329" s="10"/>
      <c r="U329" s="10"/>
    </row>
    <row r="330" spans="1:21" ht="16.5" customHeight="1" x14ac:dyDescent="0.25">
      <c r="A330" s="138"/>
      <c r="B330" s="133"/>
      <c r="C330" s="139"/>
      <c r="D330" s="140"/>
      <c r="E330" s="140"/>
      <c r="F330" s="141"/>
      <c r="G330" s="142"/>
      <c r="H330" s="143"/>
      <c r="I330" s="140"/>
      <c r="J330" s="140"/>
      <c r="K330" s="140"/>
      <c r="L330" s="140"/>
      <c r="M330" s="10"/>
      <c r="N330" s="10"/>
      <c r="O330" s="10"/>
      <c r="P330" s="10"/>
      <c r="Q330" s="10"/>
      <c r="R330" s="10"/>
      <c r="S330" s="10"/>
      <c r="T330" s="10"/>
      <c r="U330" s="10"/>
    </row>
    <row r="331" spans="1:21" ht="16.5" customHeight="1" x14ac:dyDescent="0.25">
      <c r="A331" s="138"/>
      <c r="B331" s="133"/>
      <c r="C331" s="139"/>
      <c r="D331" s="140"/>
      <c r="E331" s="140"/>
      <c r="F331" s="141"/>
      <c r="G331" s="142"/>
      <c r="H331" s="143"/>
      <c r="I331" s="140"/>
      <c r="J331" s="140"/>
      <c r="K331" s="140"/>
      <c r="L331" s="140"/>
      <c r="M331" s="10"/>
      <c r="N331" s="10"/>
      <c r="O331" s="10"/>
      <c r="P331" s="10"/>
      <c r="Q331" s="10"/>
      <c r="R331" s="10"/>
      <c r="S331" s="10"/>
      <c r="T331" s="10"/>
      <c r="U331" s="10"/>
    </row>
    <row r="332" spans="1:21" ht="16.5" customHeight="1" x14ac:dyDescent="0.25">
      <c r="A332" s="138"/>
      <c r="B332" s="133"/>
      <c r="C332" s="139"/>
      <c r="D332" s="140"/>
      <c r="E332" s="140"/>
      <c r="F332" s="141"/>
      <c r="G332" s="142"/>
      <c r="H332" s="143"/>
      <c r="I332" s="140"/>
      <c r="J332" s="140"/>
      <c r="K332" s="140"/>
      <c r="L332" s="140"/>
      <c r="M332" s="10"/>
      <c r="N332" s="10"/>
      <c r="O332" s="10"/>
      <c r="P332" s="10"/>
      <c r="Q332" s="10"/>
      <c r="R332" s="10"/>
      <c r="S332" s="10"/>
      <c r="T332" s="10"/>
      <c r="U332" s="10"/>
    </row>
    <row r="333" spans="1:21" ht="16.5" customHeight="1" x14ac:dyDescent="0.25">
      <c r="A333" s="138"/>
      <c r="B333" s="133"/>
      <c r="C333" s="139"/>
      <c r="D333" s="140"/>
      <c r="E333" s="140"/>
      <c r="F333" s="141"/>
      <c r="G333" s="142"/>
      <c r="H333" s="143"/>
      <c r="I333" s="140"/>
      <c r="J333" s="140"/>
      <c r="K333" s="140"/>
      <c r="L333" s="140"/>
      <c r="M333" s="10"/>
      <c r="N333" s="10"/>
      <c r="O333" s="10"/>
      <c r="P333" s="10"/>
      <c r="Q333" s="10"/>
      <c r="R333" s="10"/>
      <c r="S333" s="10"/>
      <c r="T333" s="10"/>
      <c r="U333" s="10"/>
    </row>
    <row r="334" spans="1:21" ht="16.5" customHeight="1" x14ac:dyDescent="0.25">
      <c r="A334" s="138"/>
      <c r="B334" s="133"/>
      <c r="C334" s="139"/>
      <c r="D334" s="140"/>
      <c r="E334" s="140"/>
      <c r="F334" s="141"/>
      <c r="G334" s="142"/>
      <c r="H334" s="143"/>
      <c r="I334" s="140"/>
      <c r="J334" s="140"/>
      <c r="K334" s="140"/>
      <c r="L334" s="140"/>
      <c r="M334" s="10"/>
      <c r="N334" s="10"/>
      <c r="O334" s="10"/>
      <c r="P334" s="10"/>
      <c r="Q334" s="10"/>
      <c r="R334" s="10"/>
      <c r="S334" s="10"/>
      <c r="T334" s="10"/>
      <c r="U334" s="10"/>
    </row>
    <row r="335" spans="1:21" ht="16.5" customHeight="1" x14ac:dyDescent="0.25">
      <c r="A335" s="138"/>
      <c r="B335" s="133"/>
      <c r="C335" s="139"/>
      <c r="D335" s="140"/>
      <c r="E335" s="140"/>
      <c r="F335" s="141"/>
      <c r="G335" s="142"/>
      <c r="H335" s="143"/>
      <c r="I335" s="140"/>
      <c r="J335" s="140"/>
      <c r="K335" s="140"/>
      <c r="L335" s="140"/>
      <c r="M335" s="10"/>
      <c r="N335" s="10"/>
      <c r="O335" s="10"/>
      <c r="P335" s="10"/>
      <c r="Q335" s="10"/>
      <c r="R335" s="10"/>
      <c r="S335" s="10"/>
      <c r="T335" s="10"/>
      <c r="U335" s="10"/>
    </row>
    <row r="336" spans="1:21" ht="16.5" customHeight="1" x14ac:dyDescent="0.25">
      <c r="A336" s="138"/>
      <c r="B336" s="133"/>
      <c r="C336" s="139"/>
      <c r="D336" s="140"/>
      <c r="E336" s="140"/>
      <c r="F336" s="141"/>
      <c r="G336" s="142"/>
      <c r="H336" s="143"/>
      <c r="I336" s="140"/>
      <c r="J336" s="140"/>
      <c r="K336" s="140"/>
      <c r="L336" s="140"/>
      <c r="M336" s="10"/>
      <c r="N336" s="10"/>
      <c r="O336" s="10"/>
      <c r="P336" s="10"/>
      <c r="Q336" s="10"/>
      <c r="R336" s="10"/>
      <c r="S336" s="10"/>
      <c r="T336" s="10"/>
      <c r="U336" s="10"/>
    </row>
    <row r="337" spans="1:21" ht="16.5" customHeight="1" x14ac:dyDescent="0.25">
      <c r="A337" s="138"/>
      <c r="B337" s="133"/>
      <c r="C337" s="139"/>
      <c r="D337" s="140"/>
      <c r="E337" s="140"/>
      <c r="F337" s="141"/>
      <c r="G337" s="142"/>
      <c r="H337" s="143"/>
      <c r="I337" s="140"/>
      <c r="J337" s="140"/>
      <c r="K337" s="140"/>
      <c r="L337" s="140"/>
      <c r="M337" s="10"/>
      <c r="N337" s="10"/>
      <c r="O337" s="10"/>
      <c r="P337" s="10"/>
      <c r="Q337" s="10"/>
      <c r="R337" s="10"/>
      <c r="S337" s="10"/>
      <c r="T337" s="10"/>
      <c r="U337" s="10"/>
    </row>
    <row r="338" spans="1:21" ht="16.5" customHeight="1" x14ac:dyDescent="0.25">
      <c r="A338" s="138"/>
      <c r="B338" s="133"/>
      <c r="C338" s="139"/>
      <c r="D338" s="140"/>
      <c r="E338" s="140"/>
      <c r="F338" s="141"/>
      <c r="G338" s="142"/>
      <c r="H338" s="143"/>
      <c r="I338" s="140"/>
      <c r="J338" s="140"/>
      <c r="K338" s="140"/>
      <c r="L338" s="140"/>
      <c r="M338" s="10"/>
      <c r="N338" s="10"/>
      <c r="O338" s="10"/>
      <c r="P338" s="10"/>
      <c r="Q338" s="10"/>
      <c r="R338" s="10"/>
      <c r="S338" s="10"/>
      <c r="T338" s="10"/>
      <c r="U338" s="10"/>
    </row>
    <row r="339" spans="1:21" ht="16.5" customHeight="1" x14ac:dyDescent="0.25">
      <c r="A339" s="138"/>
      <c r="B339" s="133"/>
      <c r="C339" s="139"/>
      <c r="D339" s="140"/>
      <c r="E339" s="140"/>
      <c r="F339" s="141"/>
      <c r="G339" s="142"/>
      <c r="H339" s="143"/>
      <c r="I339" s="140"/>
      <c r="J339" s="140"/>
      <c r="K339" s="140"/>
      <c r="L339" s="140"/>
      <c r="M339" s="10"/>
      <c r="N339" s="10"/>
      <c r="O339" s="10"/>
      <c r="P339" s="10"/>
      <c r="Q339" s="10"/>
      <c r="R339" s="10"/>
      <c r="S339" s="10"/>
      <c r="T339" s="10"/>
      <c r="U339" s="10"/>
    </row>
    <row r="340" spans="1:21" ht="16.5" customHeight="1" x14ac:dyDescent="0.25">
      <c r="A340" s="138"/>
      <c r="B340" s="133"/>
      <c r="C340" s="139"/>
      <c r="D340" s="140"/>
      <c r="E340" s="140"/>
      <c r="F340" s="141"/>
      <c r="G340" s="142"/>
      <c r="H340" s="143"/>
      <c r="I340" s="140"/>
      <c r="J340" s="140"/>
      <c r="K340" s="140"/>
      <c r="L340" s="140"/>
      <c r="M340" s="10"/>
      <c r="N340" s="10"/>
      <c r="O340" s="10"/>
      <c r="P340" s="10"/>
      <c r="Q340" s="10"/>
      <c r="R340" s="10"/>
      <c r="S340" s="10"/>
      <c r="T340" s="10"/>
      <c r="U340" s="10"/>
    </row>
    <row r="341" spans="1:21" ht="16.5" customHeight="1" x14ac:dyDescent="0.25">
      <c r="A341" s="138"/>
      <c r="B341" s="133"/>
      <c r="C341" s="139"/>
      <c r="D341" s="140"/>
      <c r="E341" s="140"/>
      <c r="F341" s="141"/>
      <c r="G341" s="142"/>
      <c r="H341" s="143"/>
      <c r="I341" s="140"/>
      <c r="J341" s="140"/>
      <c r="K341" s="140"/>
      <c r="L341" s="140"/>
      <c r="M341" s="10"/>
      <c r="N341" s="10"/>
      <c r="O341" s="10"/>
      <c r="P341" s="10"/>
      <c r="Q341" s="10"/>
      <c r="R341" s="10"/>
      <c r="S341" s="10"/>
      <c r="T341" s="10"/>
      <c r="U341" s="10"/>
    </row>
    <row r="342" spans="1:21" ht="16.5" customHeight="1" x14ac:dyDescent="0.25">
      <c r="A342" s="138"/>
      <c r="B342" s="133"/>
      <c r="C342" s="139"/>
      <c r="D342" s="140"/>
      <c r="E342" s="140"/>
      <c r="F342" s="141"/>
      <c r="G342" s="142"/>
      <c r="H342" s="143"/>
      <c r="I342" s="140"/>
      <c r="J342" s="140"/>
      <c r="K342" s="140"/>
      <c r="L342" s="140"/>
      <c r="M342" s="10"/>
      <c r="N342" s="10"/>
      <c r="O342" s="10"/>
      <c r="P342" s="10"/>
      <c r="Q342" s="10"/>
      <c r="R342" s="10"/>
      <c r="S342" s="10"/>
      <c r="T342" s="10"/>
      <c r="U342" s="10"/>
    </row>
    <row r="343" spans="1:21" ht="16.5" customHeight="1" x14ac:dyDescent="0.25">
      <c r="A343" s="138"/>
      <c r="B343" s="133"/>
      <c r="C343" s="139"/>
      <c r="D343" s="140"/>
      <c r="E343" s="140"/>
      <c r="F343" s="141"/>
      <c r="G343" s="142"/>
      <c r="H343" s="143"/>
      <c r="I343" s="140"/>
      <c r="J343" s="140"/>
      <c r="K343" s="140"/>
      <c r="L343" s="140"/>
      <c r="M343" s="10"/>
      <c r="N343" s="10"/>
      <c r="O343" s="10"/>
      <c r="P343" s="10"/>
      <c r="Q343" s="10"/>
      <c r="R343" s="10"/>
      <c r="S343" s="10"/>
      <c r="T343" s="10"/>
      <c r="U343" s="10"/>
    </row>
    <row r="344" spans="1:21" ht="16.5" customHeight="1" x14ac:dyDescent="0.25">
      <c r="A344" s="138"/>
      <c r="B344" s="133"/>
      <c r="C344" s="139"/>
      <c r="D344" s="140"/>
      <c r="E344" s="140"/>
      <c r="F344" s="141"/>
      <c r="G344" s="142"/>
      <c r="H344" s="143"/>
      <c r="I344" s="140"/>
      <c r="J344" s="140"/>
      <c r="K344" s="140"/>
      <c r="L344" s="140"/>
      <c r="M344" s="10"/>
      <c r="N344" s="10"/>
      <c r="O344" s="10"/>
      <c r="P344" s="10"/>
      <c r="Q344" s="10"/>
      <c r="R344" s="10"/>
      <c r="S344" s="10"/>
      <c r="T344" s="10"/>
      <c r="U344" s="10"/>
    </row>
    <row r="345" spans="1:21" ht="16.5" customHeight="1" x14ac:dyDescent="0.25">
      <c r="A345" s="138"/>
      <c r="B345" s="133"/>
      <c r="C345" s="139"/>
      <c r="D345" s="140"/>
      <c r="E345" s="140"/>
      <c r="F345" s="141"/>
      <c r="G345" s="142"/>
      <c r="H345" s="143"/>
      <c r="I345" s="140"/>
      <c r="J345" s="140"/>
      <c r="K345" s="140"/>
      <c r="L345" s="140"/>
      <c r="M345" s="10"/>
      <c r="N345" s="10"/>
      <c r="O345" s="10"/>
      <c r="P345" s="10"/>
      <c r="Q345" s="10"/>
      <c r="R345" s="10"/>
      <c r="S345" s="10"/>
      <c r="T345" s="10"/>
      <c r="U345" s="10"/>
    </row>
    <row r="346" spans="1:21" ht="16.5" customHeight="1" x14ac:dyDescent="0.25">
      <c r="A346" s="138"/>
      <c r="B346" s="133"/>
      <c r="C346" s="139"/>
      <c r="D346" s="140"/>
      <c r="E346" s="140"/>
      <c r="F346" s="141"/>
      <c r="G346" s="142"/>
      <c r="H346" s="143"/>
      <c r="I346" s="140"/>
      <c r="J346" s="140"/>
      <c r="K346" s="140"/>
      <c r="L346" s="140"/>
      <c r="M346" s="10"/>
      <c r="N346" s="10"/>
      <c r="O346" s="10"/>
      <c r="P346" s="10"/>
      <c r="Q346" s="10"/>
      <c r="R346" s="10"/>
      <c r="S346" s="10"/>
      <c r="T346" s="10"/>
      <c r="U346" s="10"/>
    </row>
    <row r="347" spans="1:21" ht="16.5" customHeight="1" x14ac:dyDescent="0.25">
      <c r="A347" s="138"/>
      <c r="B347" s="133"/>
      <c r="C347" s="139"/>
      <c r="D347" s="140"/>
      <c r="E347" s="140"/>
      <c r="F347" s="141"/>
      <c r="G347" s="142"/>
      <c r="H347" s="143"/>
      <c r="I347" s="140"/>
      <c r="J347" s="140"/>
      <c r="K347" s="140"/>
      <c r="L347" s="140"/>
      <c r="M347" s="10"/>
      <c r="N347" s="10"/>
      <c r="O347" s="10"/>
      <c r="P347" s="10"/>
      <c r="Q347" s="10"/>
      <c r="R347" s="10"/>
      <c r="S347" s="10"/>
      <c r="T347" s="10"/>
      <c r="U347" s="10"/>
    </row>
    <row r="348" spans="1:21" ht="16.5" customHeight="1" x14ac:dyDescent="0.25">
      <c r="A348" s="138"/>
      <c r="B348" s="133"/>
      <c r="C348" s="139"/>
      <c r="D348" s="140"/>
      <c r="E348" s="140"/>
      <c r="F348" s="141"/>
      <c r="G348" s="142"/>
      <c r="H348" s="143"/>
      <c r="I348" s="140"/>
      <c r="J348" s="140"/>
      <c r="K348" s="140"/>
      <c r="L348" s="140"/>
      <c r="M348" s="10"/>
      <c r="N348" s="10"/>
      <c r="O348" s="10"/>
      <c r="P348" s="10"/>
      <c r="Q348" s="10"/>
      <c r="R348" s="10"/>
      <c r="S348" s="10"/>
      <c r="T348" s="10"/>
      <c r="U348" s="10"/>
    </row>
    <row r="349" spans="1:21" ht="16.5" customHeight="1" x14ac:dyDescent="0.25">
      <c r="A349" s="144"/>
      <c r="B349" s="145"/>
      <c r="C349" s="139"/>
      <c r="D349" s="146"/>
      <c r="E349" s="146"/>
      <c r="F349" s="147"/>
      <c r="G349" s="12"/>
      <c r="H349" s="139"/>
      <c r="I349" s="146"/>
      <c r="J349" s="146"/>
      <c r="K349" s="146"/>
      <c r="L349" s="146"/>
      <c r="M349" s="10"/>
      <c r="N349" s="10"/>
      <c r="O349" s="10"/>
      <c r="P349" s="10"/>
      <c r="Q349" s="10"/>
      <c r="R349" s="10"/>
      <c r="S349" s="10"/>
      <c r="T349" s="10"/>
      <c r="U349" s="10"/>
    </row>
    <row r="350" spans="1:21" ht="16.5" customHeight="1" x14ac:dyDescent="0.25">
      <c r="A350" s="148"/>
      <c r="B350" s="149"/>
      <c r="C350" s="139"/>
      <c r="D350" s="146"/>
      <c r="E350" s="146"/>
      <c r="F350" s="147"/>
      <c r="G350" s="150"/>
      <c r="H350" s="139"/>
      <c r="I350" s="146"/>
      <c r="J350" s="146"/>
      <c r="K350" s="146"/>
      <c r="L350" s="146"/>
      <c r="M350" s="10"/>
      <c r="N350" s="10"/>
      <c r="O350" s="10"/>
      <c r="P350" s="10"/>
      <c r="Q350" s="10"/>
      <c r="R350" s="10"/>
      <c r="S350" s="10"/>
      <c r="T350" s="10"/>
      <c r="U350" s="10"/>
    </row>
  </sheetData>
  <mergeCells count="20">
    <mergeCell ref="B182:C182"/>
    <mergeCell ref="B181:C181"/>
    <mergeCell ref="A194:M194"/>
    <mergeCell ref="A8:A9"/>
    <mergeCell ref="D6:E6"/>
    <mergeCell ref="H1:M1"/>
    <mergeCell ref="A4:M4"/>
    <mergeCell ref="K8:L8"/>
    <mergeCell ref="A3:M3"/>
    <mergeCell ref="A6:C6"/>
    <mergeCell ref="B2:M2"/>
    <mergeCell ref="F8:F9"/>
    <mergeCell ref="A5:M5"/>
    <mergeCell ref="H6:L6"/>
    <mergeCell ref="E8:E9"/>
    <mergeCell ref="I8:J8"/>
    <mergeCell ref="G8:H8"/>
    <mergeCell ref="D8:D9"/>
    <mergeCell ref="C8:C9"/>
    <mergeCell ref="B8:B9"/>
  </mergeCells>
  <conditionalFormatting sqref="D11 F12:M12 E13:M13 D6:E6 F185:M192 F106:M106 A14:M14 F117:M117 F115:G116 I115:L116 F121:M121 F120:G120 I120:L120 F128:G129 I128:L129 F114:M114 F107:I107 K107:L107 F127:M127 F122:I122 K122:L122 F108:K113 F119:M119 F118:K118 F123:K126 F15:M23 F29:M33 F97:M97">
    <cfRule type="cellIs" dxfId="49" priority="152" stopIfTrue="1" operator="lessThan">
      <formula>0</formula>
    </cfRule>
  </conditionalFormatting>
  <conditionalFormatting sqref="F183:M184">
    <cfRule type="cellIs" dxfId="48" priority="143" stopIfTrue="1" operator="lessThan">
      <formula>0</formula>
    </cfRule>
  </conditionalFormatting>
  <conditionalFormatting sqref="F98:M98 H115:H116 H120 H128:H129 F103:M103 F99:I99 K99:L99 F100:J102 F104:L104 F105 H105:L105">
    <cfRule type="cellIs" dxfId="47" priority="142" stopIfTrue="1" operator="lessThan">
      <formula>0</formula>
    </cfRule>
  </conditionalFormatting>
  <conditionalFormatting sqref="J99 J107 J122">
    <cfRule type="cellIs" dxfId="46" priority="132" stopIfTrue="1" operator="lessThan">
      <formula>0</formula>
    </cfRule>
  </conditionalFormatting>
  <conditionalFormatting sqref="L100:L102 L108:L113 L118 L123:L126">
    <cfRule type="cellIs" dxfId="45" priority="130" stopIfTrue="1" operator="lessThan">
      <formula>0</formula>
    </cfRule>
  </conditionalFormatting>
  <conditionalFormatting sqref="M99:M102 M104:M105 M107:M113 M115:M116 M118 M120 M122:M126 M128:M129">
    <cfRule type="cellIs" dxfId="44" priority="128" stopIfTrue="1" operator="lessThan">
      <formula>0</formula>
    </cfRule>
  </conditionalFormatting>
  <conditionalFormatting sqref="G105">
    <cfRule type="cellIs" dxfId="43" priority="126" stopIfTrue="1" operator="lessThan">
      <formula>0</formula>
    </cfRule>
  </conditionalFormatting>
  <conditionalFormatting sqref="K100:K102">
    <cfRule type="cellIs" dxfId="42" priority="72" stopIfTrue="1" operator="lessThan">
      <formula>0</formula>
    </cfRule>
  </conditionalFormatting>
  <conditionalFormatting sqref="F130:M137">
    <cfRule type="cellIs" dxfId="41" priority="57" stopIfTrue="1" operator="lessThan">
      <formula>0</formula>
    </cfRule>
  </conditionalFormatting>
  <conditionalFormatting sqref="F180:M180">
    <cfRule type="cellIs" dxfId="40" priority="47" stopIfTrue="1" operator="lessThan">
      <formula>0</formula>
    </cfRule>
  </conditionalFormatting>
  <conditionalFormatting sqref="F182:M182">
    <cfRule type="cellIs" dxfId="39" priority="46" stopIfTrue="1" operator="lessThan">
      <formula>0</formula>
    </cfRule>
  </conditionalFormatting>
  <conditionalFormatting sqref="C28">
    <cfRule type="cellIs" dxfId="38" priority="37" stopIfTrue="1" operator="equal">
      <formula>8223.307275</formula>
    </cfRule>
  </conditionalFormatting>
  <conditionalFormatting sqref="B25:M25 L26:M26 C26:J26 B27:M27 D28:M28 B28 B24 E24 G24:M24">
    <cfRule type="cellIs" dxfId="37" priority="39" stopIfTrue="1" operator="equal">
      <formula>8223.307275</formula>
    </cfRule>
  </conditionalFormatting>
  <conditionalFormatting sqref="K26">
    <cfRule type="cellIs" dxfId="36" priority="38" stopIfTrue="1" operator="equal">
      <formula>8223.307275</formula>
    </cfRule>
  </conditionalFormatting>
  <conditionalFormatting sqref="F181:M181">
    <cfRule type="cellIs" dxfId="35" priority="36" stopIfTrue="1" operator="lessThan">
      <formula>0</formula>
    </cfRule>
  </conditionalFormatting>
  <conditionalFormatting sqref="F148:M148 F159:M159 F157:G158 I157:L158 F163:M163 F162:G162 I162:L162 F170:G171 I170:L171 F156:M156 F149:I149 K149:L149 F169:M169 F164:I164 K164:L164 F150:K155 F161:M161 F160:K160 F165:K168 F139:M139">
    <cfRule type="cellIs" dxfId="34" priority="35" stopIfTrue="1" operator="lessThan">
      <formula>0</formula>
    </cfRule>
  </conditionalFormatting>
  <conditionalFormatting sqref="F140:M140 H157:H158 H162 H170:H171 F145:M145 F141:I141 K141:L141 F142:J144 F146:L146 F147 H147:L147">
    <cfRule type="cellIs" dxfId="33" priority="34" stopIfTrue="1" operator="lessThan">
      <formula>0</formula>
    </cfRule>
  </conditionalFormatting>
  <conditionalFormatting sqref="J141 J149 J164">
    <cfRule type="cellIs" dxfId="32" priority="33" stopIfTrue="1" operator="lessThan">
      <formula>0</formula>
    </cfRule>
  </conditionalFormatting>
  <conditionalFormatting sqref="L142:L144 L150:L155 L160 L165:L168">
    <cfRule type="cellIs" dxfId="31" priority="32" stopIfTrue="1" operator="lessThan">
      <formula>0</formula>
    </cfRule>
  </conditionalFormatting>
  <conditionalFormatting sqref="M141:M144 M146:M147 M149:M155 M157:M158 M160 M162 M164:M168 M170:M171">
    <cfRule type="cellIs" dxfId="30" priority="31" stopIfTrue="1" operator="lessThan">
      <formula>0</formula>
    </cfRule>
  </conditionalFormatting>
  <conditionalFormatting sqref="G147">
    <cfRule type="cellIs" dxfId="29" priority="30" stopIfTrue="1" operator="lessThan">
      <formula>0</formula>
    </cfRule>
  </conditionalFormatting>
  <conditionalFormatting sqref="K142:K144">
    <cfRule type="cellIs" dxfId="28" priority="29" stopIfTrue="1" operator="lessThan">
      <formula>0</formula>
    </cfRule>
  </conditionalFormatting>
  <conditionalFormatting sqref="F172:M179">
    <cfRule type="cellIs" dxfId="27" priority="28" stopIfTrue="1" operator="lessThan">
      <formula>0</formula>
    </cfRule>
  </conditionalFormatting>
  <conditionalFormatting sqref="F138:M138">
    <cfRule type="cellIs" dxfId="26" priority="27" stopIfTrue="1" operator="lessThan">
      <formula>0</formula>
    </cfRule>
  </conditionalFormatting>
  <conditionalFormatting sqref="E65:M72 E74:M81 E90:M95">
    <cfRule type="cellIs" dxfId="25" priority="26" stopIfTrue="1" operator="lessThan">
      <formula>0</formula>
    </cfRule>
  </conditionalFormatting>
  <conditionalFormatting sqref="E35:M37 E39:M43 G38:J38 E45:M51 G73:J73 E85:M85 G82:M84">
    <cfRule type="cellIs" dxfId="24" priority="24" stopIfTrue="1" operator="lessThan">
      <formula>0</formula>
    </cfRule>
  </conditionalFormatting>
  <conditionalFormatting sqref="K38:M38">
    <cfRule type="cellIs" dxfId="23" priority="23" stopIfTrue="1" operator="lessThan">
      <formula>0</formula>
    </cfRule>
  </conditionalFormatting>
  <conditionalFormatting sqref="G44:J44">
    <cfRule type="cellIs" dxfId="22" priority="22" stopIfTrue="1" operator="lessThan">
      <formula>0</formula>
    </cfRule>
  </conditionalFormatting>
  <conditionalFormatting sqref="L44:M44">
    <cfRule type="cellIs" dxfId="21" priority="21" stopIfTrue="1" operator="lessThan">
      <formula>0</formula>
    </cfRule>
  </conditionalFormatting>
  <conditionalFormatting sqref="E64:M64">
    <cfRule type="cellIs" dxfId="20" priority="20" stopIfTrue="1" operator="lessThan">
      <formula>0</formula>
    </cfRule>
  </conditionalFormatting>
  <conditionalFormatting sqref="L73:M73">
    <cfRule type="cellIs" dxfId="19" priority="19" stopIfTrue="1" operator="lessThan">
      <formula>0</formula>
    </cfRule>
  </conditionalFormatting>
  <conditionalFormatting sqref="E73:F73">
    <cfRule type="cellIs" dxfId="18" priority="18" stopIfTrue="1" operator="lessThan">
      <formula>0</formula>
    </cfRule>
  </conditionalFormatting>
  <conditionalFormatting sqref="E44:F44">
    <cfRule type="cellIs" dxfId="17" priority="16" stopIfTrue="1" operator="lessThan">
      <formula>0</formula>
    </cfRule>
  </conditionalFormatting>
  <conditionalFormatting sqref="E87:M87 E60:M63 E89:M89 E88:F88 H88:M88">
    <cfRule type="cellIs" dxfId="16" priority="25" stopIfTrue="1" operator="lessThan">
      <formula>0</formula>
    </cfRule>
  </conditionalFormatting>
  <conditionalFormatting sqref="E38:F38">
    <cfRule type="cellIs" dxfId="15" priority="17" stopIfTrue="1" operator="lessThan">
      <formula>0</formula>
    </cfRule>
  </conditionalFormatting>
  <conditionalFormatting sqref="E82:F84">
    <cfRule type="cellIs" dxfId="14" priority="15" stopIfTrue="1" operator="lessThan">
      <formula>0</formula>
    </cfRule>
  </conditionalFormatting>
  <conditionalFormatting sqref="E86:M86">
    <cfRule type="cellIs" dxfId="13" priority="14" stopIfTrue="1" operator="lessThan">
      <formula>0</formula>
    </cfRule>
  </conditionalFormatting>
  <conditionalFormatting sqref="E52:M55">
    <cfRule type="cellIs" dxfId="12" priority="13" stopIfTrue="1" operator="lessThan">
      <formula>0</formula>
    </cfRule>
  </conditionalFormatting>
  <conditionalFormatting sqref="E56:F56 H56:M56">
    <cfRule type="cellIs" dxfId="11" priority="12" stopIfTrue="1" operator="lessThan">
      <formula>0</formula>
    </cfRule>
  </conditionalFormatting>
  <conditionalFormatting sqref="E57:F57 H57:M57">
    <cfRule type="cellIs" dxfId="10" priority="11" stopIfTrue="1" operator="lessThan">
      <formula>0</formula>
    </cfRule>
  </conditionalFormatting>
  <conditionalFormatting sqref="E58:F58 H58:M58">
    <cfRule type="cellIs" dxfId="9" priority="10" stopIfTrue="1" operator="lessThan">
      <formula>0</formula>
    </cfRule>
  </conditionalFormatting>
  <conditionalFormatting sqref="E59:M59">
    <cfRule type="cellIs" dxfId="8" priority="9" stopIfTrue="1" operator="lessThan">
      <formula>0</formula>
    </cfRule>
  </conditionalFormatting>
  <conditionalFormatting sqref="F96:M96">
    <cfRule type="cellIs" dxfId="7" priority="8" stopIfTrue="1" operator="lessThan">
      <formula>0</formula>
    </cfRule>
  </conditionalFormatting>
  <conditionalFormatting sqref="K44">
    <cfRule type="cellIs" dxfId="6" priority="7" stopIfTrue="1" operator="lessThan">
      <formula>0</formula>
    </cfRule>
  </conditionalFormatting>
  <conditionalFormatting sqref="K73">
    <cfRule type="cellIs" dxfId="5" priority="6" stopIfTrue="1" operator="lessThan">
      <formula>0</formula>
    </cfRule>
  </conditionalFormatting>
  <conditionalFormatting sqref="G88">
    <cfRule type="cellIs" dxfId="4" priority="2" stopIfTrue="1" operator="lessThan">
      <formula>0</formula>
    </cfRule>
  </conditionalFormatting>
  <conditionalFormatting sqref="G56">
    <cfRule type="cellIs" dxfId="3" priority="5" stopIfTrue="1" operator="lessThan">
      <formula>0</formula>
    </cfRule>
  </conditionalFormatting>
  <conditionalFormatting sqref="G57">
    <cfRule type="cellIs" dxfId="2" priority="4" stopIfTrue="1" operator="lessThan">
      <formula>0</formula>
    </cfRule>
  </conditionalFormatting>
  <conditionalFormatting sqref="G58">
    <cfRule type="cellIs" dxfId="1" priority="3" stopIfTrue="1" operator="equal">
      <formula>8223.307275</formula>
    </cfRule>
  </conditionalFormatting>
  <conditionalFormatting sqref="F34:M34">
    <cfRule type="cellIs" dxfId="0" priority="1" stopIfTrue="1" operator="lessThan">
      <formula>0</formula>
    </cfRule>
  </conditionalFormatting>
  <printOptions horizontalCentered="1"/>
  <pageMargins left="0" right="0" top="0.511811023622047" bottom="0" header="0" footer="0"/>
  <pageSetup paperSize="9" scale="71" orientation="landscape" r:id="rId1"/>
  <headerFooter>
    <oddFooter>&amp;C&amp;"Helvetica Neue,Regular"&amp;11&amp;K000000&amp;P</oddFooter>
  </headerFooter>
  <rowBreaks count="2" manualBreakCount="2">
    <brk id="96" max="12" man="1"/>
    <brk id="120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კულა ბაგაურის ქუჩა</vt:lpstr>
      <vt:lpstr>'კულა ბაგაურის ქუჩა'!Print_Area</vt:lpstr>
      <vt:lpstr>'კულა ბაგაურის ქუჩა'!Print_Titles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 Potskhveria</cp:lastModifiedBy>
  <cp:lastPrinted>2019-09-10T08:54:39Z</cp:lastPrinted>
  <dcterms:created xsi:type="dcterms:W3CDTF">2019-04-01T07:28:56Z</dcterms:created>
  <dcterms:modified xsi:type="dcterms:W3CDTF">2020-01-10T12:42:53Z</dcterms:modified>
</cp:coreProperties>
</file>