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rina.potskhveria\Desktop\2020 წლის რეგ ფონდი\ლოტი 6 საჯავახო რკინიგზა\"/>
    </mc:Choice>
  </mc:AlternateContent>
  <bookViews>
    <workbookView xWindow="0" yWindow="0" windowWidth="28800" windowHeight="12135"/>
  </bookViews>
  <sheets>
    <sheet name="სოფ. საჯავახო კორ" sheetId="2" r:id="rId1"/>
  </sheets>
  <definedNames>
    <definedName name="_xlnm._FilterDatabase" localSheetId="0" hidden="1">'სოფ. საჯავახო კორ'!$A$9:$IV$191</definedName>
    <definedName name="_xlnm.Print_Area" localSheetId="0">'სოფ. საჯავახო კორ'!$A$1:$M$194</definedName>
    <definedName name="_xlnm.Print_Titles" localSheetId="0">'სოფ. საჯავახო კორ'!$9:$9</definedName>
  </definedNames>
  <calcPr calcId="152511"/>
</workbook>
</file>

<file path=xl/calcChain.xml><?xml version="1.0" encoding="utf-8"?>
<calcChain xmlns="http://schemas.openxmlformats.org/spreadsheetml/2006/main">
  <c r="F89" i="2" l="1"/>
  <c r="E87" i="2" l="1"/>
  <c r="E86" i="2"/>
  <c r="E40" i="2"/>
  <c r="E16" i="2"/>
  <c r="F16" i="2" s="1"/>
  <c r="F171" i="2"/>
  <c r="F178" i="2" s="1"/>
  <c r="E170" i="2"/>
  <c r="F170" i="2" s="1"/>
  <c r="E169" i="2"/>
  <c r="F169" i="2" s="1"/>
  <c r="F167" i="2"/>
  <c r="E166" i="2"/>
  <c r="F166" i="2" s="1"/>
  <c r="E165" i="2"/>
  <c r="F165" i="2" s="1"/>
  <c r="E164" i="2"/>
  <c r="F164" i="2" s="1"/>
  <c r="E163" i="2"/>
  <c r="F163" i="2" s="1"/>
  <c r="F158" i="2"/>
  <c r="F159" i="2" s="1"/>
  <c r="E157" i="2"/>
  <c r="F157" i="2" s="1"/>
  <c r="F156" i="2"/>
  <c r="E156" i="2"/>
  <c r="E154" i="2"/>
  <c r="F154" i="2" s="1"/>
  <c r="E153" i="2"/>
  <c r="F153" i="2" s="1"/>
  <c r="E152" i="2"/>
  <c r="F152" i="2" s="1"/>
  <c r="E151" i="2"/>
  <c r="F151" i="2" s="1"/>
  <c r="E150" i="2"/>
  <c r="F150" i="2" s="1"/>
  <c r="E149" i="2"/>
  <c r="F149" i="2" s="1"/>
  <c r="E148" i="2"/>
  <c r="F148" i="2" s="1"/>
  <c r="F139" i="2"/>
  <c r="F146" i="2" s="1"/>
  <c r="F129" i="2"/>
  <c r="F136" i="2" s="1"/>
  <c r="E128" i="2"/>
  <c r="F128" i="2" s="1"/>
  <c r="E127" i="2"/>
  <c r="F127" i="2" s="1"/>
  <c r="F125" i="2"/>
  <c r="E124" i="2"/>
  <c r="F124" i="2" s="1"/>
  <c r="E123" i="2"/>
  <c r="F123" i="2" s="1"/>
  <c r="E122" i="2"/>
  <c r="F122" i="2" s="1"/>
  <c r="E121" i="2"/>
  <c r="F121" i="2" s="1"/>
  <c r="F116" i="2"/>
  <c r="F117" i="2" s="1"/>
  <c r="E115" i="2"/>
  <c r="F115" i="2" s="1"/>
  <c r="F114" i="2"/>
  <c r="E112" i="2"/>
  <c r="F112" i="2" s="1"/>
  <c r="E111" i="2"/>
  <c r="F111" i="2" s="1"/>
  <c r="E110" i="2"/>
  <c r="F110" i="2" s="1"/>
  <c r="E109" i="2"/>
  <c r="F109" i="2" s="1"/>
  <c r="E108" i="2"/>
  <c r="F108" i="2" s="1"/>
  <c r="E107" i="2"/>
  <c r="F107" i="2" s="1"/>
  <c r="E106" i="2"/>
  <c r="F106" i="2" s="1"/>
  <c r="E101" i="2"/>
  <c r="E100" i="2"/>
  <c r="E99" i="2"/>
  <c r="E98" i="2"/>
  <c r="F97" i="2"/>
  <c r="F103" i="2" s="1"/>
  <c r="F82" i="2"/>
  <c r="F75" i="2"/>
  <c r="F79" i="2" s="1"/>
  <c r="E73" i="2"/>
  <c r="E72" i="2"/>
  <c r="E71" i="2"/>
  <c r="F74" i="2"/>
  <c r="F65" i="2"/>
  <c r="F67" i="2" s="1"/>
  <c r="F64" i="2"/>
  <c r="F63" i="2"/>
  <c r="E61" i="2"/>
  <c r="F61" i="2" s="1"/>
  <c r="E60" i="2"/>
  <c r="F60" i="2" s="1"/>
  <c r="F51" i="2"/>
  <c r="F57" i="2" s="1"/>
  <c r="E48" i="2"/>
  <c r="E47" i="2"/>
  <c r="F46" i="2"/>
  <c r="F50" i="2" s="1"/>
  <c r="E44" i="2"/>
  <c r="E43" i="2"/>
  <c r="E42" i="2"/>
  <c r="E38" i="2"/>
  <c r="E37" i="2"/>
  <c r="E36" i="2"/>
  <c r="E30" i="2"/>
  <c r="E29" i="2"/>
  <c r="F28" i="2"/>
  <c r="E21" i="2"/>
  <c r="E20" i="2"/>
  <c r="E19" i="2"/>
  <c r="E18" i="2"/>
  <c r="F17" i="2"/>
  <c r="F23" i="2" s="1"/>
  <c r="F12" i="2"/>
  <c r="F30" i="2" l="1"/>
  <c r="F84" i="2"/>
  <c r="F81" i="2"/>
  <c r="F56" i="2"/>
  <c r="F47" i="2"/>
  <c r="F48" i="2"/>
  <c r="F100" i="2"/>
  <c r="F130" i="2"/>
  <c r="F53" i="2"/>
  <c r="F58" i="2"/>
  <c r="F142" i="2"/>
  <c r="F177" i="2"/>
  <c r="F22" i="2"/>
  <c r="F77" i="2"/>
  <c r="F91" i="2"/>
  <c r="F101" i="2"/>
  <c r="F140" i="2"/>
  <c r="F145" i="2"/>
  <c r="F172" i="2"/>
  <c r="F174" i="2"/>
  <c r="F52" i="2"/>
  <c r="F55" i="2"/>
  <c r="F27" i="2"/>
  <c r="F25" i="2"/>
  <c r="F26" i="2"/>
  <c r="F24" i="2"/>
  <c r="F29" i="2"/>
  <c r="F39" i="2"/>
  <c r="F45" i="2" s="1"/>
  <c r="F66" i="2"/>
  <c r="F69" i="2"/>
  <c r="F18" i="2"/>
  <c r="F19" i="2"/>
  <c r="F20" i="2"/>
  <c r="F21" i="2"/>
  <c r="F36" i="2"/>
  <c r="F37" i="2"/>
  <c r="F38" i="2"/>
  <c r="F73" i="2"/>
  <c r="F72" i="2"/>
  <c r="F71" i="2"/>
  <c r="F98" i="2"/>
  <c r="F99" i="2"/>
  <c r="F104" i="2"/>
  <c r="F119" i="2"/>
  <c r="F76" i="2"/>
  <c r="F90" i="2"/>
  <c r="F135" i="2"/>
  <c r="F132" i="2"/>
  <c r="F131" i="2"/>
  <c r="F133" i="2"/>
  <c r="F161" i="2"/>
  <c r="F141" i="2"/>
  <c r="F143" i="2"/>
  <c r="F173" i="2"/>
  <c r="F175" i="2"/>
  <c r="F85" i="2" l="1"/>
  <c r="F87" i="2"/>
  <c r="F88" i="2"/>
  <c r="F86" i="2"/>
  <c r="F40" i="2"/>
  <c r="F41" i="2"/>
  <c r="F44" i="2" l="1"/>
  <c r="F43" i="2"/>
  <c r="F42" i="2"/>
</calcChain>
</file>

<file path=xl/sharedStrings.xml><?xml version="1.0" encoding="utf-8"?>
<sst xmlns="http://schemas.openxmlformats.org/spreadsheetml/2006/main" count="388" uniqueCount="145">
  <si>
    <t xml:space="preserve"> რესურსული ხარჯთაღრიცხვა</t>
  </si>
  <si>
    <t>სახარჯთაღრიცხვო ღირებულება</t>
  </si>
  <si>
    <t>ათ. ლარი</t>
  </si>
  <si>
    <t>N</t>
  </si>
  <si>
    <t>შიფრი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</si>
  <si>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</si>
  <si>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</si>
  <si>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</si>
  <si>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</si>
  <si>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</si>
  <si>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</si>
  <si>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</si>
  <si>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</si>
  <si>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</si>
  <si>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</si>
  <si>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</si>
  <si>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</si>
  <si>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</si>
  <si>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</si>
  <si>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</si>
  <si>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</si>
  <si>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</si>
  <si>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</si>
  <si>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</si>
  <si>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თავი 2 მიწის სამუშაოები</t>
  </si>
  <si>
    <t>1-29-3  
1-29-10</t>
  </si>
  <si>
    <t xml:space="preserve">გრუნტის დამუშავება ბულდოზერით, 
გადაადგილება 30 მ-ზე </t>
  </si>
  <si>
    <t>მანქ/სთ</t>
  </si>
  <si>
    <t xml:space="preserve">გრუნტის დატვირთვა 
ექსკავატორის საშუალებით </t>
  </si>
  <si>
    <t>ექსკავატორი ჩამჩის 
მოცულობით 0,5მ3</t>
  </si>
  <si>
    <t>სხვა მანქანები</t>
  </si>
  <si>
    <t>გრუნტის გატანა ნაყარში 5კმ-ზე</t>
  </si>
  <si>
    <t>1-62-5</t>
  </si>
  <si>
    <t xml:space="preserve">გზის მოშანდაკება გრეიდერით </t>
  </si>
  <si>
    <r>
      <rPr>
        <sz val="12"/>
        <color indexed="8"/>
        <rFont val="AcadNusx"/>
      </rPr>
      <t>m</t>
    </r>
    <r>
      <rPr>
        <vertAlign val="superscript"/>
        <sz val="12"/>
        <color indexed="8"/>
        <rFont val="AcadNusx"/>
      </rPr>
      <t>2</t>
    </r>
  </si>
  <si>
    <t>ავტოგრეიდერი მისაბმელით</t>
  </si>
  <si>
    <t>მატერიალური რესურსი</t>
  </si>
  <si>
    <t>ტნ</t>
  </si>
  <si>
    <t>სულ თავი 2-ის მიხედვით</t>
  </si>
  <si>
    <t>სხვა მასალები</t>
  </si>
  <si>
    <t>მ3</t>
  </si>
  <si>
    <t>ბიტუმის ემულსია</t>
  </si>
  <si>
    <t>სულ თავი 3-ის მიხედვით</t>
  </si>
  <si>
    <t>ავტოგრეიდერი 79კვტ.</t>
  </si>
  <si>
    <t>მოსარწყავი მანქანა 6000 ლ.</t>
  </si>
  <si>
    <t>წყალი</t>
  </si>
  <si>
    <t xml:space="preserve">27-11-1  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</si>
  <si>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</si>
  <si>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</si>
  <si>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</si>
  <si>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
მანქანა</t>
  </si>
  <si>
    <t>ღორღი (ტკეპმის კოეფიციენტის 
გათვალისწინებით k=1,26)</t>
  </si>
  <si>
    <t>27-63-1</t>
  </si>
  <si>
    <t>ავტოგუდრონატორი 3500ლ.</t>
  </si>
  <si>
    <t>ასფალტის დამგები</t>
  </si>
  <si>
    <t xml:space="preserve">27-7-2 </t>
  </si>
  <si>
    <t>მისაყრელი გვერდულების მოწყობა ქვიშა ხრეშით  (ტკეპნის კოეფიციენტის გათვალისწინებით K=1,22)</t>
  </si>
  <si>
    <t xml:space="preserve">საგზაო სამოსის მოწყობა
მიერთებებზე </t>
  </si>
  <si>
    <t>%</t>
  </si>
  <si>
    <t>დღგ</t>
  </si>
  <si>
    <t>სულ ხარჯთაღრიცხვით</t>
  </si>
  <si>
    <r>
      <t>მ</t>
    </r>
    <r>
      <rPr>
        <vertAlign val="superscript"/>
        <sz val="12"/>
        <rFont val="Sylfaen"/>
        <family val="1"/>
        <charset val="204"/>
      </rPr>
      <t>3</t>
    </r>
  </si>
  <si>
    <r>
      <t>m</t>
    </r>
    <r>
      <rPr>
        <vertAlign val="superscript"/>
        <sz val="12"/>
        <rFont val="AcadNusx"/>
      </rPr>
      <t>2</t>
    </r>
  </si>
  <si>
    <r>
      <t>m</t>
    </r>
    <r>
      <rPr>
        <vertAlign val="superscript"/>
        <sz val="12"/>
        <rFont val="AcadNusx"/>
      </rPr>
      <t>3</t>
    </r>
  </si>
  <si>
    <t>ტრაქტორი 79კვტ.</t>
  </si>
  <si>
    <t>ქვიშა ხრეშოვანი ნარევი (ტკეპნის კოეფიციენტის 
გათვალისწინებით K=1,22)</t>
  </si>
  <si>
    <t>სამტრედიის მუნიციპალიტეტი</t>
  </si>
  <si>
    <t>საფუძველის ზედა ფენის მოწყობა  ღორღით ფრაქციით 0-40მმ  სისქით 10 სმ</t>
  </si>
  <si>
    <t>27-7-2</t>
  </si>
  <si>
    <t>საფუძვლის შემასწორებელი ფენის მოწყობა  ქვიშა ხრეშოვანი ნარევით სისქით  hსაშ12სმ (ტკეპნის კოეფიციენტის გათვალისწინებით K-1,22)</t>
  </si>
  <si>
    <t>საფუძვლის ქვედა ფენა  ქვიშა ხრეშოვანი ნარევით სისქით  12სმ (ტკეპნის კოეფიციენტის გათვალისწინებით K-1,22)</t>
  </si>
  <si>
    <r>
      <t>kvleva-Ziebis krebuli</t>
    </r>
    <r>
      <rPr>
        <b/>
        <sz val="11"/>
        <color theme="0"/>
        <rFont val="AcadNusx"/>
        <family val="2"/>
      </rPr>
      <t xml:space="preserve"> gv. 557cxr-17</t>
    </r>
  </si>
  <si>
    <t>1-22-15</t>
  </si>
  <si>
    <r>
      <t>მ</t>
    </r>
    <r>
      <rPr>
        <b/>
        <vertAlign val="superscript"/>
        <sz val="12"/>
        <color indexed="8"/>
        <rFont val="Sylfaen"/>
        <family val="1"/>
      </rPr>
      <t>3</t>
    </r>
  </si>
  <si>
    <r>
      <t>მ</t>
    </r>
    <r>
      <rPr>
        <b/>
        <vertAlign val="superscript"/>
        <sz val="12"/>
        <rFont val="Sylfaen"/>
        <family val="1"/>
      </rPr>
      <t>2</t>
    </r>
  </si>
  <si>
    <r>
      <t>მ</t>
    </r>
    <r>
      <rPr>
        <b/>
        <vertAlign val="superscript"/>
        <sz val="12"/>
        <rFont val="Sylfaen"/>
        <family val="1"/>
      </rPr>
      <t>3</t>
    </r>
  </si>
  <si>
    <r>
      <t>m</t>
    </r>
    <r>
      <rPr>
        <b/>
        <vertAlign val="superscript"/>
        <sz val="12"/>
        <rFont val="AcadNusx"/>
        <family val="2"/>
      </rPr>
      <t>2</t>
    </r>
  </si>
  <si>
    <t>1.03</t>
  </si>
  <si>
    <r>
      <rPr>
        <b/>
        <sz val="12"/>
        <color indexed="8"/>
        <rFont val="AcadNusx"/>
        <family val="2"/>
      </rPr>
      <t>m</t>
    </r>
    <r>
      <rPr>
        <b/>
        <vertAlign val="superscript"/>
        <sz val="12"/>
        <color indexed="8"/>
        <rFont val="AcadNusx"/>
        <family val="2"/>
      </rPr>
      <t>2</t>
    </r>
  </si>
  <si>
    <t>ასფალტობეტონი წვრილმარცვლოვაბი</t>
  </si>
  <si>
    <r>
      <rPr>
        <b/>
        <sz val="12"/>
        <color indexed="8"/>
        <rFont val="AcadNusx"/>
        <family val="2"/>
      </rPr>
      <t>მ</t>
    </r>
    <r>
      <rPr>
        <b/>
        <vertAlign val="superscript"/>
        <sz val="12"/>
        <color indexed="8"/>
        <rFont val="AcadNusx"/>
        <family val="2"/>
      </rPr>
      <t>3</t>
    </r>
  </si>
  <si>
    <t>სატკეპნი საგზაო პნევმოსვლაზე 18ტ.</t>
  </si>
  <si>
    <t>27-39-1,2  
27-40-1;2</t>
  </si>
  <si>
    <t>27-39-1;2  
27-40-1;2</t>
  </si>
  <si>
    <r>
      <t>საფუძვლის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600 გრ.</t>
    </r>
  </si>
  <si>
    <r>
      <t>საფუძვლის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 600 გრ.</t>
    </r>
  </si>
  <si>
    <t>ღორღი</t>
  </si>
  <si>
    <r>
      <t>საფარის ფენის მოწყობა წვრილმარცვლოვანი მკვრივი, ა/ბეტონის ცხელი ნარევით ტიპი ,,</t>
    </r>
    <r>
      <rPr>
        <b/>
        <sz val="12"/>
        <color rgb="FF000000"/>
        <rFont val="Arial"/>
        <family val="2"/>
      </rPr>
      <t>B</t>
    </r>
    <r>
      <rPr>
        <b/>
        <sz val="12"/>
        <color indexed="8"/>
        <rFont val="AcadNusx"/>
        <family val="2"/>
      </rPr>
      <t>" მარკა II სისქით 5 სმ</t>
    </r>
  </si>
  <si>
    <t>1-25-2</t>
  </si>
  <si>
    <t>სამუშაოები ნაყარში</t>
  </si>
  <si>
    <t>ბულდოზერი 108 ცხ. ძ.</t>
  </si>
  <si>
    <t>ღორღი ფრ (0-40 მმ)</t>
  </si>
  <si>
    <t xml:space="preserve">
სამტრედიის მუნიციპალიტეტის სოფ. საჯავახოში რკინიგზის გასწვრივ გზის რეაბილიტაციის 
სამუშაოების საპროექტო-სახარჯთაღრიცხვო დოკუმენტაცია
</t>
  </si>
  <si>
    <r>
      <t xml:space="preserve">გზის გადამკვეთი </t>
    </r>
    <r>
      <rPr>
        <b/>
        <sz val="12"/>
        <color theme="1"/>
        <rFont val="Arial"/>
        <family val="2"/>
        <charset val="204"/>
      </rPr>
      <t>d</t>
    </r>
    <r>
      <rPr>
        <b/>
        <sz val="12"/>
        <color theme="1"/>
        <rFont val="AcadNusx"/>
      </rPr>
      <t>=530მმ ლითონის მილების მოწყობა</t>
    </r>
  </si>
  <si>
    <t>1-23-6</t>
  </si>
  <si>
    <t xml:space="preserve">ქვაბულის დამუშავება ექსკავატორით ჩამჩის მოცულობით 
0,25 მ3 და დატვირთვა ა/თვითმცლელებზე </t>
  </si>
  <si>
    <r>
      <t>ექსკავატორი ჩამჩის 
მოცულობით 0,25მ</t>
    </r>
    <r>
      <rPr>
        <vertAlign val="superscript"/>
        <sz val="12"/>
        <color theme="1"/>
        <rFont val="Sylfaen"/>
        <family val="1"/>
        <charset val="204"/>
      </rPr>
      <t>3</t>
    </r>
  </si>
  <si>
    <t>1-80-2</t>
  </si>
  <si>
    <t xml:space="preserve">გრუნტის დამუშავება ხელით 
მექანიზიმის მიუდგომელ ადგილებში და დატვირთვა  ა/თვითმცლელებზე </t>
  </si>
  <si>
    <t xml:space="preserve">ზედმეტი გრუნტის დატვირთვა 
ექსკავატორის საშუალებით </t>
  </si>
  <si>
    <t>ზედმეტი გრუნტის გატანა ნაყარში 5კმ-ზე</t>
  </si>
  <si>
    <t>30-3-2</t>
  </si>
  <si>
    <t>ქვიშა ხრეშოვანი ნარევით
 (ტკეპნის კოეფიციენტის გათვალისწინებით K=1,1)</t>
  </si>
  <si>
    <t>წასაცხები ჰიდროიზოლაცის მოწყობა (ბიტუმ პოლიმერული მასტიკა) 2 ფენა</t>
  </si>
  <si>
    <t>ბიტუმ პოლიმერული მასტიკა</t>
  </si>
  <si>
    <r>
      <t>მ</t>
    </r>
    <r>
      <rPr>
        <vertAlign val="superscript"/>
        <sz val="12"/>
        <rFont val="Sylfaen"/>
        <family val="1"/>
      </rPr>
      <t>2</t>
    </r>
  </si>
  <si>
    <t>22-5-11</t>
  </si>
  <si>
    <t>ლითონის მილის d-530 მმ. 
კედლის სისქით 6,0მმ. ჩადება ტრანშეაში</t>
  </si>
  <si>
    <t>გრძ/მ</t>
  </si>
  <si>
    <t>ფოლადის მილი d=530მმ</t>
  </si>
  <si>
    <t>პროექტით</t>
  </si>
  <si>
    <t>ტრანშეის შევსება ქვიშა–ხრეშოვანი ნარევით (ტკეპნის კოეფიციენტის გათვალისწინებით K=1,1)</t>
  </si>
  <si>
    <r>
      <rPr>
        <sz val="12"/>
        <color theme="1"/>
        <rFont val="AcadNusx"/>
      </rPr>
      <t xml:space="preserve">ქვიშა ხრეშოვანი ნარევი (ტკეპნის კოეფიციენტის გათვალისწინებით </t>
    </r>
    <r>
      <rPr>
        <sz val="12"/>
        <color theme="1"/>
        <rFont val="Arial"/>
        <family val="2"/>
        <charset val="204"/>
      </rPr>
      <t>K=1,1)</t>
    </r>
  </si>
  <si>
    <t>მონოლითური ბეტონის პორტალური კედლების მოსაწყობად ქვაბულის დამუშავება ექსკავატორით და დატვირთვა ა/თვითმცლელებზე</t>
  </si>
  <si>
    <r>
      <rPr>
        <sz val="12"/>
        <color theme="1"/>
        <rFont val="AcadNusx"/>
      </rPr>
      <t xml:space="preserve">ქვიშა ხრეშოვანი ნარევით (ტკეპნის კოეფიციენტის გათვალისწინებით </t>
    </r>
    <r>
      <rPr>
        <sz val="12"/>
        <color theme="1"/>
        <rFont val="Arial"/>
        <family val="2"/>
        <charset val="204"/>
      </rPr>
      <t>K=1,1)</t>
    </r>
  </si>
  <si>
    <t>ბეტონი B-22,5 F200 W6</t>
  </si>
  <si>
    <t>თავი 3. ხელოვნური ნაგებობები</t>
  </si>
  <si>
    <t>თავი 4, საგზაო სამოსი</t>
  </si>
  <si>
    <t>სულ თავი 4-ის მიხედვით</t>
  </si>
  <si>
    <t>სულ თავი 1-4-ის მიხედვით</t>
  </si>
  <si>
    <t xml:space="preserve">ბულდოზერი 80ცხ. ძ. </t>
  </si>
  <si>
    <t>30-3-2 მისად</t>
  </si>
  <si>
    <t>22-10-11</t>
  </si>
  <si>
    <t>ჰიდროიზოლი</t>
  </si>
  <si>
    <r>
      <t>მ</t>
    </r>
    <r>
      <rPr>
        <b/>
        <vertAlign val="superscript"/>
        <sz val="12"/>
        <rFont val="Sylfaen"/>
        <family val="1"/>
        <charset val="204"/>
      </rPr>
      <t>3</t>
    </r>
  </si>
  <si>
    <t>6-11-1 მისად</t>
  </si>
  <si>
    <t>შრომითი რესურსები</t>
  </si>
  <si>
    <t>კ/სთ</t>
  </si>
  <si>
    <t>ფარი ყალიბის</t>
  </si>
  <si>
    <r>
      <t>მ</t>
    </r>
    <r>
      <rPr>
        <vertAlign val="superscript"/>
        <sz val="10"/>
        <rFont val="Sylfaen"/>
        <family val="1"/>
      </rPr>
      <t>2</t>
    </r>
  </si>
  <si>
    <t>დახერხ. მას. III ხარ. 40-60 მმ</t>
  </si>
  <si>
    <r>
      <t>მ</t>
    </r>
    <r>
      <rPr>
        <vertAlign val="superscript"/>
        <sz val="10"/>
        <rFont val="Sylfaen"/>
        <family val="1"/>
        <charset val="204"/>
      </rPr>
      <t>3</t>
    </r>
  </si>
  <si>
    <t>სამშენებლო ჭანჭიკები</t>
  </si>
  <si>
    <t>კგ</t>
  </si>
  <si>
    <r>
      <rPr>
        <b/>
        <sz val="12"/>
        <color theme="1"/>
        <rFont val="AcadNusx"/>
      </rPr>
      <t>m</t>
    </r>
    <r>
      <rPr>
        <b/>
        <vertAlign val="superscript"/>
        <sz val="12"/>
        <color theme="1"/>
        <rFont val="AcadNusx"/>
      </rPr>
      <t>3</t>
    </r>
  </si>
  <si>
    <r>
      <t>მ</t>
    </r>
    <r>
      <rPr>
        <b/>
        <vertAlign val="superscript"/>
        <sz val="12"/>
        <color theme="1"/>
        <rFont val="Sylfaen"/>
        <family val="1"/>
        <charset val="204"/>
      </rPr>
      <t>3</t>
    </r>
  </si>
  <si>
    <r>
      <rPr>
        <b/>
        <sz val="12"/>
        <color theme="1"/>
        <rFont val="AcadNusx"/>
      </rPr>
      <t xml:space="preserve">ქვესაგები ფენის მოწყობა ქვიშა–ხრეშოვანი ნარევით                 სისქით 10 სმ (ტკეპნის კოეფიციენტის გათვალისწინებით </t>
    </r>
    <r>
      <rPr>
        <b/>
        <sz val="12"/>
        <color theme="1"/>
        <rFont val="Arial"/>
        <family val="2"/>
        <charset val="204"/>
      </rPr>
      <t>K</t>
    </r>
    <r>
      <rPr>
        <b/>
        <sz val="12"/>
        <color theme="1"/>
        <rFont val="AcadNusx"/>
      </rPr>
      <t>=1,1)</t>
    </r>
  </si>
  <si>
    <r>
      <t xml:space="preserve">პორტალური კედლის მოწყობა </t>
    </r>
    <r>
      <rPr>
        <b/>
        <sz val="12"/>
        <color theme="1"/>
        <rFont val="Arial"/>
        <family val="2"/>
        <charset val="204"/>
      </rPr>
      <t xml:space="preserve">B-22,5 F200 W6 </t>
    </r>
    <r>
      <rPr>
        <b/>
        <sz val="12"/>
        <color theme="1"/>
        <rFont val="AcadNusx"/>
      </rPr>
      <t>კლასის მონოლითური ბეტონით (ფუნდამენტი, ტანი, პარაპეტი)</t>
    </r>
  </si>
  <si>
    <r>
      <t xml:space="preserve">პორტალური კედლების  უბეების შევსება ქვიშა–ხრეშოვანი ნარევით (ტკეპნის კოეფიციენტის გათვალისწინებით </t>
    </r>
    <r>
      <rPr>
        <b/>
        <sz val="12"/>
        <color theme="1"/>
        <rFont val="Times New Roman"/>
        <family val="1"/>
        <charset val="204"/>
      </rPr>
      <t>K</t>
    </r>
    <r>
      <rPr>
        <b/>
        <sz val="12"/>
        <color theme="1"/>
        <rFont val="AcadNusx"/>
      </rPr>
      <t>=1,1)</t>
    </r>
  </si>
  <si>
    <t>მინა ქსოვილი</t>
  </si>
  <si>
    <r>
      <rPr>
        <b/>
        <sz val="12"/>
        <color theme="1"/>
        <rFont val="AcadNusx"/>
      </rPr>
      <t>ქვესაგები ფენის მოწყობა ქვიშა–ხრეშოვანი ნარევით სისქით 10 სმ (ტკეპნის კოეფიციენტის გათვალისწინებით</t>
    </r>
    <r>
      <rPr>
        <b/>
        <sz val="12"/>
        <color theme="1"/>
        <rFont val="Times New Roman"/>
        <family val="1"/>
        <charset val="204"/>
      </rPr>
      <t xml:space="preserve"> K</t>
    </r>
    <r>
      <rPr>
        <b/>
        <sz val="12"/>
        <color theme="1"/>
        <rFont val="AcadNusx"/>
      </rPr>
      <t>=1,1)</t>
    </r>
  </si>
  <si>
    <t xml:space="preserve">მასალების ტრანსპორტირება არაუმეტეს </t>
  </si>
  <si>
    <t>ზედნადები ხარჯები არაუმეტეს</t>
  </si>
  <si>
    <t>გეგმიური მოგება არაუმეტეს</t>
  </si>
  <si>
    <t>გაუთვალისწინებელი ხარჯები არაუმეტეს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</si>
</sst>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#,##0.00&quot; &quot;;&quot;-&quot;#,##0.00&quot; &quot;"/>
    <numFmt numFmtId="165" formatCode="#,###.00;&quot;-&quot;#,###.00;&quot;- &quot;"/>
    <numFmt numFmtId="166" formatCode="#,##0.000&quot; &quot;;&quot;-&quot;#,##0.000&quot; &quot;"/>
    <numFmt numFmtId="167" formatCode="0.000"/>
    <numFmt numFmtId="168" formatCode="#,##0.00_ ;[Red]\-#,##0.00\ "/>
    <numFmt numFmtId="169" formatCode="0.00000"/>
    <numFmt numFmtId="170" formatCode="0.0000"/>
    <numFmt numFmtId="171" formatCode="0.0"/>
    <numFmt numFmtId="172" formatCode="#,##0.0000_);[Red]\(#,##0.0000\)"/>
    <numFmt numFmtId="173" formatCode="#,##0.000_);[Red]\(#,##0.000\)"/>
  </numFmts>
  <fonts count="6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cadNusx"/>
    </font>
    <font>
      <b/>
      <sz val="10"/>
      <color indexed="8"/>
      <name val="Sylfaen"/>
      <family val="1"/>
      <charset val="204"/>
    </font>
    <font>
      <sz val="12"/>
      <color indexed="8"/>
      <name val="AcadNusx"/>
    </font>
    <font>
      <vertAlign val="superscript"/>
      <sz val="12"/>
      <color indexed="8"/>
      <name val="AcadNusx"/>
    </font>
    <font>
      <sz val="12"/>
      <color indexed="8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b/>
      <sz val="12"/>
      <name val="Arial"/>
      <family val="2"/>
      <charset val="204"/>
    </font>
    <font>
      <vertAlign val="superscript"/>
      <sz val="12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sz val="10"/>
      <name val="Arial Cyr"/>
      <charset val="204"/>
    </font>
    <font>
      <b/>
      <sz val="10"/>
      <name val="AcadNusx"/>
    </font>
    <font>
      <sz val="12"/>
      <name val="AcadNusx"/>
    </font>
    <font>
      <vertAlign val="superscript"/>
      <sz val="12"/>
      <name val="AcadNusx"/>
    </font>
    <font>
      <b/>
      <sz val="12"/>
      <name val="Sylfaen"/>
      <family val="1"/>
    </font>
    <font>
      <b/>
      <sz val="11"/>
      <color theme="0"/>
      <name val="AcadNusx"/>
      <family val="2"/>
    </font>
    <font>
      <b/>
      <sz val="11"/>
      <color indexed="8"/>
      <name val="AcadNusx"/>
      <family val="2"/>
    </font>
    <font>
      <b/>
      <sz val="12"/>
      <color indexed="8"/>
      <name val="Sylfaen"/>
      <family val="1"/>
    </font>
    <font>
      <b/>
      <vertAlign val="superscript"/>
      <sz val="12"/>
      <color indexed="8"/>
      <name val="Sylfaen"/>
      <family val="1"/>
    </font>
    <font>
      <b/>
      <vertAlign val="superscript"/>
      <sz val="12"/>
      <name val="Sylfaen"/>
      <family val="1"/>
    </font>
    <font>
      <sz val="11"/>
      <color indexed="8"/>
      <name val="Calibri"/>
      <family val="2"/>
    </font>
    <font>
      <b/>
      <sz val="12"/>
      <name val="AcadNusx"/>
      <family val="2"/>
    </font>
    <font>
      <b/>
      <vertAlign val="superscript"/>
      <sz val="12"/>
      <name val="AcadNusx"/>
      <family val="2"/>
    </font>
    <font>
      <b/>
      <sz val="12"/>
      <color indexed="8"/>
      <name val="AcadNusx"/>
      <family val="2"/>
    </font>
    <font>
      <b/>
      <vertAlign val="superscript"/>
      <sz val="12"/>
      <color indexed="8"/>
      <name val="Arial"/>
      <family val="2"/>
      <charset val="204"/>
    </font>
    <font>
      <b/>
      <sz val="11"/>
      <color indexed="8"/>
      <name val="Calibri"/>
      <family val="2"/>
    </font>
    <font>
      <b/>
      <vertAlign val="superscript"/>
      <sz val="12"/>
      <color indexed="8"/>
      <name val="AcadNusx"/>
      <family val="2"/>
    </font>
    <font>
      <b/>
      <sz val="16"/>
      <color indexed="8"/>
      <name val="AcadNusx"/>
    </font>
    <font>
      <sz val="12"/>
      <color theme="1"/>
      <name val="Sylfaen"/>
      <family val="1"/>
      <charset val="204"/>
    </font>
    <font>
      <b/>
      <sz val="12"/>
      <color rgb="FF000000"/>
      <name val="Arial"/>
      <family val="2"/>
    </font>
    <font>
      <sz val="11"/>
      <color indexed="8"/>
      <name val="Calibri"/>
      <family val="2"/>
      <charset val="204"/>
    </font>
    <font>
      <b/>
      <sz val="12"/>
      <color theme="1"/>
      <name val="AcadNusx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Sylfaen"/>
      <family val="1"/>
      <charset val="204"/>
    </font>
    <font>
      <sz val="12"/>
      <color theme="1"/>
      <name val="AcadNusx"/>
    </font>
    <font>
      <vertAlign val="superscript"/>
      <sz val="12"/>
      <color theme="1"/>
      <name val="Sylfaen"/>
      <family val="1"/>
      <charset val="204"/>
    </font>
    <font>
      <b/>
      <sz val="11"/>
      <color theme="1"/>
      <name val="AcadNusx"/>
    </font>
    <font>
      <sz val="12"/>
      <color theme="1"/>
      <name val="Calibri"/>
      <family val="2"/>
      <charset val="204"/>
    </font>
    <font>
      <vertAlign val="superscript"/>
      <sz val="12"/>
      <name val="Sylfaen"/>
      <family val="1"/>
    </font>
    <font>
      <b/>
      <sz val="10"/>
      <color theme="1"/>
      <name val="Sylfaen"/>
      <family val="1"/>
      <charset val="204"/>
    </font>
    <font>
      <sz val="12"/>
      <color indexed="8"/>
      <name val="Calibri"/>
      <family val="2"/>
      <charset val="204"/>
    </font>
    <font>
      <b/>
      <sz val="12"/>
      <name val="Arial Cyr"/>
      <family val="2"/>
      <charset val="204"/>
    </font>
    <font>
      <b/>
      <vertAlign val="superscript"/>
      <sz val="12"/>
      <name val="Sylfaen"/>
      <family val="1"/>
      <charset val="204"/>
    </font>
    <font>
      <vertAlign val="superscript"/>
      <sz val="10"/>
      <name val="Sylfaen"/>
      <family val="1"/>
    </font>
    <font>
      <vertAlign val="superscript"/>
      <sz val="10"/>
      <name val="Sylfaen"/>
      <family val="1"/>
      <charset val="204"/>
    </font>
    <font>
      <b/>
      <sz val="11"/>
      <color theme="1"/>
      <name val="Calibri"/>
      <family val="2"/>
      <charset val="204"/>
    </font>
    <font>
      <b/>
      <vertAlign val="superscript"/>
      <sz val="12"/>
      <color theme="1"/>
      <name val="AcadNusx"/>
    </font>
    <font>
      <b/>
      <vertAlign val="superscript"/>
      <sz val="12"/>
      <color theme="1"/>
      <name val="Sylfaen"/>
      <family val="1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</font>
    <font>
      <b/>
      <u/>
      <sz val="12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5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 applyNumberFormat="0" applyFill="0" applyBorder="0" applyProtection="0"/>
    <xf numFmtId="0" fontId="12" fillId="0" borderId="6"/>
    <xf numFmtId="0" fontId="14" fillId="0" borderId="6"/>
    <xf numFmtId="0" fontId="21" fillId="0" borderId="6"/>
    <xf numFmtId="0" fontId="21" fillId="0" borderId="6"/>
    <xf numFmtId="43" fontId="41" fillId="0" borderId="0" applyFont="0" applyFill="0" applyBorder="0" applyAlignment="0" applyProtection="0"/>
    <xf numFmtId="0" fontId="1" fillId="0" borderId="6"/>
    <xf numFmtId="0" fontId="1" fillId="0" borderId="6"/>
  </cellStyleXfs>
  <cellXfs count="264">
    <xf numFmtId="0" fontId="0" fillId="0" borderId="0" xfId="0" applyFont="1" applyAlignment="1"/>
    <xf numFmtId="0" fontId="0" fillId="2" borderId="2" xfId="0" applyFont="1" applyFill="1" applyBorder="1" applyAlignment="1"/>
    <xf numFmtId="0" fontId="0" fillId="2" borderId="1" xfId="0" applyFont="1" applyFill="1" applyBorder="1" applyAlignment="1"/>
    <xf numFmtId="0" fontId="13" fillId="3" borderId="6" xfId="1" applyFont="1" applyFill="1" applyBorder="1" applyAlignment="1">
      <alignment horizontal="center" vertical="top"/>
    </xf>
    <xf numFmtId="0" fontId="17" fillId="4" borderId="18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 wrapText="1"/>
    </xf>
    <xf numFmtId="0" fontId="14" fillId="3" borderId="18" xfId="2" applyFill="1" applyBorder="1" applyAlignment="1">
      <alignment horizontal="left" vertical="center"/>
    </xf>
    <xf numFmtId="0" fontId="22" fillId="3" borderId="18" xfId="3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/>
    </xf>
    <xf numFmtId="49" fontId="20" fillId="3" borderId="18" xfId="0" applyNumberFormat="1" applyFont="1" applyFill="1" applyBorder="1" applyAlignment="1">
      <alignment horizontal="center" vertical="center" wrapText="1"/>
    </xf>
    <xf numFmtId="0" fontId="15" fillId="3" borderId="18" xfId="2" applyFont="1" applyFill="1" applyBorder="1" applyAlignment="1">
      <alignment horizontal="center" vertical="center"/>
    </xf>
    <xf numFmtId="0" fontId="14" fillId="3" borderId="18" xfId="2" applyFill="1" applyBorder="1" applyAlignment="1">
      <alignment horizontal="center" vertical="center"/>
    </xf>
    <xf numFmtId="167" fontId="14" fillId="3" borderId="18" xfId="2" applyNumberFormat="1" applyFill="1" applyBorder="1" applyAlignment="1">
      <alignment horizontal="center" vertical="center"/>
    </xf>
    <xf numFmtId="0" fontId="14" fillId="3" borderId="18" xfId="2" applyFill="1" applyBorder="1" applyAlignment="1">
      <alignment vertical="center" wrapText="1"/>
    </xf>
    <xf numFmtId="0" fontId="14" fillId="3" borderId="18" xfId="2" applyFill="1" applyBorder="1"/>
    <xf numFmtId="170" fontId="14" fillId="3" borderId="18" xfId="2" applyNumberFormat="1" applyFill="1" applyBorder="1" applyAlignment="1">
      <alignment horizontal="center" vertical="center"/>
    </xf>
    <xf numFmtId="0" fontId="25" fillId="3" borderId="18" xfId="2" applyFont="1" applyFill="1" applyBorder="1" applyAlignment="1">
      <alignment horizontal="left" vertical="center" wrapText="1"/>
    </xf>
    <xf numFmtId="0" fontId="25" fillId="3" borderId="18" xfId="2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vertical="center" wrapText="1"/>
    </xf>
    <xf numFmtId="0" fontId="32" fillId="3" borderId="18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0" fillId="3" borderId="2" xfId="0" applyFont="1" applyFill="1" applyBorder="1" applyAlignment="1"/>
    <xf numFmtId="0" fontId="0" fillId="3" borderId="7" xfId="0" applyFont="1" applyFill="1" applyBorder="1" applyAlignment="1">
      <alignment vertical="top"/>
    </xf>
    <xf numFmtId="0" fontId="0" fillId="3" borderId="8" xfId="0" applyFont="1" applyFill="1" applyBorder="1" applyAlignment="1">
      <alignment vertical="top" wrapText="1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left" vertical="center"/>
    </xf>
    <xf numFmtId="0" fontId="0" fillId="3" borderId="10" xfId="0" applyFont="1" applyFill="1" applyBorder="1" applyAlignment="1"/>
    <xf numFmtId="0" fontId="5" fillId="3" borderId="12" xfId="0" applyFont="1" applyFill="1" applyBorder="1" applyAlignment="1">
      <alignment horizontal="center" vertical="center"/>
    </xf>
    <xf numFmtId="49" fontId="0" fillId="3" borderId="12" xfId="0" applyNumberFormat="1" applyFont="1" applyFill="1" applyBorder="1" applyAlignment="1">
      <alignment vertical="top" wrapText="1"/>
    </xf>
    <xf numFmtId="49" fontId="2" fillId="3" borderId="12" xfId="0" applyNumberFormat="1" applyFont="1" applyFill="1" applyBorder="1" applyAlignment="1">
      <alignment horizontal="center" vertical="center" wrapText="1"/>
    </xf>
    <xf numFmtId="165" fontId="6" fillId="3" borderId="12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/>
    </xf>
    <xf numFmtId="49" fontId="27" fillId="3" borderId="12" xfId="0" applyNumberFormat="1" applyFont="1" applyFill="1" applyBorder="1" applyAlignment="1">
      <alignment horizontal="center" vertical="center" wrapText="1"/>
    </xf>
    <xf numFmtId="49" fontId="28" fillId="3" borderId="12" xfId="0" applyNumberFormat="1" applyFont="1" applyFill="1" applyBorder="1" applyAlignment="1">
      <alignment horizontal="left" vertical="center"/>
    </xf>
    <xf numFmtId="49" fontId="28" fillId="3" borderId="12" xfId="0" applyNumberFormat="1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 wrapText="1"/>
    </xf>
    <xf numFmtId="49" fontId="3" fillId="3" borderId="12" xfId="0" applyNumberFormat="1" applyFont="1" applyFill="1" applyBorder="1" applyAlignment="1"/>
    <xf numFmtId="164" fontId="2" fillId="3" borderId="12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right"/>
    </xf>
    <xf numFmtId="49" fontId="2" fillId="3" borderId="12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2" fontId="3" fillId="3" borderId="12" xfId="0" applyNumberFormat="1" applyFont="1" applyFill="1" applyBorder="1" applyAlignment="1">
      <alignment horizontal="center" vertical="center"/>
    </xf>
    <xf numFmtId="49" fontId="28" fillId="3" borderId="12" xfId="0" applyNumberFormat="1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170" fontId="3" fillId="3" borderId="12" xfId="0" applyNumberFormat="1" applyFont="1" applyFill="1" applyBorder="1" applyAlignment="1">
      <alignment horizontal="center" vertical="center"/>
    </xf>
    <xf numFmtId="167" fontId="28" fillId="3" borderId="12" xfId="0" applyNumberFormat="1" applyFont="1" applyFill="1" applyBorder="1" applyAlignment="1">
      <alignment horizontal="center" vertical="center"/>
    </xf>
    <xf numFmtId="167" fontId="3" fillId="3" borderId="12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 wrapText="1"/>
    </xf>
    <xf numFmtId="49" fontId="3" fillId="3" borderId="21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vertical="center"/>
    </xf>
    <xf numFmtId="170" fontId="3" fillId="3" borderId="20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 wrapText="1"/>
    </xf>
    <xf numFmtId="49" fontId="28" fillId="3" borderId="19" xfId="0" applyNumberFormat="1" applyFont="1" applyFill="1" applyBorder="1" applyAlignment="1">
      <alignment vertical="center" wrapText="1"/>
    </xf>
    <xf numFmtId="0" fontId="28" fillId="3" borderId="20" xfId="0" applyFont="1" applyFill="1" applyBorder="1" applyAlignment="1">
      <alignment horizontal="center" vertical="center"/>
    </xf>
    <xf numFmtId="49" fontId="28" fillId="3" borderId="19" xfId="0" applyNumberFormat="1" applyFont="1" applyFill="1" applyBorder="1" applyAlignment="1">
      <alignment vertical="center"/>
    </xf>
    <xf numFmtId="2" fontId="0" fillId="3" borderId="12" xfId="0" applyNumberFormat="1" applyFont="1" applyFill="1" applyBorder="1" applyAlignment="1">
      <alignment vertical="center" wrapText="1"/>
    </xf>
    <xf numFmtId="169" fontId="3" fillId="3" borderId="12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Alignment="1"/>
    <xf numFmtId="164" fontId="2" fillId="3" borderId="12" xfId="0" applyNumberFormat="1" applyFont="1" applyFill="1" applyBorder="1" applyAlignment="1">
      <alignment horizontal="right" vertical="center"/>
    </xf>
    <xf numFmtId="0" fontId="5" fillId="3" borderId="12" xfId="0" applyNumberFormat="1" applyFont="1" applyFill="1" applyBorder="1" applyAlignment="1">
      <alignment horizontal="center" vertical="center"/>
    </xf>
    <xf numFmtId="0" fontId="15" fillId="3" borderId="6" xfId="2" applyFont="1" applyFill="1" applyAlignment="1">
      <alignment horizontal="left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vertical="center" wrapText="1"/>
    </xf>
    <xf numFmtId="49" fontId="2" fillId="3" borderId="21" xfId="0" applyNumberFormat="1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right" vertical="center"/>
    </xf>
    <xf numFmtId="168" fontId="14" fillId="3" borderId="18" xfId="2" applyNumberFormat="1" applyFill="1" applyBorder="1" applyAlignment="1">
      <alignment horizontal="right" vertical="center"/>
    </xf>
    <xf numFmtId="0" fontId="16" fillId="3" borderId="18" xfId="2" applyFont="1" applyFill="1" applyBorder="1" applyAlignment="1">
      <alignment horizontal="center" vertical="center" wrapText="1"/>
    </xf>
    <xf numFmtId="0" fontId="14" fillId="3" borderId="18" xfId="2" applyFill="1" applyBorder="1" applyAlignment="1">
      <alignment wrapText="1"/>
    </xf>
    <xf numFmtId="0" fontId="5" fillId="3" borderId="19" xfId="0" applyNumberFormat="1" applyFont="1" applyFill="1" applyBorder="1" applyAlignment="1">
      <alignment horizontal="center" vertical="center"/>
    </xf>
    <xf numFmtId="49" fontId="34" fillId="3" borderId="20" xfId="0" applyNumberFormat="1" applyFont="1" applyFill="1" applyBorder="1" applyAlignment="1">
      <alignment horizontal="left" vertical="center" wrapText="1"/>
    </xf>
    <xf numFmtId="49" fontId="7" fillId="3" borderId="22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left" vertical="center"/>
    </xf>
    <xf numFmtId="49" fontId="3" fillId="3" borderId="20" xfId="0" applyNumberFormat="1" applyFont="1" applyFill="1" applyBorder="1" applyAlignment="1">
      <alignment horizontal="center" vertical="center"/>
    </xf>
    <xf numFmtId="0" fontId="25" fillId="3" borderId="6" xfId="2" applyFont="1" applyFill="1" applyAlignment="1">
      <alignment horizontal="center" vertical="center" wrapText="1"/>
    </xf>
    <xf numFmtId="49" fontId="36" fillId="3" borderId="22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left" vertical="center"/>
    </xf>
    <xf numFmtId="49" fontId="31" fillId="3" borderId="12" xfId="0" applyNumberFormat="1" applyFont="1" applyFill="1" applyBorder="1" applyAlignment="1">
      <alignment vertical="center" wrapText="1"/>
    </xf>
    <xf numFmtId="49" fontId="2" fillId="3" borderId="20" xfId="0" applyNumberFormat="1" applyFont="1" applyFill="1" applyBorder="1" applyAlignment="1">
      <alignment wrapText="1"/>
    </xf>
    <xf numFmtId="49" fontId="36" fillId="3" borderId="12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wrapText="1"/>
    </xf>
    <xf numFmtId="0" fontId="8" fillId="3" borderId="12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15" fillId="3" borderId="18" xfId="2" applyFont="1" applyFill="1" applyBorder="1" applyAlignment="1">
      <alignment horizontal="left" vertical="center"/>
    </xf>
    <xf numFmtId="49" fontId="0" fillId="3" borderId="2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/>
    </xf>
    <xf numFmtId="49" fontId="4" fillId="3" borderId="12" xfId="0" applyNumberFormat="1" applyFont="1" applyFill="1" applyBorder="1" applyAlignment="1">
      <alignment horizontal="center" vertical="top" wrapText="1"/>
    </xf>
    <xf numFmtId="49" fontId="11" fillId="3" borderId="12" xfId="0" applyNumberFormat="1" applyFont="1" applyFill="1" applyBorder="1" applyAlignment="1">
      <alignment vertical="center"/>
    </xf>
    <xf numFmtId="49" fontId="11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vertical="center"/>
    </xf>
    <xf numFmtId="0" fontId="5" fillId="3" borderId="21" xfId="0" applyFont="1" applyFill="1" applyBorder="1" applyAlignment="1">
      <alignment horizontal="center" vertical="top"/>
    </xf>
    <xf numFmtId="49" fontId="4" fillId="3" borderId="21" xfId="0" applyNumberFormat="1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center" vertical="top"/>
    </xf>
    <xf numFmtId="49" fontId="4" fillId="3" borderId="18" xfId="0" applyNumberFormat="1" applyFont="1" applyFill="1" applyBorder="1" applyAlignment="1">
      <alignment horizontal="center" vertical="top" wrapText="1"/>
    </xf>
    <xf numFmtId="49" fontId="11" fillId="3" borderId="18" xfId="0" applyNumberFormat="1" applyFont="1" applyFill="1" applyBorder="1" applyAlignment="1">
      <alignment vertical="center"/>
    </xf>
    <xf numFmtId="49" fontId="11" fillId="3" borderId="18" xfId="0" applyNumberFormat="1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right" vertical="center"/>
    </xf>
    <xf numFmtId="164" fontId="2" fillId="3" borderId="18" xfId="0" applyNumberFormat="1" applyFont="1" applyFill="1" applyBorder="1" applyAlignment="1">
      <alignment horizontal="right" vertical="center"/>
    </xf>
    <xf numFmtId="49" fontId="5" fillId="3" borderId="18" xfId="0" applyNumberFormat="1" applyFont="1" applyFill="1" applyBorder="1" applyAlignment="1">
      <alignment vertical="center" wrapText="1"/>
    </xf>
    <xf numFmtId="49" fontId="2" fillId="3" borderId="18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0" fillId="0" borderId="6" xfId="0" applyNumberFormat="1" applyFont="1" applyBorder="1" applyAlignment="1"/>
    <xf numFmtId="0" fontId="0" fillId="0" borderId="6" xfId="0" applyFont="1" applyBorder="1" applyAlignment="1"/>
    <xf numFmtId="0" fontId="39" fillId="3" borderId="18" xfId="2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left" vertical="center"/>
    </xf>
    <xf numFmtId="49" fontId="34" fillId="3" borderId="23" xfId="0" applyNumberFormat="1" applyFont="1" applyFill="1" applyBorder="1" applyAlignment="1">
      <alignment horizontal="left" vertical="center" wrapText="1"/>
    </xf>
    <xf numFmtId="49" fontId="14" fillId="3" borderId="18" xfId="0" applyNumberFormat="1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left" vertical="center" wrapText="1"/>
    </xf>
    <xf numFmtId="0" fontId="15" fillId="3" borderId="18" xfId="4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2" fontId="14" fillId="3" borderId="18" xfId="0" applyNumberFormat="1" applyFont="1" applyFill="1" applyBorder="1" applyAlignment="1">
      <alignment horizontal="center" vertical="center"/>
    </xf>
    <xf numFmtId="171" fontId="14" fillId="3" borderId="18" xfId="0" applyNumberFormat="1" applyFont="1" applyFill="1" applyBorder="1" applyAlignment="1">
      <alignment horizontal="center" vertical="center"/>
    </xf>
    <xf numFmtId="4" fontId="14" fillId="3" borderId="18" xfId="0" applyNumberFormat="1" applyFont="1" applyFill="1" applyBorder="1" applyAlignment="1">
      <alignment horizontal="center" vertical="center"/>
    </xf>
    <xf numFmtId="0" fontId="0" fillId="3" borderId="13" xfId="0" applyFont="1" applyFill="1" applyBorder="1" applyAlignment="1"/>
    <xf numFmtId="0" fontId="0" fillId="3" borderId="0" xfId="0" applyFont="1" applyFill="1" applyAlignment="1"/>
    <xf numFmtId="0" fontId="13" fillId="3" borderId="18" xfId="0" applyFont="1" applyFill="1" applyBorder="1" applyAlignment="1">
      <alignment horizontal="left" vertical="center" wrapText="1"/>
    </xf>
    <xf numFmtId="0" fontId="13" fillId="3" borderId="18" xfId="4" applyFont="1" applyFill="1" applyBorder="1" applyAlignment="1">
      <alignment horizontal="center" vertical="center"/>
    </xf>
    <xf numFmtId="0" fontId="14" fillId="3" borderId="18" xfId="4" applyFont="1" applyFill="1" applyBorder="1" applyAlignment="1">
      <alignment horizontal="center" vertical="center"/>
    </xf>
    <xf numFmtId="2" fontId="14" fillId="3" borderId="18" xfId="4" applyNumberFormat="1" applyFont="1" applyFill="1" applyBorder="1" applyAlignment="1">
      <alignment horizontal="center" vertical="center"/>
    </xf>
    <xf numFmtId="2" fontId="13" fillId="3" borderId="18" xfId="0" applyNumberFormat="1" applyFont="1" applyFill="1" applyBorder="1" applyAlignment="1">
      <alignment vertical="center" wrapText="1"/>
    </xf>
    <xf numFmtId="0" fontId="42" fillId="3" borderId="18" xfId="0" applyFont="1" applyFill="1" applyBorder="1" applyAlignment="1">
      <alignment vertical="center"/>
    </xf>
    <xf numFmtId="49" fontId="42" fillId="3" borderId="18" xfId="0" applyNumberFormat="1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vertical="center"/>
    </xf>
    <xf numFmtId="167" fontId="45" fillId="3" borderId="18" xfId="0" applyNumberFormat="1" applyFont="1" applyFill="1" applyBorder="1" applyAlignment="1">
      <alignment horizontal="center" vertical="center"/>
    </xf>
    <xf numFmtId="2" fontId="45" fillId="3" borderId="18" xfId="0" applyNumberFormat="1" applyFont="1" applyFill="1" applyBorder="1" applyAlignment="1">
      <alignment horizontal="center" vertical="center"/>
    </xf>
    <xf numFmtId="43" fontId="45" fillId="3" borderId="18" xfId="5" applyFont="1" applyFill="1" applyBorder="1" applyAlignment="1">
      <alignment horizontal="center" vertical="center"/>
    </xf>
    <xf numFmtId="43" fontId="45" fillId="3" borderId="18" xfId="5" applyFont="1" applyFill="1" applyBorder="1" applyAlignment="1">
      <alignment horizontal="center" vertical="center" wrapText="1"/>
    </xf>
    <xf numFmtId="0" fontId="43" fillId="3" borderId="18" xfId="0" applyNumberFormat="1" applyFont="1" applyFill="1" applyBorder="1" applyAlignment="1">
      <alignment horizontal="center" vertical="center"/>
    </xf>
    <xf numFmtId="0" fontId="43" fillId="3" borderId="18" xfId="0" applyFont="1" applyFill="1" applyBorder="1" applyAlignment="1">
      <alignment horizontal="center" vertical="center"/>
    </xf>
    <xf numFmtId="0" fontId="44" fillId="3" borderId="18" xfId="0" applyFont="1" applyFill="1" applyBorder="1" applyAlignment="1">
      <alignment vertical="center" wrapText="1"/>
    </xf>
    <xf numFmtId="49" fontId="39" fillId="3" borderId="18" xfId="0" applyNumberFormat="1" applyFont="1" applyFill="1" applyBorder="1" applyAlignment="1">
      <alignment vertical="center"/>
    </xf>
    <xf numFmtId="49" fontId="39" fillId="3" borderId="18" xfId="0" applyNumberFormat="1" applyFont="1" applyFill="1" applyBorder="1" applyAlignment="1">
      <alignment horizontal="center" vertical="center"/>
    </xf>
    <xf numFmtId="49" fontId="39" fillId="3" borderId="18" xfId="0" applyNumberFormat="1" applyFont="1" applyFill="1" applyBorder="1" applyAlignment="1">
      <alignment vertical="center" wrapText="1"/>
    </xf>
    <xf numFmtId="49" fontId="39" fillId="3" borderId="18" xfId="0" applyNumberFormat="1" applyFont="1" applyFill="1" applyBorder="1" applyAlignment="1"/>
    <xf numFmtId="0" fontId="49" fillId="3" borderId="18" xfId="0" applyFont="1" applyFill="1" applyBorder="1" applyAlignment="1">
      <alignment horizontal="center" vertical="center" wrapText="1"/>
    </xf>
    <xf numFmtId="49" fontId="45" fillId="3" borderId="18" xfId="0" applyNumberFormat="1" applyFont="1" applyFill="1" applyBorder="1" applyAlignment="1">
      <alignment vertical="center" wrapText="1"/>
    </xf>
    <xf numFmtId="0" fontId="39" fillId="3" borderId="18" xfId="2" applyFont="1" applyFill="1" applyBorder="1" applyAlignment="1">
      <alignment horizontal="center"/>
    </xf>
    <xf numFmtId="0" fontId="46" fillId="3" borderId="18" xfId="0" applyNumberFormat="1" applyFont="1" applyFill="1" applyBorder="1" applyAlignment="1">
      <alignment horizontal="center" vertical="center"/>
    </xf>
    <xf numFmtId="49" fontId="50" fillId="3" borderId="18" xfId="0" applyNumberFormat="1" applyFont="1" applyFill="1" applyBorder="1" applyAlignment="1">
      <alignment vertical="center" wrapText="1"/>
    </xf>
    <xf numFmtId="0" fontId="42" fillId="3" borderId="18" xfId="0" applyFont="1" applyFill="1" applyBorder="1" applyAlignment="1">
      <alignment horizontal="center" vertical="center"/>
    </xf>
    <xf numFmtId="49" fontId="52" fillId="3" borderId="18" xfId="0" applyNumberFormat="1" applyFont="1" applyFill="1" applyBorder="1" applyAlignment="1">
      <alignment horizontal="center" vertical="center" wrapText="1"/>
    </xf>
    <xf numFmtId="49" fontId="39" fillId="3" borderId="18" xfId="0" applyNumberFormat="1" applyFont="1" applyFill="1" applyBorder="1" applyAlignment="1">
      <alignment horizontal="left" vertical="center"/>
    </xf>
    <xf numFmtId="0" fontId="44" fillId="3" borderId="18" xfId="0" applyFont="1" applyFill="1" applyBorder="1" applyAlignment="1">
      <alignment horizontal="center" vertical="center"/>
    </xf>
    <xf numFmtId="0" fontId="46" fillId="3" borderId="18" xfId="2" applyFont="1" applyFill="1" applyBorder="1" applyAlignment="1">
      <alignment horizontal="left" vertical="center"/>
    </xf>
    <xf numFmtId="0" fontId="42" fillId="3" borderId="18" xfId="0" applyFont="1" applyFill="1" applyBorder="1" applyAlignment="1">
      <alignment horizontal="center" vertical="center" wrapText="1"/>
    </xf>
    <xf numFmtId="49" fontId="15" fillId="3" borderId="18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vertical="center"/>
    </xf>
    <xf numFmtId="0" fontId="14" fillId="3" borderId="18" xfId="0" applyFont="1" applyFill="1" applyBorder="1" applyAlignment="1">
      <alignment vertical="center"/>
    </xf>
    <xf numFmtId="43" fontId="45" fillId="3" borderId="18" xfId="5" applyFont="1" applyFill="1" applyBorder="1" applyAlignment="1">
      <alignment vertical="center"/>
    </xf>
    <xf numFmtId="49" fontId="46" fillId="3" borderId="18" xfId="0" applyNumberFormat="1" applyFont="1" applyFill="1" applyBorder="1" applyAlignment="1">
      <alignment wrapText="1"/>
    </xf>
    <xf numFmtId="49" fontId="58" fillId="3" borderId="18" xfId="0" applyNumberFormat="1" applyFont="1" applyFill="1" applyBorder="1" applyAlignment="1">
      <alignment horizontal="center" vertical="center" wrapText="1"/>
    </xf>
    <xf numFmtId="49" fontId="46" fillId="3" borderId="18" xfId="0" applyNumberFormat="1" applyFont="1" applyFill="1" applyBorder="1" applyAlignment="1">
      <alignment vertical="center" wrapText="1"/>
    </xf>
    <xf numFmtId="49" fontId="46" fillId="3" borderId="18" xfId="0" applyNumberFormat="1" applyFont="1" applyFill="1" applyBorder="1" applyAlignment="1">
      <alignment horizontal="center" vertical="center"/>
    </xf>
    <xf numFmtId="49" fontId="61" fillId="3" borderId="18" xfId="0" applyNumberFormat="1" applyFont="1" applyFill="1" applyBorder="1" applyAlignment="1">
      <alignment vertical="center" wrapText="1"/>
    </xf>
    <xf numFmtId="49" fontId="58" fillId="3" borderId="18" xfId="0" applyNumberFormat="1" applyFont="1" applyFill="1" applyBorder="1" applyAlignment="1">
      <alignment vertical="center" wrapText="1"/>
    </xf>
    <xf numFmtId="49" fontId="42" fillId="3" borderId="18" xfId="0" applyNumberFormat="1" applyFont="1" applyFill="1" applyBorder="1" applyAlignment="1">
      <alignment horizontal="left" vertical="center" wrapText="1"/>
    </xf>
    <xf numFmtId="49" fontId="63" fillId="3" borderId="18" xfId="0" applyNumberFormat="1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wrapText="1"/>
    </xf>
    <xf numFmtId="0" fontId="14" fillId="3" borderId="18" xfId="0" applyFont="1" applyFill="1" applyBorder="1" applyAlignment="1">
      <alignment horizontal="center" wrapText="1"/>
    </xf>
    <xf numFmtId="0" fontId="42" fillId="3" borderId="18" xfId="0" applyFont="1" applyFill="1" applyBorder="1" applyAlignment="1">
      <alignment vertical="center" wrapText="1"/>
    </xf>
    <xf numFmtId="0" fontId="46" fillId="3" borderId="18" xfId="2" applyFont="1" applyFill="1" applyBorder="1" applyAlignment="1">
      <alignment horizontal="center" vertical="center" wrapText="1"/>
    </xf>
    <xf numFmtId="0" fontId="15" fillId="3" borderId="18" xfId="2" applyFont="1" applyFill="1" applyBorder="1" applyAlignment="1">
      <alignment horizontal="center" vertical="center" wrapText="1"/>
    </xf>
    <xf numFmtId="0" fontId="25" fillId="3" borderId="18" xfId="2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wrapText="1"/>
    </xf>
    <xf numFmtId="0" fontId="14" fillId="3" borderId="6" xfId="2" applyFill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5" fillId="3" borderId="6" xfId="2" applyFont="1" applyFill="1" applyAlignment="1">
      <alignment horizontal="center" vertical="center"/>
    </xf>
    <xf numFmtId="0" fontId="0" fillId="3" borderId="0" xfId="0" applyNumberFormat="1" applyFont="1" applyFill="1" applyAlignment="1">
      <alignment wrapText="1"/>
    </xf>
    <xf numFmtId="0" fontId="0" fillId="3" borderId="13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166" fontId="28" fillId="3" borderId="12" xfId="0" applyNumberFormat="1" applyFont="1" applyFill="1" applyBorder="1" applyAlignment="1">
      <alignment horizontal="right" vertical="center"/>
    </xf>
    <xf numFmtId="164" fontId="2" fillId="3" borderId="12" xfId="0" applyNumberFormat="1" applyFont="1" applyFill="1" applyBorder="1" applyAlignment="1">
      <alignment horizontal="right" wrapText="1"/>
    </xf>
    <xf numFmtId="164" fontId="28" fillId="3" borderId="12" xfId="0" applyNumberFormat="1" applyFont="1" applyFill="1" applyBorder="1" applyAlignment="1">
      <alignment horizontal="right" vertical="center"/>
    </xf>
    <xf numFmtId="2" fontId="15" fillId="3" borderId="18" xfId="4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/>
    <xf numFmtId="40" fontId="15" fillId="3" borderId="18" xfId="2" applyNumberFormat="1" applyFont="1" applyFill="1" applyBorder="1" applyAlignment="1">
      <alignment horizontal="right" vertical="center"/>
    </xf>
    <xf numFmtId="40" fontId="14" fillId="3" borderId="18" xfId="2" applyNumberFormat="1" applyFill="1" applyBorder="1" applyAlignment="1">
      <alignment horizontal="right" vertical="center"/>
    </xf>
    <xf numFmtId="40" fontId="14" fillId="3" borderId="18" xfId="2" applyNumberFormat="1" applyFill="1" applyBorder="1" applyAlignment="1">
      <alignment vertical="center"/>
    </xf>
    <xf numFmtId="172" fontId="14" fillId="3" borderId="18" xfId="2" applyNumberFormat="1" applyFill="1" applyBorder="1" applyAlignment="1">
      <alignment horizontal="center" vertical="center"/>
    </xf>
    <xf numFmtId="172" fontId="15" fillId="3" borderId="18" xfId="2" applyNumberFormat="1" applyFont="1" applyFill="1" applyBorder="1" applyAlignment="1">
      <alignment horizontal="center" vertical="center"/>
    </xf>
    <xf numFmtId="172" fontId="64" fillId="3" borderId="18" xfId="2" applyNumberFormat="1" applyFont="1" applyFill="1" applyBorder="1" applyAlignment="1">
      <alignment horizontal="center" vertical="center"/>
    </xf>
    <xf numFmtId="173" fontId="15" fillId="3" borderId="18" xfId="2" applyNumberFormat="1" applyFont="1" applyFill="1" applyBorder="1" applyAlignment="1">
      <alignment horizontal="right" vertical="center"/>
    </xf>
    <xf numFmtId="173" fontId="14" fillId="3" borderId="18" xfId="2" applyNumberFormat="1" applyFill="1" applyBorder="1" applyAlignment="1">
      <alignment horizontal="right" vertical="center"/>
    </xf>
    <xf numFmtId="0" fontId="14" fillId="3" borderId="18" xfId="2" applyFill="1" applyBorder="1" applyAlignment="1">
      <alignment horizontal="left" vertical="center" wrapText="1"/>
    </xf>
    <xf numFmtId="0" fontId="54" fillId="3" borderId="18" xfId="0" applyFont="1" applyFill="1" applyBorder="1" applyAlignment="1">
      <alignment horizontal="left" vertical="center" wrapText="1"/>
    </xf>
    <xf numFmtId="172" fontId="15" fillId="3" borderId="18" xfId="2" applyNumberFormat="1" applyFont="1" applyFill="1" applyBorder="1" applyAlignment="1">
      <alignment horizontal="right" vertical="center"/>
    </xf>
    <xf numFmtId="40" fontId="14" fillId="3" borderId="18" xfId="2" applyNumberFormat="1" applyFill="1" applyBorder="1" applyAlignment="1">
      <alignment horizontal="center" vertical="center"/>
    </xf>
    <xf numFmtId="40" fontId="14" fillId="3" borderId="6" xfId="2" applyNumberFormat="1" applyFill="1" applyAlignment="1">
      <alignment horizontal="right" vertical="center"/>
    </xf>
    <xf numFmtId="49" fontId="3" fillId="3" borderId="19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49" fontId="53" fillId="3" borderId="20" xfId="0" applyNumberFormat="1" applyFont="1" applyFill="1" applyBorder="1" applyAlignment="1">
      <alignment vertical="center" wrapText="1"/>
    </xf>
    <xf numFmtId="49" fontId="53" fillId="3" borderId="20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/>
    </xf>
    <xf numFmtId="14" fontId="22" fillId="3" borderId="24" xfId="6" applyNumberFormat="1" applyFont="1" applyFill="1" applyBorder="1" applyAlignment="1">
      <alignment vertical="center" wrapText="1"/>
    </xf>
    <xf numFmtId="168" fontId="25" fillId="3" borderId="18" xfId="2" applyNumberFormat="1" applyFont="1" applyFill="1" applyBorder="1" applyAlignment="1">
      <alignment horizontal="right" vertical="center"/>
    </xf>
    <xf numFmtId="168" fontId="15" fillId="3" borderId="18" xfId="2" applyNumberFormat="1" applyFont="1" applyFill="1" applyBorder="1" applyAlignment="1">
      <alignment horizontal="right" vertical="center"/>
    </xf>
    <xf numFmtId="0" fontId="0" fillId="3" borderId="14" xfId="0" applyFont="1" applyFill="1" applyBorder="1" applyAlignment="1"/>
    <xf numFmtId="2" fontId="0" fillId="3" borderId="6" xfId="0" applyNumberFormat="1" applyFont="1" applyFill="1" applyBorder="1" applyAlignment="1"/>
    <xf numFmtId="2" fontId="0" fillId="3" borderId="3" xfId="0" applyNumberFormat="1" applyFont="1" applyFill="1" applyBorder="1" applyAlignment="1"/>
    <xf numFmtId="2" fontId="0" fillId="3" borderId="2" xfId="0" applyNumberFormat="1" applyFont="1" applyFill="1" applyBorder="1" applyAlignment="1"/>
    <xf numFmtId="0" fontId="0" fillId="3" borderId="4" xfId="0" applyFont="1" applyFill="1" applyBorder="1" applyAlignment="1"/>
    <xf numFmtId="0" fontId="0" fillId="3" borderId="6" xfId="0" applyFont="1" applyFill="1" applyBorder="1" applyAlignment="1"/>
    <xf numFmtId="0" fontId="5" fillId="3" borderId="6" xfId="0" applyFont="1" applyFill="1" applyBorder="1" applyAlignment="1">
      <alignment horizontal="center" vertical="top"/>
    </xf>
    <xf numFmtId="49" fontId="4" fillId="3" borderId="6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top"/>
    </xf>
    <xf numFmtId="0" fontId="0" fillId="3" borderId="6" xfId="0" applyFont="1" applyFill="1" applyBorder="1" applyAlignment="1">
      <alignment vertical="top" wrapText="1"/>
    </xf>
    <xf numFmtId="0" fontId="0" fillId="3" borderId="2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top"/>
    </xf>
    <xf numFmtId="0" fontId="0" fillId="3" borderId="17" xfId="0" applyFont="1" applyFill="1" applyBorder="1" applyAlignment="1">
      <alignment vertical="top" wrapText="1"/>
    </xf>
    <xf numFmtId="0" fontId="0" fillId="3" borderId="17" xfId="0" applyFont="1" applyFill="1" applyBorder="1" applyAlignment="1">
      <alignment vertical="center"/>
    </xf>
    <xf numFmtId="49" fontId="38" fillId="2" borderId="6" xfId="0" applyNumberFormat="1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0" xfId="0" applyNumberFormat="1" applyFont="1" applyFill="1" applyAlignment="1">
      <alignment horizontal="center"/>
    </xf>
    <xf numFmtId="0" fontId="15" fillId="3" borderId="6" xfId="2" applyFont="1" applyFill="1" applyAlignment="1">
      <alignment horizontal="center" vertical="center"/>
    </xf>
    <xf numFmtId="0" fontId="14" fillId="3" borderId="6" xfId="2" applyFill="1" applyAlignment="1">
      <alignment horizontal="center" vertical="center"/>
    </xf>
    <xf numFmtId="0" fontId="15" fillId="3" borderId="6" xfId="2" applyFont="1" applyFill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8">
    <cellStyle name="Comma" xfId="5" builtinId="3"/>
    <cellStyle name="Normal" xfId="0" builtinId="0"/>
    <cellStyle name="Normal 2" xfId="1"/>
    <cellStyle name="silfain" xfId="2"/>
    <cellStyle name="Обычный 2" xfId="7"/>
    <cellStyle name="Обычный 4" xfId="6"/>
    <cellStyle name="Обычный_Лист1" xfId="4"/>
    <cellStyle name="Обычный_დემონტაჟი" xfId="3"/>
  </cellStyles>
  <dxfs count="9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2</xdr:col>
      <xdr:colOff>1476375</xdr:colOff>
      <xdr:row>95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95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86075" y="33578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86075" y="37998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86075" y="5143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164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86075" y="5585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19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86075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86075" y="4675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150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86075" y="51206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118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86075" y="407733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49"/>
  <sheetViews>
    <sheetView showGridLines="0" tabSelected="1" view="pageBreakPreview" zoomScale="80" zoomScaleNormal="85" zoomScaleSheetLayoutView="80" workbookViewId="0">
      <selection activeCell="E192" sqref="E192"/>
    </sheetView>
  </sheetViews>
  <sheetFormatPr defaultColWidth="8.85546875" defaultRowHeight="16.5" customHeight="1"/>
  <cols>
    <col min="1" max="1" width="4.42578125" style="70" customWidth="1"/>
    <col min="2" max="2" width="15.7109375" style="190" customWidth="1"/>
    <col min="3" max="3" width="53.28515625" style="70" customWidth="1"/>
    <col min="4" max="4" width="9" style="70" customWidth="1"/>
    <col min="5" max="5" width="12.7109375" style="70" customWidth="1"/>
    <col min="6" max="6" width="14" style="70" customWidth="1"/>
    <col min="7" max="7" width="12.7109375" style="70" customWidth="1"/>
    <col min="8" max="8" width="14.85546875" style="70" customWidth="1"/>
    <col min="9" max="9" width="11.42578125" style="70" customWidth="1"/>
    <col min="10" max="10" width="16.140625" style="70" bestFit="1" customWidth="1"/>
    <col min="11" max="11" width="11.7109375" style="70" customWidth="1"/>
    <col min="12" max="12" width="15.7109375" style="70" customWidth="1"/>
    <col min="13" max="13" width="19.5703125" style="70" customWidth="1"/>
    <col min="14" max="14" width="15.140625" style="70" customWidth="1"/>
    <col min="15" max="15" width="14.85546875" style="70" customWidth="1"/>
    <col min="16" max="21" width="9.140625" style="70" customWidth="1"/>
    <col min="22" max="256" width="8.85546875" style="70" customWidth="1"/>
    <col min="257" max="16384" width="8.85546875" style="136"/>
  </cols>
  <sheetData>
    <row r="1" spans="1:21" s="70" customFormat="1" ht="16.5" customHeight="1">
      <c r="B1" s="190"/>
      <c r="H1" s="256"/>
      <c r="I1" s="256"/>
      <c r="J1" s="256"/>
      <c r="K1" s="256"/>
      <c r="L1" s="256"/>
      <c r="M1" s="256"/>
    </row>
    <row r="2" spans="1:21" s="70" customFormat="1" ht="24" customHeight="1">
      <c r="A2" s="3"/>
      <c r="B2" s="257" t="s">
        <v>66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3"/>
      <c r="O2" s="23"/>
      <c r="P2" s="23"/>
      <c r="Q2" s="23"/>
      <c r="R2" s="23"/>
      <c r="S2" s="23"/>
      <c r="T2" s="23"/>
      <c r="U2" s="23"/>
    </row>
    <row r="3" spans="1:21" s="70" customFormat="1" ht="28.5" customHeight="1">
      <c r="A3" s="258" t="s">
        <v>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3"/>
      <c r="O3" s="23"/>
      <c r="P3" s="23"/>
      <c r="Q3" s="23"/>
      <c r="R3" s="23"/>
      <c r="S3" s="23"/>
      <c r="T3" s="23"/>
      <c r="U3" s="23"/>
    </row>
    <row r="4" spans="1:21" s="70" customFormat="1" ht="65.25" customHeight="1">
      <c r="A4" s="259" t="s">
        <v>92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3"/>
      <c r="O4" s="23"/>
      <c r="P4" s="23"/>
      <c r="Q4" s="23"/>
      <c r="R4" s="23"/>
      <c r="S4" s="23"/>
      <c r="T4" s="23"/>
      <c r="U4" s="23"/>
    </row>
    <row r="5" spans="1:21" s="70" customFormat="1" ht="18" customHeight="1">
      <c r="A5" s="250" t="s">
        <v>1</v>
      </c>
      <c r="B5" s="251"/>
      <c r="C5" s="252"/>
      <c r="D5" s="253"/>
      <c r="E5" s="253"/>
      <c r="F5" s="21" t="s">
        <v>2</v>
      </c>
      <c r="G5" s="22"/>
      <c r="H5" s="254"/>
      <c r="I5" s="255"/>
      <c r="J5" s="255"/>
      <c r="K5" s="255"/>
      <c r="L5" s="255"/>
      <c r="M5" s="23"/>
      <c r="N5" s="23"/>
      <c r="O5" s="23"/>
      <c r="P5" s="23"/>
      <c r="Q5" s="23"/>
      <c r="R5" s="23"/>
      <c r="S5" s="23"/>
      <c r="T5" s="23"/>
      <c r="U5" s="23"/>
    </row>
    <row r="6" spans="1:21" s="70" customFormat="1" ht="16.5" customHeight="1">
      <c r="A6" s="24"/>
      <c r="B6" s="25"/>
      <c r="C6" s="26"/>
      <c r="D6" s="27"/>
      <c r="E6" s="27"/>
      <c r="F6" s="28"/>
      <c r="G6" s="29"/>
      <c r="H6" s="26"/>
      <c r="I6" s="30"/>
      <c r="J6" s="27"/>
      <c r="K6" s="27"/>
      <c r="L6" s="27"/>
      <c r="M6" s="31"/>
      <c r="N6" s="23"/>
      <c r="O6" s="23"/>
      <c r="P6" s="23"/>
      <c r="Q6" s="23"/>
      <c r="R6" s="23"/>
      <c r="S6" s="23"/>
      <c r="T6" s="23"/>
      <c r="U6" s="23"/>
    </row>
    <row r="7" spans="1:21" s="70" customFormat="1" ht="18" customHeight="1">
      <c r="A7" s="260" t="s">
        <v>3</v>
      </c>
      <c r="B7" s="262" t="s">
        <v>4</v>
      </c>
      <c r="C7" s="260" t="s">
        <v>5</v>
      </c>
      <c r="D7" s="262" t="s">
        <v>6</v>
      </c>
      <c r="E7" s="262" t="s">
        <v>7</v>
      </c>
      <c r="F7" s="260" t="s">
        <v>8</v>
      </c>
      <c r="G7" s="260" t="s">
        <v>9</v>
      </c>
      <c r="H7" s="261"/>
      <c r="I7" s="260" t="s">
        <v>10</v>
      </c>
      <c r="J7" s="261"/>
      <c r="K7" s="260" t="s">
        <v>11</v>
      </c>
      <c r="L7" s="261"/>
      <c r="M7" s="187" t="s">
        <v>12</v>
      </c>
      <c r="N7" s="191"/>
      <c r="O7" s="192"/>
      <c r="P7" s="192"/>
      <c r="Q7" s="23"/>
      <c r="R7" s="23"/>
      <c r="S7" s="23"/>
      <c r="T7" s="23"/>
      <c r="U7" s="23"/>
    </row>
    <row r="8" spans="1:21" s="70" customFormat="1" ht="26.25" customHeight="1">
      <c r="A8" s="261"/>
      <c r="B8" s="263"/>
      <c r="C8" s="261"/>
      <c r="D8" s="261"/>
      <c r="E8" s="261"/>
      <c r="F8" s="261"/>
      <c r="G8" s="187" t="s">
        <v>13</v>
      </c>
      <c r="H8" s="187" t="s">
        <v>14</v>
      </c>
      <c r="I8" s="187" t="s">
        <v>13</v>
      </c>
      <c r="J8" s="187" t="s">
        <v>14</v>
      </c>
      <c r="K8" s="187" t="s">
        <v>13</v>
      </c>
      <c r="L8" s="187" t="s">
        <v>14</v>
      </c>
      <c r="M8" s="187" t="s">
        <v>15</v>
      </c>
      <c r="N8" s="135"/>
      <c r="O8" s="23"/>
      <c r="P8" s="23"/>
      <c r="Q8" s="23"/>
      <c r="R8" s="23"/>
      <c r="S8" s="23"/>
      <c r="T8" s="23"/>
      <c r="U8" s="23"/>
    </row>
    <row r="9" spans="1:21" s="70" customFormat="1" ht="15.75">
      <c r="A9" s="4">
        <v>1</v>
      </c>
      <c r="B9" s="179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135"/>
      <c r="O9" s="23"/>
      <c r="P9" s="23"/>
      <c r="Q9" s="23"/>
      <c r="R9" s="23"/>
      <c r="S9" s="23"/>
      <c r="T9" s="23"/>
      <c r="U9" s="23"/>
    </row>
    <row r="10" spans="1:21" s="70" customFormat="1" ht="54" customHeight="1">
      <c r="A10" s="32"/>
      <c r="B10" s="33"/>
      <c r="C10" s="34" t="s">
        <v>16</v>
      </c>
      <c r="D10" s="35"/>
      <c r="E10" s="188"/>
      <c r="F10" s="188"/>
      <c r="G10" s="188"/>
      <c r="H10" s="188"/>
      <c r="I10" s="188"/>
      <c r="J10" s="188"/>
      <c r="K10" s="188"/>
      <c r="L10" s="188"/>
      <c r="M10" s="188"/>
      <c r="N10" s="135"/>
      <c r="O10" s="23"/>
      <c r="P10" s="23"/>
      <c r="Q10" s="23"/>
      <c r="R10" s="23"/>
      <c r="S10" s="23"/>
      <c r="T10" s="23"/>
      <c r="U10" s="23"/>
    </row>
    <row r="11" spans="1:21" s="70" customFormat="1" ht="78.75">
      <c r="A11" s="36">
        <v>1</v>
      </c>
      <c r="B11" s="37" t="s">
        <v>71</v>
      </c>
      <c r="C11" s="38" t="s">
        <v>17</v>
      </c>
      <c r="D11" s="39" t="s">
        <v>18</v>
      </c>
      <c r="E11" s="40"/>
      <c r="F11" s="193">
        <v>1.2889999999999999</v>
      </c>
      <c r="G11" s="41"/>
      <c r="H11" s="41"/>
      <c r="I11" s="41"/>
      <c r="J11" s="41"/>
      <c r="K11" s="41"/>
      <c r="L11" s="41"/>
      <c r="M11" s="41"/>
      <c r="N11" s="135"/>
      <c r="O11" s="23"/>
      <c r="P11" s="23"/>
      <c r="Q11" s="23"/>
      <c r="R11" s="23"/>
      <c r="S11" s="23"/>
      <c r="T11" s="23"/>
      <c r="U11" s="23"/>
    </row>
    <row r="12" spans="1:21" s="70" customFormat="1" ht="18" customHeight="1">
      <c r="A12" s="42"/>
      <c r="B12" s="43"/>
      <c r="C12" s="44" t="s">
        <v>19</v>
      </c>
      <c r="D12" s="187" t="s">
        <v>20</v>
      </c>
      <c r="E12" s="41">
        <v>93.22</v>
      </c>
      <c r="F12" s="41">
        <f>F11*E12</f>
        <v>120.16058</v>
      </c>
      <c r="G12" s="41"/>
      <c r="H12" s="41"/>
      <c r="I12" s="41"/>
      <c r="J12" s="41"/>
      <c r="K12" s="41"/>
      <c r="L12" s="41"/>
      <c r="M12" s="41"/>
      <c r="N12" s="135"/>
      <c r="O12" s="23"/>
      <c r="P12" s="23"/>
      <c r="Q12" s="23"/>
      <c r="R12" s="23"/>
      <c r="S12" s="23"/>
      <c r="T12" s="23"/>
      <c r="U12" s="23"/>
    </row>
    <row r="13" spans="1:21" s="70" customFormat="1" ht="18" customHeight="1">
      <c r="A13" s="45"/>
      <c r="B13" s="194"/>
      <c r="C13" s="47" t="s">
        <v>22</v>
      </c>
      <c r="D13" s="47" t="s">
        <v>23</v>
      </c>
      <c r="E13" s="46"/>
      <c r="F13" s="46"/>
      <c r="G13" s="46"/>
      <c r="H13" s="46"/>
      <c r="I13" s="46"/>
      <c r="J13" s="46"/>
      <c r="K13" s="46"/>
      <c r="L13" s="46"/>
      <c r="M13" s="46"/>
      <c r="N13" s="135"/>
      <c r="O13" s="23"/>
      <c r="P13" s="23"/>
      <c r="Q13" s="23"/>
      <c r="R13" s="23"/>
      <c r="S13" s="23"/>
      <c r="T13" s="23"/>
      <c r="U13" s="23"/>
    </row>
    <row r="14" spans="1:21" s="70" customFormat="1" ht="18" customHeight="1">
      <c r="A14" s="32"/>
      <c r="B14" s="48"/>
      <c r="C14" s="49" t="s">
        <v>24</v>
      </c>
      <c r="D14" s="50"/>
      <c r="E14" s="51"/>
      <c r="F14" s="41"/>
      <c r="G14" s="41"/>
      <c r="H14" s="41"/>
      <c r="I14" s="41"/>
      <c r="J14" s="41"/>
      <c r="K14" s="41"/>
      <c r="L14" s="41"/>
      <c r="M14" s="41"/>
      <c r="N14" s="135"/>
      <c r="O14" s="23"/>
      <c r="P14" s="23"/>
      <c r="Q14" s="23"/>
      <c r="R14" s="23"/>
      <c r="S14" s="23"/>
      <c r="T14" s="23"/>
      <c r="U14" s="23"/>
    </row>
    <row r="15" spans="1:21" s="70" customFormat="1" ht="54" customHeight="1">
      <c r="A15" s="36">
        <v>1</v>
      </c>
      <c r="B15" s="34" t="s">
        <v>25</v>
      </c>
      <c r="C15" s="52" t="s">
        <v>26</v>
      </c>
      <c r="D15" s="39" t="s">
        <v>73</v>
      </c>
      <c r="E15" s="40"/>
      <c r="F15" s="195">
        <v>1430.58</v>
      </c>
      <c r="G15" s="41"/>
      <c r="H15" s="41"/>
      <c r="I15" s="41"/>
      <c r="J15" s="41"/>
      <c r="K15" s="41"/>
      <c r="L15" s="41"/>
      <c r="M15" s="41"/>
      <c r="N15" s="135"/>
      <c r="O15" s="23"/>
      <c r="P15" s="23"/>
      <c r="Q15" s="23"/>
      <c r="R15" s="23"/>
      <c r="S15" s="23"/>
      <c r="T15" s="23"/>
      <c r="U15" s="23"/>
    </row>
    <row r="16" spans="1:21" ht="18" customHeight="1">
      <c r="A16" s="53"/>
      <c r="B16" s="54"/>
      <c r="C16" s="55" t="s">
        <v>120</v>
      </c>
      <c r="D16" s="187" t="s">
        <v>27</v>
      </c>
      <c r="E16" s="56">
        <f>(19.1+14.4*2)/1000</f>
        <v>4.7900000000000005E-2</v>
      </c>
      <c r="F16" s="41">
        <f>F15*E16</f>
        <v>68.524782000000002</v>
      </c>
      <c r="G16" s="41"/>
      <c r="H16" s="41"/>
      <c r="I16" s="41"/>
      <c r="J16" s="41"/>
      <c r="K16" s="168"/>
      <c r="L16" s="41"/>
      <c r="M16" s="41"/>
      <c r="N16" s="135"/>
      <c r="O16" s="23"/>
      <c r="P16" s="23"/>
      <c r="Q16" s="23"/>
      <c r="R16" s="23"/>
      <c r="S16" s="23"/>
      <c r="T16" s="23"/>
      <c r="U16" s="23"/>
    </row>
    <row r="17" spans="1:21" ht="36" customHeight="1">
      <c r="A17" s="36">
        <v>2</v>
      </c>
      <c r="B17" s="34" t="s">
        <v>72</v>
      </c>
      <c r="C17" s="52" t="s">
        <v>28</v>
      </c>
      <c r="D17" s="39" t="s">
        <v>73</v>
      </c>
      <c r="E17" s="57"/>
      <c r="F17" s="195">
        <f>F15</f>
        <v>1430.58</v>
      </c>
      <c r="G17" s="41"/>
      <c r="H17" s="41"/>
      <c r="I17" s="41"/>
      <c r="J17" s="41"/>
      <c r="K17" s="168"/>
      <c r="L17" s="41"/>
      <c r="M17" s="41"/>
      <c r="N17" s="135"/>
      <c r="O17" s="23"/>
      <c r="P17" s="23"/>
      <c r="Q17" s="23"/>
      <c r="R17" s="23"/>
      <c r="S17" s="23"/>
      <c r="T17" s="23"/>
      <c r="U17" s="23"/>
    </row>
    <row r="18" spans="1:21" ht="18" customHeight="1">
      <c r="A18" s="32"/>
      <c r="B18" s="43"/>
      <c r="C18" s="55" t="s">
        <v>19</v>
      </c>
      <c r="D18" s="187" t="s">
        <v>20</v>
      </c>
      <c r="E18" s="58">
        <f>20/1000</f>
        <v>0.02</v>
      </c>
      <c r="F18" s="41">
        <f>F17*E18</f>
        <v>28.611599999999999</v>
      </c>
      <c r="G18" s="41"/>
      <c r="H18" s="41"/>
      <c r="I18" s="41"/>
      <c r="J18" s="41"/>
      <c r="K18" s="168"/>
      <c r="L18" s="41"/>
      <c r="M18" s="41"/>
      <c r="N18" s="135"/>
      <c r="O18" s="23"/>
      <c r="P18" s="23"/>
      <c r="Q18" s="23"/>
      <c r="R18" s="23"/>
      <c r="S18" s="23"/>
      <c r="T18" s="23"/>
      <c r="U18" s="23"/>
    </row>
    <row r="19" spans="1:21" ht="36" customHeight="1">
      <c r="A19" s="32"/>
      <c r="B19" s="54"/>
      <c r="C19" s="59" t="s">
        <v>29</v>
      </c>
      <c r="D19" s="187" t="s">
        <v>27</v>
      </c>
      <c r="E19" s="58">
        <f>44.8/1000</f>
        <v>4.48E-2</v>
      </c>
      <c r="F19" s="41">
        <f>F17*E19</f>
        <v>64.089984000000001</v>
      </c>
      <c r="G19" s="41"/>
      <c r="H19" s="41"/>
      <c r="I19" s="41"/>
      <c r="J19" s="41"/>
      <c r="K19" s="168"/>
      <c r="L19" s="41"/>
      <c r="M19" s="41"/>
      <c r="N19" s="135"/>
      <c r="O19" s="23"/>
      <c r="P19" s="23"/>
      <c r="Q19" s="23"/>
      <c r="R19" s="23"/>
      <c r="S19" s="23"/>
      <c r="T19" s="23"/>
      <c r="U19" s="23"/>
    </row>
    <row r="20" spans="1:21" ht="18" customHeight="1">
      <c r="A20" s="32"/>
      <c r="B20" s="43"/>
      <c r="C20" s="55" t="s">
        <v>30</v>
      </c>
      <c r="D20" s="60" t="s">
        <v>23</v>
      </c>
      <c r="E20" s="56">
        <f>2.1/1000</f>
        <v>2.1000000000000003E-3</v>
      </c>
      <c r="F20" s="41">
        <f>F17*E20</f>
        <v>3.0042180000000003</v>
      </c>
      <c r="G20" s="41"/>
      <c r="H20" s="41"/>
      <c r="I20" s="41"/>
      <c r="J20" s="41"/>
      <c r="K20" s="168"/>
      <c r="L20" s="41"/>
      <c r="M20" s="41"/>
      <c r="N20" s="135"/>
      <c r="O20" s="23"/>
      <c r="P20" s="23"/>
      <c r="Q20" s="23"/>
      <c r="R20" s="23"/>
      <c r="S20" s="23"/>
      <c r="T20" s="23"/>
      <c r="U20" s="23"/>
    </row>
    <row r="21" spans="1:21" ht="18" customHeight="1">
      <c r="A21" s="32"/>
      <c r="B21" s="43"/>
      <c r="C21" s="61" t="s">
        <v>86</v>
      </c>
      <c r="D21" s="125" t="s">
        <v>40</v>
      </c>
      <c r="E21" s="62">
        <f>0.05/1000</f>
        <v>5.0000000000000002E-5</v>
      </c>
      <c r="F21" s="41">
        <f>F17*E21</f>
        <v>7.1528999999999995E-2</v>
      </c>
      <c r="G21" s="132"/>
      <c r="H21" s="41"/>
      <c r="I21" s="41"/>
      <c r="J21" s="41"/>
      <c r="K21" s="168"/>
      <c r="L21" s="41"/>
      <c r="M21" s="41"/>
      <c r="N21" s="135"/>
      <c r="O21" s="23"/>
      <c r="P21" s="23"/>
      <c r="Q21" s="23"/>
      <c r="R21" s="23"/>
      <c r="S21" s="23"/>
      <c r="T21" s="23"/>
      <c r="U21" s="23"/>
    </row>
    <row r="22" spans="1:21" ht="30" customHeight="1">
      <c r="A22" s="63"/>
      <c r="B22" s="64"/>
      <c r="C22" s="65" t="s">
        <v>31</v>
      </c>
      <c r="D22" s="18" t="s">
        <v>37</v>
      </c>
      <c r="E22" s="66"/>
      <c r="F22" s="195">
        <f>F17*1.8</f>
        <v>2575.0439999999999</v>
      </c>
      <c r="G22" s="41"/>
      <c r="H22" s="41"/>
      <c r="I22" s="41"/>
      <c r="J22" s="41"/>
      <c r="K22" s="168"/>
      <c r="L22" s="41"/>
      <c r="M22" s="41"/>
      <c r="N22" s="135"/>
      <c r="O22" s="23"/>
      <c r="P22" s="23"/>
      <c r="Q22" s="23"/>
      <c r="R22" s="23"/>
      <c r="S22" s="23"/>
      <c r="T22" s="23"/>
      <c r="U22" s="23"/>
    </row>
    <row r="23" spans="1:21" ht="19.5">
      <c r="A23" s="63"/>
      <c r="B23" s="167" t="s">
        <v>88</v>
      </c>
      <c r="C23" s="129" t="s">
        <v>89</v>
      </c>
      <c r="D23" s="39" t="s">
        <v>73</v>
      </c>
      <c r="E23" s="130"/>
      <c r="F23" s="196">
        <f>F17</f>
        <v>1430.58</v>
      </c>
      <c r="G23" s="131"/>
      <c r="H23" s="131"/>
      <c r="I23" s="132"/>
      <c r="J23" s="133"/>
      <c r="K23" s="169"/>
      <c r="L23" s="132"/>
      <c r="M23" s="134"/>
      <c r="N23" s="135"/>
      <c r="O23" s="23"/>
      <c r="P23" s="23"/>
      <c r="Q23" s="23"/>
      <c r="R23" s="23"/>
      <c r="S23" s="23"/>
      <c r="T23" s="23"/>
      <c r="U23" s="23"/>
    </row>
    <row r="24" spans="1:21" ht="18">
      <c r="A24" s="63"/>
      <c r="B24" s="128"/>
      <c r="C24" s="137" t="s">
        <v>19</v>
      </c>
      <c r="D24" s="138" t="s">
        <v>20</v>
      </c>
      <c r="E24" s="139">
        <v>3.2299999999999998E-3</v>
      </c>
      <c r="F24" s="140">
        <f>F23*E24</f>
        <v>4.6207733999999991</v>
      </c>
      <c r="G24" s="131"/>
      <c r="H24" s="131"/>
      <c r="I24" s="132"/>
      <c r="J24" s="132"/>
      <c r="K24" s="169"/>
      <c r="L24" s="132"/>
      <c r="M24" s="134"/>
      <c r="N24" s="135"/>
      <c r="O24" s="23"/>
      <c r="P24" s="23"/>
      <c r="Q24" s="23"/>
      <c r="R24" s="23"/>
      <c r="S24" s="23"/>
      <c r="T24" s="23"/>
      <c r="U24" s="23"/>
    </row>
    <row r="25" spans="1:21" ht="18">
      <c r="A25" s="63"/>
      <c r="B25" s="128"/>
      <c r="C25" s="137" t="s">
        <v>90</v>
      </c>
      <c r="D25" s="187" t="s">
        <v>27</v>
      </c>
      <c r="E25" s="139">
        <v>3.62E-3</v>
      </c>
      <c r="F25" s="140">
        <f>ROUND(F23*E25,2)</f>
        <v>5.18</v>
      </c>
      <c r="G25" s="131"/>
      <c r="H25" s="131"/>
      <c r="I25" s="132"/>
      <c r="J25" s="133"/>
      <c r="K25" s="80"/>
      <c r="L25" s="132"/>
      <c r="M25" s="134"/>
      <c r="N25" s="135"/>
      <c r="O25" s="23"/>
      <c r="P25" s="23"/>
      <c r="Q25" s="23"/>
      <c r="R25" s="23"/>
      <c r="S25" s="23"/>
      <c r="T25" s="23"/>
      <c r="U25" s="23"/>
    </row>
    <row r="26" spans="1:21" ht="18">
      <c r="A26" s="63"/>
      <c r="B26" s="128"/>
      <c r="C26" s="137" t="s">
        <v>30</v>
      </c>
      <c r="D26" s="138" t="s">
        <v>23</v>
      </c>
      <c r="E26" s="139">
        <v>1.8000000000000001E-4</v>
      </c>
      <c r="F26" s="140">
        <f>ROUND(F23*E26,2)</f>
        <v>0.26</v>
      </c>
      <c r="G26" s="131"/>
      <c r="H26" s="131"/>
      <c r="I26" s="132"/>
      <c r="J26" s="133"/>
      <c r="K26" s="169"/>
      <c r="L26" s="132"/>
      <c r="M26" s="134"/>
      <c r="N26" s="135"/>
      <c r="O26" s="23"/>
      <c r="P26" s="23"/>
      <c r="Q26" s="23"/>
      <c r="R26" s="23"/>
      <c r="S26" s="23"/>
      <c r="T26" s="23"/>
      <c r="U26" s="23"/>
    </row>
    <row r="27" spans="1:21" ht="18">
      <c r="A27" s="63"/>
      <c r="B27" s="180"/>
      <c r="C27" s="141" t="s">
        <v>91</v>
      </c>
      <c r="D27" s="138" t="s">
        <v>40</v>
      </c>
      <c r="E27" s="139">
        <v>4.0000000000000003E-5</v>
      </c>
      <c r="F27" s="140">
        <f>ROUND(F23*E27,2)</f>
        <v>0.06</v>
      </c>
      <c r="G27" s="132"/>
      <c r="H27" s="131"/>
      <c r="I27" s="132"/>
      <c r="J27" s="133"/>
      <c r="K27" s="169"/>
      <c r="L27" s="132"/>
      <c r="M27" s="134"/>
      <c r="N27" s="135"/>
      <c r="O27" s="23"/>
      <c r="P27" s="23"/>
      <c r="Q27" s="23"/>
      <c r="R27" s="23"/>
      <c r="S27" s="23"/>
      <c r="T27" s="23"/>
      <c r="U27" s="23"/>
    </row>
    <row r="28" spans="1:21" ht="20.25" customHeight="1">
      <c r="A28" s="36">
        <v>3</v>
      </c>
      <c r="B28" s="34" t="s">
        <v>32</v>
      </c>
      <c r="C28" s="67" t="s">
        <v>33</v>
      </c>
      <c r="D28" s="18" t="s">
        <v>74</v>
      </c>
      <c r="E28" s="66"/>
      <c r="F28" s="195">
        <f>1289*6</f>
        <v>7734</v>
      </c>
      <c r="G28" s="41"/>
      <c r="H28" s="41"/>
      <c r="I28" s="41"/>
      <c r="J28" s="41"/>
      <c r="K28" s="168"/>
      <c r="L28" s="41"/>
      <c r="M28" s="41"/>
      <c r="N28" s="135"/>
      <c r="O28" s="23"/>
      <c r="P28" s="23"/>
      <c r="Q28" s="23"/>
      <c r="R28" s="23"/>
      <c r="S28" s="23"/>
      <c r="T28" s="23"/>
      <c r="U28" s="23"/>
    </row>
    <row r="29" spans="1:21" ht="18" customHeight="1">
      <c r="A29" s="53"/>
      <c r="B29" s="68"/>
      <c r="C29" s="55" t="s">
        <v>35</v>
      </c>
      <c r="D29" s="187" t="s">
        <v>27</v>
      </c>
      <c r="E29" s="69">
        <f>0.4/1000</f>
        <v>4.0000000000000002E-4</v>
      </c>
      <c r="F29" s="41">
        <f>F28*E29</f>
        <v>3.0936000000000003</v>
      </c>
      <c r="G29" s="41"/>
      <c r="H29" s="41"/>
      <c r="I29" s="41"/>
      <c r="J29" s="41"/>
      <c r="K29" s="168"/>
      <c r="L29" s="41"/>
      <c r="M29" s="41"/>
      <c r="N29" s="135"/>
      <c r="O29" s="23"/>
      <c r="P29" s="23"/>
      <c r="Q29" s="23"/>
      <c r="R29" s="23"/>
      <c r="S29" s="23"/>
      <c r="T29" s="23"/>
      <c r="U29" s="23"/>
    </row>
    <row r="30" spans="1:21" ht="18" customHeight="1">
      <c r="A30" s="53"/>
      <c r="B30" s="48"/>
      <c r="C30" s="55" t="s">
        <v>64</v>
      </c>
      <c r="D30" s="187" t="s">
        <v>27</v>
      </c>
      <c r="E30" s="69">
        <f>0.4/1000</f>
        <v>4.0000000000000002E-4</v>
      </c>
      <c r="F30" s="41">
        <f>F28*E30</f>
        <v>3.0936000000000003</v>
      </c>
      <c r="G30" s="41"/>
      <c r="H30" s="41"/>
      <c r="I30" s="41"/>
      <c r="J30" s="41"/>
      <c r="K30" s="168"/>
      <c r="L30" s="41"/>
      <c r="M30" s="41"/>
      <c r="N30" s="135"/>
      <c r="O30" s="23"/>
      <c r="P30" s="23"/>
      <c r="Q30" s="23"/>
      <c r="R30" s="23"/>
      <c r="S30" s="23"/>
      <c r="T30" s="23"/>
      <c r="U30" s="23"/>
    </row>
    <row r="31" spans="1:21" ht="18" customHeight="1">
      <c r="A31" s="32"/>
      <c r="C31" s="49" t="s">
        <v>21</v>
      </c>
      <c r="D31" s="43"/>
      <c r="E31" s="58"/>
      <c r="F31" s="41"/>
      <c r="G31" s="41"/>
      <c r="H31" s="71"/>
      <c r="I31" s="71"/>
      <c r="J31" s="71"/>
      <c r="K31" s="197"/>
      <c r="L31" s="71"/>
      <c r="M31" s="71"/>
      <c r="N31" s="135"/>
      <c r="O31" s="23"/>
      <c r="P31" s="23"/>
      <c r="Q31" s="23"/>
      <c r="R31" s="23"/>
      <c r="S31" s="23"/>
      <c r="T31" s="23"/>
      <c r="U31" s="23"/>
    </row>
    <row r="32" spans="1:21" ht="18" customHeight="1">
      <c r="A32" s="63"/>
      <c r="B32" s="198"/>
      <c r="C32" s="49" t="s">
        <v>38</v>
      </c>
      <c r="D32" s="49" t="s">
        <v>23</v>
      </c>
      <c r="E32" s="63"/>
      <c r="F32" s="41"/>
      <c r="G32" s="71"/>
      <c r="H32" s="71"/>
      <c r="I32" s="71"/>
      <c r="J32" s="71"/>
      <c r="K32" s="197"/>
      <c r="L32" s="71"/>
      <c r="M32" s="71"/>
      <c r="N32" s="135"/>
      <c r="O32" s="23"/>
      <c r="P32" s="23"/>
      <c r="Q32" s="23"/>
      <c r="R32" s="23"/>
      <c r="S32" s="23"/>
      <c r="T32" s="23"/>
      <c r="U32" s="23"/>
    </row>
    <row r="33" spans="1:256" ht="18" customHeight="1">
      <c r="A33" s="63"/>
      <c r="B33" s="199"/>
      <c r="C33" s="34" t="s">
        <v>116</v>
      </c>
      <c r="D33" s="200"/>
      <c r="E33" s="12"/>
      <c r="F33" s="201"/>
      <c r="G33" s="71"/>
      <c r="H33" s="71"/>
      <c r="I33" s="71"/>
      <c r="J33" s="71"/>
      <c r="K33" s="197"/>
      <c r="L33" s="71"/>
      <c r="M33" s="71"/>
      <c r="N33" s="135"/>
      <c r="O33" s="23"/>
      <c r="P33" s="23"/>
      <c r="Q33" s="23"/>
      <c r="R33" s="23"/>
      <c r="S33" s="23"/>
      <c r="T33" s="23"/>
      <c r="U33" s="23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36"/>
    </row>
    <row r="34" spans="1:256" ht="33">
      <c r="A34" s="142"/>
      <c r="B34" s="181"/>
      <c r="C34" s="143" t="s">
        <v>93</v>
      </c>
      <c r="D34" s="144"/>
      <c r="E34" s="145"/>
      <c r="F34" s="146"/>
      <c r="G34" s="147"/>
      <c r="H34" s="147"/>
      <c r="I34" s="147"/>
      <c r="J34" s="147"/>
      <c r="K34" s="170"/>
      <c r="L34" s="147"/>
      <c r="M34" s="148"/>
      <c r="N34" s="202"/>
      <c r="O34" s="23"/>
      <c r="P34" s="23"/>
      <c r="Q34" s="23"/>
      <c r="R34" s="23"/>
      <c r="S34" s="23"/>
      <c r="T34" s="23"/>
      <c r="U34" s="23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36"/>
    </row>
    <row r="35" spans="1:256" ht="90">
      <c r="A35" s="149">
        <v>1</v>
      </c>
      <c r="B35" s="182" t="s">
        <v>94</v>
      </c>
      <c r="C35" s="171" t="s">
        <v>95</v>
      </c>
      <c r="D35" s="172" t="s">
        <v>134</v>
      </c>
      <c r="E35" s="203"/>
      <c r="F35" s="203">
        <v>5.22</v>
      </c>
      <c r="G35" s="204"/>
      <c r="H35" s="204"/>
      <c r="I35" s="204"/>
      <c r="J35" s="204"/>
      <c r="K35" s="205"/>
      <c r="L35" s="204"/>
      <c r="M35" s="204"/>
      <c r="N35" s="202"/>
      <c r="O35" s="23"/>
      <c r="P35" s="23"/>
      <c r="Q35" s="23"/>
      <c r="R35" s="23"/>
      <c r="S35" s="23"/>
      <c r="T35" s="23"/>
      <c r="U35" s="23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36"/>
    </row>
    <row r="36" spans="1:256" ht="18">
      <c r="A36" s="150"/>
      <c r="B36" s="151"/>
      <c r="C36" s="152" t="s">
        <v>19</v>
      </c>
      <c r="D36" s="153" t="s">
        <v>20</v>
      </c>
      <c r="E36" s="206">
        <f t="shared" ref="E36:E42" si="0">34/1000</f>
        <v>3.4000000000000002E-2</v>
      </c>
      <c r="F36" s="204">
        <f>F35*E36</f>
        <v>0.17748</v>
      </c>
      <c r="G36" s="204"/>
      <c r="H36" s="204"/>
      <c r="I36" s="204"/>
      <c r="J36" s="204"/>
      <c r="K36" s="205"/>
      <c r="L36" s="204"/>
      <c r="M36" s="204"/>
      <c r="N36" s="202"/>
      <c r="O36" s="23"/>
      <c r="P36" s="23"/>
      <c r="Q36" s="23"/>
      <c r="R36" s="23"/>
      <c r="S36" s="23"/>
      <c r="T36" s="23"/>
      <c r="U36" s="23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36"/>
    </row>
    <row r="37" spans="1:256" ht="37.5">
      <c r="A37" s="150"/>
      <c r="B37" s="54"/>
      <c r="C37" s="154" t="s">
        <v>96</v>
      </c>
      <c r="D37" s="187" t="s">
        <v>27</v>
      </c>
      <c r="E37" s="206">
        <f>80.3/1000</f>
        <v>8.0299999999999996E-2</v>
      </c>
      <c r="F37" s="204">
        <f>F35*E37</f>
        <v>0.41916599999999998</v>
      </c>
      <c r="G37" s="204"/>
      <c r="H37" s="204"/>
      <c r="I37" s="204"/>
      <c r="J37" s="204"/>
      <c r="K37" s="168"/>
      <c r="L37" s="204"/>
      <c r="M37" s="204"/>
      <c r="N37" s="202"/>
      <c r="O37" s="23"/>
      <c r="P37" s="23"/>
      <c r="Q37" s="23"/>
      <c r="R37" s="23"/>
      <c r="S37" s="23"/>
      <c r="T37" s="23"/>
      <c r="U37" s="23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36"/>
    </row>
    <row r="38" spans="1:256" ht="18">
      <c r="A38" s="150"/>
      <c r="B38" s="151"/>
      <c r="C38" s="155" t="s">
        <v>30</v>
      </c>
      <c r="D38" s="153" t="s">
        <v>23</v>
      </c>
      <c r="E38" s="206">
        <f t="shared" ref="E38:E44" si="1">5.63/1000</f>
        <v>5.6299999999999996E-3</v>
      </c>
      <c r="F38" s="204">
        <f>F35*E38</f>
        <v>2.9388599999999997E-2</v>
      </c>
      <c r="G38" s="204"/>
      <c r="H38" s="204"/>
      <c r="I38" s="204"/>
      <c r="J38" s="204"/>
      <c r="K38" s="205"/>
      <c r="L38" s="204"/>
      <c r="M38" s="204"/>
      <c r="N38" s="202"/>
      <c r="O38" s="23"/>
      <c r="P38" s="23"/>
      <c r="Q38" s="23"/>
      <c r="R38" s="23"/>
      <c r="S38" s="23"/>
      <c r="T38" s="23"/>
      <c r="U38" s="23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  <c r="IT38" s="136"/>
      <c r="IU38" s="136"/>
      <c r="IV38" s="136"/>
    </row>
    <row r="39" spans="1:256" ht="72">
      <c r="A39" s="149">
        <v>2</v>
      </c>
      <c r="B39" s="182" t="s">
        <v>97</v>
      </c>
      <c r="C39" s="173" t="s">
        <v>98</v>
      </c>
      <c r="D39" s="174" t="s">
        <v>135</v>
      </c>
      <c r="E39" s="207"/>
      <c r="F39" s="203">
        <f>F35*10/100</f>
        <v>0.52199999999999991</v>
      </c>
      <c r="G39" s="204"/>
      <c r="H39" s="204"/>
      <c r="I39" s="204"/>
      <c r="J39" s="204"/>
      <c r="K39" s="205"/>
      <c r="L39" s="204"/>
      <c r="M39" s="204"/>
      <c r="N39" s="202"/>
      <c r="O39" s="23"/>
      <c r="P39" s="23"/>
      <c r="Q39" s="23"/>
      <c r="R39" s="23"/>
      <c r="S39" s="23"/>
      <c r="T39" s="23"/>
      <c r="U39" s="23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  <c r="IV39" s="136"/>
    </row>
    <row r="40" spans="1:256" ht="18">
      <c r="A40" s="150"/>
      <c r="B40" s="156"/>
      <c r="C40" s="157" t="s">
        <v>19</v>
      </c>
      <c r="D40" s="158" t="s">
        <v>20</v>
      </c>
      <c r="E40" s="206">
        <f>154/100</f>
        <v>1.54</v>
      </c>
      <c r="F40" s="204">
        <f>F39*E40</f>
        <v>0.80387999999999993</v>
      </c>
      <c r="G40" s="204"/>
      <c r="H40" s="204"/>
      <c r="I40" s="204"/>
      <c r="J40" s="204"/>
      <c r="K40" s="205"/>
      <c r="L40" s="204"/>
      <c r="M40" s="204"/>
      <c r="N40" s="202"/>
      <c r="O40" s="23"/>
      <c r="P40" s="23"/>
      <c r="Q40" s="23"/>
      <c r="R40" s="23"/>
      <c r="S40" s="23"/>
      <c r="T40" s="23"/>
      <c r="U40" s="23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36"/>
    </row>
    <row r="41" spans="1:256" ht="36">
      <c r="A41" s="159">
        <v>3</v>
      </c>
      <c r="B41" s="182" t="s">
        <v>94</v>
      </c>
      <c r="C41" s="173" t="s">
        <v>99</v>
      </c>
      <c r="D41" s="189" t="s">
        <v>124</v>
      </c>
      <c r="E41" s="207"/>
      <c r="F41" s="203">
        <f>F39</f>
        <v>0.52199999999999991</v>
      </c>
      <c r="G41" s="204"/>
      <c r="H41" s="204"/>
      <c r="I41" s="204"/>
      <c r="J41" s="204"/>
      <c r="K41" s="205"/>
      <c r="L41" s="204"/>
      <c r="M41" s="204"/>
      <c r="N41" s="202"/>
      <c r="O41" s="23"/>
      <c r="P41" s="23"/>
      <c r="Q41" s="23"/>
      <c r="R41" s="23"/>
      <c r="S41" s="23"/>
      <c r="T41" s="23"/>
      <c r="U41" s="23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6"/>
    </row>
    <row r="42" spans="1:256" ht="18">
      <c r="A42" s="150"/>
      <c r="B42" s="151"/>
      <c r="C42" s="152" t="s">
        <v>19</v>
      </c>
      <c r="D42" s="153" t="s">
        <v>20</v>
      </c>
      <c r="E42" s="206">
        <f t="shared" si="0"/>
        <v>3.4000000000000002E-2</v>
      </c>
      <c r="F42" s="204">
        <f>F41*E42</f>
        <v>1.7748E-2</v>
      </c>
      <c r="G42" s="204"/>
      <c r="H42" s="204"/>
      <c r="I42" s="204"/>
      <c r="J42" s="204"/>
      <c r="K42" s="205"/>
      <c r="L42" s="204"/>
      <c r="M42" s="204"/>
      <c r="N42" s="202"/>
      <c r="O42" s="23"/>
      <c r="P42" s="23"/>
      <c r="Q42" s="23"/>
      <c r="R42" s="23"/>
      <c r="S42" s="23"/>
      <c r="T42" s="23"/>
      <c r="U42" s="23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36"/>
    </row>
    <row r="43" spans="1:256" ht="37.5">
      <c r="A43" s="150"/>
      <c r="B43" s="54"/>
      <c r="C43" s="154" t="s">
        <v>96</v>
      </c>
      <c r="D43" s="187" t="s">
        <v>27</v>
      </c>
      <c r="E43" s="206">
        <f>80.3/1000</f>
        <v>8.0299999999999996E-2</v>
      </c>
      <c r="F43" s="204">
        <f>F41*E43</f>
        <v>4.1916599999999991E-2</v>
      </c>
      <c r="G43" s="204"/>
      <c r="H43" s="204"/>
      <c r="I43" s="204"/>
      <c r="J43" s="204"/>
      <c r="K43" s="168"/>
      <c r="L43" s="204"/>
      <c r="M43" s="204"/>
      <c r="N43" s="202"/>
      <c r="O43" s="23"/>
      <c r="P43" s="23"/>
      <c r="Q43" s="23"/>
      <c r="R43" s="23"/>
      <c r="S43" s="23"/>
      <c r="T43" s="23"/>
      <c r="U43" s="23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  <c r="IR43" s="136"/>
      <c r="IS43" s="136"/>
      <c r="IT43" s="136"/>
      <c r="IU43" s="136"/>
      <c r="IV43" s="136"/>
    </row>
    <row r="44" spans="1:256" ht="18">
      <c r="A44" s="150"/>
      <c r="B44" s="151"/>
      <c r="C44" s="152" t="s">
        <v>30</v>
      </c>
      <c r="D44" s="158" t="s">
        <v>23</v>
      </c>
      <c r="E44" s="206">
        <f t="shared" si="1"/>
        <v>5.6299999999999996E-3</v>
      </c>
      <c r="F44" s="204">
        <f>F41*E44</f>
        <v>2.9388599999999993E-3</v>
      </c>
      <c r="G44" s="204"/>
      <c r="H44" s="204"/>
      <c r="I44" s="204"/>
      <c r="J44" s="204"/>
      <c r="K44" s="205"/>
      <c r="L44" s="204"/>
      <c r="M44" s="204"/>
      <c r="N44" s="202"/>
      <c r="O44" s="23"/>
      <c r="P44" s="23"/>
      <c r="Q44" s="23"/>
      <c r="R44" s="23"/>
      <c r="S44" s="23"/>
      <c r="T44" s="23"/>
      <c r="U44" s="23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  <c r="IR44" s="136"/>
      <c r="IS44" s="136"/>
      <c r="IT44" s="136"/>
      <c r="IU44" s="136"/>
      <c r="IV44" s="136"/>
    </row>
    <row r="45" spans="1:256" ht="30">
      <c r="A45" s="150"/>
      <c r="B45" s="64"/>
      <c r="C45" s="176" t="s">
        <v>100</v>
      </c>
      <c r="D45" s="178" t="s">
        <v>37</v>
      </c>
      <c r="E45" s="208"/>
      <c r="F45" s="203">
        <f>(F35+F39)*1.8</f>
        <v>10.335599999999999</v>
      </c>
      <c r="G45" s="204"/>
      <c r="H45" s="204"/>
      <c r="I45" s="204"/>
      <c r="J45" s="204"/>
      <c r="K45" s="168"/>
      <c r="L45" s="204"/>
      <c r="M45" s="204"/>
      <c r="N45" s="202"/>
      <c r="O45" s="23"/>
      <c r="P45" s="23"/>
      <c r="Q45" s="23"/>
      <c r="R45" s="23"/>
      <c r="S45" s="23"/>
      <c r="T45" s="23"/>
      <c r="U45" s="23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  <c r="IR45" s="136"/>
      <c r="IS45" s="136"/>
      <c r="IT45" s="136"/>
      <c r="IU45" s="136"/>
      <c r="IV45" s="136"/>
    </row>
    <row r="46" spans="1:256" ht="82.5">
      <c r="A46" s="149">
        <v>4</v>
      </c>
      <c r="B46" s="183" t="s">
        <v>121</v>
      </c>
      <c r="C46" s="175" t="s">
        <v>136</v>
      </c>
      <c r="D46" s="189" t="s">
        <v>124</v>
      </c>
      <c r="E46" s="207"/>
      <c r="F46" s="209">
        <f>0.6*0.1*F59</f>
        <v>0.36</v>
      </c>
      <c r="G46" s="204"/>
      <c r="H46" s="204"/>
      <c r="I46" s="204"/>
      <c r="J46" s="204"/>
      <c r="K46" s="205"/>
      <c r="L46" s="204"/>
      <c r="M46" s="204"/>
      <c r="N46" s="202"/>
      <c r="O46" s="23"/>
      <c r="P46" s="23"/>
      <c r="Q46" s="23"/>
      <c r="R46" s="23"/>
      <c r="S46" s="23"/>
      <c r="T46" s="23"/>
      <c r="U46" s="23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  <c r="IB46" s="136"/>
      <c r="IC46" s="136"/>
      <c r="ID46" s="136"/>
      <c r="IE46" s="136"/>
      <c r="IF46" s="136"/>
      <c r="IG46" s="136"/>
      <c r="IH46" s="136"/>
      <c r="II46" s="136"/>
      <c r="IJ46" s="136"/>
      <c r="IK46" s="136"/>
      <c r="IL46" s="136"/>
      <c r="IM46" s="136"/>
      <c r="IN46" s="136"/>
      <c r="IO46" s="136"/>
      <c r="IP46" s="136"/>
      <c r="IQ46" s="136"/>
      <c r="IR46" s="136"/>
      <c r="IS46" s="136"/>
      <c r="IT46" s="136"/>
      <c r="IU46" s="136"/>
      <c r="IV46" s="136"/>
    </row>
    <row r="47" spans="1:256" ht="18">
      <c r="A47" s="161"/>
      <c r="B47" s="151"/>
      <c r="C47" s="152" t="s">
        <v>19</v>
      </c>
      <c r="D47" s="153" t="s">
        <v>20</v>
      </c>
      <c r="E47" s="206">
        <f t="shared" ref="E47" si="2">212/100</f>
        <v>2.12</v>
      </c>
      <c r="F47" s="204">
        <f>F46*E47</f>
        <v>0.76319999999999999</v>
      </c>
      <c r="G47" s="204"/>
      <c r="H47" s="204"/>
      <c r="I47" s="204"/>
      <c r="J47" s="204"/>
      <c r="K47" s="204"/>
      <c r="L47" s="204"/>
      <c r="M47" s="204"/>
      <c r="N47" s="202"/>
      <c r="O47" s="23"/>
      <c r="P47" s="23"/>
      <c r="Q47" s="23"/>
      <c r="R47" s="23"/>
      <c r="S47" s="23"/>
      <c r="T47" s="23"/>
      <c r="U47" s="23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  <c r="IR47" s="136"/>
      <c r="IS47" s="136"/>
      <c r="IT47" s="136"/>
      <c r="IU47" s="136"/>
      <c r="IV47" s="136"/>
    </row>
    <row r="48" spans="1:256" ht="18">
      <c r="A48" s="161"/>
      <c r="B48" s="151"/>
      <c r="C48" s="155" t="s">
        <v>30</v>
      </c>
      <c r="D48" s="153" t="s">
        <v>23</v>
      </c>
      <c r="E48" s="206">
        <f t="shared" ref="E48" si="3">10.1/100</f>
        <v>0.10099999999999999</v>
      </c>
      <c r="F48" s="210">
        <f>F46*E48</f>
        <v>3.6359999999999996E-2</v>
      </c>
      <c r="G48" s="204"/>
      <c r="H48" s="204"/>
      <c r="I48" s="204"/>
      <c r="J48" s="204"/>
      <c r="K48" s="204"/>
      <c r="L48" s="204"/>
      <c r="M48" s="204"/>
      <c r="N48" s="202"/>
      <c r="O48" s="23"/>
      <c r="P48" s="23"/>
      <c r="Q48" s="23"/>
      <c r="R48" s="23"/>
      <c r="S48" s="23"/>
      <c r="T48" s="23"/>
      <c r="U48" s="23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  <c r="IT48" s="136"/>
      <c r="IU48" s="136"/>
      <c r="IV48" s="136"/>
    </row>
    <row r="49" spans="1:256" ht="18">
      <c r="A49" s="161"/>
      <c r="B49" s="151"/>
      <c r="C49" s="153" t="s">
        <v>36</v>
      </c>
      <c r="D49" s="144"/>
      <c r="E49" s="206"/>
      <c r="F49" s="204"/>
      <c r="G49" s="204"/>
      <c r="H49" s="204"/>
      <c r="I49" s="204"/>
      <c r="J49" s="204"/>
      <c r="K49" s="204"/>
      <c r="L49" s="204"/>
      <c r="M49" s="204"/>
      <c r="N49" s="202"/>
      <c r="O49" s="23"/>
      <c r="P49" s="23"/>
      <c r="Q49" s="23"/>
      <c r="R49" s="23"/>
      <c r="S49" s="23"/>
      <c r="T49" s="23"/>
      <c r="U49" s="23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  <c r="HQ49" s="136"/>
      <c r="HR49" s="136"/>
      <c r="HS49" s="136"/>
      <c r="HT49" s="136"/>
      <c r="HU49" s="136"/>
      <c r="HV49" s="136"/>
      <c r="HW49" s="136"/>
      <c r="HX49" s="136"/>
      <c r="HY49" s="136"/>
      <c r="HZ49" s="136"/>
      <c r="IA49" s="136"/>
      <c r="IB49" s="136"/>
      <c r="IC49" s="136"/>
      <c r="ID49" s="136"/>
      <c r="IE49" s="136"/>
      <c r="IF49" s="136"/>
      <c r="IG49" s="136"/>
      <c r="IH49" s="136"/>
      <c r="II49" s="136"/>
      <c r="IJ49" s="136"/>
      <c r="IK49" s="136"/>
      <c r="IL49" s="136"/>
      <c r="IM49" s="136"/>
      <c r="IN49" s="136"/>
      <c r="IO49" s="136"/>
      <c r="IP49" s="136"/>
      <c r="IQ49" s="136"/>
      <c r="IR49" s="136"/>
      <c r="IS49" s="136"/>
      <c r="IT49" s="136"/>
      <c r="IU49" s="136"/>
      <c r="IV49" s="136"/>
    </row>
    <row r="50" spans="1:256" ht="54">
      <c r="A50" s="161"/>
      <c r="B50" s="81"/>
      <c r="C50" s="211" t="s">
        <v>102</v>
      </c>
      <c r="D50" s="12" t="s">
        <v>61</v>
      </c>
      <c r="E50" s="206">
        <v>1.1000000000000001</v>
      </c>
      <c r="F50" s="204">
        <f>F46*E50</f>
        <v>0.39600000000000002</v>
      </c>
      <c r="G50" s="204"/>
      <c r="H50" s="204"/>
      <c r="I50" s="204"/>
      <c r="J50" s="204"/>
      <c r="K50" s="204"/>
      <c r="L50" s="204"/>
      <c r="M50" s="204"/>
      <c r="N50" s="202"/>
      <c r="O50" s="23"/>
      <c r="P50" s="23"/>
      <c r="Q50" s="23"/>
      <c r="R50" s="23"/>
      <c r="S50" s="23"/>
      <c r="T50" s="23"/>
      <c r="U50" s="23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136"/>
      <c r="IH50" s="136"/>
      <c r="II50" s="136"/>
      <c r="IJ50" s="136"/>
      <c r="IK50" s="136"/>
      <c r="IL50" s="136"/>
      <c r="IM50" s="136"/>
      <c r="IN50" s="136"/>
      <c r="IO50" s="136"/>
      <c r="IP50" s="136"/>
      <c r="IQ50" s="136"/>
      <c r="IR50" s="136"/>
      <c r="IS50" s="136"/>
      <c r="IT50" s="136"/>
      <c r="IU50" s="136"/>
      <c r="IV50" s="136"/>
    </row>
    <row r="51" spans="1:256" ht="53.1" customHeight="1">
      <c r="A51" s="149">
        <v>5</v>
      </c>
      <c r="B51" s="182" t="s">
        <v>122</v>
      </c>
      <c r="C51" s="212" t="s">
        <v>103</v>
      </c>
      <c r="D51" s="189" t="s">
        <v>18</v>
      </c>
      <c r="E51" s="207"/>
      <c r="F51" s="213">
        <f>F59/1000</f>
        <v>6.0000000000000001E-3</v>
      </c>
      <c r="G51" s="204"/>
      <c r="H51" s="204"/>
      <c r="I51" s="204"/>
      <c r="J51" s="204"/>
      <c r="K51" s="204"/>
      <c r="L51" s="204"/>
      <c r="M51" s="204"/>
      <c r="N51" s="202"/>
      <c r="O51" s="23"/>
      <c r="P51" s="23"/>
      <c r="Q51" s="23"/>
      <c r="R51" s="23"/>
      <c r="S51" s="23"/>
      <c r="T51" s="23"/>
      <c r="U51" s="23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  <c r="IB51" s="136"/>
      <c r="IC51" s="136"/>
      <c r="ID51" s="136"/>
      <c r="IE51" s="136"/>
      <c r="IF51" s="136"/>
      <c r="IG51" s="136"/>
      <c r="IH51" s="136"/>
      <c r="II51" s="136"/>
      <c r="IJ51" s="136"/>
      <c r="IK51" s="136"/>
      <c r="IL51" s="136"/>
      <c r="IM51" s="136"/>
      <c r="IN51" s="136"/>
      <c r="IO51" s="136"/>
      <c r="IP51" s="136"/>
      <c r="IQ51" s="136"/>
      <c r="IR51" s="136"/>
      <c r="IS51" s="136"/>
      <c r="IT51" s="136"/>
      <c r="IU51" s="136"/>
      <c r="IV51" s="136"/>
    </row>
    <row r="52" spans="1:256" ht="18">
      <c r="A52" s="161"/>
      <c r="B52" s="151"/>
      <c r="C52" s="152" t="s">
        <v>19</v>
      </c>
      <c r="D52" s="153" t="s">
        <v>20</v>
      </c>
      <c r="E52" s="214">
        <v>303</v>
      </c>
      <c r="F52" s="214">
        <f>F51*E52</f>
        <v>1.8180000000000001</v>
      </c>
      <c r="G52" s="204"/>
      <c r="H52" s="204"/>
      <c r="I52" s="204"/>
      <c r="J52" s="204"/>
      <c r="K52" s="204"/>
      <c r="L52" s="204"/>
      <c r="M52" s="41"/>
      <c r="N52" s="135"/>
      <c r="O52" s="23"/>
      <c r="P52" s="23"/>
      <c r="Q52" s="23"/>
      <c r="R52" s="23"/>
      <c r="S52" s="23"/>
      <c r="T52" s="23"/>
      <c r="U52" s="23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  <c r="IP52" s="136"/>
      <c r="IQ52" s="136"/>
      <c r="IR52" s="136"/>
      <c r="IS52" s="136"/>
      <c r="IT52" s="136"/>
      <c r="IU52" s="136"/>
      <c r="IV52" s="136"/>
    </row>
    <row r="53" spans="1:256" ht="18">
      <c r="A53" s="161"/>
      <c r="B53" s="151"/>
      <c r="C53" s="155" t="s">
        <v>30</v>
      </c>
      <c r="D53" s="153" t="s">
        <v>23</v>
      </c>
      <c r="E53" s="214">
        <v>434</v>
      </c>
      <c r="F53" s="214">
        <f>F51*E53</f>
        <v>2.6040000000000001</v>
      </c>
      <c r="G53" s="204"/>
      <c r="H53" s="204"/>
      <c r="I53" s="204"/>
      <c r="J53" s="204"/>
      <c r="K53" s="204"/>
      <c r="L53" s="41"/>
      <c r="M53" s="41"/>
      <c r="N53" s="135"/>
      <c r="O53" s="23"/>
      <c r="P53" s="23"/>
      <c r="Q53" s="23"/>
      <c r="R53" s="23"/>
      <c r="S53" s="23"/>
      <c r="T53" s="23"/>
      <c r="U53" s="23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  <c r="IR53" s="136"/>
      <c r="IS53" s="136"/>
      <c r="IT53" s="136"/>
      <c r="IU53" s="136"/>
      <c r="IV53" s="136"/>
    </row>
    <row r="54" spans="1:256" ht="18">
      <c r="A54" s="161"/>
      <c r="B54" s="151"/>
      <c r="C54" s="153" t="s">
        <v>36</v>
      </c>
      <c r="D54" s="144"/>
      <c r="E54" s="206"/>
      <c r="F54" s="214"/>
      <c r="G54" s="204"/>
      <c r="H54" s="204"/>
      <c r="I54" s="204"/>
      <c r="J54" s="204"/>
      <c r="K54" s="204"/>
      <c r="L54" s="204"/>
      <c r="M54" s="204"/>
      <c r="N54" s="135"/>
      <c r="O54" s="23"/>
      <c r="P54" s="23"/>
      <c r="Q54" s="23"/>
      <c r="R54" s="23"/>
      <c r="S54" s="23"/>
      <c r="T54" s="23"/>
      <c r="U54" s="23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  <c r="IT54" s="136"/>
      <c r="IU54" s="136"/>
      <c r="IV54" s="136"/>
    </row>
    <row r="55" spans="1:256" ht="18" customHeight="1">
      <c r="A55" s="161"/>
      <c r="B55" s="81"/>
      <c r="C55" s="211" t="s">
        <v>104</v>
      </c>
      <c r="D55" s="12" t="s">
        <v>37</v>
      </c>
      <c r="E55" s="214">
        <v>10.7</v>
      </c>
      <c r="F55" s="214">
        <f>F51*E55</f>
        <v>6.4199999999999993E-2</v>
      </c>
      <c r="G55" s="204"/>
      <c r="H55" s="41"/>
      <c r="I55" s="204"/>
      <c r="J55" s="204"/>
      <c r="K55" s="204"/>
      <c r="L55" s="204"/>
      <c r="M55" s="41"/>
      <c r="N55" s="135"/>
      <c r="O55" s="23"/>
      <c r="P55" s="23"/>
      <c r="Q55" s="23"/>
      <c r="R55" s="23"/>
      <c r="S55" s="23"/>
      <c r="T55" s="23"/>
      <c r="U55" s="23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  <c r="IR55" s="136"/>
      <c r="IS55" s="136"/>
      <c r="IT55" s="136"/>
      <c r="IU55" s="136"/>
      <c r="IV55" s="136"/>
    </row>
    <row r="56" spans="1:256" ht="18" customHeight="1">
      <c r="A56" s="161"/>
      <c r="B56" s="81"/>
      <c r="C56" s="211" t="s">
        <v>139</v>
      </c>
      <c r="D56" s="12" t="s">
        <v>105</v>
      </c>
      <c r="E56" s="214">
        <v>1960</v>
      </c>
      <c r="F56" s="214">
        <f>F51*E56</f>
        <v>11.76</v>
      </c>
      <c r="G56" s="204"/>
      <c r="H56" s="41"/>
      <c r="I56" s="204"/>
      <c r="J56" s="204"/>
      <c r="K56" s="204"/>
      <c r="L56" s="204"/>
      <c r="M56" s="41"/>
      <c r="N56" s="135"/>
      <c r="O56" s="23"/>
      <c r="P56" s="23"/>
      <c r="Q56" s="23"/>
      <c r="R56" s="23"/>
      <c r="S56" s="23"/>
      <c r="T56" s="23"/>
      <c r="U56" s="23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6"/>
      <c r="HG56" s="136"/>
      <c r="HH56" s="136"/>
      <c r="HI56" s="136"/>
      <c r="HJ56" s="136"/>
      <c r="HK56" s="136"/>
      <c r="HL56" s="136"/>
      <c r="HM56" s="136"/>
      <c r="HN56" s="136"/>
      <c r="HO56" s="136"/>
      <c r="HP56" s="136"/>
      <c r="HQ56" s="136"/>
      <c r="HR56" s="136"/>
      <c r="HS56" s="136"/>
      <c r="HT56" s="136"/>
      <c r="HU56" s="136"/>
      <c r="HV56" s="136"/>
      <c r="HW56" s="136"/>
      <c r="HX56" s="136"/>
      <c r="HY56" s="136"/>
      <c r="HZ56" s="136"/>
      <c r="IA56" s="136"/>
      <c r="IB56" s="136"/>
      <c r="IC56" s="136"/>
      <c r="ID56" s="136"/>
      <c r="IE56" s="136"/>
      <c r="IF56" s="136"/>
      <c r="IG56" s="136"/>
      <c r="IH56" s="136"/>
      <c r="II56" s="136"/>
      <c r="IJ56" s="136"/>
      <c r="IK56" s="136"/>
      <c r="IL56" s="136"/>
      <c r="IM56" s="136"/>
      <c r="IN56" s="136"/>
      <c r="IO56" s="136"/>
      <c r="IP56" s="136"/>
      <c r="IQ56" s="136"/>
      <c r="IR56" s="136"/>
      <c r="IS56" s="136"/>
      <c r="IT56" s="136"/>
      <c r="IU56" s="136"/>
      <c r="IV56" s="136"/>
    </row>
    <row r="57" spans="1:256" ht="18" customHeight="1">
      <c r="A57" s="161"/>
      <c r="B57" s="81"/>
      <c r="C57" s="211" t="s">
        <v>123</v>
      </c>
      <c r="D57" s="12" t="s">
        <v>105</v>
      </c>
      <c r="E57" s="214">
        <v>2090</v>
      </c>
      <c r="F57" s="214">
        <f>F51*E57</f>
        <v>12.540000000000001</v>
      </c>
      <c r="G57" s="215"/>
      <c r="H57" s="41"/>
      <c r="I57" s="204"/>
      <c r="J57" s="204"/>
      <c r="K57" s="204"/>
      <c r="L57" s="204"/>
      <c r="M57" s="41"/>
      <c r="N57" s="135"/>
      <c r="O57" s="23"/>
      <c r="P57" s="23"/>
      <c r="Q57" s="23"/>
      <c r="R57" s="23"/>
      <c r="S57" s="23"/>
      <c r="T57" s="23"/>
      <c r="U57" s="23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136"/>
      <c r="HF57" s="136"/>
      <c r="HG57" s="136"/>
      <c r="HH57" s="136"/>
      <c r="HI57" s="136"/>
      <c r="HJ57" s="136"/>
      <c r="HK57" s="136"/>
      <c r="HL57" s="136"/>
      <c r="HM57" s="136"/>
      <c r="HN57" s="136"/>
      <c r="HO57" s="136"/>
      <c r="HP57" s="136"/>
      <c r="HQ57" s="136"/>
      <c r="HR57" s="136"/>
      <c r="HS57" s="136"/>
      <c r="HT57" s="136"/>
      <c r="HU57" s="136"/>
      <c r="HV57" s="136"/>
      <c r="HW57" s="136"/>
      <c r="HX57" s="136"/>
      <c r="HY57" s="136"/>
      <c r="HZ57" s="136"/>
      <c r="IA57" s="136"/>
      <c r="IB57" s="136"/>
      <c r="IC57" s="136"/>
      <c r="ID57" s="136"/>
      <c r="IE57" s="136"/>
      <c r="IF57" s="136"/>
      <c r="IG57" s="136"/>
      <c r="IH57" s="136"/>
      <c r="II57" s="136"/>
      <c r="IJ57" s="136"/>
      <c r="IK57" s="136"/>
      <c r="IL57" s="136"/>
      <c r="IM57" s="136"/>
      <c r="IN57" s="136"/>
      <c r="IO57" s="136"/>
      <c r="IP57" s="136"/>
      <c r="IQ57" s="136"/>
      <c r="IR57" s="136"/>
      <c r="IS57" s="136"/>
      <c r="IT57" s="136"/>
      <c r="IU57" s="136"/>
      <c r="IV57" s="136"/>
    </row>
    <row r="58" spans="1:256" ht="18">
      <c r="A58" s="42"/>
      <c r="B58" s="43"/>
      <c r="C58" s="55" t="s">
        <v>39</v>
      </c>
      <c r="D58" s="216" t="s">
        <v>23</v>
      </c>
      <c r="E58" s="214">
        <v>34</v>
      </c>
      <c r="F58" s="217">
        <f>F51*E58</f>
        <v>0.20400000000000001</v>
      </c>
      <c r="G58" s="41"/>
      <c r="H58" s="41"/>
      <c r="I58" s="41"/>
      <c r="J58" s="41"/>
      <c r="K58" s="41"/>
      <c r="L58" s="41"/>
      <c r="M58" s="41"/>
      <c r="N58" s="135"/>
      <c r="O58" s="23"/>
      <c r="P58" s="23"/>
      <c r="Q58" s="23"/>
      <c r="R58" s="23"/>
      <c r="S58" s="23"/>
      <c r="T58" s="23"/>
      <c r="U58" s="23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36"/>
      <c r="HM58" s="136"/>
      <c r="HN58" s="136"/>
      <c r="HO58" s="136"/>
      <c r="HP58" s="136"/>
      <c r="HQ58" s="136"/>
      <c r="HR58" s="136"/>
      <c r="HS58" s="136"/>
      <c r="HT58" s="136"/>
      <c r="HU58" s="136"/>
      <c r="HV58" s="136"/>
      <c r="HW58" s="136"/>
      <c r="HX58" s="136"/>
      <c r="HY58" s="136"/>
      <c r="HZ58" s="136"/>
      <c r="IA58" s="136"/>
      <c r="IB58" s="136"/>
      <c r="IC58" s="136"/>
      <c r="ID58" s="136"/>
      <c r="IE58" s="136"/>
      <c r="IF58" s="136"/>
      <c r="IG58" s="136"/>
      <c r="IH58" s="136"/>
      <c r="II58" s="136"/>
      <c r="IJ58" s="136"/>
      <c r="IK58" s="136"/>
      <c r="IL58" s="136"/>
      <c r="IM58" s="136"/>
      <c r="IN58" s="136"/>
      <c r="IO58" s="136"/>
      <c r="IP58" s="136"/>
      <c r="IQ58" s="136"/>
      <c r="IR58" s="136"/>
      <c r="IS58" s="136"/>
      <c r="IT58" s="136"/>
      <c r="IU58" s="136"/>
      <c r="IV58" s="136"/>
    </row>
    <row r="59" spans="1:256" ht="54">
      <c r="A59" s="149">
        <v>6</v>
      </c>
      <c r="B59" s="182" t="s">
        <v>106</v>
      </c>
      <c r="C59" s="171" t="s">
        <v>107</v>
      </c>
      <c r="D59" s="174" t="s">
        <v>108</v>
      </c>
      <c r="E59" s="207"/>
      <c r="F59" s="203">
        <v>6</v>
      </c>
      <c r="G59" s="204"/>
      <c r="H59" s="204"/>
      <c r="I59" s="204"/>
      <c r="J59" s="204"/>
      <c r="K59" s="204"/>
      <c r="L59" s="204"/>
      <c r="M59" s="204"/>
      <c r="N59" s="202"/>
      <c r="O59" s="23"/>
      <c r="P59" s="23"/>
      <c r="Q59" s="23"/>
      <c r="R59" s="23"/>
      <c r="S59" s="23"/>
      <c r="T59" s="23"/>
      <c r="U59" s="23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  <c r="GW59" s="136"/>
      <c r="GX59" s="136"/>
      <c r="GY59" s="136"/>
      <c r="GZ59" s="136"/>
      <c r="HA59" s="136"/>
      <c r="HB59" s="136"/>
      <c r="HC59" s="136"/>
      <c r="HD59" s="136"/>
      <c r="HE59" s="136"/>
      <c r="HF59" s="136"/>
      <c r="HG59" s="136"/>
      <c r="HH59" s="136"/>
      <c r="HI59" s="136"/>
      <c r="HJ59" s="136"/>
      <c r="HK59" s="136"/>
      <c r="HL59" s="136"/>
      <c r="HM59" s="136"/>
      <c r="HN59" s="136"/>
      <c r="HO59" s="136"/>
      <c r="HP59" s="136"/>
      <c r="HQ59" s="136"/>
      <c r="HR59" s="136"/>
      <c r="HS59" s="136"/>
      <c r="HT59" s="136"/>
      <c r="HU59" s="136"/>
      <c r="HV59" s="136"/>
      <c r="HW59" s="136"/>
      <c r="HX59" s="136"/>
      <c r="HY59" s="136"/>
      <c r="HZ59" s="136"/>
      <c r="IA59" s="136"/>
      <c r="IB59" s="136"/>
      <c r="IC59" s="136"/>
      <c r="ID59" s="136"/>
      <c r="IE59" s="136"/>
      <c r="IF59" s="136"/>
      <c r="IG59" s="136"/>
      <c r="IH59" s="136"/>
      <c r="II59" s="136"/>
      <c r="IJ59" s="136"/>
      <c r="IK59" s="136"/>
      <c r="IL59" s="136"/>
      <c r="IM59" s="136"/>
      <c r="IN59" s="136"/>
      <c r="IO59" s="136"/>
      <c r="IP59" s="136"/>
      <c r="IQ59" s="136"/>
      <c r="IR59" s="136"/>
      <c r="IS59" s="136"/>
      <c r="IT59" s="136"/>
      <c r="IU59" s="136"/>
      <c r="IV59" s="136"/>
    </row>
    <row r="60" spans="1:256" ht="18">
      <c r="A60" s="161"/>
      <c r="B60" s="151"/>
      <c r="C60" s="152" t="s">
        <v>19</v>
      </c>
      <c r="D60" s="153" t="s">
        <v>20</v>
      </c>
      <c r="E60" s="206">
        <f t="shared" ref="E60" si="4">973/1000</f>
        <v>0.97299999999999998</v>
      </c>
      <c r="F60" s="204">
        <f>F59*E60</f>
        <v>5.8380000000000001</v>
      </c>
      <c r="G60" s="204"/>
      <c r="H60" s="204"/>
      <c r="I60" s="204"/>
      <c r="J60" s="204"/>
      <c r="K60" s="204"/>
      <c r="L60" s="204"/>
      <c r="M60" s="204"/>
      <c r="N60" s="202"/>
      <c r="O60" s="23"/>
      <c r="P60" s="23"/>
      <c r="Q60" s="23"/>
      <c r="R60" s="23"/>
      <c r="S60" s="23"/>
      <c r="T60" s="23"/>
      <c r="U60" s="23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  <c r="HI60" s="136"/>
      <c r="HJ60" s="136"/>
      <c r="HK60" s="136"/>
      <c r="HL60" s="136"/>
      <c r="HM60" s="136"/>
      <c r="HN60" s="136"/>
      <c r="HO60" s="136"/>
      <c r="HP60" s="136"/>
      <c r="HQ60" s="136"/>
      <c r="HR60" s="136"/>
      <c r="HS60" s="136"/>
      <c r="HT60" s="136"/>
      <c r="HU60" s="136"/>
      <c r="HV60" s="136"/>
      <c r="HW60" s="136"/>
      <c r="HX60" s="136"/>
      <c r="HY60" s="136"/>
      <c r="HZ60" s="136"/>
      <c r="IA60" s="136"/>
      <c r="IB60" s="136"/>
      <c r="IC60" s="136"/>
      <c r="ID60" s="136"/>
      <c r="IE60" s="136"/>
      <c r="IF60" s="136"/>
      <c r="IG60" s="136"/>
      <c r="IH60" s="136"/>
      <c r="II60" s="136"/>
      <c r="IJ60" s="136"/>
      <c r="IK60" s="136"/>
      <c r="IL60" s="136"/>
      <c r="IM60" s="136"/>
      <c r="IN60" s="136"/>
      <c r="IO60" s="136"/>
      <c r="IP60" s="136"/>
      <c r="IQ60" s="136"/>
      <c r="IR60" s="136"/>
      <c r="IS60" s="136"/>
      <c r="IT60" s="136"/>
      <c r="IU60" s="136"/>
      <c r="IV60" s="136"/>
    </row>
    <row r="61" spans="1:256" ht="18">
      <c r="A61" s="161"/>
      <c r="B61" s="151"/>
      <c r="C61" s="155" t="s">
        <v>30</v>
      </c>
      <c r="D61" s="153" t="s">
        <v>23</v>
      </c>
      <c r="E61" s="206">
        <f t="shared" ref="E61" si="5">483/1000</f>
        <v>0.48299999999999998</v>
      </c>
      <c r="F61" s="204">
        <f>F59*E61</f>
        <v>2.8979999999999997</v>
      </c>
      <c r="G61" s="204"/>
      <c r="H61" s="204"/>
      <c r="I61" s="204"/>
      <c r="J61" s="204"/>
      <c r="K61" s="204"/>
      <c r="L61" s="204"/>
      <c r="M61" s="204"/>
      <c r="N61" s="202"/>
      <c r="O61" s="23"/>
      <c r="P61" s="23"/>
      <c r="Q61" s="23"/>
      <c r="R61" s="23"/>
      <c r="S61" s="23"/>
      <c r="T61" s="23"/>
      <c r="U61" s="23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  <c r="HQ61" s="136"/>
      <c r="HR61" s="136"/>
      <c r="HS61" s="136"/>
      <c r="HT61" s="136"/>
      <c r="HU61" s="136"/>
      <c r="HV61" s="136"/>
      <c r="HW61" s="136"/>
      <c r="HX61" s="136"/>
      <c r="HY61" s="136"/>
      <c r="HZ61" s="136"/>
      <c r="IA61" s="136"/>
      <c r="IB61" s="136"/>
      <c r="IC61" s="136"/>
      <c r="ID61" s="136"/>
      <c r="IE61" s="136"/>
      <c r="IF61" s="136"/>
      <c r="IG61" s="136"/>
      <c r="IH61" s="136"/>
      <c r="II61" s="136"/>
      <c r="IJ61" s="136"/>
      <c r="IK61" s="136"/>
      <c r="IL61" s="136"/>
      <c r="IM61" s="136"/>
      <c r="IN61" s="136"/>
      <c r="IO61" s="136"/>
      <c r="IP61" s="136"/>
      <c r="IQ61" s="136"/>
      <c r="IR61" s="136"/>
      <c r="IS61" s="136"/>
      <c r="IT61" s="136"/>
      <c r="IU61" s="136"/>
      <c r="IV61" s="136"/>
    </row>
    <row r="62" spans="1:256" ht="18">
      <c r="A62" s="161"/>
      <c r="B62" s="151"/>
      <c r="C62" s="153" t="s">
        <v>36</v>
      </c>
      <c r="D62" s="144"/>
      <c r="E62" s="206"/>
      <c r="F62" s="204"/>
      <c r="G62" s="204"/>
      <c r="H62" s="204"/>
      <c r="I62" s="204"/>
      <c r="J62" s="204"/>
      <c r="K62" s="204"/>
      <c r="L62" s="204"/>
      <c r="M62" s="204"/>
      <c r="N62" s="202"/>
      <c r="O62" s="23"/>
      <c r="P62" s="23"/>
      <c r="Q62" s="23"/>
      <c r="R62" s="23"/>
      <c r="S62" s="23"/>
      <c r="T62" s="23"/>
      <c r="U62" s="23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  <c r="IB62" s="136"/>
      <c r="IC62" s="136"/>
      <c r="ID62" s="136"/>
      <c r="IE62" s="136"/>
      <c r="IF62" s="136"/>
      <c r="IG62" s="136"/>
      <c r="IH62" s="136"/>
      <c r="II62" s="136"/>
      <c r="IJ62" s="136"/>
      <c r="IK62" s="136"/>
      <c r="IL62" s="136"/>
      <c r="IM62" s="136"/>
      <c r="IN62" s="136"/>
      <c r="IO62" s="136"/>
      <c r="IP62" s="136"/>
      <c r="IQ62" s="136"/>
      <c r="IR62" s="136"/>
      <c r="IS62" s="136"/>
      <c r="IT62" s="136"/>
      <c r="IU62" s="136"/>
      <c r="IV62" s="136"/>
    </row>
    <row r="63" spans="1:256" ht="18">
      <c r="A63" s="161"/>
      <c r="B63" s="162"/>
      <c r="C63" s="163" t="s">
        <v>109</v>
      </c>
      <c r="D63" s="153" t="s">
        <v>108</v>
      </c>
      <c r="E63" s="206" t="s">
        <v>110</v>
      </c>
      <c r="F63" s="204">
        <f>F59</f>
        <v>6</v>
      </c>
      <c r="G63" s="204"/>
      <c r="H63" s="204"/>
      <c r="I63" s="204"/>
      <c r="J63" s="204"/>
      <c r="K63" s="204"/>
      <c r="L63" s="204"/>
      <c r="M63" s="204"/>
      <c r="N63" s="202"/>
      <c r="O63" s="23"/>
      <c r="P63" s="23"/>
      <c r="Q63" s="23"/>
      <c r="R63" s="23"/>
      <c r="S63" s="23"/>
      <c r="T63" s="23"/>
      <c r="U63" s="23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  <c r="GW63" s="136"/>
      <c r="GX63" s="136"/>
      <c r="GY63" s="136"/>
      <c r="GZ63" s="136"/>
      <c r="HA63" s="136"/>
      <c r="HB63" s="136"/>
      <c r="HC63" s="136"/>
      <c r="HD63" s="136"/>
      <c r="HE63" s="136"/>
      <c r="HF63" s="136"/>
      <c r="HG63" s="136"/>
      <c r="HH63" s="136"/>
      <c r="HI63" s="136"/>
      <c r="HJ63" s="136"/>
      <c r="HK63" s="136"/>
      <c r="HL63" s="136"/>
      <c r="HM63" s="136"/>
      <c r="HN63" s="136"/>
      <c r="HO63" s="136"/>
      <c r="HP63" s="136"/>
      <c r="HQ63" s="136"/>
      <c r="HR63" s="136"/>
      <c r="HS63" s="136"/>
      <c r="HT63" s="136"/>
      <c r="HU63" s="136"/>
      <c r="HV63" s="136"/>
      <c r="HW63" s="136"/>
      <c r="HX63" s="136"/>
      <c r="HY63" s="136"/>
      <c r="HZ63" s="136"/>
      <c r="IA63" s="136"/>
      <c r="IB63" s="136"/>
      <c r="IC63" s="136"/>
      <c r="ID63" s="136"/>
      <c r="IE63" s="136"/>
      <c r="IF63" s="136"/>
      <c r="IG63" s="136"/>
      <c r="IH63" s="136"/>
      <c r="II63" s="136"/>
      <c r="IJ63" s="136"/>
      <c r="IK63" s="136"/>
      <c r="IL63" s="136"/>
      <c r="IM63" s="136"/>
      <c r="IN63" s="136"/>
      <c r="IO63" s="136"/>
      <c r="IP63" s="136"/>
      <c r="IQ63" s="136"/>
      <c r="IR63" s="136"/>
      <c r="IS63" s="136"/>
      <c r="IT63" s="136"/>
      <c r="IU63" s="136"/>
      <c r="IV63" s="136"/>
    </row>
    <row r="64" spans="1:256" ht="18">
      <c r="A64" s="161"/>
      <c r="B64" s="151"/>
      <c r="C64" s="155" t="s">
        <v>39</v>
      </c>
      <c r="D64" s="124" t="s">
        <v>23</v>
      </c>
      <c r="E64" s="206">
        <v>0.22</v>
      </c>
      <c r="F64" s="204">
        <f>F59*E64</f>
        <v>1.32</v>
      </c>
      <c r="G64" s="204"/>
      <c r="H64" s="204"/>
      <c r="I64" s="204"/>
      <c r="J64" s="204"/>
      <c r="K64" s="204"/>
      <c r="L64" s="204"/>
      <c r="M64" s="204"/>
      <c r="N64" s="202"/>
      <c r="O64" s="23"/>
      <c r="P64" s="23"/>
      <c r="Q64" s="23"/>
      <c r="R64" s="23"/>
      <c r="S64" s="23"/>
      <c r="T64" s="23"/>
      <c r="U64" s="23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  <c r="HI64" s="136"/>
      <c r="HJ64" s="136"/>
      <c r="HK64" s="136"/>
      <c r="HL64" s="136"/>
      <c r="HM64" s="136"/>
      <c r="HN64" s="136"/>
      <c r="HO64" s="136"/>
      <c r="HP64" s="136"/>
      <c r="HQ64" s="136"/>
      <c r="HR64" s="136"/>
      <c r="HS64" s="136"/>
      <c r="HT64" s="136"/>
      <c r="HU64" s="136"/>
      <c r="HV64" s="136"/>
      <c r="HW64" s="136"/>
      <c r="HX64" s="136"/>
      <c r="HY64" s="136"/>
      <c r="HZ64" s="136"/>
      <c r="IA64" s="136"/>
      <c r="IB64" s="136"/>
      <c r="IC64" s="136"/>
      <c r="ID64" s="136"/>
      <c r="IE64" s="136"/>
      <c r="IF64" s="136"/>
      <c r="IG64" s="136"/>
      <c r="IH64" s="136"/>
      <c r="II64" s="136"/>
      <c r="IJ64" s="136"/>
      <c r="IK64" s="136"/>
      <c r="IL64" s="136"/>
      <c r="IM64" s="136"/>
      <c r="IN64" s="136"/>
      <c r="IO64" s="136"/>
      <c r="IP64" s="136"/>
      <c r="IQ64" s="136"/>
      <c r="IR64" s="136"/>
      <c r="IS64" s="136"/>
      <c r="IT64" s="136"/>
      <c r="IU64" s="136"/>
      <c r="IV64" s="136"/>
    </row>
    <row r="65" spans="1:256" ht="72">
      <c r="A65" s="149">
        <v>7</v>
      </c>
      <c r="B65" s="183" t="s">
        <v>121</v>
      </c>
      <c r="C65" s="171" t="s">
        <v>111</v>
      </c>
      <c r="D65" s="189" t="s">
        <v>124</v>
      </c>
      <c r="E65" s="207"/>
      <c r="F65" s="203">
        <f>F59*0.7*0.9</f>
        <v>3.7799999999999994</v>
      </c>
      <c r="G65" s="204"/>
      <c r="H65" s="204"/>
      <c r="I65" s="204"/>
      <c r="J65" s="204"/>
      <c r="K65" s="204"/>
      <c r="L65" s="204"/>
      <c r="M65" s="204"/>
      <c r="N65" s="202"/>
      <c r="O65" s="23"/>
      <c r="P65" s="23"/>
      <c r="Q65" s="23"/>
      <c r="R65" s="23"/>
      <c r="S65" s="23"/>
      <c r="T65" s="23"/>
      <c r="U65" s="23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  <c r="HQ65" s="136"/>
      <c r="HR65" s="136"/>
      <c r="HS65" s="136"/>
      <c r="HT65" s="136"/>
      <c r="HU65" s="136"/>
      <c r="HV65" s="136"/>
      <c r="HW65" s="136"/>
      <c r="HX65" s="136"/>
      <c r="HY65" s="136"/>
      <c r="HZ65" s="136"/>
      <c r="IA65" s="136"/>
      <c r="IB65" s="136"/>
      <c r="IC65" s="136"/>
      <c r="ID65" s="136"/>
      <c r="IE65" s="136"/>
      <c r="IF65" s="136"/>
      <c r="IG65" s="136"/>
      <c r="IH65" s="136"/>
      <c r="II65" s="136"/>
      <c r="IJ65" s="136"/>
      <c r="IK65" s="136"/>
      <c r="IL65" s="136"/>
      <c r="IM65" s="136"/>
      <c r="IN65" s="136"/>
      <c r="IO65" s="136"/>
      <c r="IP65" s="136"/>
      <c r="IQ65" s="136"/>
      <c r="IR65" s="136"/>
      <c r="IS65" s="136"/>
      <c r="IT65" s="136"/>
      <c r="IU65" s="136"/>
      <c r="IV65" s="136"/>
    </row>
    <row r="66" spans="1:256" ht="18">
      <c r="A66" s="161"/>
      <c r="B66" s="151"/>
      <c r="C66" s="152" t="s">
        <v>19</v>
      </c>
      <c r="D66" s="153" t="s">
        <v>20</v>
      </c>
      <c r="E66" s="206">
        <v>2.12</v>
      </c>
      <c r="F66" s="204">
        <f>F65*E66</f>
        <v>8.0135999999999985</v>
      </c>
      <c r="G66" s="204"/>
      <c r="H66" s="204"/>
      <c r="I66" s="204"/>
      <c r="J66" s="204"/>
      <c r="K66" s="204"/>
      <c r="L66" s="204"/>
      <c r="M66" s="204"/>
      <c r="N66" s="202"/>
      <c r="O66" s="23"/>
      <c r="P66" s="23"/>
      <c r="Q66" s="23"/>
      <c r="R66" s="23"/>
      <c r="S66" s="23"/>
      <c r="T66" s="23"/>
      <c r="U66" s="23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  <c r="HQ66" s="136"/>
      <c r="HR66" s="136"/>
      <c r="HS66" s="136"/>
      <c r="HT66" s="136"/>
      <c r="HU66" s="136"/>
      <c r="HV66" s="136"/>
      <c r="HW66" s="136"/>
      <c r="HX66" s="136"/>
      <c r="HY66" s="136"/>
      <c r="HZ66" s="136"/>
      <c r="IA66" s="136"/>
      <c r="IB66" s="136"/>
      <c r="IC66" s="136"/>
      <c r="ID66" s="136"/>
      <c r="IE66" s="136"/>
      <c r="IF66" s="136"/>
      <c r="IG66" s="136"/>
      <c r="IH66" s="136"/>
      <c r="II66" s="136"/>
      <c r="IJ66" s="136"/>
      <c r="IK66" s="136"/>
      <c r="IL66" s="136"/>
      <c r="IM66" s="136"/>
      <c r="IN66" s="136"/>
      <c r="IO66" s="136"/>
      <c r="IP66" s="136"/>
      <c r="IQ66" s="136"/>
      <c r="IR66" s="136"/>
      <c r="IS66" s="136"/>
      <c r="IT66" s="136"/>
      <c r="IU66" s="136"/>
      <c r="IV66" s="136"/>
    </row>
    <row r="67" spans="1:256" ht="18">
      <c r="A67" s="161"/>
      <c r="B67" s="151"/>
      <c r="C67" s="155" t="s">
        <v>30</v>
      </c>
      <c r="D67" s="153" t="s">
        <v>23</v>
      </c>
      <c r="E67" s="206">
        <v>0.10100000000000001</v>
      </c>
      <c r="F67" s="204">
        <f>F65*E67</f>
        <v>0.38177999999999995</v>
      </c>
      <c r="G67" s="204"/>
      <c r="H67" s="204"/>
      <c r="I67" s="204"/>
      <c r="J67" s="204"/>
      <c r="K67" s="204"/>
      <c r="L67" s="204"/>
      <c r="M67" s="204"/>
      <c r="N67" s="202"/>
      <c r="O67" s="23"/>
      <c r="P67" s="23"/>
      <c r="Q67" s="23"/>
      <c r="R67" s="23"/>
      <c r="S67" s="23"/>
      <c r="T67" s="23"/>
      <c r="U67" s="23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6"/>
      <c r="GT67" s="136"/>
      <c r="GU67" s="136"/>
      <c r="GV67" s="136"/>
      <c r="GW67" s="136"/>
      <c r="GX67" s="136"/>
      <c r="GY67" s="136"/>
      <c r="GZ67" s="136"/>
      <c r="HA67" s="136"/>
      <c r="HB67" s="136"/>
      <c r="HC67" s="136"/>
      <c r="HD67" s="136"/>
      <c r="HE67" s="136"/>
      <c r="HF67" s="136"/>
      <c r="HG67" s="136"/>
      <c r="HH67" s="136"/>
      <c r="HI67" s="136"/>
      <c r="HJ67" s="136"/>
      <c r="HK67" s="136"/>
      <c r="HL67" s="136"/>
      <c r="HM67" s="136"/>
      <c r="HN67" s="136"/>
      <c r="HO67" s="136"/>
      <c r="HP67" s="136"/>
      <c r="HQ67" s="136"/>
      <c r="HR67" s="136"/>
      <c r="HS67" s="136"/>
      <c r="HT67" s="136"/>
      <c r="HU67" s="136"/>
      <c r="HV67" s="136"/>
      <c r="HW67" s="136"/>
      <c r="HX67" s="136"/>
      <c r="HY67" s="136"/>
      <c r="HZ67" s="136"/>
      <c r="IA67" s="136"/>
      <c r="IB67" s="136"/>
      <c r="IC67" s="136"/>
      <c r="ID67" s="136"/>
      <c r="IE67" s="136"/>
      <c r="IF67" s="136"/>
      <c r="IG67" s="136"/>
      <c r="IH67" s="136"/>
      <c r="II67" s="136"/>
      <c r="IJ67" s="136"/>
      <c r="IK67" s="136"/>
      <c r="IL67" s="136"/>
      <c r="IM67" s="136"/>
      <c r="IN67" s="136"/>
      <c r="IO67" s="136"/>
      <c r="IP67" s="136"/>
      <c r="IQ67" s="136"/>
      <c r="IR67" s="136"/>
      <c r="IS67" s="136"/>
      <c r="IT67" s="136"/>
      <c r="IU67" s="136"/>
      <c r="IV67" s="136"/>
    </row>
    <row r="68" spans="1:256" ht="18">
      <c r="A68" s="161"/>
      <c r="B68" s="151"/>
      <c r="C68" s="153" t="s">
        <v>36</v>
      </c>
      <c r="D68" s="144"/>
      <c r="E68" s="206"/>
      <c r="F68" s="204"/>
      <c r="G68" s="204"/>
      <c r="H68" s="204"/>
      <c r="I68" s="204"/>
      <c r="J68" s="204"/>
      <c r="K68" s="204"/>
      <c r="L68" s="204"/>
      <c r="M68" s="204"/>
      <c r="N68" s="202"/>
      <c r="O68" s="23"/>
      <c r="P68" s="23"/>
      <c r="Q68" s="23"/>
      <c r="R68" s="23"/>
      <c r="S68" s="23"/>
      <c r="T68" s="23"/>
      <c r="U68" s="23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6"/>
      <c r="GF68" s="136"/>
      <c r="GG68" s="136"/>
      <c r="GH68" s="136"/>
      <c r="GI68" s="136"/>
      <c r="GJ68" s="136"/>
      <c r="GK68" s="136"/>
      <c r="GL68" s="136"/>
      <c r="GM68" s="136"/>
      <c r="GN68" s="136"/>
      <c r="GO68" s="136"/>
      <c r="GP68" s="136"/>
      <c r="GQ68" s="136"/>
      <c r="GR68" s="136"/>
      <c r="GS68" s="136"/>
      <c r="GT68" s="136"/>
      <c r="GU68" s="136"/>
      <c r="GV68" s="136"/>
      <c r="GW68" s="136"/>
      <c r="GX68" s="136"/>
      <c r="GY68" s="136"/>
      <c r="GZ68" s="136"/>
      <c r="HA68" s="136"/>
      <c r="HB68" s="136"/>
      <c r="HC68" s="136"/>
      <c r="HD68" s="136"/>
      <c r="HE68" s="136"/>
      <c r="HF68" s="136"/>
      <c r="HG68" s="136"/>
      <c r="HH68" s="136"/>
      <c r="HI68" s="136"/>
      <c r="HJ68" s="136"/>
      <c r="HK68" s="136"/>
      <c r="HL68" s="136"/>
      <c r="HM68" s="136"/>
      <c r="HN68" s="136"/>
      <c r="HO68" s="136"/>
      <c r="HP68" s="136"/>
      <c r="HQ68" s="136"/>
      <c r="HR68" s="136"/>
      <c r="HS68" s="136"/>
      <c r="HT68" s="136"/>
      <c r="HU68" s="136"/>
      <c r="HV68" s="136"/>
      <c r="HW68" s="136"/>
      <c r="HX68" s="136"/>
      <c r="HY68" s="136"/>
      <c r="HZ68" s="136"/>
      <c r="IA68" s="136"/>
      <c r="IB68" s="136"/>
      <c r="IC68" s="136"/>
      <c r="ID68" s="136"/>
      <c r="IE68" s="136"/>
      <c r="IF68" s="136"/>
      <c r="IG68" s="136"/>
      <c r="IH68" s="136"/>
      <c r="II68" s="136"/>
      <c r="IJ68" s="136"/>
      <c r="IK68" s="136"/>
      <c r="IL68" s="136"/>
      <c r="IM68" s="136"/>
      <c r="IN68" s="136"/>
      <c r="IO68" s="136"/>
      <c r="IP68" s="136"/>
      <c r="IQ68" s="136"/>
      <c r="IR68" s="136"/>
      <c r="IS68" s="136"/>
      <c r="IT68" s="136"/>
      <c r="IU68" s="136"/>
      <c r="IV68" s="136"/>
    </row>
    <row r="69" spans="1:256" ht="48">
      <c r="A69" s="161"/>
      <c r="B69" s="81"/>
      <c r="C69" s="160" t="s">
        <v>112</v>
      </c>
      <c r="D69" s="186" t="s">
        <v>61</v>
      </c>
      <c r="E69" s="206">
        <v>1.1000000000000001</v>
      </c>
      <c r="F69" s="204">
        <f>F65*E69</f>
        <v>4.1579999999999995</v>
      </c>
      <c r="G69" s="204"/>
      <c r="H69" s="204"/>
      <c r="I69" s="204"/>
      <c r="J69" s="204"/>
      <c r="K69" s="204"/>
      <c r="L69" s="204"/>
      <c r="M69" s="204"/>
      <c r="N69" s="202"/>
      <c r="O69" s="23"/>
      <c r="P69" s="23"/>
      <c r="Q69" s="23"/>
      <c r="R69" s="23"/>
      <c r="S69" s="23"/>
      <c r="T69" s="23"/>
      <c r="U69" s="23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136"/>
      <c r="GE69" s="136"/>
      <c r="GF69" s="136"/>
      <c r="GG69" s="136"/>
      <c r="GH69" s="136"/>
      <c r="GI69" s="136"/>
      <c r="GJ69" s="136"/>
      <c r="GK69" s="136"/>
      <c r="GL69" s="136"/>
      <c r="GM69" s="136"/>
      <c r="GN69" s="136"/>
      <c r="GO69" s="136"/>
      <c r="GP69" s="136"/>
      <c r="GQ69" s="136"/>
      <c r="GR69" s="136"/>
      <c r="GS69" s="136"/>
      <c r="GT69" s="136"/>
      <c r="GU69" s="136"/>
      <c r="GV69" s="136"/>
      <c r="GW69" s="136"/>
      <c r="GX69" s="136"/>
      <c r="GY69" s="136"/>
      <c r="GZ69" s="136"/>
      <c r="HA69" s="136"/>
      <c r="HB69" s="136"/>
      <c r="HC69" s="136"/>
      <c r="HD69" s="136"/>
      <c r="HE69" s="136"/>
      <c r="HF69" s="136"/>
      <c r="HG69" s="136"/>
      <c r="HH69" s="136"/>
      <c r="HI69" s="136"/>
      <c r="HJ69" s="136"/>
      <c r="HK69" s="136"/>
      <c r="HL69" s="136"/>
      <c r="HM69" s="136"/>
      <c r="HN69" s="136"/>
      <c r="HO69" s="136"/>
      <c r="HP69" s="136"/>
      <c r="HQ69" s="136"/>
      <c r="HR69" s="136"/>
      <c r="HS69" s="136"/>
      <c r="HT69" s="136"/>
      <c r="HU69" s="136"/>
      <c r="HV69" s="136"/>
      <c r="HW69" s="136"/>
      <c r="HX69" s="136"/>
      <c r="HY69" s="136"/>
      <c r="HZ69" s="136"/>
      <c r="IA69" s="136"/>
      <c r="IB69" s="136"/>
      <c r="IC69" s="136"/>
      <c r="ID69" s="136"/>
      <c r="IE69" s="136"/>
      <c r="IF69" s="136"/>
      <c r="IG69" s="136"/>
      <c r="IH69" s="136"/>
      <c r="II69" s="136"/>
      <c r="IJ69" s="136"/>
      <c r="IK69" s="136"/>
      <c r="IL69" s="136"/>
      <c r="IM69" s="136"/>
      <c r="IN69" s="136"/>
      <c r="IO69" s="136"/>
      <c r="IP69" s="136"/>
      <c r="IQ69" s="136"/>
      <c r="IR69" s="136"/>
      <c r="IS69" s="136"/>
      <c r="IT69" s="136"/>
      <c r="IU69" s="136"/>
      <c r="IV69" s="136"/>
    </row>
    <row r="70" spans="1:256" ht="99">
      <c r="A70" s="149">
        <v>8</v>
      </c>
      <c r="B70" s="182" t="s">
        <v>94</v>
      </c>
      <c r="C70" s="177" t="s">
        <v>113</v>
      </c>
      <c r="D70" s="189" t="s">
        <v>124</v>
      </c>
      <c r="E70" s="207"/>
      <c r="F70" s="203">
        <v>7.2</v>
      </c>
      <c r="G70" s="204"/>
      <c r="H70" s="204"/>
      <c r="I70" s="204"/>
      <c r="J70" s="204"/>
      <c r="K70" s="204"/>
      <c r="L70" s="204"/>
      <c r="M70" s="204"/>
      <c r="N70" s="202"/>
      <c r="O70" s="23"/>
      <c r="P70" s="23"/>
      <c r="Q70" s="23"/>
      <c r="R70" s="23"/>
      <c r="S70" s="23"/>
      <c r="T70" s="23"/>
      <c r="U70" s="23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36"/>
      <c r="GC70" s="136"/>
      <c r="GD70" s="136"/>
      <c r="GE70" s="136"/>
      <c r="GF70" s="136"/>
      <c r="GG70" s="136"/>
      <c r="GH70" s="136"/>
      <c r="GI70" s="136"/>
      <c r="GJ70" s="136"/>
      <c r="GK70" s="136"/>
      <c r="GL70" s="136"/>
      <c r="GM70" s="136"/>
      <c r="GN70" s="136"/>
      <c r="GO70" s="136"/>
      <c r="GP70" s="136"/>
      <c r="GQ70" s="136"/>
      <c r="GR70" s="136"/>
      <c r="GS70" s="136"/>
      <c r="GT70" s="136"/>
      <c r="GU70" s="136"/>
      <c r="GV70" s="136"/>
      <c r="GW70" s="136"/>
      <c r="GX70" s="136"/>
      <c r="GY70" s="136"/>
      <c r="GZ70" s="136"/>
      <c r="HA70" s="136"/>
      <c r="HB70" s="136"/>
      <c r="HC70" s="136"/>
      <c r="HD70" s="136"/>
      <c r="HE70" s="136"/>
      <c r="HF70" s="136"/>
      <c r="HG70" s="136"/>
      <c r="HH70" s="136"/>
      <c r="HI70" s="136"/>
      <c r="HJ70" s="136"/>
      <c r="HK70" s="136"/>
      <c r="HL70" s="136"/>
      <c r="HM70" s="136"/>
      <c r="HN70" s="136"/>
      <c r="HO70" s="136"/>
      <c r="HP70" s="136"/>
      <c r="HQ70" s="136"/>
      <c r="HR70" s="136"/>
      <c r="HS70" s="136"/>
      <c r="HT70" s="136"/>
      <c r="HU70" s="136"/>
      <c r="HV70" s="136"/>
      <c r="HW70" s="136"/>
      <c r="HX70" s="136"/>
      <c r="HY70" s="136"/>
      <c r="HZ70" s="136"/>
      <c r="IA70" s="136"/>
      <c r="IB70" s="136"/>
      <c r="IC70" s="136"/>
      <c r="ID70" s="136"/>
      <c r="IE70" s="136"/>
      <c r="IF70" s="136"/>
      <c r="IG70" s="136"/>
      <c r="IH70" s="136"/>
      <c r="II70" s="136"/>
      <c r="IJ70" s="136"/>
      <c r="IK70" s="136"/>
      <c r="IL70" s="136"/>
      <c r="IM70" s="136"/>
      <c r="IN70" s="136"/>
      <c r="IO70" s="136"/>
      <c r="IP70" s="136"/>
      <c r="IQ70" s="136"/>
      <c r="IR70" s="136"/>
      <c r="IS70" s="136"/>
      <c r="IT70" s="136"/>
      <c r="IU70" s="136"/>
      <c r="IV70" s="136"/>
    </row>
    <row r="71" spans="1:256" ht="18">
      <c r="A71" s="150"/>
      <c r="B71" s="151"/>
      <c r="C71" s="152" t="s">
        <v>19</v>
      </c>
      <c r="D71" s="153" t="s">
        <v>20</v>
      </c>
      <c r="E71" s="206">
        <f t="shared" ref="E71" si="6">34/1000</f>
        <v>3.4000000000000002E-2</v>
      </c>
      <c r="F71" s="204">
        <f>F70*E71</f>
        <v>0.24480000000000002</v>
      </c>
      <c r="G71" s="204"/>
      <c r="H71" s="204"/>
      <c r="I71" s="204"/>
      <c r="J71" s="204"/>
      <c r="K71" s="204"/>
      <c r="L71" s="204"/>
      <c r="M71" s="204"/>
      <c r="N71" s="202"/>
      <c r="O71" s="23"/>
      <c r="P71" s="23"/>
      <c r="Q71" s="23"/>
      <c r="R71" s="23"/>
      <c r="S71" s="23"/>
      <c r="T71" s="23"/>
      <c r="U71" s="23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136"/>
      <c r="EY71" s="136"/>
      <c r="EZ71" s="136"/>
      <c r="FA71" s="136"/>
      <c r="FB71" s="136"/>
      <c r="FC71" s="136"/>
      <c r="FD71" s="13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36"/>
      <c r="FQ71" s="136"/>
      <c r="FR71" s="136"/>
      <c r="FS71" s="136"/>
      <c r="FT71" s="136"/>
      <c r="FU71" s="136"/>
      <c r="FV71" s="136"/>
      <c r="FW71" s="136"/>
      <c r="FX71" s="136"/>
      <c r="FY71" s="136"/>
      <c r="FZ71" s="136"/>
      <c r="GA71" s="136"/>
      <c r="GB71" s="136"/>
      <c r="GC71" s="136"/>
      <c r="GD71" s="136"/>
      <c r="GE71" s="136"/>
      <c r="GF71" s="136"/>
      <c r="GG71" s="136"/>
      <c r="GH71" s="136"/>
      <c r="GI71" s="136"/>
      <c r="GJ71" s="136"/>
      <c r="GK71" s="136"/>
      <c r="GL71" s="136"/>
      <c r="GM71" s="136"/>
      <c r="GN71" s="136"/>
      <c r="GO71" s="136"/>
      <c r="GP71" s="136"/>
      <c r="GQ71" s="136"/>
      <c r="GR71" s="136"/>
      <c r="GS71" s="136"/>
      <c r="GT71" s="136"/>
      <c r="GU71" s="136"/>
      <c r="GV71" s="136"/>
      <c r="GW71" s="136"/>
      <c r="GX71" s="136"/>
      <c r="GY71" s="136"/>
      <c r="GZ71" s="136"/>
      <c r="HA71" s="136"/>
      <c r="HB71" s="136"/>
      <c r="HC71" s="136"/>
      <c r="HD71" s="136"/>
      <c r="HE71" s="136"/>
      <c r="HF71" s="136"/>
      <c r="HG71" s="136"/>
      <c r="HH71" s="136"/>
      <c r="HI71" s="136"/>
      <c r="HJ71" s="136"/>
      <c r="HK71" s="136"/>
      <c r="HL71" s="136"/>
      <c r="HM71" s="136"/>
      <c r="HN71" s="136"/>
      <c r="HO71" s="136"/>
      <c r="HP71" s="136"/>
      <c r="HQ71" s="136"/>
      <c r="HR71" s="136"/>
      <c r="HS71" s="136"/>
      <c r="HT71" s="136"/>
      <c r="HU71" s="136"/>
      <c r="HV71" s="136"/>
      <c r="HW71" s="136"/>
      <c r="HX71" s="136"/>
      <c r="HY71" s="136"/>
      <c r="HZ71" s="136"/>
      <c r="IA71" s="136"/>
      <c r="IB71" s="136"/>
      <c r="IC71" s="136"/>
      <c r="ID71" s="136"/>
      <c r="IE71" s="136"/>
      <c r="IF71" s="136"/>
      <c r="IG71" s="136"/>
      <c r="IH71" s="136"/>
      <c r="II71" s="136"/>
      <c r="IJ71" s="136"/>
      <c r="IK71" s="136"/>
      <c r="IL71" s="136"/>
      <c r="IM71" s="136"/>
      <c r="IN71" s="136"/>
      <c r="IO71" s="136"/>
      <c r="IP71" s="136"/>
      <c r="IQ71" s="136"/>
      <c r="IR71" s="136"/>
      <c r="IS71" s="136"/>
      <c r="IT71" s="136"/>
      <c r="IU71" s="136"/>
      <c r="IV71" s="136"/>
    </row>
    <row r="72" spans="1:256" ht="37.5">
      <c r="A72" s="150"/>
      <c r="B72" s="54"/>
      <c r="C72" s="154" t="s">
        <v>96</v>
      </c>
      <c r="D72" s="187" t="s">
        <v>27</v>
      </c>
      <c r="E72" s="206">
        <f>80.3/1000</f>
        <v>8.0299999999999996E-2</v>
      </c>
      <c r="F72" s="204">
        <f>F70*E72</f>
        <v>0.57816000000000001</v>
      </c>
      <c r="G72" s="204"/>
      <c r="H72" s="204"/>
      <c r="I72" s="204"/>
      <c r="J72" s="204"/>
      <c r="K72" s="168"/>
      <c r="L72" s="204"/>
      <c r="M72" s="204"/>
      <c r="N72" s="202"/>
      <c r="O72" s="23"/>
      <c r="P72" s="23"/>
      <c r="Q72" s="23"/>
      <c r="R72" s="23"/>
      <c r="S72" s="23"/>
      <c r="T72" s="23"/>
      <c r="U72" s="23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136"/>
      <c r="DY72" s="136"/>
      <c r="DZ72" s="136"/>
      <c r="EA72" s="136"/>
      <c r="EB72" s="136"/>
      <c r="EC72" s="136"/>
      <c r="ED72" s="136"/>
      <c r="EE72" s="136"/>
      <c r="EF72" s="136"/>
      <c r="EG72" s="136"/>
      <c r="EH72" s="136"/>
      <c r="EI72" s="136"/>
      <c r="EJ72" s="136"/>
      <c r="EK72" s="136"/>
      <c r="EL72" s="136"/>
      <c r="EM72" s="136"/>
      <c r="EN72" s="136"/>
      <c r="EO72" s="136"/>
      <c r="EP72" s="136"/>
      <c r="EQ72" s="136"/>
      <c r="ER72" s="136"/>
      <c r="ES72" s="136"/>
      <c r="ET72" s="136"/>
      <c r="EU72" s="136"/>
      <c r="EV72" s="136"/>
      <c r="EW72" s="136"/>
      <c r="EX72" s="136"/>
      <c r="EY72" s="136"/>
      <c r="EZ72" s="136"/>
      <c r="FA72" s="136"/>
      <c r="FB72" s="136"/>
      <c r="FC72" s="136"/>
      <c r="FD72" s="136"/>
      <c r="FE72" s="136"/>
      <c r="FF72" s="136"/>
      <c r="FG72" s="136"/>
      <c r="FH72" s="136"/>
      <c r="FI72" s="136"/>
      <c r="FJ72" s="136"/>
      <c r="FK72" s="136"/>
      <c r="FL72" s="136"/>
      <c r="FM72" s="136"/>
      <c r="FN72" s="136"/>
      <c r="FO72" s="136"/>
      <c r="FP72" s="136"/>
      <c r="FQ72" s="136"/>
      <c r="FR72" s="136"/>
      <c r="FS72" s="136"/>
      <c r="FT72" s="136"/>
      <c r="FU72" s="136"/>
      <c r="FV72" s="136"/>
      <c r="FW72" s="136"/>
      <c r="FX72" s="136"/>
      <c r="FY72" s="136"/>
      <c r="FZ72" s="136"/>
      <c r="GA72" s="136"/>
      <c r="GB72" s="136"/>
      <c r="GC72" s="136"/>
      <c r="GD72" s="136"/>
      <c r="GE72" s="136"/>
      <c r="GF72" s="136"/>
      <c r="GG72" s="136"/>
      <c r="GH72" s="136"/>
      <c r="GI72" s="136"/>
      <c r="GJ72" s="136"/>
      <c r="GK72" s="136"/>
      <c r="GL72" s="136"/>
      <c r="GM72" s="136"/>
      <c r="GN72" s="136"/>
      <c r="GO72" s="136"/>
      <c r="GP72" s="136"/>
      <c r="GQ72" s="136"/>
      <c r="GR72" s="136"/>
      <c r="GS72" s="136"/>
      <c r="GT72" s="136"/>
      <c r="GU72" s="136"/>
      <c r="GV72" s="136"/>
      <c r="GW72" s="136"/>
      <c r="GX72" s="136"/>
      <c r="GY72" s="136"/>
      <c r="GZ72" s="136"/>
      <c r="HA72" s="136"/>
      <c r="HB72" s="136"/>
      <c r="HC72" s="136"/>
      <c r="HD72" s="136"/>
      <c r="HE72" s="136"/>
      <c r="HF72" s="136"/>
      <c r="HG72" s="136"/>
      <c r="HH72" s="136"/>
      <c r="HI72" s="136"/>
      <c r="HJ72" s="136"/>
      <c r="HK72" s="136"/>
      <c r="HL72" s="136"/>
      <c r="HM72" s="136"/>
      <c r="HN72" s="136"/>
      <c r="HO72" s="136"/>
      <c r="HP72" s="136"/>
      <c r="HQ72" s="136"/>
      <c r="HR72" s="136"/>
      <c r="HS72" s="136"/>
      <c r="HT72" s="136"/>
      <c r="HU72" s="136"/>
      <c r="HV72" s="136"/>
      <c r="HW72" s="136"/>
      <c r="HX72" s="136"/>
      <c r="HY72" s="136"/>
      <c r="HZ72" s="136"/>
      <c r="IA72" s="136"/>
      <c r="IB72" s="136"/>
      <c r="IC72" s="136"/>
      <c r="ID72" s="136"/>
      <c r="IE72" s="136"/>
      <c r="IF72" s="136"/>
      <c r="IG72" s="136"/>
      <c r="IH72" s="136"/>
      <c r="II72" s="136"/>
      <c r="IJ72" s="136"/>
      <c r="IK72" s="136"/>
      <c r="IL72" s="136"/>
      <c r="IM72" s="136"/>
      <c r="IN72" s="136"/>
      <c r="IO72" s="136"/>
      <c r="IP72" s="136"/>
      <c r="IQ72" s="136"/>
      <c r="IR72" s="136"/>
      <c r="IS72" s="136"/>
      <c r="IT72" s="136"/>
      <c r="IU72" s="136"/>
      <c r="IV72" s="136"/>
    </row>
    <row r="73" spans="1:256" ht="18">
      <c r="A73" s="150"/>
      <c r="B73" s="151"/>
      <c r="C73" s="155" t="s">
        <v>30</v>
      </c>
      <c r="D73" s="153" t="s">
        <v>23</v>
      </c>
      <c r="E73" s="206">
        <f t="shared" ref="E73" si="7">5.63/1000</f>
        <v>5.6299999999999996E-3</v>
      </c>
      <c r="F73" s="204">
        <f>F70*E73</f>
        <v>4.0535999999999996E-2</v>
      </c>
      <c r="G73" s="204"/>
      <c r="H73" s="204"/>
      <c r="I73" s="204"/>
      <c r="J73" s="204"/>
      <c r="K73" s="204"/>
      <c r="L73" s="204"/>
      <c r="M73" s="204"/>
      <c r="N73" s="202"/>
      <c r="O73" s="23"/>
      <c r="P73" s="23"/>
      <c r="Q73" s="23"/>
      <c r="R73" s="23"/>
      <c r="S73" s="23"/>
      <c r="T73" s="23"/>
      <c r="U73" s="23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/>
      <c r="ER73" s="136"/>
      <c r="ES73" s="136"/>
      <c r="ET73" s="136"/>
      <c r="EU73" s="136"/>
      <c r="EV73" s="136"/>
      <c r="EW73" s="136"/>
      <c r="EX73" s="136"/>
      <c r="EY73" s="136"/>
      <c r="EZ73" s="136"/>
      <c r="FA73" s="136"/>
      <c r="FB73" s="136"/>
      <c r="FC73" s="136"/>
      <c r="FD73" s="136"/>
      <c r="FE73" s="136"/>
      <c r="FF73" s="136"/>
      <c r="FG73" s="136"/>
      <c r="FH73" s="136"/>
      <c r="FI73" s="136"/>
      <c r="FJ73" s="136"/>
      <c r="FK73" s="136"/>
      <c r="FL73" s="13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136"/>
      <c r="FZ73" s="136"/>
      <c r="GA73" s="136"/>
      <c r="GB73" s="136"/>
      <c r="GC73" s="136"/>
      <c r="GD73" s="136"/>
      <c r="GE73" s="136"/>
      <c r="GF73" s="136"/>
      <c r="GG73" s="136"/>
      <c r="GH73" s="136"/>
      <c r="GI73" s="136"/>
      <c r="GJ73" s="136"/>
      <c r="GK73" s="136"/>
      <c r="GL73" s="136"/>
      <c r="GM73" s="136"/>
      <c r="GN73" s="136"/>
      <c r="GO73" s="136"/>
      <c r="GP73" s="136"/>
      <c r="GQ73" s="136"/>
      <c r="GR73" s="136"/>
      <c r="GS73" s="136"/>
      <c r="GT73" s="136"/>
      <c r="GU73" s="136"/>
      <c r="GV73" s="136"/>
      <c r="GW73" s="136"/>
      <c r="GX73" s="136"/>
      <c r="GY73" s="136"/>
      <c r="GZ73" s="136"/>
      <c r="HA73" s="136"/>
      <c r="HB73" s="136"/>
      <c r="HC73" s="136"/>
      <c r="HD73" s="136"/>
      <c r="HE73" s="136"/>
      <c r="HF73" s="136"/>
      <c r="HG73" s="136"/>
      <c r="HH73" s="136"/>
      <c r="HI73" s="136"/>
      <c r="HJ73" s="136"/>
      <c r="HK73" s="136"/>
      <c r="HL73" s="136"/>
      <c r="HM73" s="136"/>
      <c r="HN73" s="136"/>
      <c r="HO73" s="136"/>
      <c r="HP73" s="136"/>
      <c r="HQ73" s="136"/>
      <c r="HR73" s="136"/>
      <c r="HS73" s="136"/>
      <c r="HT73" s="136"/>
      <c r="HU73" s="136"/>
      <c r="HV73" s="136"/>
      <c r="HW73" s="136"/>
      <c r="HX73" s="136"/>
      <c r="HY73" s="136"/>
      <c r="HZ73" s="136"/>
      <c r="IA73" s="136"/>
      <c r="IB73" s="136"/>
      <c r="IC73" s="136"/>
      <c r="ID73" s="136"/>
      <c r="IE73" s="136"/>
      <c r="IF73" s="136"/>
      <c r="IG73" s="136"/>
      <c r="IH73" s="136"/>
      <c r="II73" s="136"/>
      <c r="IJ73" s="136"/>
      <c r="IK73" s="136"/>
      <c r="IL73" s="136"/>
      <c r="IM73" s="136"/>
      <c r="IN73" s="136"/>
      <c r="IO73" s="136"/>
      <c r="IP73" s="136"/>
      <c r="IQ73" s="136"/>
      <c r="IR73" s="136"/>
      <c r="IS73" s="136"/>
      <c r="IT73" s="136"/>
      <c r="IU73" s="136"/>
      <c r="IV73" s="136"/>
    </row>
    <row r="74" spans="1:256" ht="30">
      <c r="A74" s="150"/>
      <c r="B74" s="64"/>
      <c r="C74" s="176" t="s">
        <v>100</v>
      </c>
      <c r="D74" s="178" t="s">
        <v>37</v>
      </c>
      <c r="E74" s="207"/>
      <c r="F74" s="203">
        <f>F70*1.8</f>
        <v>12.96</v>
      </c>
      <c r="G74" s="204"/>
      <c r="H74" s="204"/>
      <c r="I74" s="204"/>
      <c r="J74" s="204"/>
      <c r="K74" s="168"/>
      <c r="L74" s="204"/>
      <c r="M74" s="204"/>
      <c r="N74" s="202"/>
      <c r="O74" s="23"/>
      <c r="P74" s="23"/>
      <c r="Q74" s="23"/>
      <c r="R74" s="23"/>
      <c r="S74" s="23"/>
      <c r="T74" s="23"/>
      <c r="U74" s="23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136"/>
      <c r="FZ74" s="136"/>
      <c r="GA74" s="136"/>
      <c r="GB74" s="136"/>
      <c r="GC74" s="136"/>
      <c r="GD74" s="136"/>
      <c r="GE74" s="136"/>
      <c r="GF74" s="136"/>
      <c r="GG74" s="136"/>
      <c r="GH74" s="136"/>
      <c r="GI74" s="136"/>
      <c r="GJ74" s="136"/>
      <c r="GK74" s="136"/>
      <c r="GL74" s="136"/>
      <c r="GM74" s="136"/>
      <c r="GN74" s="136"/>
      <c r="GO74" s="136"/>
      <c r="GP74" s="136"/>
      <c r="GQ74" s="136"/>
      <c r="GR74" s="136"/>
      <c r="GS74" s="136"/>
      <c r="GT74" s="136"/>
      <c r="GU74" s="136"/>
      <c r="GV74" s="136"/>
      <c r="GW74" s="136"/>
      <c r="GX74" s="136"/>
      <c r="GY74" s="136"/>
      <c r="GZ74" s="136"/>
      <c r="HA74" s="136"/>
      <c r="HB74" s="136"/>
      <c r="HC74" s="136"/>
      <c r="HD74" s="136"/>
      <c r="HE74" s="136"/>
      <c r="HF74" s="136"/>
      <c r="HG74" s="136"/>
      <c r="HH74" s="136"/>
      <c r="HI74" s="136"/>
      <c r="HJ74" s="136"/>
      <c r="HK74" s="136"/>
      <c r="HL74" s="136"/>
      <c r="HM74" s="136"/>
      <c r="HN74" s="136"/>
      <c r="HO74" s="136"/>
      <c r="HP74" s="136"/>
      <c r="HQ74" s="136"/>
      <c r="HR74" s="136"/>
      <c r="HS74" s="136"/>
      <c r="HT74" s="136"/>
      <c r="HU74" s="136"/>
      <c r="HV74" s="136"/>
      <c r="HW74" s="136"/>
      <c r="HX74" s="136"/>
      <c r="HY74" s="136"/>
      <c r="HZ74" s="136"/>
      <c r="IA74" s="136"/>
      <c r="IB74" s="136"/>
      <c r="IC74" s="136"/>
      <c r="ID74" s="136"/>
      <c r="IE74" s="136"/>
      <c r="IF74" s="136"/>
      <c r="IG74" s="136"/>
      <c r="IH74" s="136"/>
      <c r="II74" s="136"/>
      <c r="IJ74" s="136"/>
      <c r="IK74" s="136"/>
      <c r="IL74" s="136"/>
      <c r="IM74" s="136"/>
      <c r="IN74" s="136"/>
      <c r="IO74" s="136"/>
      <c r="IP74" s="136"/>
      <c r="IQ74" s="136"/>
      <c r="IR74" s="136"/>
      <c r="IS74" s="136"/>
      <c r="IT74" s="136"/>
      <c r="IU74" s="136"/>
      <c r="IV74" s="136"/>
    </row>
    <row r="75" spans="1:256" ht="100.5" customHeight="1">
      <c r="A75" s="149">
        <v>9</v>
      </c>
      <c r="B75" s="182" t="s">
        <v>101</v>
      </c>
      <c r="C75" s="175" t="s">
        <v>140</v>
      </c>
      <c r="D75" s="11" t="s">
        <v>124</v>
      </c>
      <c r="E75" s="207"/>
      <c r="F75" s="209">
        <f>0.6*0.1*2*1</f>
        <v>0.12</v>
      </c>
      <c r="G75" s="204"/>
      <c r="H75" s="204"/>
      <c r="I75" s="204"/>
      <c r="J75" s="204"/>
      <c r="K75" s="204"/>
      <c r="L75" s="204"/>
      <c r="M75" s="204"/>
      <c r="N75" s="202"/>
      <c r="O75" s="23"/>
      <c r="P75" s="23"/>
      <c r="Q75" s="23"/>
      <c r="R75" s="23"/>
      <c r="S75" s="23"/>
      <c r="T75" s="23"/>
      <c r="U75" s="23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36"/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  <c r="FE75" s="136"/>
      <c r="FF75" s="136"/>
      <c r="FG75" s="136"/>
      <c r="FH75" s="136"/>
      <c r="FI75" s="136"/>
      <c r="FJ75" s="136"/>
      <c r="FK75" s="136"/>
      <c r="FL75" s="136"/>
      <c r="FM75" s="136"/>
      <c r="FN75" s="136"/>
      <c r="FO75" s="136"/>
      <c r="FP75" s="136"/>
      <c r="FQ75" s="136"/>
      <c r="FR75" s="136"/>
      <c r="FS75" s="136"/>
      <c r="FT75" s="136"/>
      <c r="FU75" s="136"/>
      <c r="FV75" s="136"/>
      <c r="FW75" s="136"/>
      <c r="FX75" s="136"/>
      <c r="FY75" s="136"/>
      <c r="FZ75" s="136"/>
      <c r="GA75" s="136"/>
      <c r="GB75" s="136"/>
      <c r="GC75" s="136"/>
      <c r="GD75" s="136"/>
      <c r="GE75" s="136"/>
      <c r="GF75" s="136"/>
      <c r="GG75" s="136"/>
      <c r="GH75" s="136"/>
      <c r="GI75" s="136"/>
      <c r="GJ75" s="136"/>
      <c r="GK75" s="136"/>
      <c r="GL75" s="136"/>
      <c r="GM75" s="136"/>
      <c r="GN75" s="136"/>
      <c r="GO75" s="136"/>
      <c r="GP75" s="136"/>
      <c r="GQ75" s="136"/>
      <c r="GR75" s="136"/>
      <c r="GS75" s="136"/>
      <c r="GT75" s="136"/>
      <c r="GU75" s="136"/>
      <c r="GV75" s="136"/>
      <c r="GW75" s="136"/>
      <c r="GX75" s="136"/>
      <c r="GY75" s="136"/>
      <c r="GZ75" s="136"/>
      <c r="HA75" s="136"/>
      <c r="HB75" s="136"/>
      <c r="HC75" s="136"/>
      <c r="HD75" s="136"/>
      <c r="HE75" s="136"/>
      <c r="HF75" s="136"/>
      <c r="HG75" s="136"/>
      <c r="HH75" s="136"/>
      <c r="HI75" s="136"/>
      <c r="HJ75" s="136"/>
      <c r="HK75" s="136"/>
      <c r="HL75" s="136"/>
      <c r="HM75" s="136"/>
      <c r="HN75" s="136"/>
      <c r="HO75" s="136"/>
      <c r="HP75" s="136"/>
      <c r="HQ75" s="136"/>
      <c r="HR75" s="136"/>
      <c r="HS75" s="136"/>
      <c r="HT75" s="136"/>
      <c r="HU75" s="136"/>
      <c r="HV75" s="136"/>
      <c r="HW75" s="136"/>
      <c r="HX75" s="136"/>
      <c r="HY75" s="136"/>
      <c r="HZ75" s="136"/>
      <c r="IA75" s="136"/>
      <c r="IB75" s="136"/>
      <c r="IC75" s="136"/>
      <c r="ID75" s="136"/>
      <c r="IE75" s="136"/>
      <c r="IF75" s="136"/>
      <c r="IG75" s="136"/>
      <c r="IH75" s="136"/>
      <c r="II75" s="136"/>
      <c r="IJ75" s="136"/>
      <c r="IK75" s="136"/>
      <c r="IL75" s="136"/>
      <c r="IM75" s="136"/>
      <c r="IN75" s="136"/>
      <c r="IO75" s="136"/>
      <c r="IP75" s="136"/>
      <c r="IQ75" s="136"/>
      <c r="IR75" s="136"/>
      <c r="IS75" s="136"/>
      <c r="IT75" s="136"/>
      <c r="IU75" s="136"/>
      <c r="IV75" s="136"/>
    </row>
    <row r="76" spans="1:256" ht="18">
      <c r="A76" s="161"/>
      <c r="B76" s="151"/>
      <c r="C76" s="218" t="s">
        <v>19</v>
      </c>
      <c r="D76" s="153" t="s">
        <v>20</v>
      </c>
      <c r="E76" s="206">
        <v>2.12</v>
      </c>
      <c r="F76" s="204">
        <f>F75*E76</f>
        <v>0.25440000000000002</v>
      </c>
      <c r="G76" s="204"/>
      <c r="H76" s="204"/>
      <c r="I76" s="204"/>
      <c r="J76" s="204"/>
      <c r="K76" s="204"/>
      <c r="L76" s="204"/>
      <c r="M76" s="204"/>
      <c r="N76" s="202"/>
      <c r="O76" s="23"/>
      <c r="P76" s="23"/>
      <c r="Q76" s="23"/>
      <c r="R76" s="23"/>
      <c r="S76" s="23"/>
      <c r="T76" s="23"/>
      <c r="U76" s="23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6"/>
      <c r="FX76" s="136"/>
      <c r="FY76" s="136"/>
      <c r="FZ76" s="136"/>
      <c r="GA76" s="136"/>
      <c r="GB76" s="136"/>
      <c r="GC76" s="136"/>
      <c r="GD76" s="136"/>
      <c r="GE76" s="136"/>
      <c r="GF76" s="136"/>
      <c r="GG76" s="136"/>
      <c r="GH76" s="136"/>
      <c r="GI76" s="136"/>
      <c r="GJ76" s="136"/>
      <c r="GK76" s="136"/>
      <c r="GL76" s="136"/>
      <c r="GM76" s="136"/>
      <c r="GN76" s="136"/>
      <c r="GO76" s="136"/>
      <c r="GP76" s="136"/>
      <c r="GQ76" s="136"/>
      <c r="GR76" s="136"/>
      <c r="GS76" s="136"/>
      <c r="GT76" s="136"/>
      <c r="GU76" s="136"/>
      <c r="GV76" s="136"/>
      <c r="GW76" s="136"/>
      <c r="GX76" s="136"/>
      <c r="GY76" s="136"/>
      <c r="GZ76" s="136"/>
      <c r="HA76" s="136"/>
      <c r="HB76" s="136"/>
      <c r="HC76" s="136"/>
      <c r="HD76" s="136"/>
      <c r="HE76" s="136"/>
      <c r="HF76" s="136"/>
      <c r="HG76" s="136"/>
      <c r="HH76" s="136"/>
      <c r="HI76" s="136"/>
      <c r="HJ76" s="136"/>
      <c r="HK76" s="136"/>
      <c r="HL76" s="136"/>
      <c r="HM76" s="136"/>
      <c r="HN76" s="136"/>
      <c r="HO76" s="136"/>
      <c r="HP76" s="136"/>
      <c r="HQ76" s="136"/>
      <c r="HR76" s="136"/>
      <c r="HS76" s="136"/>
      <c r="HT76" s="136"/>
      <c r="HU76" s="136"/>
      <c r="HV76" s="136"/>
      <c r="HW76" s="136"/>
      <c r="HX76" s="136"/>
      <c r="HY76" s="136"/>
      <c r="HZ76" s="136"/>
      <c r="IA76" s="136"/>
      <c r="IB76" s="136"/>
      <c r="IC76" s="136"/>
      <c r="ID76" s="136"/>
      <c r="IE76" s="136"/>
      <c r="IF76" s="136"/>
      <c r="IG76" s="136"/>
      <c r="IH76" s="136"/>
      <c r="II76" s="136"/>
      <c r="IJ76" s="136"/>
      <c r="IK76" s="136"/>
      <c r="IL76" s="136"/>
      <c r="IM76" s="136"/>
      <c r="IN76" s="136"/>
      <c r="IO76" s="136"/>
      <c r="IP76" s="136"/>
      <c r="IQ76" s="136"/>
      <c r="IR76" s="136"/>
      <c r="IS76" s="136"/>
      <c r="IT76" s="136"/>
      <c r="IU76" s="136"/>
      <c r="IV76" s="136"/>
    </row>
    <row r="77" spans="1:256" ht="18">
      <c r="A77" s="161"/>
      <c r="B77" s="151"/>
      <c r="C77" s="218" t="s">
        <v>30</v>
      </c>
      <c r="D77" s="153" t="s">
        <v>23</v>
      </c>
      <c r="E77" s="206">
        <v>0.10100000000000001</v>
      </c>
      <c r="F77" s="204">
        <f>F75*E77</f>
        <v>1.2120000000000001E-2</v>
      </c>
      <c r="G77" s="204"/>
      <c r="H77" s="204"/>
      <c r="I77" s="204"/>
      <c r="J77" s="204"/>
      <c r="K77" s="204"/>
      <c r="L77" s="204"/>
      <c r="M77" s="204"/>
      <c r="N77" s="202"/>
      <c r="O77" s="23"/>
      <c r="P77" s="23"/>
      <c r="Q77" s="23"/>
      <c r="R77" s="23"/>
      <c r="S77" s="23"/>
      <c r="T77" s="23"/>
      <c r="U77" s="23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  <c r="ES77" s="136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6"/>
      <c r="FX77" s="136"/>
      <c r="FY77" s="136"/>
      <c r="FZ77" s="136"/>
      <c r="GA77" s="136"/>
      <c r="GB77" s="136"/>
      <c r="GC77" s="136"/>
      <c r="GD77" s="136"/>
      <c r="GE77" s="136"/>
      <c r="GF77" s="136"/>
      <c r="GG77" s="136"/>
      <c r="GH77" s="136"/>
      <c r="GI77" s="136"/>
      <c r="GJ77" s="136"/>
      <c r="GK77" s="136"/>
      <c r="GL77" s="136"/>
      <c r="GM77" s="136"/>
      <c r="GN77" s="136"/>
      <c r="GO77" s="136"/>
      <c r="GP77" s="136"/>
      <c r="GQ77" s="136"/>
      <c r="GR77" s="136"/>
      <c r="GS77" s="136"/>
      <c r="GT77" s="136"/>
      <c r="GU77" s="136"/>
      <c r="GV77" s="136"/>
      <c r="GW77" s="136"/>
      <c r="GX77" s="136"/>
      <c r="GY77" s="136"/>
      <c r="GZ77" s="136"/>
      <c r="HA77" s="136"/>
      <c r="HB77" s="136"/>
      <c r="HC77" s="136"/>
      <c r="HD77" s="136"/>
      <c r="HE77" s="136"/>
      <c r="HF77" s="136"/>
      <c r="HG77" s="136"/>
      <c r="HH77" s="136"/>
      <c r="HI77" s="136"/>
      <c r="HJ77" s="136"/>
      <c r="HK77" s="136"/>
      <c r="HL77" s="136"/>
      <c r="HM77" s="136"/>
      <c r="HN77" s="136"/>
      <c r="HO77" s="136"/>
      <c r="HP77" s="136"/>
      <c r="HQ77" s="136"/>
      <c r="HR77" s="136"/>
      <c r="HS77" s="136"/>
      <c r="HT77" s="136"/>
      <c r="HU77" s="136"/>
      <c r="HV77" s="136"/>
      <c r="HW77" s="136"/>
      <c r="HX77" s="136"/>
      <c r="HY77" s="136"/>
      <c r="HZ77" s="136"/>
      <c r="IA77" s="136"/>
      <c r="IB77" s="136"/>
      <c r="IC77" s="136"/>
      <c r="ID77" s="136"/>
      <c r="IE77" s="136"/>
      <c r="IF77" s="136"/>
      <c r="IG77" s="136"/>
      <c r="IH77" s="136"/>
      <c r="II77" s="136"/>
      <c r="IJ77" s="136"/>
      <c r="IK77" s="136"/>
      <c r="IL77" s="136"/>
      <c r="IM77" s="136"/>
      <c r="IN77" s="136"/>
      <c r="IO77" s="136"/>
      <c r="IP77" s="136"/>
      <c r="IQ77" s="136"/>
      <c r="IR77" s="136"/>
      <c r="IS77" s="136"/>
      <c r="IT77" s="136"/>
      <c r="IU77" s="136"/>
      <c r="IV77" s="136"/>
    </row>
    <row r="78" spans="1:256" ht="18">
      <c r="A78" s="161"/>
      <c r="B78" s="151"/>
      <c r="C78" s="153" t="s">
        <v>36</v>
      </c>
      <c r="D78" s="164"/>
      <c r="E78" s="206"/>
      <c r="F78" s="204"/>
      <c r="G78" s="204"/>
      <c r="H78" s="204"/>
      <c r="I78" s="204"/>
      <c r="J78" s="204"/>
      <c r="K78" s="204"/>
      <c r="L78" s="204"/>
      <c r="M78" s="204"/>
      <c r="N78" s="202"/>
      <c r="O78" s="23"/>
      <c r="P78" s="23"/>
      <c r="Q78" s="23"/>
      <c r="R78" s="23"/>
      <c r="S78" s="23"/>
      <c r="T78" s="23"/>
      <c r="U78" s="23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/>
      <c r="ER78" s="136"/>
      <c r="ES78" s="136"/>
      <c r="ET78" s="136"/>
      <c r="EU78" s="136"/>
      <c r="EV78" s="136"/>
      <c r="EW78" s="136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/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6"/>
      <c r="FX78" s="136"/>
      <c r="FY78" s="136"/>
      <c r="FZ78" s="136"/>
      <c r="GA78" s="136"/>
      <c r="GB78" s="136"/>
      <c r="GC78" s="136"/>
      <c r="GD78" s="136"/>
      <c r="GE78" s="136"/>
      <c r="GF78" s="136"/>
      <c r="GG78" s="136"/>
      <c r="GH78" s="136"/>
      <c r="GI78" s="136"/>
      <c r="GJ78" s="136"/>
      <c r="GK78" s="136"/>
      <c r="GL78" s="136"/>
      <c r="GM78" s="136"/>
      <c r="GN78" s="136"/>
      <c r="GO78" s="136"/>
      <c r="GP78" s="136"/>
      <c r="GQ78" s="136"/>
      <c r="GR78" s="136"/>
      <c r="GS78" s="136"/>
      <c r="GT78" s="136"/>
      <c r="GU78" s="136"/>
      <c r="GV78" s="136"/>
      <c r="GW78" s="136"/>
      <c r="GX78" s="136"/>
      <c r="GY78" s="136"/>
      <c r="GZ78" s="136"/>
      <c r="HA78" s="136"/>
      <c r="HB78" s="136"/>
      <c r="HC78" s="136"/>
      <c r="HD78" s="136"/>
      <c r="HE78" s="136"/>
      <c r="HF78" s="136"/>
      <c r="HG78" s="136"/>
      <c r="HH78" s="136"/>
      <c r="HI78" s="136"/>
      <c r="HJ78" s="136"/>
      <c r="HK78" s="136"/>
      <c r="HL78" s="136"/>
      <c r="HM78" s="136"/>
      <c r="HN78" s="136"/>
      <c r="HO78" s="136"/>
      <c r="HP78" s="136"/>
      <c r="HQ78" s="136"/>
      <c r="HR78" s="136"/>
      <c r="HS78" s="136"/>
      <c r="HT78" s="136"/>
      <c r="HU78" s="136"/>
      <c r="HV78" s="136"/>
      <c r="HW78" s="136"/>
      <c r="HX78" s="136"/>
      <c r="HY78" s="136"/>
      <c r="HZ78" s="136"/>
      <c r="IA78" s="136"/>
      <c r="IB78" s="136"/>
      <c r="IC78" s="136"/>
      <c r="ID78" s="136"/>
      <c r="IE78" s="136"/>
      <c r="IF78" s="136"/>
      <c r="IG78" s="136"/>
      <c r="IH78" s="136"/>
      <c r="II78" s="136"/>
      <c r="IJ78" s="136"/>
      <c r="IK78" s="136"/>
      <c r="IL78" s="136"/>
      <c r="IM78" s="136"/>
      <c r="IN78" s="136"/>
      <c r="IO78" s="136"/>
      <c r="IP78" s="136"/>
      <c r="IQ78" s="136"/>
      <c r="IR78" s="136"/>
      <c r="IS78" s="136"/>
      <c r="IT78" s="136"/>
      <c r="IU78" s="136"/>
      <c r="IV78" s="136"/>
    </row>
    <row r="79" spans="1:256" ht="49.5">
      <c r="A79" s="142"/>
      <c r="B79" s="81"/>
      <c r="C79" s="160" t="s">
        <v>114</v>
      </c>
      <c r="D79" s="12" t="s">
        <v>61</v>
      </c>
      <c r="E79" s="206">
        <v>1.1000000000000001</v>
      </c>
      <c r="F79" s="204">
        <f>F75*E79</f>
        <v>0.13200000000000001</v>
      </c>
      <c r="G79" s="204"/>
      <c r="H79" s="204"/>
      <c r="I79" s="204"/>
      <c r="J79" s="204"/>
      <c r="K79" s="204"/>
      <c r="L79" s="204"/>
      <c r="M79" s="204"/>
      <c r="N79" s="202"/>
      <c r="O79" s="23"/>
      <c r="P79" s="23"/>
      <c r="Q79" s="23"/>
      <c r="R79" s="23"/>
      <c r="S79" s="23"/>
      <c r="T79" s="23"/>
      <c r="U79" s="23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/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/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/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  <c r="IB79" s="136"/>
      <c r="IC79" s="136"/>
      <c r="ID79" s="136"/>
      <c r="IE79" s="136"/>
      <c r="IF79" s="136"/>
      <c r="IG79" s="136"/>
      <c r="IH79" s="136"/>
      <c r="II79" s="136"/>
      <c r="IJ79" s="136"/>
      <c r="IK79" s="136"/>
      <c r="IL79" s="136"/>
      <c r="IM79" s="136"/>
      <c r="IN79" s="136"/>
      <c r="IO79" s="136"/>
      <c r="IP79" s="136"/>
      <c r="IQ79" s="136"/>
      <c r="IR79" s="136"/>
      <c r="IS79" s="136"/>
      <c r="IT79" s="136"/>
      <c r="IU79" s="136"/>
      <c r="IV79" s="136"/>
    </row>
    <row r="80" spans="1:256" ht="82.5">
      <c r="A80" s="149">
        <v>10</v>
      </c>
      <c r="B80" s="183" t="s">
        <v>125</v>
      </c>
      <c r="C80" s="177" t="s">
        <v>137</v>
      </c>
      <c r="D80" s="189" t="s">
        <v>124</v>
      </c>
      <c r="E80" s="207"/>
      <c r="F80" s="203">
        <v>5.92</v>
      </c>
      <c r="G80" s="204"/>
      <c r="H80" s="204"/>
      <c r="I80" s="204"/>
      <c r="J80" s="204"/>
      <c r="K80" s="204"/>
      <c r="L80" s="204"/>
      <c r="M80" s="204"/>
      <c r="N80" s="202"/>
      <c r="O80" s="23"/>
      <c r="P80" s="23"/>
      <c r="Q80" s="23"/>
      <c r="R80" s="23"/>
      <c r="S80" s="23"/>
      <c r="T80" s="23"/>
      <c r="U80" s="23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/>
      <c r="ED80" s="136"/>
      <c r="EE80" s="136"/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/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/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/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/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136"/>
      <c r="IG80" s="136"/>
      <c r="IH80" s="136"/>
      <c r="II80" s="136"/>
      <c r="IJ80" s="136"/>
      <c r="IK80" s="136"/>
      <c r="IL80" s="136"/>
      <c r="IM80" s="136"/>
      <c r="IN80" s="136"/>
      <c r="IO80" s="136"/>
      <c r="IP80" s="136"/>
      <c r="IQ80" s="136"/>
      <c r="IR80" s="136"/>
      <c r="IS80" s="136"/>
      <c r="IT80" s="136"/>
      <c r="IU80" s="136"/>
      <c r="IV80" s="136"/>
    </row>
    <row r="81" spans="1:256" ht="18">
      <c r="A81" s="161"/>
      <c r="B81" s="151"/>
      <c r="C81" s="218" t="s">
        <v>126</v>
      </c>
      <c r="D81" s="219" t="s">
        <v>127</v>
      </c>
      <c r="E81" s="220">
        <v>2.81</v>
      </c>
      <c r="F81" s="220">
        <f>F80*E81</f>
        <v>16.635200000000001</v>
      </c>
      <c r="G81" s="41"/>
      <c r="H81" s="41"/>
      <c r="I81" s="41"/>
      <c r="J81" s="41"/>
      <c r="K81" s="41"/>
      <c r="L81" s="41"/>
      <c r="M81" s="41"/>
      <c r="N81" s="202"/>
      <c r="O81" s="23"/>
      <c r="P81" s="23"/>
      <c r="Q81" s="23"/>
      <c r="R81" s="23"/>
      <c r="S81" s="23"/>
      <c r="T81" s="23"/>
      <c r="U81" s="23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6"/>
      <c r="DU81" s="136"/>
      <c r="DV81" s="136"/>
      <c r="DW81" s="136"/>
      <c r="DX81" s="136"/>
      <c r="DY81" s="136"/>
      <c r="DZ81" s="136"/>
      <c r="EA81" s="136"/>
      <c r="EB81" s="136"/>
      <c r="EC81" s="136"/>
      <c r="ED81" s="136"/>
      <c r="EE81" s="136"/>
      <c r="EF81" s="136"/>
      <c r="EG81" s="136"/>
      <c r="EH81" s="136"/>
      <c r="EI81" s="136"/>
      <c r="EJ81" s="136"/>
      <c r="EK81" s="136"/>
      <c r="EL81" s="136"/>
      <c r="EM81" s="136"/>
      <c r="EN81" s="136"/>
      <c r="EO81" s="136"/>
      <c r="EP81" s="136"/>
      <c r="EQ81" s="136"/>
      <c r="ER81" s="136"/>
      <c r="ES81" s="136"/>
      <c r="ET81" s="136"/>
      <c r="EU81" s="136"/>
      <c r="EV81" s="136"/>
      <c r="EW81" s="136"/>
      <c r="EX81" s="136"/>
      <c r="EY81" s="136"/>
      <c r="EZ81" s="136"/>
      <c r="FA81" s="136"/>
      <c r="FB81" s="136"/>
      <c r="FC81" s="136"/>
      <c r="FD81" s="136"/>
      <c r="FE81" s="136"/>
      <c r="FF81" s="136"/>
      <c r="FG81" s="136"/>
      <c r="FH81" s="136"/>
      <c r="FI81" s="136"/>
      <c r="FJ81" s="136"/>
      <c r="FK81" s="136"/>
      <c r="FL81" s="136"/>
      <c r="FM81" s="136"/>
      <c r="FN81" s="136"/>
      <c r="FO81" s="136"/>
      <c r="FP81" s="136"/>
      <c r="FQ81" s="136"/>
      <c r="FR81" s="136"/>
      <c r="FS81" s="136"/>
      <c r="FT81" s="136"/>
      <c r="FU81" s="136"/>
      <c r="FV81" s="136"/>
      <c r="FW81" s="136"/>
      <c r="FX81" s="136"/>
      <c r="FY81" s="136"/>
      <c r="FZ81" s="136"/>
      <c r="GA81" s="136"/>
      <c r="GB81" s="136"/>
      <c r="GC81" s="136"/>
      <c r="GD81" s="136"/>
      <c r="GE81" s="136"/>
      <c r="GF81" s="136"/>
      <c r="GG81" s="136"/>
      <c r="GH81" s="136"/>
      <c r="GI81" s="136"/>
      <c r="GJ81" s="136"/>
      <c r="GK81" s="136"/>
      <c r="GL81" s="136"/>
      <c r="GM81" s="136"/>
      <c r="GN81" s="136"/>
      <c r="GO81" s="136"/>
      <c r="GP81" s="136"/>
      <c r="GQ81" s="136"/>
      <c r="GR81" s="136"/>
      <c r="GS81" s="136"/>
      <c r="GT81" s="136"/>
      <c r="GU81" s="136"/>
      <c r="GV81" s="136"/>
      <c r="GW81" s="136"/>
      <c r="GX81" s="136"/>
      <c r="GY81" s="136"/>
      <c r="GZ81" s="136"/>
      <c r="HA81" s="136"/>
      <c r="HB81" s="136"/>
      <c r="HC81" s="136"/>
      <c r="HD81" s="136"/>
      <c r="HE81" s="136"/>
      <c r="HF81" s="136"/>
      <c r="HG81" s="136"/>
      <c r="HH81" s="136"/>
      <c r="HI81" s="136"/>
      <c r="HJ81" s="136"/>
      <c r="HK81" s="136"/>
      <c r="HL81" s="136"/>
      <c r="HM81" s="136"/>
      <c r="HN81" s="136"/>
      <c r="HO81" s="136"/>
      <c r="HP81" s="136"/>
      <c r="HQ81" s="136"/>
      <c r="HR81" s="136"/>
      <c r="HS81" s="136"/>
      <c r="HT81" s="136"/>
      <c r="HU81" s="136"/>
      <c r="HV81" s="136"/>
      <c r="HW81" s="136"/>
      <c r="HX81" s="136"/>
      <c r="HY81" s="136"/>
      <c r="HZ81" s="136"/>
      <c r="IA81" s="136"/>
      <c r="IB81" s="136"/>
      <c r="IC81" s="136"/>
      <c r="ID81" s="136"/>
      <c r="IE81" s="136"/>
      <c r="IF81" s="136"/>
      <c r="IG81" s="136"/>
      <c r="IH81" s="136"/>
      <c r="II81" s="136"/>
      <c r="IJ81" s="136"/>
      <c r="IK81" s="136"/>
      <c r="IL81" s="136"/>
      <c r="IM81" s="136"/>
      <c r="IN81" s="136"/>
      <c r="IO81" s="136"/>
      <c r="IP81" s="136"/>
      <c r="IQ81" s="136"/>
      <c r="IR81" s="136"/>
      <c r="IS81" s="136"/>
      <c r="IT81" s="136"/>
      <c r="IU81" s="136"/>
      <c r="IV81" s="136"/>
    </row>
    <row r="82" spans="1:256" ht="18">
      <c r="A82" s="161"/>
      <c r="B82" s="54"/>
      <c r="C82" s="218" t="s">
        <v>30</v>
      </c>
      <c r="D82" s="187" t="s">
        <v>27</v>
      </c>
      <c r="E82" s="220">
        <v>0.33</v>
      </c>
      <c r="F82" s="220">
        <f>F80*E82</f>
        <v>1.9536</v>
      </c>
      <c r="G82" s="41"/>
      <c r="H82" s="41"/>
      <c r="I82" s="41"/>
      <c r="J82" s="41"/>
      <c r="K82" s="41"/>
      <c r="L82" s="41"/>
      <c r="M82" s="41"/>
      <c r="N82" s="202"/>
      <c r="O82" s="23"/>
      <c r="P82" s="23"/>
      <c r="Q82" s="23"/>
      <c r="R82" s="23"/>
      <c r="S82" s="23"/>
      <c r="T82" s="23"/>
      <c r="U82" s="23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6"/>
      <c r="DU82" s="136"/>
      <c r="DV82" s="136"/>
      <c r="DW82" s="136"/>
      <c r="DX82" s="136"/>
      <c r="DY82" s="136"/>
      <c r="DZ82" s="136"/>
      <c r="EA82" s="136"/>
      <c r="EB82" s="136"/>
      <c r="EC82" s="136"/>
      <c r="ED82" s="136"/>
      <c r="EE82" s="136"/>
      <c r="EF82" s="136"/>
      <c r="EG82" s="136"/>
      <c r="EH82" s="136"/>
      <c r="EI82" s="136"/>
      <c r="EJ82" s="136"/>
      <c r="EK82" s="136"/>
      <c r="EL82" s="136"/>
      <c r="EM82" s="136"/>
      <c r="EN82" s="136"/>
      <c r="EO82" s="136"/>
      <c r="EP82" s="136"/>
      <c r="EQ82" s="136"/>
      <c r="ER82" s="136"/>
      <c r="ES82" s="136"/>
      <c r="ET82" s="136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6"/>
      <c r="FK82" s="136"/>
      <c r="FL82" s="136"/>
      <c r="FM82" s="136"/>
      <c r="FN82" s="136"/>
      <c r="FO82" s="136"/>
      <c r="FP82" s="136"/>
      <c r="FQ82" s="136"/>
      <c r="FR82" s="136"/>
      <c r="FS82" s="136"/>
      <c r="FT82" s="136"/>
      <c r="FU82" s="136"/>
      <c r="FV82" s="136"/>
      <c r="FW82" s="136"/>
      <c r="FX82" s="136"/>
      <c r="FY82" s="136"/>
      <c r="FZ82" s="136"/>
      <c r="GA82" s="136"/>
      <c r="GB82" s="136"/>
      <c r="GC82" s="136"/>
      <c r="GD82" s="136"/>
      <c r="GE82" s="136"/>
      <c r="GF82" s="136"/>
      <c r="GG82" s="136"/>
      <c r="GH82" s="136"/>
      <c r="GI82" s="136"/>
      <c r="GJ82" s="136"/>
      <c r="GK82" s="136"/>
      <c r="GL82" s="136"/>
      <c r="GM82" s="136"/>
      <c r="GN82" s="136"/>
      <c r="GO82" s="136"/>
      <c r="GP82" s="136"/>
      <c r="GQ82" s="136"/>
      <c r="GR82" s="136"/>
      <c r="GS82" s="136"/>
      <c r="GT82" s="136"/>
      <c r="GU82" s="136"/>
      <c r="GV82" s="136"/>
      <c r="GW82" s="136"/>
      <c r="GX82" s="136"/>
      <c r="GY82" s="136"/>
      <c r="GZ82" s="136"/>
      <c r="HA82" s="136"/>
      <c r="HB82" s="136"/>
      <c r="HC82" s="136"/>
      <c r="HD82" s="136"/>
      <c r="HE82" s="136"/>
      <c r="HF82" s="136"/>
      <c r="HG82" s="136"/>
      <c r="HH82" s="136"/>
      <c r="HI82" s="136"/>
      <c r="HJ82" s="136"/>
      <c r="HK82" s="136"/>
      <c r="HL82" s="136"/>
      <c r="HM82" s="136"/>
      <c r="HN82" s="136"/>
      <c r="HO82" s="136"/>
      <c r="HP82" s="136"/>
      <c r="HQ82" s="136"/>
      <c r="HR82" s="136"/>
      <c r="HS82" s="136"/>
      <c r="HT82" s="136"/>
      <c r="HU82" s="136"/>
      <c r="HV82" s="136"/>
      <c r="HW82" s="136"/>
      <c r="HX82" s="136"/>
      <c r="HY82" s="136"/>
      <c r="HZ82" s="136"/>
      <c r="IA82" s="136"/>
      <c r="IB82" s="136"/>
      <c r="IC82" s="136"/>
      <c r="ID82" s="136"/>
      <c r="IE82" s="136"/>
      <c r="IF82" s="136"/>
      <c r="IG82" s="136"/>
      <c r="IH82" s="136"/>
      <c r="II82" s="136"/>
      <c r="IJ82" s="136"/>
      <c r="IK82" s="136"/>
      <c r="IL82" s="136"/>
      <c r="IM82" s="136"/>
      <c r="IN82" s="136"/>
      <c r="IO82" s="136"/>
      <c r="IP82" s="136"/>
      <c r="IQ82" s="136"/>
      <c r="IR82" s="136"/>
      <c r="IS82" s="136"/>
      <c r="IT82" s="136"/>
      <c r="IU82" s="136"/>
      <c r="IV82" s="136"/>
    </row>
    <row r="83" spans="1:256" ht="18">
      <c r="A83" s="161"/>
      <c r="B83" s="151"/>
      <c r="C83" s="153" t="s">
        <v>36</v>
      </c>
      <c r="D83" s="144"/>
      <c r="E83" s="206"/>
      <c r="F83" s="204"/>
      <c r="G83" s="204"/>
      <c r="H83" s="204"/>
      <c r="I83" s="204"/>
      <c r="J83" s="204"/>
      <c r="K83" s="204"/>
      <c r="L83" s="204"/>
      <c r="M83" s="204"/>
      <c r="N83" s="202"/>
      <c r="O83" s="23"/>
      <c r="P83" s="23"/>
      <c r="Q83" s="23"/>
      <c r="R83" s="23"/>
      <c r="S83" s="23"/>
      <c r="T83" s="23"/>
      <c r="U83" s="23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6"/>
      <c r="DU83" s="136"/>
      <c r="DV83" s="136"/>
      <c r="DW83" s="136"/>
      <c r="DX83" s="136"/>
      <c r="DY83" s="136"/>
      <c r="DZ83" s="136"/>
      <c r="EA83" s="136"/>
      <c r="EB83" s="136"/>
      <c r="EC83" s="136"/>
      <c r="ED83" s="136"/>
      <c r="EE83" s="136"/>
      <c r="EF83" s="136"/>
      <c r="EG83" s="136"/>
      <c r="EH83" s="136"/>
      <c r="EI83" s="136"/>
      <c r="EJ83" s="136"/>
      <c r="EK83" s="136"/>
      <c r="EL83" s="136"/>
      <c r="EM83" s="136"/>
      <c r="EN83" s="136"/>
      <c r="EO83" s="136"/>
      <c r="EP83" s="136"/>
      <c r="EQ83" s="136"/>
      <c r="ER83" s="136"/>
      <c r="ES83" s="136"/>
      <c r="ET83" s="136"/>
      <c r="EU83" s="136"/>
      <c r="EV83" s="136"/>
      <c r="EW83" s="136"/>
      <c r="EX83" s="136"/>
      <c r="EY83" s="136"/>
      <c r="EZ83" s="136"/>
      <c r="FA83" s="136"/>
      <c r="FB83" s="136"/>
      <c r="FC83" s="136"/>
      <c r="FD83" s="136"/>
      <c r="FE83" s="136"/>
      <c r="FF83" s="136"/>
      <c r="FG83" s="136"/>
      <c r="FH83" s="136"/>
      <c r="FI83" s="136"/>
      <c r="FJ83" s="136"/>
      <c r="FK83" s="136"/>
      <c r="FL83" s="136"/>
      <c r="FM83" s="136"/>
      <c r="FN83" s="136"/>
      <c r="FO83" s="136"/>
      <c r="FP83" s="136"/>
      <c r="FQ83" s="136"/>
      <c r="FR83" s="136"/>
      <c r="FS83" s="136"/>
      <c r="FT83" s="136"/>
      <c r="FU83" s="136"/>
      <c r="FV83" s="136"/>
      <c r="FW83" s="136"/>
      <c r="FX83" s="136"/>
      <c r="FY83" s="136"/>
      <c r="FZ83" s="136"/>
      <c r="GA83" s="136"/>
      <c r="GB83" s="136"/>
      <c r="GC83" s="136"/>
      <c r="GD83" s="136"/>
      <c r="GE83" s="136"/>
      <c r="GF83" s="136"/>
      <c r="GG83" s="136"/>
      <c r="GH83" s="136"/>
      <c r="GI83" s="136"/>
      <c r="GJ83" s="136"/>
      <c r="GK83" s="136"/>
      <c r="GL83" s="136"/>
      <c r="GM83" s="136"/>
      <c r="GN83" s="136"/>
      <c r="GO83" s="136"/>
      <c r="GP83" s="136"/>
      <c r="GQ83" s="136"/>
      <c r="GR83" s="136"/>
      <c r="GS83" s="136"/>
      <c r="GT83" s="136"/>
      <c r="GU83" s="136"/>
      <c r="GV83" s="136"/>
      <c r="GW83" s="136"/>
      <c r="GX83" s="136"/>
      <c r="GY83" s="136"/>
      <c r="GZ83" s="136"/>
      <c r="HA83" s="136"/>
      <c r="HB83" s="136"/>
      <c r="HC83" s="136"/>
      <c r="HD83" s="136"/>
      <c r="HE83" s="136"/>
      <c r="HF83" s="136"/>
      <c r="HG83" s="136"/>
      <c r="HH83" s="136"/>
      <c r="HI83" s="136"/>
      <c r="HJ83" s="136"/>
      <c r="HK83" s="136"/>
      <c r="HL83" s="136"/>
      <c r="HM83" s="136"/>
      <c r="HN83" s="136"/>
      <c r="HO83" s="136"/>
      <c r="HP83" s="136"/>
      <c r="HQ83" s="136"/>
      <c r="HR83" s="136"/>
      <c r="HS83" s="136"/>
      <c r="HT83" s="136"/>
      <c r="HU83" s="136"/>
      <c r="HV83" s="136"/>
      <c r="HW83" s="136"/>
      <c r="HX83" s="136"/>
      <c r="HY83" s="136"/>
      <c r="HZ83" s="136"/>
      <c r="IA83" s="136"/>
      <c r="IB83" s="136"/>
      <c r="IC83" s="136"/>
      <c r="ID83" s="136"/>
      <c r="IE83" s="136"/>
      <c r="IF83" s="136"/>
      <c r="IG83" s="136"/>
      <c r="IH83" s="136"/>
      <c r="II83" s="136"/>
      <c r="IJ83" s="136"/>
      <c r="IK83" s="136"/>
      <c r="IL83" s="136"/>
      <c r="IM83" s="136"/>
      <c r="IN83" s="136"/>
      <c r="IO83" s="136"/>
      <c r="IP83" s="136"/>
      <c r="IQ83" s="136"/>
      <c r="IR83" s="136"/>
      <c r="IS83" s="136"/>
      <c r="IT83" s="136"/>
      <c r="IU83" s="136"/>
      <c r="IV83" s="136"/>
    </row>
    <row r="84" spans="1:256" ht="19.5">
      <c r="A84" s="161"/>
      <c r="B84" s="81"/>
      <c r="C84" s="163" t="s">
        <v>115</v>
      </c>
      <c r="D84" s="12" t="s">
        <v>61</v>
      </c>
      <c r="E84" s="206">
        <v>1.04</v>
      </c>
      <c r="F84" s="204">
        <f>F80*E84</f>
        <v>6.1568000000000005</v>
      </c>
      <c r="G84" s="204"/>
      <c r="H84" s="204"/>
      <c r="I84" s="204"/>
      <c r="J84" s="204"/>
      <c r="K84" s="204"/>
      <c r="L84" s="204"/>
      <c r="M84" s="204"/>
      <c r="N84" s="202"/>
      <c r="O84" s="23"/>
      <c r="P84" s="23"/>
      <c r="Q84" s="23"/>
      <c r="R84" s="23"/>
      <c r="S84" s="23"/>
      <c r="T84" s="23"/>
      <c r="U84" s="23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  <c r="DM84" s="136"/>
      <c r="DN84" s="136"/>
      <c r="DO84" s="136"/>
      <c r="DP84" s="136"/>
      <c r="DQ84" s="136"/>
      <c r="DR84" s="136"/>
      <c r="DS84" s="136"/>
      <c r="DT84" s="136"/>
      <c r="DU84" s="136"/>
      <c r="DV84" s="136"/>
      <c r="DW84" s="136"/>
      <c r="DX84" s="136"/>
      <c r="DY84" s="136"/>
      <c r="DZ84" s="136"/>
      <c r="EA84" s="136"/>
      <c r="EB84" s="136"/>
      <c r="EC84" s="136"/>
      <c r="ED84" s="136"/>
      <c r="EE84" s="136"/>
      <c r="EF84" s="136"/>
      <c r="EG84" s="136"/>
      <c r="EH84" s="136"/>
      <c r="EI84" s="136"/>
      <c r="EJ84" s="136"/>
      <c r="EK84" s="136"/>
      <c r="EL84" s="136"/>
      <c r="EM84" s="136"/>
      <c r="EN84" s="136"/>
      <c r="EO84" s="136"/>
      <c r="EP84" s="136"/>
      <c r="EQ84" s="136"/>
      <c r="ER84" s="136"/>
      <c r="ES84" s="136"/>
      <c r="ET84" s="136"/>
      <c r="EU84" s="136"/>
      <c r="EV84" s="136"/>
      <c r="EW84" s="136"/>
      <c r="EX84" s="136"/>
      <c r="EY84" s="136"/>
      <c r="EZ84" s="136"/>
      <c r="FA84" s="136"/>
      <c r="FB84" s="136"/>
      <c r="FC84" s="136"/>
      <c r="FD84" s="136"/>
      <c r="FE84" s="136"/>
      <c r="FF84" s="136"/>
      <c r="FG84" s="136"/>
      <c r="FH84" s="136"/>
      <c r="FI84" s="136"/>
      <c r="FJ84" s="136"/>
      <c r="FK84" s="136"/>
      <c r="FL84" s="136"/>
      <c r="FM84" s="136"/>
      <c r="FN84" s="136"/>
      <c r="FO84" s="136"/>
      <c r="FP84" s="136"/>
      <c r="FQ84" s="136"/>
      <c r="FR84" s="136"/>
      <c r="FS84" s="136"/>
      <c r="FT84" s="136"/>
      <c r="FU84" s="136"/>
      <c r="FV84" s="136"/>
      <c r="FW84" s="136"/>
      <c r="FX84" s="136"/>
      <c r="FY84" s="136"/>
      <c r="FZ84" s="136"/>
      <c r="GA84" s="136"/>
      <c r="GB84" s="136"/>
      <c r="GC84" s="136"/>
      <c r="GD84" s="136"/>
      <c r="GE84" s="136"/>
      <c r="GF84" s="136"/>
      <c r="GG84" s="136"/>
      <c r="GH84" s="136"/>
      <c r="GI84" s="136"/>
      <c r="GJ84" s="136"/>
      <c r="GK84" s="136"/>
      <c r="GL84" s="136"/>
      <c r="GM84" s="136"/>
      <c r="GN84" s="136"/>
      <c r="GO84" s="136"/>
      <c r="GP84" s="136"/>
      <c r="GQ84" s="136"/>
      <c r="GR84" s="136"/>
      <c r="GS84" s="136"/>
      <c r="GT84" s="136"/>
      <c r="GU84" s="136"/>
      <c r="GV84" s="136"/>
      <c r="GW84" s="136"/>
      <c r="GX84" s="136"/>
      <c r="GY84" s="136"/>
      <c r="GZ84" s="136"/>
      <c r="HA84" s="136"/>
      <c r="HB84" s="136"/>
      <c r="HC84" s="136"/>
      <c r="HD84" s="136"/>
      <c r="HE84" s="136"/>
      <c r="HF84" s="136"/>
      <c r="HG84" s="136"/>
      <c r="HH84" s="136"/>
      <c r="HI84" s="136"/>
      <c r="HJ84" s="136"/>
      <c r="HK84" s="136"/>
      <c r="HL84" s="136"/>
      <c r="HM84" s="136"/>
      <c r="HN84" s="136"/>
      <c r="HO84" s="136"/>
      <c r="HP84" s="136"/>
      <c r="HQ84" s="136"/>
      <c r="HR84" s="136"/>
      <c r="HS84" s="136"/>
      <c r="HT84" s="136"/>
      <c r="HU84" s="136"/>
      <c r="HV84" s="136"/>
      <c r="HW84" s="136"/>
      <c r="HX84" s="136"/>
      <c r="HY84" s="136"/>
      <c r="HZ84" s="136"/>
      <c r="IA84" s="136"/>
      <c r="IB84" s="136"/>
      <c r="IC84" s="136"/>
      <c r="ID84" s="136"/>
      <c r="IE84" s="136"/>
      <c r="IF84" s="136"/>
      <c r="IG84" s="136"/>
      <c r="IH84" s="136"/>
      <c r="II84" s="136"/>
      <c r="IJ84" s="136"/>
      <c r="IK84" s="136"/>
      <c r="IL84" s="136"/>
      <c r="IM84" s="136"/>
      <c r="IN84" s="136"/>
      <c r="IO84" s="136"/>
      <c r="IP84" s="136"/>
      <c r="IQ84" s="136"/>
      <c r="IR84" s="136"/>
      <c r="IS84" s="136"/>
      <c r="IT84" s="136"/>
      <c r="IU84" s="136"/>
      <c r="IV84" s="136"/>
    </row>
    <row r="85" spans="1:256" ht="18">
      <c r="A85" s="161"/>
      <c r="B85" s="81"/>
      <c r="C85" s="218" t="s">
        <v>128</v>
      </c>
      <c r="D85" s="219" t="s">
        <v>129</v>
      </c>
      <c r="E85" s="220">
        <v>0.71699999999999997</v>
      </c>
      <c r="F85" s="220">
        <f>F81*E85</f>
        <v>11.9274384</v>
      </c>
      <c r="G85" s="41"/>
      <c r="H85" s="41"/>
      <c r="I85" s="41"/>
      <c r="J85" s="41"/>
      <c r="K85" s="41"/>
      <c r="L85" s="41"/>
      <c r="M85" s="41"/>
      <c r="N85" s="202"/>
      <c r="O85" s="23"/>
      <c r="P85" s="23"/>
      <c r="Q85" s="23"/>
      <c r="R85" s="23"/>
      <c r="S85" s="23"/>
      <c r="T85" s="23"/>
      <c r="U85" s="23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6"/>
      <c r="DS85" s="136"/>
      <c r="DT85" s="136"/>
      <c r="DU85" s="136"/>
      <c r="DV85" s="136"/>
      <c r="DW85" s="136"/>
      <c r="DX85" s="136"/>
      <c r="DY85" s="136"/>
      <c r="DZ85" s="136"/>
      <c r="EA85" s="136"/>
      <c r="EB85" s="136"/>
      <c r="EC85" s="136"/>
      <c r="ED85" s="136"/>
      <c r="EE85" s="136"/>
      <c r="EF85" s="136"/>
      <c r="EG85" s="136"/>
      <c r="EH85" s="136"/>
      <c r="EI85" s="136"/>
      <c r="EJ85" s="136"/>
      <c r="EK85" s="136"/>
      <c r="EL85" s="136"/>
      <c r="EM85" s="136"/>
      <c r="EN85" s="136"/>
      <c r="EO85" s="136"/>
      <c r="EP85" s="136"/>
      <c r="EQ85" s="136"/>
      <c r="ER85" s="136"/>
      <c r="ES85" s="136"/>
      <c r="ET85" s="136"/>
      <c r="EU85" s="136"/>
      <c r="EV85" s="136"/>
      <c r="EW85" s="136"/>
      <c r="EX85" s="136"/>
      <c r="EY85" s="136"/>
      <c r="EZ85" s="136"/>
      <c r="FA85" s="136"/>
      <c r="FB85" s="136"/>
      <c r="FC85" s="136"/>
      <c r="FD85" s="136"/>
      <c r="FE85" s="136"/>
      <c r="FF85" s="136"/>
      <c r="FG85" s="136"/>
      <c r="FH85" s="136"/>
      <c r="FI85" s="136"/>
      <c r="FJ85" s="136"/>
      <c r="FK85" s="136"/>
      <c r="FL85" s="136"/>
      <c r="FM85" s="136"/>
      <c r="FN85" s="136"/>
      <c r="FO85" s="136"/>
      <c r="FP85" s="136"/>
      <c r="FQ85" s="136"/>
      <c r="FR85" s="136"/>
      <c r="FS85" s="136"/>
      <c r="FT85" s="136"/>
      <c r="FU85" s="136"/>
      <c r="FV85" s="136"/>
      <c r="FW85" s="136"/>
      <c r="FX85" s="136"/>
      <c r="FY85" s="136"/>
      <c r="FZ85" s="136"/>
      <c r="GA85" s="136"/>
      <c r="GB85" s="136"/>
      <c r="GC85" s="136"/>
      <c r="GD85" s="136"/>
      <c r="GE85" s="136"/>
      <c r="GF85" s="136"/>
      <c r="GG85" s="136"/>
      <c r="GH85" s="136"/>
      <c r="GI85" s="136"/>
      <c r="GJ85" s="136"/>
      <c r="GK85" s="136"/>
      <c r="GL85" s="136"/>
      <c r="GM85" s="136"/>
      <c r="GN85" s="136"/>
      <c r="GO85" s="136"/>
      <c r="GP85" s="136"/>
      <c r="GQ85" s="136"/>
      <c r="GR85" s="136"/>
      <c r="GS85" s="136"/>
      <c r="GT85" s="136"/>
      <c r="GU85" s="136"/>
      <c r="GV85" s="136"/>
      <c r="GW85" s="136"/>
      <c r="GX85" s="136"/>
      <c r="GY85" s="136"/>
      <c r="GZ85" s="136"/>
      <c r="HA85" s="136"/>
      <c r="HB85" s="136"/>
      <c r="HC85" s="136"/>
      <c r="HD85" s="136"/>
      <c r="HE85" s="136"/>
      <c r="HF85" s="136"/>
      <c r="HG85" s="136"/>
      <c r="HH85" s="136"/>
      <c r="HI85" s="136"/>
      <c r="HJ85" s="136"/>
      <c r="HK85" s="136"/>
      <c r="HL85" s="136"/>
      <c r="HM85" s="136"/>
      <c r="HN85" s="136"/>
      <c r="HO85" s="136"/>
      <c r="HP85" s="136"/>
      <c r="HQ85" s="136"/>
      <c r="HR85" s="136"/>
      <c r="HS85" s="136"/>
      <c r="HT85" s="136"/>
      <c r="HU85" s="136"/>
      <c r="HV85" s="136"/>
      <c r="HW85" s="136"/>
      <c r="HX85" s="136"/>
      <c r="HY85" s="136"/>
      <c r="HZ85" s="136"/>
      <c r="IA85" s="136"/>
      <c r="IB85" s="136"/>
      <c r="IC85" s="136"/>
      <c r="ID85" s="136"/>
      <c r="IE85" s="136"/>
      <c r="IF85" s="136"/>
      <c r="IG85" s="136"/>
      <c r="IH85" s="136"/>
      <c r="II85" s="136"/>
      <c r="IJ85" s="136"/>
      <c r="IK85" s="136"/>
      <c r="IL85" s="136"/>
      <c r="IM85" s="136"/>
      <c r="IN85" s="136"/>
      <c r="IO85" s="136"/>
      <c r="IP85" s="136"/>
      <c r="IQ85" s="136"/>
      <c r="IR85" s="136"/>
      <c r="IS85" s="136"/>
      <c r="IT85" s="136"/>
      <c r="IU85" s="136"/>
      <c r="IV85" s="136"/>
    </row>
    <row r="86" spans="1:256" ht="18">
      <c r="A86" s="161"/>
      <c r="B86" s="81"/>
      <c r="C86" s="218" t="s">
        <v>130</v>
      </c>
      <c r="D86" s="219" t="s">
        <v>131</v>
      </c>
      <c r="E86" s="220">
        <f>1.52/100</f>
        <v>1.52E-2</v>
      </c>
      <c r="F86" s="220">
        <f>F81*E86</f>
        <v>0.25285504000000003</v>
      </c>
      <c r="G86" s="41"/>
      <c r="H86" s="41"/>
      <c r="I86" s="41"/>
      <c r="J86" s="41"/>
      <c r="K86" s="41"/>
      <c r="L86" s="41"/>
      <c r="M86" s="41"/>
      <c r="N86" s="202"/>
      <c r="O86" s="23"/>
      <c r="P86" s="23"/>
      <c r="Q86" s="23"/>
      <c r="R86" s="23"/>
      <c r="S86" s="23"/>
      <c r="T86" s="23"/>
      <c r="U86" s="23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  <c r="DM86" s="136"/>
      <c r="DN86" s="136"/>
      <c r="DO86" s="136"/>
      <c r="DP86" s="136"/>
      <c r="DQ86" s="136"/>
      <c r="DR86" s="136"/>
      <c r="DS86" s="136"/>
      <c r="DT86" s="136"/>
      <c r="DU86" s="136"/>
      <c r="DV86" s="136"/>
      <c r="DW86" s="136"/>
      <c r="DX86" s="136"/>
      <c r="DY86" s="136"/>
      <c r="DZ86" s="136"/>
      <c r="EA86" s="136"/>
      <c r="EB86" s="136"/>
      <c r="EC86" s="136"/>
      <c r="ED86" s="136"/>
      <c r="EE86" s="136"/>
      <c r="EF86" s="136"/>
      <c r="EG86" s="136"/>
      <c r="EH86" s="136"/>
      <c r="EI86" s="136"/>
      <c r="EJ86" s="136"/>
      <c r="EK86" s="136"/>
      <c r="EL86" s="136"/>
      <c r="EM86" s="136"/>
      <c r="EN86" s="136"/>
      <c r="EO86" s="136"/>
      <c r="EP86" s="136"/>
      <c r="EQ86" s="136"/>
      <c r="ER86" s="136"/>
      <c r="ES86" s="136"/>
      <c r="ET86" s="136"/>
      <c r="EU86" s="136"/>
      <c r="EV86" s="136"/>
      <c r="EW86" s="136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6"/>
      <c r="FK86" s="136"/>
      <c r="FL86" s="136"/>
      <c r="FM86" s="136"/>
      <c r="FN86" s="136"/>
      <c r="FO86" s="136"/>
      <c r="FP86" s="136"/>
      <c r="FQ86" s="136"/>
      <c r="FR86" s="136"/>
      <c r="FS86" s="136"/>
      <c r="FT86" s="136"/>
      <c r="FU86" s="136"/>
      <c r="FV86" s="136"/>
      <c r="FW86" s="136"/>
      <c r="FX86" s="136"/>
      <c r="FY86" s="136"/>
      <c r="FZ86" s="136"/>
      <c r="GA86" s="136"/>
      <c r="GB86" s="136"/>
      <c r="GC86" s="136"/>
      <c r="GD86" s="136"/>
      <c r="GE86" s="136"/>
      <c r="GF86" s="136"/>
      <c r="GG86" s="136"/>
      <c r="GH86" s="136"/>
      <c r="GI86" s="136"/>
      <c r="GJ86" s="136"/>
      <c r="GK86" s="136"/>
      <c r="GL86" s="136"/>
      <c r="GM86" s="136"/>
      <c r="GN86" s="136"/>
      <c r="GO86" s="136"/>
      <c r="GP86" s="136"/>
      <c r="GQ86" s="136"/>
      <c r="GR86" s="136"/>
      <c r="GS86" s="136"/>
      <c r="GT86" s="136"/>
      <c r="GU86" s="136"/>
      <c r="GV86" s="136"/>
      <c r="GW86" s="136"/>
      <c r="GX86" s="136"/>
      <c r="GY86" s="136"/>
      <c r="GZ86" s="136"/>
      <c r="HA86" s="136"/>
      <c r="HB86" s="136"/>
      <c r="HC86" s="136"/>
      <c r="HD86" s="136"/>
      <c r="HE86" s="136"/>
      <c r="HF86" s="136"/>
      <c r="HG86" s="136"/>
      <c r="HH86" s="136"/>
      <c r="HI86" s="136"/>
      <c r="HJ86" s="136"/>
      <c r="HK86" s="136"/>
      <c r="HL86" s="136"/>
      <c r="HM86" s="136"/>
      <c r="HN86" s="136"/>
      <c r="HO86" s="136"/>
      <c r="HP86" s="136"/>
      <c r="HQ86" s="136"/>
      <c r="HR86" s="136"/>
      <c r="HS86" s="136"/>
      <c r="HT86" s="136"/>
      <c r="HU86" s="136"/>
      <c r="HV86" s="136"/>
      <c r="HW86" s="136"/>
      <c r="HX86" s="136"/>
      <c r="HY86" s="136"/>
      <c r="HZ86" s="136"/>
      <c r="IA86" s="136"/>
      <c r="IB86" s="136"/>
      <c r="IC86" s="136"/>
      <c r="ID86" s="136"/>
      <c r="IE86" s="136"/>
      <c r="IF86" s="136"/>
      <c r="IG86" s="136"/>
      <c r="IH86" s="136"/>
      <c r="II86" s="136"/>
      <c r="IJ86" s="136"/>
      <c r="IK86" s="136"/>
      <c r="IL86" s="136"/>
      <c r="IM86" s="136"/>
      <c r="IN86" s="136"/>
      <c r="IO86" s="136"/>
      <c r="IP86" s="136"/>
      <c r="IQ86" s="136"/>
      <c r="IR86" s="136"/>
      <c r="IS86" s="136"/>
      <c r="IT86" s="136"/>
      <c r="IU86" s="136"/>
      <c r="IV86" s="136"/>
    </row>
    <row r="87" spans="1:256" ht="18">
      <c r="A87" s="161"/>
      <c r="B87" s="151"/>
      <c r="C87" s="218" t="s">
        <v>132</v>
      </c>
      <c r="D87" s="219" t="s">
        <v>133</v>
      </c>
      <c r="E87" s="220">
        <f>0.09/100*1000</f>
        <v>0.9</v>
      </c>
      <c r="F87" s="220">
        <f>F81*E87</f>
        <v>14.971680000000001</v>
      </c>
      <c r="G87" s="41"/>
      <c r="H87" s="41"/>
      <c r="I87" s="41"/>
      <c r="J87" s="41"/>
      <c r="K87" s="41"/>
      <c r="L87" s="41"/>
      <c r="M87" s="41"/>
      <c r="N87" s="202"/>
      <c r="O87" s="23"/>
      <c r="P87" s="23"/>
      <c r="Q87" s="23"/>
      <c r="R87" s="23"/>
      <c r="S87" s="23"/>
      <c r="T87" s="23"/>
      <c r="U87" s="23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  <c r="DT87" s="136"/>
      <c r="DU87" s="136"/>
      <c r="DV87" s="136"/>
      <c r="DW87" s="136"/>
      <c r="DX87" s="136"/>
      <c r="DY87" s="136"/>
      <c r="DZ87" s="136"/>
      <c r="EA87" s="136"/>
      <c r="EB87" s="136"/>
      <c r="EC87" s="136"/>
      <c r="ED87" s="136"/>
      <c r="EE87" s="136"/>
      <c r="EF87" s="136"/>
      <c r="EG87" s="136"/>
      <c r="EH87" s="136"/>
      <c r="EI87" s="136"/>
      <c r="EJ87" s="136"/>
      <c r="EK87" s="136"/>
      <c r="EL87" s="136"/>
      <c r="EM87" s="136"/>
      <c r="EN87" s="136"/>
      <c r="EO87" s="136"/>
      <c r="EP87" s="136"/>
      <c r="EQ87" s="136"/>
      <c r="ER87" s="136"/>
      <c r="ES87" s="136"/>
      <c r="ET87" s="136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6"/>
      <c r="FI87" s="136"/>
      <c r="FJ87" s="136"/>
      <c r="FK87" s="136"/>
      <c r="FL87" s="136"/>
      <c r="FM87" s="136"/>
      <c r="FN87" s="136"/>
      <c r="FO87" s="136"/>
      <c r="FP87" s="136"/>
      <c r="FQ87" s="136"/>
      <c r="FR87" s="136"/>
      <c r="FS87" s="136"/>
      <c r="FT87" s="136"/>
      <c r="FU87" s="136"/>
      <c r="FV87" s="136"/>
      <c r="FW87" s="136"/>
      <c r="FX87" s="136"/>
      <c r="FY87" s="136"/>
      <c r="FZ87" s="136"/>
      <c r="GA87" s="136"/>
      <c r="GB87" s="136"/>
      <c r="GC87" s="136"/>
      <c r="GD87" s="136"/>
      <c r="GE87" s="136"/>
      <c r="GF87" s="136"/>
      <c r="GG87" s="136"/>
      <c r="GH87" s="136"/>
      <c r="GI87" s="136"/>
      <c r="GJ87" s="136"/>
      <c r="GK87" s="136"/>
      <c r="GL87" s="136"/>
      <c r="GM87" s="136"/>
      <c r="GN87" s="136"/>
      <c r="GO87" s="136"/>
      <c r="GP87" s="136"/>
      <c r="GQ87" s="136"/>
      <c r="GR87" s="136"/>
      <c r="GS87" s="136"/>
      <c r="GT87" s="136"/>
      <c r="GU87" s="136"/>
      <c r="GV87" s="136"/>
      <c r="GW87" s="136"/>
      <c r="GX87" s="136"/>
      <c r="GY87" s="136"/>
      <c r="GZ87" s="136"/>
      <c r="HA87" s="136"/>
      <c r="HB87" s="136"/>
      <c r="HC87" s="136"/>
      <c r="HD87" s="136"/>
      <c r="HE87" s="136"/>
      <c r="HF87" s="136"/>
      <c r="HG87" s="136"/>
      <c r="HH87" s="136"/>
      <c r="HI87" s="136"/>
      <c r="HJ87" s="136"/>
      <c r="HK87" s="136"/>
      <c r="HL87" s="136"/>
      <c r="HM87" s="136"/>
      <c r="HN87" s="136"/>
      <c r="HO87" s="136"/>
      <c r="HP87" s="136"/>
      <c r="HQ87" s="136"/>
      <c r="HR87" s="136"/>
      <c r="HS87" s="136"/>
      <c r="HT87" s="136"/>
      <c r="HU87" s="136"/>
      <c r="HV87" s="136"/>
      <c r="HW87" s="136"/>
      <c r="HX87" s="136"/>
      <c r="HY87" s="136"/>
      <c r="HZ87" s="136"/>
      <c r="IA87" s="136"/>
      <c r="IB87" s="136"/>
      <c r="IC87" s="136"/>
      <c r="ID87" s="136"/>
      <c r="IE87" s="136"/>
      <c r="IF87" s="136"/>
      <c r="IG87" s="136"/>
      <c r="IH87" s="136"/>
      <c r="II87" s="136"/>
      <c r="IJ87" s="136"/>
      <c r="IK87" s="136"/>
      <c r="IL87" s="136"/>
      <c r="IM87" s="136"/>
      <c r="IN87" s="136"/>
      <c r="IO87" s="136"/>
      <c r="IP87" s="136"/>
      <c r="IQ87" s="136"/>
      <c r="IR87" s="136"/>
      <c r="IS87" s="136"/>
      <c r="IT87" s="136"/>
      <c r="IU87" s="136"/>
      <c r="IV87" s="136"/>
    </row>
    <row r="88" spans="1:256" ht="18">
      <c r="A88" s="161"/>
      <c r="B88" s="221"/>
      <c r="C88" s="218" t="s">
        <v>39</v>
      </c>
      <c r="D88" s="219" t="s">
        <v>23</v>
      </c>
      <c r="E88" s="220">
        <v>0.16</v>
      </c>
      <c r="F88" s="220">
        <f>F81*E88</f>
        <v>2.6616320000000004</v>
      </c>
      <c r="G88" s="41"/>
      <c r="H88" s="41"/>
      <c r="I88" s="41"/>
      <c r="J88" s="41"/>
      <c r="K88" s="41"/>
      <c r="L88" s="41"/>
      <c r="M88" s="41"/>
      <c r="N88" s="135"/>
      <c r="O88" s="23"/>
      <c r="P88" s="23"/>
      <c r="Q88" s="23"/>
      <c r="R88" s="23"/>
      <c r="S88" s="23"/>
      <c r="T88" s="23"/>
      <c r="U88" s="23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  <c r="DM88" s="136"/>
      <c r="DN88" s="136"/>
      <c r="DO88" s="136"/>
      <c r="DP88" s="136"/>
      <c r="DQ88" s="136"/>
      <c r="DR88" s="136"/>
      <c r="DS88" s="136"/>
      <c r="DT88" s="136"/>
      <c r="DU88" s="136"/>
      <c r="DV88" s="136"/>
      <c r="DW88" s="136"/>
      <c r="DX88" s="136"/>
      <c r="DY88" s="136"/>
      <c r="DZ88" s="136"/>
      <c r="EA88" s="136"/>
      <c r="EB88" s="136"/>
      <c r="EC88" s="136"/>
      <c r="ED88" s="136"/>
      <c r="EE88" s="136"/>
      <c r="EF88" s="136"/>
      <c r="EG88" s="136"/>
      <c r="EH88" s="136"/>
      <c r="EI88" s="136"/>
      <c r="EJ88" s="136"/>
      <c r="EK88" s="136"/>
      <c r="EL88" s="136"/>
      <c r="EM88" s="136"/>
      <c r="EN88" s="136"/>
      <c r="EO88" s="136"/>
      <c r="EP88" s="136"/>
      <c r="EQ88" s="136"/>
      <c r="ER88" s="136"/>
      <c r="ES88" s="136"/>
      <c r="ET88" s="136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6"/>
      <c r="FI88" s="136"/>
      <c r="FJ88" s="136"/>
      <c r="FK88" s="136"/>
      <c r="FL88" s="136"/>
      <c r="FM88" s="136"/>
      <c r="FN88" s="136"/>
      <c r="FO88" s="136"/>
      <c r="FP88" s="136"/>
      <c r="FQ88" s="136"/>
      <c r="FR88" s="136"/>
      <c r="FS88" s="136"/>
      <c r="FT88" s="136"/>
      <c r="FU88" s="136"/>
      <c r="FV88" s="136"/>
      <c r="FW88" s="136"/>
      <c r="FX88" s="136"/>
      <c r="FY88" s="136"/>
      <c r="FZ88" s="136"/>
      <c r="GA88" s="136"/>
      <c r="GB88" s="136"/>
      <c r="GC88" s="136"/>
      <c r="GD88" s="136"/>
      <c r="GE88" s="136"/>
      <c r="GF88" s="136"/>
      <c r="GG88" s="136"/>
      <c r="GH88" s="136"/>
      <c r="GI88" s="136"/>
      <c r="GJ88" s="136"/>
      <c r="GK88" s="136"/>
      <c r="GL88" s="136"/>
      <c r="GM88" s="136"/>
      <c r="GN88" s="136"/>
      <c r="GO88" s="136"/>
      <c r="GP88" s="136"/>
      <c r="GQ88" s="136"/>
      <c r="GR88" s="136"/>
      <c r="GS88" s="136"/>
      <c r="GT88" s="136"/>
      <c r="GU88" s="136"/>
      <c r="GV88" s="136"/>
      <c r="GW88" s="136"/>
      <c r="GX88" s="136"/>
      <c r="GY88" s="136"/>
      <c r="GZ88" s="136"/>
      <c r="HA88" s="136"/>
      <c r="HB88" s="136"/>
      <c r="HC88" s="136"/>
      <c r="HD88" s="136"/>
      <c r="HE88" s="136"/>
      <c r="HF88" s="136"/>
      <c r="HG88" s="136"/>
      <c r="HH88" s="136"/>
      <c r="HI88" s="136"/>
      <c r="HJ88" s="136"/>
      <c r="HK88" s="136"/>
      <c r="HL88" s="136"/>
      <c r="HM88" s="136"/>
      <c r="HN88" s="136"/>
      <c r="HO88" s="136"/>
      <c r="HP88" s="136"/>
      <c r="HQ88" s="136"/>
      <c r="HR88" s="136"/>
      <c r="HS88" s="136"/>
      <c r="HT88" s="136"/>
      <c r="HU88" s="136"/>
      <c r="HV88" s="136"/>
      <c r="HW88" s="136"/>
      <c r="HX88" s="136"/>
      <c r="HY88" s="136"/>
      <c r="HZ88" s="136"/>
      <c r="IA88" s="136"/>
      <c r="IB88" s="136"/>
      <c r="IC88" s="136"/>
      <c r="ID88" s="136"/>
      <c r="IE88" s="136"/>
      <c r="IF88" s="136"/>
      <c r="IG88" s="136"/>
      <c r="IH88" s="136"/>
      <c r="II88" s="136"/>
      <c r="IJ88" s="136"/>
      <c r="IK88" s="136"/>
      <c r="IL88" s="136"/>
      <c r="IM88" s="136"/>
      <c r="IN88" s="136"/>
      <c r="IO88" s="136"/>
      <c r="IP88" s="136"/>
      <c r="IQ88" s="136"/>
      <c r="IR88" s="136"/>
      <c r="IS88" s="136"/>
      <c r="IT88" s="136"/>
      <c r="IU88" s="136"/>
      <c r="IV88" s="136"/>
    </row>
    <row r="89" spans="1:256" ht="82.5">
      <c r="A89" s="149">
        <v>11</v>
      </c>
      <c r="B89" s="182" t="s">
        <v>101</v>
      </c>
      <c r="C89" s="177" t="s">
        <v>138</v>
      </c>
      <c r="D89" s="189" t="s">
        <v>124</v>
      </c>
      <c r="E89" s="207"/>
      <c r="F89" s="203">
        <f>F93/E93</f>
        <v>2.4</v>
      </c>
      <c r="G89" s="204"/>
      <c r="H89" s="204"/>
      <c r="I89" s="204"/>
      <c r="J89" s="204"/>
      <c r="K89" s="204"/>
      <c r="L89" s="204"/>
      <c r="M89" s="204"/>
      <c r="N89" s="202"/>
      <c r="O89" s="23"/>
      <c r="P89" s="23"/>
      <c r="Q89" s="23"/>
      <c r="R89" s="23"/>
      <c r="S89" s="23"/>
      <c r="T89" s="23"/>
      <c r="U89" s="23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6"/>
      <c r="FI89" s="136"/>
      <c r="FJ89" s="136"/>
      <c r="FK89" s="136"/>
      <c r="FL89" s="136"/>
      <c r="FM89" s="136"/>
      <c r="FN89" s="136"/>
      <c r="FO89" s="136"/>
      <c r="FP89" s="136"/>
      <c r="FQ89" s="136"/>
      <c r="FR89" s="136"/>
      <c r="FS89" s="136"/>
      <c r="FT89" s="136"/>
      <c r="FU89" s="136"/>
      <c r="FV89" s="136"/>
      <c r="FW89" s="136"/>
      <c r="FX89" s="136"/>
      <c r="FY89" s="136"/>
      <c r="FZ89" s="136"/>
      <c r="GA89" s="136"/>
      <c r="GB89" s="136"/>
      <c r="GC89" s="136"/>
      <c r="GD89" s="136"/>
      <c r="GE89" s="136"/>
      <c r="GF89" s="136"/>
      <c r="GG89" s="136"/>
      <c r="GH89" s="136"/>
      <c r="GI89" s="136"/>
      <c r="GJ89" s="136"/>
      <c r="GK89" s="136"/>
      <c r="GL89" s="136"/>
      <c r="GM89" s="136"/>
      <c r="GN89" s="136"/>
      <c r="GO89" s="136"/>
      <c r="GP89" s="136"/>
      <c r="GQ89" s="136"/>
      <c r="GR89" s="136"/>
      <c r="GS89" s="136"/>
      <c r="GT89" s="136"/>
      <c r="GU89" s="136"/>
      <c r="GV89" s="136"/>
      <c r="GW89" s="136"/>
      <c r="GX89" s="136"/>
      <c r="GY89" s="136"/>
      <c r="GZ89" s="136"/>
      <c r="HA89" s="136"/>
      <c r="HB89" s="136"/>
      <c r="HC89" s="136"/>
      <c r="HD89" s="136"/>
      <c r="HE89" s="136"/>
      <c r="HF89" s="136"/>
      <c r="HG89" s="136"/>
      <c r="HH89" s="136"/>
      <c r="HI89" s="136"/>
      <c r="HJ89" s="136"/>
      <c r="HK89" s="136"/>
      <c r="HL89" s="136"/>
      <c r="HM89" s="136"/>
      <c r="HN89" s="136"/>
      <c r="HO89" s="136"/>
      <c r="HP89" s="136"/>
      <c r="HQ89" s="136"/>
      <c r="HR89" s="136"/>
      <c r="HS89" s="136"/>
      <c r="HT89" s="136"/>
      <c r="HU89" s="136"/>
      <c r="HV89" s="136"/>
      <c r="HW89" s="136"/>
      <c r="HX89" s="136"/>
      <c r="HY89" s="136"/>
      <c r="HZ89" s="136"/>
      <c r="IA89" s="136"/>
      <c r="IB89" s="136"/>
      <c r="IC89" s="136"/>
      <c r="ID89" s="136"/>
      <c r="IE89" s="136"/>
      <c r="IF89" s="136"/>
      <c r="IG89" s="136"/>
      <c r="IH89" s="136"/>
      <c r="II89" s="136"/>
      <c r="IJ89" s="136"/>
      <c r="IK89" s="136"/>
      <c r="IL89" s="136"/>
      <c r="IM89" s="136"/>
      <c r="IN89" s="136"/>
      <c r="IO89" s="136"/>
      <c r="IP89" s="136"/>
      <c r="IQ89" s="136"/>
      <c r="IR89" s="136"/>
      <c r="IS89" s="136"/>
      <c r="IT89" s="136"/>
      <c r="IU89" s="136"/>
      <c r="IV89" s="136"/>
    </row>
    <row r="90" spans="1:256" ht="18">
      <c r="A90" s="161"/>
      <c r="B90" s="151"/>
      <c r="C90" s="155" t="s">
        <v>19</v>
      </c>
      <c r="D90" s="124" t="s">
        <v>20</v>
      </c>
      <c r="E90" s="206">
        <v>2.12</v>
      </c>
      <c r="F90" s="204">
        <f>F89*E90</f>
        <v>5.0880000000000001</v>
      </c>
      <c r="G90" s="204"/>
      <c r="H90" s="204"/>
      <c r="I90" s="204"/>
      <c r="J90" s="204"/>
      <c r="K90" s="204"/>
      <c r="L90" s="204"/>
      <c r="M90" s="204"/>
      <c r="N90" s="202"/>
      <c r="O90" s="23"/>
      <c r="P90" s="23"/>
      <c r="Q90" s="23"/>
      <c r="R90" s="23"/>
      <c r="S90" s="23"/>
      <c r="T90" s="23"/>
      <c r="U90" s="23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6"/>
      <c r="DR90" s="136"/>
      <c r="DS90" s="136"/>
      <c r="DT90" s="136"/>
      <c r="DU90" s="136"/>
      <c r="DV90" s="136"/>
      <c r="DW90" s="136"/>
      <c r="DX90" s="136"/>
      <c r="DY90" s="136"/>
      <c r="DZ90" s="136"/>
      <c r="EA90" s="136"/>
      <c r="EB90" s="136"/>
      <c r="EC90" s="136"/>
      <c r="ED90" s="136"/>
      <c r="EE90" s="136"/>
      <c r="EF90" s="136"/>
      <c r="EG90" s="136"/>
      <c r="EH90" s="136"/>
      <c r="EI90" s="136"/>
      <c r="EJ90" s="136"/>
      <c r="EK90" s="136"/>
      <c r="EL90" s="136"/>
      <c r="EM90" s="136"/>
      <c r="EN90" s="136"/>
      <c r="EO90" s="136"/>
      <c r="EP90" s="136"/>
      <c r="EQ90" s="136"/>
      <c r="ER90" s="136"/>
      <c r="ES90" s="136"/>
      <c r="ET90" s="136"/>
      <c r="EU90" s="136"/>
      <c r="EV90" s="136"/>
      <c r="EW90" s="136"/>
      <c r="EX90" s="136"/>
      <c r="EY90" s="136"/>
      <c r="EZ90" s="136"/>
      <c r="FA90" s="136"/>
      <c r="FB90" s="136"/>
      <c r="FC90" s="136"/>
      <c r="FD90" s="136"/>
      <c r="FE90" s="136"/>
      <c r="FF90" s="136"/>
      <c r="FG90" s="136"/>
      <c r="FH90" s="136"/>
      <c r="FI90" s="136"/>
      <c r="FJ90" s="136"/>
      <c r="FK90" s="136"/>
      <c r="FL90" s="136"/>
      <c r="FM90" s="136"/>
      <c r="FN90" s="136"/>
      <c r="FO90" s="136"/>
      <c r="FP90" s="136"/>
      <c r="FQ90" s="136"/>
      <c r="FR90" s="136"/>
      <c r="FS90" s="136"/>
      <c r="FT90" s="136"/>
      <c r="FU90" s="136"/>
      <c r="FV90" s="136"/>
      <c r="FW90" s="136"/>
      <c r="FX90" s="136"/>
      <c r="FY90" s="136"/>
      <c r="FZ90" s="136"/>
      <c r="GA90" s="136"/>
      <c r="GB90" s="136"/>
      <c r="GC90" s="136"/>
      <c r="GD90" s="136"/>
      <c r="GE90" s="136"/>
      <c r="GF90" s="136"/>
      <c r="GG90" s="136"/>
      <c r="GH90" s="136"/>
      <c r="GI90" s="136"/>
      <c r="GJ90" s="136"/>
      <c r="GK90" s="136"/>
      <c r="GL90" s="136"/>
      <c r="GM90" s="136"/>
      <c r="GN90" s="136"/>
      <c r="GO90" s="136"/>
      <c r="GP90" s="136"/>
      <c r="GQ90" s="136"/>
      <c r="GR90" s="136"/>
      <c r="GS90" s="136"/>
      <c r="GT90" s="136"/>
      <c r="GU90" s="136"/>
      <c r="GV90" s="136"/>
      <c r="GW90" s="136"/>
      <c r="GX90" s="136"/>
      <c r="GY90" s="136"/>
      <c r="GZ90" s="136"/>
      <c r="HA90" s="136"/>
      <c r="HB90" s="136"/>
      <c r="HC90" s="136"/>
      <c r="HD90" s="136"/>
      <c r="HE90" s="136"/>
      <c r="HF90" s="136"/>
      <c r="HG90" s="136"/>
      <c r="HH90" s="136"/>
      <c r="HI90" s="136"/>
      <c r="HJ90" s="136"/>
      <c r="HK90" s="136"/>
      <c r="HL90" s="136"/>
      <c r="HM90" s="136"/>
      <c r="HN90" s="136"/>
      <c r="HO90" s="136"/>
      <c r="HP90" s="136"/>
      <c r="HQ90" s="136"/>
      <c r="HR90" s="136"/>
      <c r="HS90" s="136"/>
      <c r="HT90" s="136"/>
      <c r="HU90" s="136"/>
      <c r="HV90" s="136"/>
      <c r="HW90" s="136"/>
      <c r="HX90" s="136"/>
      <c r="HY90" s="136"/>
      <c r="HZ90" s="136"/>
      <c r="IA90" s="136"/>
      <c r="IB90" s="136"/>
      <c r="IC90" s="136"/>
      <c r="ID90" s="136"/>
      <c r="IE90" s="136"/>
      <c r="IF90" s="136"/>
      <c r="IG90" s="136"/>
      <c r="IH90" s="136"/>
      <c r="II90" s="136"/>
      <c r="IJ90" s="136"/>
      <c r="IK90" s="136"/>
      <c r="IL90" s="136"/>
      <c r="IM90" s="136"/>
      <c r="IN90" s="136"/>
      <c r="IO90" s="136"/>
      <c r="IP90" s="136"/>
      <c r="IQ90" s="136"/>
      <c r="IR90" s="136"/>
      <c r="IS90" s="136"/>
      <c r="IT90" s="136"/>
      <c r="IU90" s="136"/>
      <c r="IV90" s="136"/>
    </row>
    <row r="91" spans="1:256" ht="18">
      <c r="A91" s="161"/>
      <c r="B91" s="151"/>
      <c r="C91" s="155" t="s">
        <v>30</v>
      </c>
      <c r="D91" s="124" t="s">
        <v>23</v>
      </c>
      <c r="E91" s="206">
        <v>0.10100000000000001</v>
      </c>
      <c r="F91" s="204">
        <f>F89*E91</f>
        <v>0.2424</v>
      </c>
      <c r="G91" s="204"/>
      <c r="H91" s="204"/>
      <c r="I91" s="204"/>
      <c r="J91" s="204"/>
      <c r="K91" s="204"/>
      <c r="L91" s="204"/>
      <c r="M91" s="204"/>
      <c r="N91" s="202"/>
      <c r="O91" s="23"/>
      <c r="P91" s="23"/>
      <c r="Q91" s="23"/>
      <c r="R91" s="23"/>
      <c r="S91" s="23"/>
      <c r="T91" s="23"/>
      <c r="U91" s="23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  <c r="DM91" s="136"/>
      <c r="DN91" s="136"/>
      <c r="DO91" s="136"/>
      <c r="DP91" s="136"/>
      <c r="DQ91" s="136"/>
      <c r="DR91" s="136"/>
      <c r="DS91" s="136"/>
      <c r="DT91" s="136"/>
      <c r="DU91" s="136"/>
      <c r="DV91" s="136"/>
      <c r="DW91" s="136"/>
      <c r="DX91" s="136"/>
      <c r="DY91" s="136"/>
      <c r="DZ91" s="136"/>
      <c r="EA91" s="136"/>
      <c r="EB91" s="136"/>
      <c r="EC91" s="136"/>
      <c r="ED91" s="136"/>
      <c r="EE91" s="136"/>
      <c r="EF91" s="136"/>
      <c r="EG91" s="136"/>
      <c r="EH91" s="136"/>
      <c r="EI91" s="136"/>
      <c r="EJ91" s="136"/>
      <c r="EK91" s="136"/>
      <c r="EL91" s="136"/>
      <c r="EM91" s="136"/>
      <c r="EN91" s="136"/>
      <c r="EO91" s="136"/>
      <c r="EP91" s="136"/>
      <c r="EQ91" s="136"/>
      <c r="ER91" s="136"/>
      <c r="ES91" s="136"/>
      <c r="ET91" s="136"/>
      <c r="EU91" s="136"/>
      <c r="EV91" s="136"/>
      <c r="EW91" s="136"/>
      <c r="EX91" s="136"/>
      <c r="EY91" s="136"/>
      <c r="EZ91" s="136"/>
      <c r="FA91" s="136"/>
      <c r="FB91" s="136"/>
      <c r="FC91" s="136"/>
      <c r="FD91" s="136"/>
      <c r="FE91" s="136"/>
      <c r="FF91" s="136"/>
      <c r="FG91" s="136"/>
      <c r="FH91" s="136"/>
      <c r="FI91" s="136"/>
      <c r="FJ91" s="136"/>
      <c r="FK91" s="136"/>
      <c r="FL91" s="136"/>
      <c r="FM91" s="136"/>
      <c r="FN91" s="136"/>
      <c r="FO91" s="136"/>
      <c r="FP91" s="136"/>
      <c r="FQ91" s="136"/>
      <c r="FR91" s="136"/>
      <c r="FS91" s="136"/>
      <c r="FT91" s="136"/>
      <c r="FU91" s="136"/>
      <c r="FV91" s="136"/>
      <c r="FW91" s="136"/>
      <c r="FX91" s="136"/>
      <c r="FY91" s="136"/>
      <c r="FZ91" s="136"/>
      <c r="GA91" s="136"/>
      <c r="GB91" s="136"/>
      <c r="GC91" s="136"/>
      <c r="GD91" s="136"/>
      <c r="GE91" s="136"/>
      <c r="GF91" s="136"/>
      <c r="GG91" s="136"/>
      <c r="GH91" s="136"/>
      <c r="GI91" s="136"/>
      <c r="GJ91" s="136"/>
      <c r="GK91" s="136"/>
      <c r="GL91" s="136"/>
      <c r="GM91" s="136"/>
      <c r="GN91" s="136"/>
      <c r="GO91" s="136"/>
      <c r="GP91" s="136"/>
      <c r="GQ91" s="136"/>
      <c r="GR91" s="136"/>
      <c r="GS91" s="136"/>
      <c r="GT91" s="136"/>
      <c r="GU91" s="136"/>
      <c r="GV91" s="136"/>
      <c r="GW91" s="136"/>
      <c r="GX91" s="136"/>
      <c r="GY91" s="136"/>
      <c r="GZ91" s="136"/>
      <c r="HA91" s="136"/>
      <c r="HB91" s="136"/>
      <c r="HC91" s="136"/>
      <c r="HD91" s="136"/>
      <c r="HE91" s="136"/>
      <c r="HF91" s="136"/>
      <c r="HG91" s="136"/>
      <c r="HH91" s="136"/>
      <c r="HI91" s="136"/>
      <c r="HJ91" s="136"/>
      <c r="HK91" s="136"/>
      <c r="HL91" s="136"/>
      <c r="HM91" s="136"/>
      <c r="HN91" s="136"/>
      <c r="HO91" s="136"/>
      <c r="HP91" s="136"/>
      <c r="HQ91" s="136"/>
      <c r="HR91" s="136"/>
      <c r="HS91" s="136"/>
      <c r="HT91" s="136"/>
      <c r="HU91" s="136"/>
      <c r="HV91" s="136"/>
      <c r="HW91" s="136"/>
      <c r="HX91" s="136"/>
      <c r="HY91" s="136"/>
      <c r="HZ91" s="136"/>
      <c r="IA91" s="136"/>
      <c r="IB91" s="136"/>
      <c r="IC91" s="136"/>
      <c r="ID91" s="136"/>
      <c r="IE91" s="136"/>
      <c r="IF91" s="136"/>
      <c r="IG91" s="136"/>
      <c r="IH91" s="136"/>
      <c r="II91" s="136"/>
      <c r="IJ91" s="136"/>
      <c r="IK91" s="136"/>
      <c r="IL91" s="136"/>
      <c r="IM91" s="136"/>
      <c r="IN91" s="136"/>
      <c r="IO91" s="136"/>
      <c r="IP91" s="136"/>
      <c r="IQ91" s="136"/>
      <c r="IR91" s="136"/>
      <c r="IS91" s="136"/>
      <c r="IT91" s="136"/>
      <c r="IU91" s="136"/>
      <c r="IV91" s="136"/>
    </row>
    <row r="92" spans="1:256" ht="18">
      <c r="A92" s="161"/>
      <c r="B92" s="151"/>
      <c r="C92" s="153" t="s">
        <v>36</v>
      </c>
      <c r="D92" s="144"/>
      <c r="E92" s="206"/>
      <c r="F92" s="204"/>
      <c r="G92" s="204"/>
      <c r="H92" s="204"/>
      <c r="I92" s="204"/>
      <c r="J92" s="204"/>
      <c r="K92" s="204"/>
      <c r="L92" s="204"/>
      <c r="M92" s="204"/>
      <c r="N92" s="202"/>
      <c r="O92" s="23"/>
      <c r="P92" s="23"/>
      <c r="Q92" s="23"/>
      <c r="R92" s="23"/>
      <c r="S92" s="23"/>
      <c r="T92" s="23"/>
      <c r="U92" s="23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36"/>
      <c r="EU92" s="136"/>
      <c r="EV92" s="136"/>
      <c r="EW92" s="136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  <c r="FZ92" s="136"/>
      <c r="GA92" s="136"/>
      <c r="GB92" s="136"/>
      <c r="GC92" s="136"/>
      <c r="GD92" s="136"/>
      <c r="GE92" s="136"/>
      <c r="GF92" s="136"/>
      <c r="GG92" s="136"/>
      <c r="GH92" s="136"/>
      <c r="GI92" s="136"/>
      <c r="GJ92" s="136"/>
      <c r="GK92" s="136"/>
      <c r="GL92" s="136"/>
      <c r="GM92" s="136"/>
      <c r="GN92" s="136"/>
      <c r="GO92" s="136"/>
      <c r="GP92" s="136"/>
      <c r="GQ92" s="136"/>
      <c r="GR92" s="136"/>
      <c r="GS92" s="136"/>
      <c r="GT92" s="136"/>
      <c r="GU92" s="136"/>
      <c r="GV92" s="136"/>
      <c r="GW92" s="136"/>
      <c r="GX92" s="136"/>
      <c r="GY92" s="136"/>
      <c r="GZ92" s="136"/>
      <c r="HA92" s="136"/>
      <c r="HB92" s="136"/>
      <c r="HC92" s="136"/>
      <c r="HD92" s="136"/>
      <c r="HE92" s="136"/>
      <c r="HF92" s="136"/>
      <c r="HG92" s="136"/>
      <c r="HH92" s="136"/>
      <c r="HI92" s="136"/>
      <c r="HJ92" s="136"/>
      <c r="HK92" s="136"/>
      <c r="HL92" s="136"/>
      <c r="HM92" s="136"/>
      <c r="HN92" s="136"/>
      <c r="HO92" s="136"/>
      <c r="HP92" s="136"/>
      <c r="HQ92" s="136"/>
      <c r="HR92" s="136"/>
      <c r="HS92" s="136"/>
      <c r="HT92" s="136"/>
      <c r="HU92" s="136"/>
      <c r="HV92" s="136"/>
      <c r="HW92" s="136"/>
      <c r="HX92" s="136"/>
      <c r="HY92" s="136"/>
      <c r="HZ92" s="136"/>
      <c r="IA92" s="136"/>
      <c r="IB92" s="136"/>
      <c r="IC92" s="136"/>
      <c r="ID92" s="136"/>
      <c r="IE92" s="136"/>
      <c r="IF92" s="136"/>
      <c r="IG92" s="136"/>
      <c r="IH92" s="136"/>
      <c r="II92" s="136"/>
      <c r="IJ92" s="136"/>
      <c r="IK92" s="136"/>
      <c r="IL92" s="136"/>
      <c r="IM92" s="136"/>
      <c r="IN92" s="136"/>
      <c r="IO92" s="136"/>
      <c r="IP92" s="136"/>
      <c r="IQ92" s="136"/>
      <c r="IR92" s="136"/>
      <c r="IS92" s="136"/>
      <c r="IT92" s="136"/>
      <c r="IU92" s="136"/>
      <c r="IV92" s="136"/>
    </row>
    <row r="93" spans="1:256" ht="49.5">
      <c r="A93" s="142"/>
      <c r="B93" s="81"/>
      <c r="C93" s="160" t="s">
        <v>114</v>
      </c>
      <c r="D93" s="186" t="s">
        <v>61</v>
      </c>
      <c r="E93" s="206">
        <v>1.1000000000000001</v>
      </c>
      <c r="F93" s="204">
        <v>2.64</v>
      </c>
      <c r="G93" s="204"/>
      <c r="H93" s="204"/>
      <c r="I93" s="204"/>
      <c r="J93" s="204"/>
      <c r="K93" s="204"/>
      <c r="L93" s="204"/>
      <c r="M93" s="204"/>
      <c r="N93" s="202"/>
      <c r="O93" s="23"/>
      <c r="P93" s="23"/>
      <c r="Q93" s="23"/>
      <c r="R93" s="23"/>
      <c r="S93" s="23"/>
      <c r="T93" s="23"/>
      <c r="U93" s="23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6"/>
      <c r="DT93" s="136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  <c r="EJ93" s="136"/>
      <c r="EK93" s="136"/>
      <c r="EL93" s="136"/>
      <c r="EM93" s="136"/>
      <c r="EN93" s="136"/>
      <c r="EO93" s="136"/>
      <c r="EP93" s="136"/>
      <c r="EQ93" s="136"/>
      <c r="ER93" s="136"/>
      <c r="ES93" s="136"/>
      <c r="ET93" s="136"/>
      <c r="EU93" s="136"/>
      <c r="EV93" s="136"/>
      <c r="EW93" s="136"/>
      <c r="EX93" s="136"/>
      <c r="EY93" s="136"/>
      <c r="EZ93" s="136"/>
      <c r="FA93" s="136"/>
      <c r="FB93" s="136"/>
      <c r="FC93" s="136"/>
      <c r="FD93" s="136"/>
      <c r="FE93" s="136"/>
      <c r="FF93" s="136"/>
      <c r="FG93" s="136"/>
      <c r="FH93" s="136"/>
      <c r="FI93" s="136"/>
      <c r="FJ93" s="136"/>
      <c r="FK93" s="136"/>
      <c r="FL93" s="136"/>
      <c r="FM93" s="136"/>
      <c r="FN93" s="136"/>
      <c r="FO93" s="136"/>
      <c r="FP93" s="136"/>
      <c r="FQ93" s="136"/>
      <c r="FR93" s="136"/>
      <c r="FS93" s="136"/>
      <c r="FT93" s="136"/>
      <c r="FU93" s="136"/>
      <c r="FV93" s="136"/>
      <c r="FW93" s="136"/>
      <c r="FX93" s="136"/>
      <c r="FY93" s="136"/>
      <c r="FZ93" s="136"/>
      <c r="GA93" s="136"/>
      <c r="GB93" s="136"/>
      <c r="GC93" s="136"/>
      <c r="GD93" s="136"/>
      <c r="GE93" s="136"/>
      <c r="GF93" s="136"/>
      <c r="GG93" s="136"/>
      <c r="GH93" s="136"/>
      <c r="GI93" s="136"/>
      <c r="GJ93" s="136"/>
      <c r="GK93" s="136"/>
      <c r="GL93" s="136"/>
      <c r="GM93" s="136"/>
      <c r="GN93" s="136"/>
      <c r="GO93" s="136"/>
      <c r="GP93" s="136"/>
      <c r="GQ93" s="136"/>
      <c r="GR93" s="136"/>
      <c r="GS93" s="136"/>
      <c r="GT93" s="136"/>
      <c r="GU93" s="136"/>
      <c r="GV93" s="136"/>
      <c r="GW93" s="136"/>
      <c r="GX93" s="136"/>
      <c r="GY93" s="136"/>
      <c r="GZ93" s="136"/>
      <c r="HA93" s="136"/>
      <c r="HB93" s="136"/>
      <c r="HC93" s="136"/>
      <c r="HD93" s="136"/>
      <c r="HE93" s="136"/>
      <c r="HF93" s="136"/>
      <c r="HG93" s="136"/>
      <c r="HH93" s="136"/>
      <c r="HI93" s="136"/>
      <c r="HJ93" s="136"/>
      <c r="HK93" s="136"/>
      <c r="HL93" s="136"/>
      <c r="HM93" s="136"/>
      <c r="HN93" s="136"/>
      <c r="HO93" s="136"/>
      <c r="HP93" s="136"/>
      <c r="HQ93" s="136"/>
      <c r="HR93" s="136"/>
      <c r="HS93" s="136"/>
      <c r="HT93" s="136"/>
      <c r="HU93" s="136"/>
      <c r="HV93" s="136"/>
      <c r="HW93" s="136"/>
      <c r="HX93" s="136"/>
      <c r="HY93" s="136"/>
      <c r="HZ93" s="136"/>
      <c r="IA93" s="136"/>
      <c r="IB93" s="136"/>
      <c r="IC93" s="136"/>
      <c r="ID93" s="136"/>
      <c r="IE93" s="136"/>
      <c r="IF93" s="136"/>
      <c r="IG93" s="136"/>
      <c r="IH93" s="136"/>
      <c r="II93" s="136"/>
      <c r="IJ93" s="136"/>
      <c r="IK93" s="136"/>
      <c r="IL93" s="136"/>
      <c r="IM93" s="136"/>
      <c r="IN93" s="136"/>
      <c r="IO93" s="136"/>
      <c r="IP93" s="136"/>
      <c r="IQ93" s="136"/>
      <c r="IR93" s="136"/>
      <c r="IS93" s="136"/>
      <c r="IT93" s="136"/>
      <c r="IU93" s="136"/>
      <c r="IV93" s="136"/>
    </row>
    <row r="94" spans="1:256" ht="18">
      <c r="A94" s="150"/>
      <c r="C94" s="165" t="s">
        <v>21</v>
      </c>
      <c r="D94" s="166"/>
      <c r="E94" s="204"/>
      <c r="F94" s="204"/>
      <c r="G94" s="204"/>
      <c r="H94" s="203"/>
      <c r="I94" s="203"/>
      <c r="J94" s="203"/>
      <c r="K94" s="203"/>
      <c r="L94" s="203"/>
      <c r="M94" s="203"/>
      <c r="N94" s="202"/>
      <c r="O94" s="23"/>
      <c r="P94" s="23"/>
      <c r="Q94" s="23"/>
      <c r="R94" s="23"/>
      <c r="S94" s="23"/>
      <c r="T94" s="23"/>
      <c r="U94" s="23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  <c r="DM94" s="136"/>
      <c r="DN94" s="136"/>
      <c r="DO94" s="136"/>
      <c r="DP94" s="136"/>
      <c r="DQ94" s="136"/>
      <c r="DR94" s="136"/>
      <c r="DS94" s="136"/>
      <c r="DT94" s="136"/>
      <c r="DU94" s="136"/>
      <c r="DV94" s="136"/>
      <c r="DW94" s="136"/>
      <c r="DX94" s="136"/>
      <c r="DY94" s="136"/>
      <c r="DZ94" s="136"/>
      <c r="EA94" s="136"/>
      <c r="EB94" s="136"/>
      <c r="EC94" s="136"/>
      <c r="ED94" s="136"/>
      <c r="EE94" s="136"/>
      <c r="EF94" s="136"/>
      <c r="EG94" s="136"/>
      <c r="EH94" s="136"/>
      <c r="EI94" s="136"/>
      <c r="EJ94" s="136"/>
      <c r="EK94" s="136"/>
      <c r="EL94" s="136"/>
      <c r="EM94" s="136"/>
      <c r="EN94" s="136"/>
      <c r="EO94" s="136"/>
      <c r="EP94" s="136"/>
      <c r="EQ94" s="136"/>
      <c r="ER94" s="136"/>
      <c r="ES94" s="136"/>
      <c r="ET94" s="136"/>
      <c r="EU94" s="136"/>
      <c r="EV94" s="136"/>
      <c r="EW94" s="136"/>
      <c r="EX94" s="136"/>
      <c r="EY94" s="136"/>
      <c r="EZ94" s="136"/>
      <c r="FA94" s="136"/>
      <c r="FB94" s="136"/>
      <c r="FC94" s="136"/>
      <c r="FD94" s="136"/>
      <c r="FE94" s="136"/>
      <c r="FF94" s="136"/>
      <c r="FG94" s="136"/>
      <c r="FH94" s="136"/>
      <c r="FI94" s="136"/>
      <c r="FJ94" s="136"/>
      <c r="FK94" s="136"/>
      <c r="FL94" s="136"/>
      <c r="FM94" s="136"/>
      <c r="FN94" s="136"/>
      <c r="FO94" s="136"/>
      <c r="FP94" s="136"/>
      <c r="FQ94" s="136"/>
      <c r="FR94" s="136"/>
      <c r="FS94" s="136"/>
      <c r="FT94" s="136"/>
      <c r="FU94" s="136"/>
      <c r="FV94" s="136"/>
      <c r="FW94" s="136"/>
      <c r="FX94" s="136"/>
      <c r="FY94" s="136"/>
      <c r="FZ94" s="136"/>
      <c r="GA94" s="136"/>
      <c r="GB94" s="136"/>
      <c r="GC94" s="136"/>
      <c r="GD94" s="136"/>
      <c r="GE94" s="136"/>
      <c r="GF94" s="136"/>
      <c r="GG94" s="136"/>
      <c r="GH94" s="136"/>
      <c r="GI94" s="136"/>
      <c r="GJ94" s="136"/>
      <c r="GK94" s="136"/>
      <c r="GL94" s="136"/>
      <c r="GM94" s="136"/>
      <c r="GN94" s="136"/>
      <c r="GO94" s="136"/>
      <c r="GP94" s="136"/>
      <c r="GQ94" s="136"/>
      <c r="GR94" s="136"/>
      <c r="GS94" s="136"/>
      <c r="GT94" s="136"/>
      <c r="GU94" s="136"/>
      <c r="GV94" s="136"/>
      <c r="GW94" s="136"/>
      <c r="GX94" s="136"/>
      <c r="GY94" s="136"/>
      <c r="GZ94" s="136"/>
      <c r="HA94" s="136"/>
      <c r="HB94" s="136"/>
      <c r="HC94" s="136"/>
      <c r="HD94" s="136"/>
      <c r="HE94" s="136"/>
      <c r="HF94" s="136"/>
      <c r="HG94" s="136"/>
      <c r="HH94" s="136"/>
      <c r="HI94" s="136"/>
      <c r="HJ94" s="136"/>
      <c r="HK94" s="136"/>
      <c r="HL94" s="136"/>
      <c r="HM94" s="136"/>
      <c r="HN94" s="136"/>
      <c r="HO94" s="136"/>
      <c r="HP94" s="136"/>
      <c r="HQ94" s="136"/>
      <c r="HR94" s="136"/>
      <c r="HS94" s="136"/>
      <c r="HT94" s="136"/>
      <c r="HU94" s="136"/>
      <c r="HV94" s="136"/>
      <c r="HW94" s="136"/>
      <c r="HX94" s="136"/>
      <c r="HY94" s="136"/>
      <c r="HZ94" s="136"/>
      <c r="IA94" s="136"/>
      <c r="IB94" s="136"/>
      <c r="IC94" s="136"/>
      <c r="ID94" s="136"/>
      <c r="IE94" s="136"/>
      <c r="IF94" s="136"/>
      <c r="IG94" s="136"/>
      <c r="IH94" s="136"/>
      <c r="II94" s="136"/>
      <c r="IJ94" s="136"/>
      <c r="IK94" s="136"/>
      <c r="IL94" s="136"/>
      <c r="IM94" s="136"/>
      <c r="IN94" s="136"/>
      <c r="IO94" s="136"/>
      <c r="IP94" s="136"/>
      <c r="IQ94" s="136"/>
      <c r="IR94" s="136"/>
      <c r="IS94" s="136"/>
      <c r="IT94" s="136"/>
      <c r="IU94" s="136"/>
      <c r="IV94" s="136"/>
    </row>
    <row r="95" spans="1:256" ht="18" customHeight="1">
      <c r="A95" s="63"/>
      <c r="B95" s="198"/>
      <c r="C95" s="49" t="s">
        <v>42</v>
      </c>
      <c r="D95" s="49" t="s">
        <v>23</v>
      </c>
      <c r="E95" s="63"/>
      <c r="F95" s="41"/>
      <c r="G95" s="71"/>
      <c r="H95" s="71"/>
      <c r="I95" s="71"/>
      <c r="J95" s="71"/>
      <c r="K95" s="71"/>
      <c r="L95" s="71"/>
      <c r="M95" s="71"/>
      <c r="N95" s="135"/>
      <c r="O95" s="23"/>
      <c r="P95" s="23"/>
      <c r="Q95" s="23"/>
      <c r="R95" s="23"/>
      <c r="S95" s="23"/>
      <c r="T95" s="23"/>
      <c r="U95" s="23"/>
    </row>
    <row r="96" spans="1:256" ht="18" customHeight="1">
      <c r="A96" s="74"/>
      <c r="B96" s="75"/>
      <c r="C96" s="76" t="s">
        <v>117</v>
      </c>
      <c r="D96" s="77"/>
      <c r="E96" s="78"/>
      <c r="F96" s="79"/>
      <c r="G96" s="79"/>
      <c r="H96" s="79"/>
      <c r="I96" s="79"/>
      <c r="J96" s="79"/>
      <c r="K96" s="79"/>
      <c r="L96" s="79"/>
      <c r="M96" s="79"/>
      <c r="N96" s="135"/>
      <c r="O96" s="23"/>
      <c r="P96" s="23"/>
      <c r="Q96" s="23"/>
      <c r="R96" s="23"/>
      <c r="S96" s="23"/>
      <c r="T96" s="23"/>
      <c r="U96" s="23"/>
    </row>
    <row r="97" spans="1:21" ht="108">
      <c r="A97" s="11">
        <v>1</v>
      </c>
      <c r="B97" s="183" t="s">
        <v>68</v>
      </c>
      <c r="C97" s="17" t="s">
        <v>69</v>
      </c>
      <c r="D97" s="18" t="s">
        <v>75</v>
      </c>
      <c r="E97" s="18"/>
      <c r="F97" s="222">
        <f>947.74/1.22</f>
        <v>776.8360655737705</v>
      </c>
      <c r="G97" s="80"/>
      <c r="H97" s="80"/>
      <c r="I97" s="80"/>
      <c r="J97" s="80"/>
      <c r="K97" s="80"/>
      <c r="L97" s="80"/>
      <c r="M97" s="80"/>
      <c r="N97" s="202"/>
      <c r="O97" s="23"/>
      <c r="P97" s="23"/>
      <c r="Q97" s="23"/>
      <c r="R97" s="23"/>
      <c r="S97" s="23"/>
      <c r="T97" s="23"/>
      <c r="U97" s="23"/>
    </row>
    <row r="98" spans="1:21" ht="18" customHeight="1">
      <c r="A98" s="5"/>
      <c r="B98" s="6"/>
      <c r="C98" s="7" t="s">
        <v>19</v>
      </c>
      <c r="D98" s="12" t="s">
        <v>20</v>
      </c>
      <c r="E98" s="16">
        <f>15/100</f>
        <v>0.15</v>
      </c>
      <c r="F98" s="80">
        <f>F97*E98</f>
        <v>116.52540983606556</v>
      </c>
      <c r="G98" s="80"/>
      <c r="H98" s="80"/>
      <c r="I98" s="80"/>
      <c r="J98" s="41"/>
      <c r="K98" s="80"/>
      <c r="L98" s="80"/>
      <c r="M98" s="41"/>
      <c r="N98" s="202"/>
      <c r="O98" s="23"/>
      <c r="P98" s="23"/>
      <c r="Q98" s="23"/>
      <c r="R98" s="23"/>
      <c r="S98" s="23"/>
      <c r="T98" s="23"/>
      <c r="U98" s="23"/>
    </row>
    <row r="99" spans="1:21" ht="18">
      <c r="A99" s="5"/>
      <c r="B99" s="8"/>
      <c r="C99" s="7" t="s">
        <v>43</v>
      </c>
      <c r="D99" s="187" t="s">
        <v>27</v>
      </c>
      <c r="E99" s="16">
        <f>2.16/100</f>
        <v>2.1600000000000001E-2</v>
      </c>
      <c r="F99" s="80">
        <f>F97*E99</f>
        <v>16.779659016393445</v>
      </c>
      <c r="G99" s="80"/>
      <c r="H99" s="80"/>
      <c r="I99" s="80"/>
      <c r="J99" s="80"/>
      <c r="K99" s="41"/>
      <c r="L99" s="41"/>
      <c r="M99" s="41"/>
      <c r="N99" s="202"/>
      <c r="O99" s="23"/>
      <c r="P99" s="23"/>
      <c r="Q99" s="23"/>
      <c r="R99" s="23"/>
      <c r="S99" s="23"/>
      <c r="T99" s="23"/>
      <c r="U99" s="23"/>
    </row>
    <row r="100" spans="1:21" ht="36">
      <c r="A100" s="5"/>
      <c r="B100" s="8"/>
      <c r="C100" s="59" t="s">
        <v>81</v>
      </c>
      <c r="D100" s="187" t="s">
        <v>27</v>
      </c>
      <c r="E100" s="16">
        <f>2.73/100</f>
        <v>2.7300000000000001E-2</v>
      </c>
      <c r="F100" s="80">
        <f>E100*F97</f>
        <v>21.207624590163935</v>
      </c>
      <c r="G100" s="80"/>
      <c r="H100" s="80"/>
      <c r="I100" s="80"/>
      <c r="J100" s="80"/>
      <c r="K100" s="80"/>
      <c r="L100" s="41"/>
      <c r="M100" s="41"/>
      <c r="N100" s="202"/>
      <c r="O100" s="23"/>
      <c r="P100" s="23"/>
      <c r="Q100" s="23"/>
      <c r="R100" s="23"/>
      <c r="S100" s="23"/>
      <c r="T100" s="23"/>
      <c r="U100" s="23"/>
    </row>
    <row r="101" spans="1:21" ht="18">
      <c r="A101" s="5"/>
      <c r="B101" s="8"/>
      <c r="C101" s="7" t="s">
        <v>44</v>
      </c>
      <c r="D101" s="187" t="s">
        <v>27</v>
      </c>
      <c r="E101" s="16">
        <f>0.97/100</f>
        <v>9.7000000000000003E-3</v>
      </c>
      <c r="F101" s="80">
        <f>F97*E101</f>
        <v>7.5353098360655739</v>
      </c>
      <c r="G101" s="80"/>
      <c r="H101" s="80"/>
      <c r="I101" s="80"/>
      <c r="J101" s="80"/>
      <c r="K101" s="80"/>
      <c r="L101" s="41"/>
      <c r="M101" s="41"/>
      <c r="N101" s="202"/>
      <c r="O101" s="23"/>
      <c r="P101" s="23"/>
      <c r="Q101" s="23"/>
      <c r="R101" s="23"/>
      <c r="S101" s="23"/>
      <c r="T101" s="23"/>
      <c r="U101" s="23"/>
    </row>
    <row r="102" spans="1:21" ht="18">
      <c r="A102" s="5"/>
      <c r="B102" s="6"/>
      <c r="C102" s="12" t="s">
        <v>36</v>
      </c>
      <c r="D102" s="9"/>
      <c r="E102" s="12"/>
      <c r="F102" s="80"/>
      <c r="G102" s="80"/>
      <c r="H102" s="80"/>
      <c r="I102" s="80"/>
      <c r="J102" s="80"/>
      <c r="K102" s="80"/>
      <c r="L102" s="80"/>
      <c r="M102" s="80"/>
      <c r="N102" s="202"/>
      <c r="O102" s="23"/>
      <c r="P102" s="23"/>
      <c r="Q102" s="23"/>
      <c r="R102" s="23"/>
      <c r="S102" s="23"/>
      <c r="T102" s="23"/>
      <c r="U102" s="23"/>
    </row>
    <row r="103" spans="1:21" ht="54">
      <c r="A103" s="11"/>
      <c r="B103" s="81"/>
      <c r="C103" s="14" t="s">
        <v>65</v>
      </c>
      <c r="D103" s="12" t="s">
        <v>61</v>
      </c>
      <c r="E103" s="12">
        <v>1.22</v>
      </c>
      <c r="F103" s="80">
        <f>F97*E103</f>
        <v>947.74</v>
      </c>
      <c r="G103" s="80"/>
      <c r="H103" s="80"/>
      <c r="I103" s="80"/>
      <c r="J103" s="80"/>
      <c r="K103" s="80"/>
      <c r="L103" s="80"/>
      <c r="M103" s="41"/>
      <c r="N103" s="202"/>
      <c r="O103" s="23"/>
      <c r="P103" s="23"/>
      <c r="Q103" s="23"/>
      <c r="R103" s="23"/>
      <c r="S103" s="23"/>
      <c r="T103" s="23"/>
      <c r="U103" s="23"/>
    </row>
    <row r="104" spans="1:21" ht="18" customHeight="1">
      <c r="A104" s="5"/>
      <c r="B104" s="6"/>
      <c r="C104" s="15" t="s">
        <v>45</v>
      </c>
      <c r="D104" s="12" t="s">
        <v>61</v>
      </c>
      <c r="E104" s="13">
        <v>7.0000000000000007E-2</v>
      </c>
      <c r="F104" s="80">
        <f>F97*E104</f>
        <v>54.378524590163941</v>
      </c>
      <c r="G104" s="41"/>
      <c r="H104" s="80"/>
      <c r="I104" s="80"/>
      <c r="J104" s="80"/>
      <c r="K104" s="80"/>
      <c r="L104" s="80"/>
      <c r="M104" s="41"/>
      <c r="N104" s="202"/>
      <c r="O104" s="23"/>
      <c r="P104" s="23"/>
      <c r="Q104" s="23"/>
      <c r="R104" s="23"/>
      <c r="S104" s="23"/>
      <c r="T104" s="23"/>
      <c r="U104" s="23"/>
    </row>
    <row r="105" spans="1:21" ht="62.25" customHeight="1">
      <c r="A105" s="5">
        <v>2</v>
      </c>
      <c r="B105" s="10" t="s">
        <v>46</v>
      </c>
      <c r="C105" s="19" t="s">
        <v>67</v>
      </c>
      <c r="D105" s="20" t="s">
        <v>76</v>
      </c>
      <c r="E105" s="11"/>
      <c r="F105" s="223">
        <v>6346.67</v>
      </c>
      <c r="G105" s="80"/>
      <c r="H105" s="80"/>
      <c r="I105" s="80"/>
      <c r="J105" s="80"/>
      <c r="K105" s="80"/>
      <c r="L105" s="80"/>
      <c r="M105" s="80"/>
      <c r="N105" s="135"/>
      <c r="O105" s="23"/>
      <c r="P105" s="23"/>
      <c r="Q105" s="23"/>
      <c r="R105" s="23"/>
      <c r="S105" s="23"/>
      <c r="T105" s="23"/>
      <c r="U105" s="23"/>
    </row>
    <row r="106" spans="1:21" ht="18">
      <c r="A106" s="5"/>
      <c r="B106" s="6"/>
      <c r="C106" s="7" t="s">
        <v>19</v>
      </c>
      <c r="D106" s="12" t="s">
        <v>20</v>
      </c>
      <c r="E106" s="12">
        <f>33/1000</f>
        <v>3.3000000000000002E-2</v>
      </c>
      <c r="F106" s="80">
        <f>F105*E106</f>
        <v>209.44011</v>
      </c>
      <c r="G106" s="80"/>
      <c r="H106" s="80"/>
      <c r="I106" s="80"/>
      <c r="J106" s="41"/>
      <c r="K106" s="80"/>
      <c r="L106" s="80"/>
      <c r="M106" s="41"/>
      <c r="N106" s="135"/>
      <c r="O106" s="23"/>
      <c r="P106" s="23"/>
      <c r="Q106" s="23"/>
      <c r="R106" s="23"/>
      <c r="S106" s="23"/>
      <c r="T106" s="23"/>
      <c r="U106" s="23"/>
    </row>
    <row r="107" spans="1:21" ht="18">
      <c r="A107" s="5"/>
      <c r="B107" s="6"/>
      <c r="C107" s="15" t="s">
        <v>47</v>
      </c>
      <c r="D107" s="187" t="s">
        <v>27</v>
      </c>
      <c r="E107" s="12">
        <f>2.58/1000</f>
        <v>2.5800000000000003E-3</v>
      </c>
      <c r="F107" s="80">
        <f>F105*E107</f>
        <v>16.374408600000002</v>
      </c>
      <c r="G107" s="80"/>
      <c r="H107" s="80"/>
      <c r="I107" s="80"/>
      <c r="J107" s="80"/>
      <c r="K107" s="80"/>
      <c r="L107" s="41"/>
      <c r="M107" s="41"/>
      <c r="N107" s="135"/>
      <c r="O107" s="23"/>
      <c r="P107" s="23"/>
      <c r="Q107" s="23"/>
      <c r="R107" s="23"/>
      <c r="S107" s="23"/>
      <c r="T107" s="23"/>
      <c r="U107" s="23"/>
    </row>
    <row r="108" spans="1:21" ht="18">
      <c r="A108" s="5"/>
      <c r="B108" s="8"/>
      <c r="C108" s="7" t="s">
        <v>43</v>
      </c>
      <c r="D108" s="187" t="s">
        <v>27</v>
      </c>
      <c r="E108" s="12">
        <f>0.42/1000</f>
        <v>4.1999999999999996E-4</v>
      </c>
      <c r="F108" s="80">
        <f>F105*E108</f>
        <v>2.6656013999999999</v>
      </c>
      <c r="G108" s="80"/>
      <c r="H108" s="80"/>
      <c r="I108" s="80"/>
      <c r="J108" s="80"/>
      <c r="K108" s="41"/>
      <c r="L108" s="41"/>
      <c r="M108" s="41"/>
      <c r="N108" s="135"/>
      <c r="O108" s="23"/>
      <c r="P108" s="23"/>
      <c r="Q108" s="23"/>
      <c r="R108" s="23"/>
      <c r="S108" s="23"/>
      <c r="T108" s="23"/>
      <c r="U108" s="23"/>
    </row>
    <row r="109" spans="1:21" s="70" customFormat="1" ht="18">
      <c r="A109" s="5"/>
      <c r="B109" s="8"/>
      <c r="C109" s="15" t="s">
        <v>48</v>
      </c>
      <c r="D109" s="187" t="s">
        <v>27</v>
      </c>
      <c r="E109" s="12">
        <f>11.2/1000</f>
        <v>1.12E-2</v>
      </c>
      <c r="F109" s="80">
        <f>E109*F105</f>
        <v>71.082704000000007</v>
      </c>
      <c r="G109" s="80"/>
      <c r="H109" s="80"/>
      <c r="I109" s="80"/>
      <c r="J109" s="80"/>
      <c r="K109" s="80"/>
      <c r="L109" s="41"/>
      <c r="M109" s="41"/>
      <c r="N109" s="135"/>
      <c r="O109" s="23"/>
      <c r="P109" s="23"/>
      <c r="Q109" s="23"/>
      <c r="R109" s="23"/>
      <c r="S109" s="23"/>
      <c r="T109" s="23"/>
      <c r="U109" s="23"/>
    </row>
    <row r="110" spans="1:21" s="70" customFormat="1" ht="18">
      <c r="A110" s="5"/>
      <c r="B110" s="8"/>
      <c r="C110" s="15" t="s">
        <v>49</v>
      </c>
      <c r="D110" s="187" t="s">
        <v>27</v>
      </c>
      <c r="E110" s="12">
        <f>24.8/1000</f>
        <v>2.4799999999999999E-2</v>
      </c>
      <c r="F110" s="80">
        <f>E110*F105</f>
        <v>157.39741599999999</v>
      </c>
      <c r="G110" s="80"/>
      <c r="H110" s="80"/>
      <c r="I110" s="80"/>
      <c r="J110" s="80"/>
      <c r="K110" s="80"/>
      <c r="L110" s="41"/>
      <c r="M110" s="41"/>
      <c r="N110" s="135"/>
      <c r="O110" s="23"/>
      <c r="P110" s="23"/>
      <c r="Q110" s="23"/>
      <c r="R110" s="23"/>
      <c r="S110" s="23"/>
      <c r="T110" s="23"/>
      <c r="U110" s="23"/>
    </row>
    <row r="111" spans="1:21" s="70" customFormat="1" ht="18">
      <c r="A111" s="5"/>
      <c r="B111" s="8"/>
      <c r="C111" s="15" t="s">
        <v>44</v>
      </c>
      <c r="D111" s="187" t="s">
        <v>27</v>
      </c>
      <c r="E111" s="12">
        <f>4.14/1000</f>
        <v>4.1399999999999996E-3</v>
      </c>
      <c r="F111" s="80">
        <f>F105*E111</f>
        <v>26.275213799999996</v>
      </c>
      <c r="G111" s="80"/>
      <c r="H111" s="80"/>
      <c r="I111" s="80"/>
      <c r="J111" s="80"/>
      <c r="K111" s="80"/>
      <c r="L111" s="41"/>
      <c r="M111" s="41"/>
      <c r="N111" s="135"/>
      <c r="O111" s="23"/>
      <c r="P111" s="23"/>
      <c r="Q111" s="23"/>
      <c r="R111" s="23"/>
      <c r="S111" s="23"/>
      <c r="T111" s="23"/>
      <c r="U111" s="23"/>
    </row>
    <row r="112" spans="1:21" s="70" customFormat="1" ht="36">
      <c r="A112" s="5"/>
      <c r="B112" s="8"/>
      <c r="C112" s="82" t="s">
        <v>50</v>
      </c>
      <c r="D112" s="187" t="s">
        <v>27</v>
      </c>
      <c r="E112" s="12">
        <f>0.53/1000</f>
        <v>5.2999999999999998E-4</v>
      </c>
      <c r="F112" s="80">
        <f>F105*E112</f>
        <v>3.3637351</v>
      </c>
      <c r="G112" s="80"/>
      <c r="H112" s="80"/>
      <c r="I112" s="80"/>
      <c r="J112" s="80"/>
      <c r="K112" s="80"/>
      <c r="L112" s="41"/>
      <c r="M112" s="41"/>
      <c r="N112" s="135"/>
      <c r="O112" s="23"/>
      <c r="P112" s="23"/>
      <c r="Q112" s="23"/>
      <c r="R112" s="23"/>
      <c r="S112" s="23"/>
      <c r="T112" s="23"/>
      <c r="U112" s="23"/>
    </row>
    <row r="113" spans="1:21" s="70" customFormat="1" ht="18">
      <c r="A113" s="5"/>
      <c r="B113" s="6"/>
      <c r="C113" s="12" t="s">
        <v>36</v>
      </c>
      <c r="D113" s="9"/>
      <c r="E113" s="12"/>
      <c r="F113" s="80"/>
      <c r="G113" s="80"/>
      <c r="H113" s="80"/>
      <c r="I113" s="80"/>
      <c r="J113" s="80"/>
      <c r="K113" s="80"/>
      <c r="L113" s="80"/>
      <c r="M113" s="80"/>
      <c r="N113" s="135"/>
      <c r="O113" s="23"/>
      <c r="P113" s="23"/>
      <c r="Q113" s="23"/>
      <c r="R113" s="23"/>
      <c r="S113" s="23"/>
      <c r="T113" s="23"/>
      <c r="U113" s="23"/>
    </row>
    <row r="114" spans="1:21" s="70" customFormat="1" ht="36">
      <c r="A114" s="5"/>
      <c r="B114" s="81"/>
      <c r="C114" s="14" t="s">
        <v>51</v>
      </c>
      <c r="D114" s="12" t="s">
        <v>61</v>
      </c>
      <c r="E114" s="124">
        <v>0.126</v>
      </c>
      <c r="F114" s="80">
        <f>F105*E114</f>
        <v>799.68042000000003</v>
      </c>
      <c r="G114" s="80"/>
      <c r="H114" s="80"/>
      <c r="I114" s="80"/>
      <c r="J114" s="80"/>
      <c r="K114" s="80"/>
      <c r="L114" s="80"/>
      <c r="M114" s="41"/>
      <c r="N114" s="135"/>
      <c r="O114" s="23"/>
      <c r="P114" s="23"/>
      <c r="Q114" s="23"/>
      <c r="R114" s="23"/>
      <c r="S114" s="23"/>
      <c r="T114" s="23"/>
      <c r="U114" s="23"/>
    </row>
    <row r="115" spans="1:21" s="70" customFormat="1" ht="20.25">
      <c r="A115" s="5"/>
      <c r="B115" s="6"/>
      <c r="C115" s="15" t="s">
        <v>45</v>
      </c>
      <c r="D115" s="9" t="s">
        <v>63</v>
      </c>
      <c r="E115" s="12">
        <f>30/1000</f>
        <v>0.03</v>
      </c>
      <c r="F115" s="80">
        <f>F105*E115</f>
        <v>190.40010000000001</v>
      </c>
      <c r="G115" s="80"/>
      <c r="H115" s="80"/>
      <c r="I115" s="80"/>
      <c r="J115" s="80"/>
      <c r="K115" s="80"/>
      <c r="L115" s="80"/>
      <c r="M115" s="41"/>
      <c r="N115" s="135"/>
      <c r="O115" s="23"/>
      <c r="P115" s="23"/>
      <c r="Q115" s="23"/>
      <c r="R115" s="23"/>
      <c r="S115" s="23"/>
      <c r="T115" s="23"/>
      <c r="U115" s="23"/>
    </row>
    <row r="116" spans="1:21" s="70" customFormat="1" ht="51.75">
      <c r="A116" s="83">
        <v>3</v>
      </c>
      <c r="B116" s="184" t="s">
        <v>52</v>
      </c>
      <c r="C116" s="84" t="s">
        <v>84</v>
      </c>
      <c r="D116" s="11" t="s">
        <v>37</v>
      </c>
      <c r="E116" s="63"/>
      <c r="F116" s="71">
        <f>F120*0.0006</f>
        <v>3.4955999999999996</v>
      </c>
      <c r="G116" s="41"/>
      <c r="H116" s="41"/>
      <c r="I116" s="41"/>
      <c r="J116" s="41"/>
      <c r="K116" s="41"/>
      <c r="L116" s="41"/>
      <c r="M116" s="41"/>
      <c r="N116" s="135"/>
      <c r="O116" s="23"/>
      <c r="P116" s="23"/>
      <c r="Q116" s="23"/>
      <c r="R116" s="23"/>
      <c r="S116" s="23"/>
      <c r="T116" s="23"/>
      <c r="U116" s="23"/>
    </row>
    <row r="117" spans="1:21" s="70" customFormat="1" ht="18">
      <c r="A117" s="42"/>
      <c r="B117" s="85"/>
      <c r="C117" s="44" t="s">
        <v>53</v>
      </c>
      <c r="D117" s="187" t="s">
        <v>27</v>
      </c>
      <c r="E117" s="86">
        <v>0.3</v>
      </c>
      <c r="F117" s="41">
        <f>F116*E117</f>
        <v>1.0486799999999998</v>
      </c>
      <c r="G117" s="41"/>
      <c r="H117" s="41"/>
      <c r="I117" s="41"/>
      <c r="J117" s="41"/>
      <c r="K117" s="41"/>
      <c r="L117" s="41"/>
      <c r="M117" s="41"/>
      <c r="N117" s="135"/>
      <c r="O117" s="23"/>
      <c r="P117" s="23"/>
      <c r="Q117" s="23"/>
      <c r="R117" s="23"/>
      <c r="S117" s="23"/>
      <c r="T117" s="23"/>
      <c r="U117" s="23"/>
    </row>
    <row r="118" spans="1:21" s="70" customFormat="1" ht="18">
      <c r="A118" s="42"/>
      <c r="B118" s="43"/>
      <c r="C118" s="187" t="s">
        <v>36</v>
      </c>
      <c r="D118" s="87"/>
      <c r="E118" s="188"/>
      <c r="F118" s="41"/>
      <c r="G118" s="41"/>
      <c r="H118" s="41"/>
      <c r="I118" s="41"/>
      <c r="J118" s="41"/>
      <c r="K118" s="41"/>
      <c r="L118" s="41"/>
      <c r="M118" s="41"/>
      <c r="N118" s="135"/>
      <c r="O118" s="23"/>
      <c r="P118" s="23"/>
      <c r="Q118" s="23"/>
      <c r="R118" s="23"/>
      <c r="S118" s="23"/>
      <c r="T118" s="23"/>
      <c r="U118" s="23"/>
    </row>
    <row r="119" spans="1:21" s="70" customFormat="1" ht="18">
      <c r="A119" s="42"/>
      <c r="B119" s="64"/>
      <c r="C119" s="88" t="s">
        <v>41</v>
      </c>
      <c r="D119" s="12" t="s">
        <v>37</v>
      </c>
      <c r="E119" s="89" t="s">
        <v>77</v>
      </c>
      <c r="F119" s="41">
        <f>F116*E119</f>
        <v>3.6004679999999998</v>
      </c>
      <c r="G119" s="41"/>
      <c r="H119" s="80"/>
      <c r="I119" s="41"/>
      <c r="J119" s="41"/>
      <c r="K119" s="41"/>
      <c r="L119" s="41"/>
      <c r="M119" s="41"/>
      <c r="N119" s="135"/>
      <c r="O119" s="23"/>
      <c r="P119" s="23"/>
      <c r="Q119" s="23"/>
      <c r="R119" s="23"/>
      <c r="S119" s="23"/>
      <c r="T119" s="23"/>
      <c r="U119" s="23"/>
    </row>
    <row r="120" spans="1:21" s="70" customFormat="1" ht="82.5">
      <c r="A120" s="72">
        <v>4</v>
      </c>
      <c r="B120" s="90" t="s">
        <v>82</v>
      </c>
      <c r="C120" s="127" t="s">
        <v>87</v>
      </c>
      <c r="D120" s="91" t="s">
        <v>78</v>
      </c>
      <c r="E120" s="63"/>
      <c r="F120" s="71">
        <v>5826</v>
      </c>
      <c r="G120" s="41"/>
      <c r="H120" s="41"/>
      <c r="I120" s="41"/>
      <c r="J120" s="41"/>
      <c r="K120" s="41"/>
      <c r="L120" s="41"/>
      <c r="M120" s="41"/>
      <c r="N120" s="135"/>
      <c r="O120" s="23"/>
      <c r="P120" s="23"/>
      <c r="Q120" s="23"/>
      <c r="R120" s="23"/>
      <c r="S120" s="23"/>
      <c r="T120" s="23"/>
      <c r="U120" s="23"/>
    </row>
    <row r="121" spans="1:21" s="70" customFormat="1" ht="18">
      <c r="A121" s="32"/>
      <c r="B121" s="43"/>
      <c r="C121" s="126" t="s">
        <v>19</v>
      </c>
      <c r="D121" s="187" t="s">
        <v>20</v>
      </c>
      <c r="E121" s="86">
        <f>37.5/1000+2*0.07/1000</f>
        <v>3.764E-2</v>
      </c>
      <c r="F121" s="41">
        <f>F120*E121</f>
        <v>219.29064</v>
      </c>
      <c r="G121" s="41"/>
      <c r="H121" s="41"/>
      <c r="I121" s="41"/>
      <c r="J121" s="41"/>
      <c r="K121" s="41"/>
      <c r="L121" s="41"/>
      <c r="M121" s="41"/>
      <c r="N121" s="135"/>
      <c r="O121" s="23"/>
      <c r="P121" s="23"/>
      <c r="Q121" s="23"/>
      <c r="R121" s="23"/>
      <c r="S121" s="23"/>
      <c r="T121" s="23"/>
      <c r="U121" s="23"/>
    </row>
    <row r="122" spans="1:21" s="70" customFormat="1" ht="18">
      <c r="A122" s="32"/>
      <c r="B122" s="54"/>
      <c r="C122" s="44" t="s">
        <v>48</v>
      </c>
      <c r="D122" s="187" t="s">
        <v>27</v>
      </c>
      <c r="E122" s="86">
        <f t="shared" ref="E122" si="8">3.02/1000</f>
        <v>3.0200000000000001E-3</v>
      </c>
      <c r="F122" s="41">
        <f>E122*F120</f>
        <v>17.594519999999999</v>
      </c>
      <c r="G122" s="41"/>
      <c r="H122" s="41"/>
      <c r="I122" s="41"/>
      <c r="J122" s="41"/>
      <c r="K122" s="41"/>
      <c r="L122" s="41"/>
      <c r="M122" s="41"/>
      <c r="N122" s="135"/>
      <c r="O122" s="23"/>
      <c r="P122" s="23"/>
      <c r="Q122" s="23"/>
      <c r="R122" s="23"/>
      <c r="S122" s="23"/>
      <c r="T122" s="23"/>
      <c r="U122" s="23"/>
    </row>
    <row r="123" spans="1:21" s="70" customFormat="1" ht="18">
      <c r="A123" s="32"/>
      <c r="B123" s="54"/>
      <c r="C123" s="15" t="s">
        <v>49</v>
      </c>
      <c r="D123" s="187" t="s">
        <v>27</v>
      </c>
      <c r="E123" s="86">
        <f t="shared" ref="E123" si="9">3.7/1000</f>
        <v>3.7000000000000002E-3</v>
      </c>
      <c r="F123" s="41">
        <f>E123*F120</f>
        <v>21.5562</v>
      </c>
      <c r="G123" s="41"/>
      <c r="H123" s="41"/>
      <c r="I123" s="41"/>
      <c r="J123" s="41"/>
      <c r="K123" s="41"/>
      <c r="L123" s="41"/>
      <c r="M123" s="41"/>
      <c r="N123" s="135"/>
      <c r="O123" s="23"/>
      <c r="P123" s="23"/>
      <c r="Q123" s="23"/>
      <c r="R123" s="23"/>
      <c r="S123" s="23"/>
      <c r="T123" s="23"/>
      <c r="U123" s="23"/>
    </row>
    <row r="124" spans="1:21" s="70" customFormat="1" ht="18">
      <c r="A124" s="32"/>
      <c r="B124" s="54"/>
      <c r="C124" s="44" t="s">
        <v>54</v>
      </c>
      <c r="D124" s="187" t="s">
        <v>27</v>
      </c>
      <c r="E124" s="86">
        <f t="shared" ref="E124" si="10">11.1/1000</f>
        <v>1.11E-2</v>
      </c>
      <c r="F124" s="41">
        <f>E124*F120</f>
        <v>64.668599999999998</v>
      </c>
      <c r="G124" s="41"/>
      <c r="H124" s="41"/>
      <c r="I124" s="41"/>
      <c r="J124" s="41"/>
      <c r="K124" s="41"/>
      <c r="L124" s="41"/>
      <c r="M124" s="41"/>
      <c r="N124" s="135"/>
      <c r="O124" s="23"/>
      <c r="P124" s="23"/>
      <c r="Q124" s="23"/>
      <c r="R124" s="23"/>
      <c r="S124" s="23"/>
      <c r="T124" s="23"/>
      <c r="U124" s="23"/>
    </row>
    <row r="125" spans="1:21" s="70" customFormat="1" ht="18">
      <c r="A125" s="32"/>
      <c r="B125" s="43"/>
      <c r="C125" s="44" t="s">
        <v>30</v>
      </c>
      <c r="D125" s="187" t="s">
        <v>23</v>
      </c>
      <c r="E125" s="86">
        <v>2.3E-3</v>
      </c>
      <c r="F125" s="41">
        <f>E125*F120</f>
        <v>13.399799999999999</v>
      </c>
      <c r="G125" s="41"/>
      <c r="H125" s="41"/>
      <c r="I125" s="41"/>
      <c r="J125" s="41"/>
      <c r="K125" s="41"/>
      <c r="L125" s="41"/>
      <c r="M125" s="41"/>
      <c r="N125" s="135"/>
      <c r="O125" s="23"/>
      <c r="P125" s="23"/>
      <c r="Q125" s="23"/>
      <c r="R125" s="23"/>
      <c r="S125" s="23"/>
      <c r="T125" s="23"/>
      <c r="U125" s="23"/>
    </row>
    <row r="126" spans="1:21" s="70" customFormat="1" ht="18">
      <c r="A126" s="32"/>
      <c r="B126" s="43"/>
      <c r="C126" s="187" t="s">
        <v>36</v>
      </c>
      <c r="D126" s="50"/>
      <c r="E126" s="188"/>
      <c r="F126" s="41"/>
      <c r="G126" s="41"/>
      <c r="H126" s="41"/>
      <c r="I126" s="41"/>
      <c r="J126" s="41"/>
      <c r="K126" s="41"/>
      <c r="L126" s="41"/>
      <c r="M126" s="41"/>
      <c r="N126" s="135"/>
      <c r="O126" s="23"/>
      <c r="P126" s="23"/>
      <c r="Q126" s="23"/>
      <c r="R126" s="23"/>
      <c r="S126" s="23"/>
      <c r="T126" s="23"/>
      <c r="U126" s="23"/>
    </row>
    <row r="127" spans="1:21" s="70" customFormat="1" ht="30">
      <c r="A127" s="32"/>
      <c r="B127" s="64"/>
      <c r="C127" s="93" t="s">
        <v>79</v>
      </c>
      <c r="D127" s="12" t="s">
        <v>37</v>
      </c>
      <c r="E127" s="86">
        <f>(97.4+12.1*2)/1000</f>
        <v>0.12160000000000001</v>
      </c>
      <c r="F127" s="41">
        <f>F120*E127</f>
        <v>708.44160000000011</v>
      </c>
      <c r="G127" s="41"/>
      <c r="H127" s="80"/>
      <c r="I127" s="41"/>
      <c r="J127" s="41"/>
      <c r="K127" s="41"/>
      <c r="L127" s="41"/>
      <c r="M127" s="41"/>
      <c r="N127" s="135"/>
      <c r="O127" s="23"/>
      <c r="P127" s="23"/>
      <c r="Q127" s="23"/>
      <c r="R127" s="23"/>
      <c r="S127" s="23"/>
      <c r="T127" s="23"/>
      <c r="U127" s="23"/>
    </row>
    <row r="128" spans="1:21" s="70" customFormat="1" ht="18">
      <c r="A128" s="32"/>
      <c r="B128" s="43"/>
      <c r="C128" s="44" t="s">
        <v>39</v>
      </c>
      <c r="D128" s="187" t="s">
        <v>23</v>
      </c>
      <c r="E128" s="86">
        <f>0.0145+0.2*2/1000</f>
        <v>1.49E-2</v>
      </c>
      <c r="F128" s="41">
        <f>F120*E128</f>
        <v>86.807400000000001</v>
      </c>
      <c r="G128" s="41"/>
      <c r="H128" s="80"/>
      <c r="I128" s="41"/>
      <c r="J128" s="41"/>
      <c r="K128" s="41"/>
      <c r="L128" s="41"/>
      <c r="M128" s="41"/>
      <c r="N128" s="135"/>
      <c r="O128" s="23"/>
      <c r="P128" s="23"/>
      <c r="Q128" s="23"/>
      <c r="R128" s="23"/>
      <c r="S128" s="23"/>
      <c r="T128" s="23"/>
      <c r="U128" s="23"/>
    </row>
    <row r="129" spans="1:21" s="70" customFormat="1" ht="72" customHeight="1">
      <c r="A129" s="83">
        <v>5</v>
      </c>
      <c r="B129" s="183" t="s">
        <v>55</v>
      </c>
      <c r="C129" s="94" t="s">
        <v>56</v>
      </c>
      <c r="D129" s="95" t="s">
        <v>80</v>
      </c>
      <c r="E129" s="63"/>
      <c r="F129" s="71">
        <f>215.86/1.22</f>
        <v>176.9344262295082</v>
      </c>
      <c r="G129" s="41"/>
      <c r="H129" s="41"/>
      <c r="I129" s="41"/>
      <c r="J129" s="41"/>
      <c r="K129" s="41"/>
      <c r="L129" s="41"/>
      <c r="M129" s="41"/>
      <c r="N129" s="135"/>
      <c r="O129" s="23"/>
      <c r="P129" s="23"/>
      <c r="Q129" s="23"/>
      <c r="R129" s="23"/>
      <c r="S129" s="23"/>
      <c r="T129" s="23"/>
      <c r="U129" s="23"/>
    </row>
    <row r="130" spans="1:21" s="70" customFormat="1" ht="18" customHeight="1">
      <c r="A130" s="32"/>
      <c r="B130" s="96"/>
      <c r="C130" s="97" t="s">
        <v>19</v>
      </c>
      <c r="D130" s="187" t="s">
        <v>20</v>
      </c>
      <c r="E130" s="56">
        <v>0.15</v>
      </c>
      <c r="F130" s="41">
        <f>F129*E130</f>
        <v>26.540163934426229</v>
      </c>
      <c r="G130" s="41"/>
      <c r="H130" s="41"/>
      <c r="I130" s="41"/>
      <c r="J130" s="41"/>
      <c r="K130" s="41"/>
      <c r="L130" s="41"/>
      <c r="M130" s="41"/>
      <c r="N130" s="135"/>
      <c r="O130" s="23"/>
      <c r="P130" s="23"/>
      <c r="Q130" s="23"/>
      <c r="R130" s="23"/>
      <c r="S130" s="23"/>
      <c r="T130" s="23"/>
      <c r="U130" s="23"/>
    </row>
    <row r="131" spans="1:21" s="70" customFormat="1" ht="23.25" customHeight="1">
      <c r="A131" s="32"/>
      <c r="B131" s="54"/>
      <c r="C131" s="59" t="s">
        <v>43</v>
      </c>
      <c r="D131" s="187" t="s">
        <v>27</v>
      </c>
      <c r="E131" s="56">
        <v>2.1600000000000001E-2</v>
      </c>
      <c r="F131" s="41">
        <f>F129*E131</f>
        <v>3.8217836065573776</v>
      </c>
      <c r="G131" s="41"/>
      <c r="H131" s="41"/>
      <c r="I131" s="41"/>
      <c r="J131" s="41"/>
      <c r="K131" s="41"/>
      <c r="L131" s="41"/>
      <c r="M131" s="41"/>
      <c r="N131" s="135"/>
      <c r="O131" s="23"/>
      <c r="P131" s="23"/>
      <c r="Q131" s="23"/>
      <c r="R131" s="23"/>
      <c r="S131" s="23"/>
      <c r="T131" s="23"/>
      <c r="U131" s="23"/>
    </row>
    <row r="132" spans="1:21" s="70" customFormat="1" ht="36">
      <c r="A132" s="32"/>
      <c r="B132" s="54"/>
      <c r="C132" s="59" t="s">
        <v>81</v>
      </c>
      <c r="D132" s="187" t="s">
        <v>27</v>
      </c>
      <c r="E132" s="56">
        <v>2.7300000000000001E-2</v>
      </c>
      <c r="F132" s="41">
        <f>F129*E132</f>
        <v>4.8303098360655738</v>
      </c>
      <c r="G132" s="41"/>
      <c r="H132" s="41"/>
      <c r="I132" s="41"/>
      <c r="J132" s="41"/>
      <c r="K132" s="80"/>
      <c r="L132" s="41"/>
      <c r="M132" s="41"/>
      <c r="N132" s="135"/>
      <c r="O132" s="23"/>
      <c r="P132" s="23"/>
      <c r="Q132" s="23"/>
      <c r="R132" s="23"/>
      <c r="S132" s="23"/>
      <c r="T132" s="23"/>
      <c r="U132" s="23"/>
    </row>
    <row r="133" spans="1:21" s="70" customFormat="1" ht="21" customHeight="1">
      <c r="A133" s="32"/>
      <c r="B133" s="54"/>
      <c r="C133" s="59" t="s">
        <v>44</v>
      </c>
      <c r="D133" s="187" t="s">
        <v>27</v>
      </c>
      <c r="E133" s="56">
        <v>9.7000000000000003E-3</v>
      </c>
      <c r="F133" s="41">
        <f>F129*E133</f>
        <v>1.7162639344262296</v>
      </c>
      <c r="G133" s="41"/>
      <c r="H133" s="41"/>
      <c r="I133" s="41"/>
      <c r="J133" s="41"/>
      <c r="K133" s="80"/>
      <c r="L133" s="41"/>
      <c r="M133" s="41"/>
      <c r="N133" s="135"/>
      <c r="O133" s="23"/>
      <c r="P133" s="23"/>
      <c r="Q133" s="23"/>
      <c r="R133" s="23"/>
      <c r="S133" s="23"/>
      <c r="T133" s="23"/>
      <c r="U133" s="23"/>
    </row>
    <row r="134" spans="1:21" s="70" customFormat="1" ht="18" customHeight="1">
      <c r="A134" s="32"/>
      <c r="B134" s="98"/>
      <c r="C134" s="185" t="s">
        <v>36</v>
      </c>
      <c r="D134" s="99"/>
      <c r="E134" s="188"/>
      <c r="F134" s="41"/>
      <c r="G134" s="41"/>
      <c r="H134" s="41"/>
      <c r="I134" s="41"/>
      <c r="J134" s="41"/>
      <c r="K134" s="80"/>
      <c r="L134" s="41"/>
      <c r="M134" s="41"/>
      <c r="N134" s="135"/>
      <c r="O134" s="23"/>
      <c r="P134" s="23"/>
      <c r="Q134" s="23"/>
      <c r="R134" s="23"/>
      <c r="S134" s="23"/>
      <c r="T134" s="23"/>
      <c r="U134" s="23"/>
    </row>
    <row r="135" spans="1:21" s="70" customFormat="1" ht="54" customHeight="1">
      <c r="A135" s="32"/>
      <c r="B135" s="81"/>
      <c r="C135" s="59" t="s">
        <v>65</v>
      </c>
      <c r="D135" s="12" t="s">
        <v>61</v>
      </c>
      <c r="E135" s="86">
        <v>1.22</v>
      </c>
      <c r="F135" s="41">
        <f>F129*E135</f>
        <v>215.86</v>
      </c>
      <c r="G135" s="41"/>
      <c r="H135" s="80"/>
      <c r="I135" s="41"/>
      <c r="J135" s="41"/>
      <c r="K135" s="41"/>
      <c r="L135" s="41"/>
      <c r="M135" s="41"/>
      <c r="N135" s="135"/>
      <c r="O135" s="23"/>
      <c r="P135" s="23"/>
      <c r="Q135" s="23"/>
      <c r="R135" s="23"/>
      <c r="S135" s="23"/>
      <c r="T135" s="23"/>
      <c r="U135" s="23"/>
    </row>
    <row r="136" spans="1:21" s="70" customFormat="1" ht="18" customHeight="1">
      <c r="A136" s="32"/>
      <c r="B136" s="98"/>
      <c r="C136" s="97" t="s">
        <v>45</v>
      </c>
      <c r="D136" s="12" t="s">
        <v>61</v>
      </c>
      <c r="E136" s="86">
        <v>7.0000000000000007E-2</v>
      </c>
      <c r="F136" s="41">
        <f>F129*E136</f>
        <v>12.385409836065575</v>
      </c>
      <c r="G136" s="41"/>
      <c r="H136" s="80"/>
      <c r="I136" s="41"/>
      <c r="J136" s="41"/>
      <c r="K136" s="41"/>
      <c r="L136" s="41"/>
      <c r="M136" s="41"/>
      <c r="N136" s="135"/>
      <c r="O136" s="23"/>
      <c r="P136" s="23"/>
      <c r="Q136" s="23"/>
      <c r="R136" s="23"/>
      <c r="S136" s="23"/>
      <c r="T136" s="23"/>
      <c r="U136" s="23"/>
    </row>
    <row r="137" spans="1:21" s="70" customFormat="1" ht="18" customHeight="1">
      <c r="A137" s="100"/>
      <c r="B137" s="190"/>
      <c r="C137" s="101" t="s">
        <v>21</v>
      </c>
      <c r="D137" s="43"/>
      <c r="E137" s="188"/>
      <c r="F137" s="41"/>
      <c r="G137" s="41"/>
      <c r="H137" s="71"/>
      <c r="I137" s="71"/>
      <c r="J137" s="71"/>
      <c r="K137" s="71"/>
      <c r="L137" s="71"/>
      <c r="M137" s="71"/>
      <c r="N137" s="224"/>
      <c r="O137" s="225"/>
      <c r="P137" s="202"/>
      <c r="Q137" s="23"/>
      <c r="R137" s="23"/>
      <c r="S137" s="23"/>
      <c r="T137" s="23"/>
      <c r="U137" s="23"/>
    </row>
    <row r="138" spans="1:21" s="70" customFormat="1" ht="36" customHeight="1">
      <c r="A138" s="53"/>
      <c r="B138" s="43"/>
      <c r="C138" s="34" t="s">
        <v>57</v>
      </c>
      <c r="D138" s="50"/>
      <c r="E138" s="188"/>
      <c r="F138" s="41"/>
      <c r="G138" s="41"/>
      <c r="H138" s="41"/>
      <c r="I138" s="41"/>
      <c r="J138" s="41"/>
      <c r="K138" s="41"/>
      <c r="L138" s="41"/>
      <c r="M138" s="41"/>
      <c r="N138" s="135"/>
      <c r="O138" s="226"/>
      <c r="P138" s="23"/>
      <c r="Q138" s="23"/>
      <c r="R138" s="23"/>
      <c r="S138" s="23"/>
      <c r="T138" s="23"/>
      <c r="U138" s="23"/>
    </row>
    <row r="139" spans="1:21" s="70" customFormat="1" ht="72">
      <c r="A139" s="11">
        <v>1</v>
      </c>
      <c r="B139" s="183" t="s">
        <v>68</v>
      </c>
      <c r="C139" s="94" t="s">
        <v>70</v>
      </c>
      <c r="D139" s="12" t="s">
        <v>61</v>
      </c>
      <c r="E139" s="12"/>
      <c r="F139" s="222">
        <f>15.06/1.22</f>
        <v>12.344262295081968</v>
      </c>
      <c r="G139" s="80"/>
      <c r="H139" s="80"/>
      <c r="I139" s="80"/>
      <c r="J139" s="80"/>
      <c r="K139" s="80"/>
      <c r="L139" s="80"/>
      <c r="M139" s="80"/>
      <c r="N139" s="135"/>
      <c r="O139" s="226"/>
      <c r="P139" s="23"/>
      <c r="Q139" s="23"/>
      <c r="R139" s="23"/>
      <c r="S139" s="23"/>
      <c r="T139" s="23"/>
      <c r="U139" s="23"/>
    </row>
    <row r="140" spans="1:21" s="70" customFormat="1" ht="18">
      <c r="A140" s="5"/>
      <c r="B140" s="6"/>
      <c r="C140" s="7" t="s">
        <v>19</v>
      </c>
      <c r="D140" s="12" t="s">
        <v>20</v>
      </c>
      <c r="E140" s="56">
        <v>0.15</v>
      </c>
      <c r="F140" s="80">
        <f>F139*E140</f>
        <v>1.8516393442622952</v>
      </c>
      <c r="G140" s="80"/>
      <c r="H140" s="80"/>
      <c r="I140" s="80"/>
      <c r="J140" s="41"/>
      <c r="K140" s="80"/>
      <c r="L140" s="80"/>
      <c r="M140" s="41"/>
      <c r="N140" s="135"/>
      <c r="O140" s="226"/>
      <c r="P140" s="23"/>
      <c r="Q140" s="23"/>
      <c r="R140" s="23"/>
      <c r="S140" s="23"/>
      <c r="T140" s="23"/>
      <c r="U140" s="23"/>
    </row>
    <row r="141" spans="1:21" s="70" customFormat="1" ht="18">
      <c r="A141" s="5"/>
      <c r="B141" s="8"/>
      <c r="C141" s="7" t="s">
        <v>43</v>
      </c>
      <c r="D141" s="187" t="s">
        <v>27</v>
      </c>
      <c r="E141" s="56">
        <v>2.1600000000000001E-2</v>
      </c>
      <c r="F141" s="80">
        <f>F139*E141</f>
        <v>0.26663606557377051</v>
      </c>
      <c r="G141" s="80"/>
      <c r="H141" s="80"/>
      <c r="I141" s="80"/>
      <c r="J141" s="80"/>
      <c r="K141" s="41"/>
      <c r="L141" s="41"/>
      <c r="M141" s="41"/>
      <c r="N141" s="135"/>
      <c r="O141" s="226"/>
      <c r="P141" s="23"/>
      <c r="Q141" s="23"/>
      <c r="R141" s="23"/>
      <c r="S141" s="23"/>
      <c r="T141" s="23"/>
      <c r="U141" s="23"/>
    </row>
    <row r="142" spans="1:21" s="70" customFormat="1" ht="36">
      <c r="A142" s="5"/>
      <c r="B142" s="8"/>
      <c r="C142" s="59" t="s">
        <v>81</v>
      </c>
      <c r="D142" s="187" t="s">
        <v>27</v>
      </c>
      <c r="E142" s="56">
        <v>2.7300000000000001E-2</v>
      </c>
      <c r="F142" s="80">
        <f>E142*F139</f>
        <v>0.33699836065573774</v>
      </c>
      <c r="G142" s="80"/>
      <c r="H142" s="80"/>
      <c r="I142" s="80"/>
      <c r="J142" s="80"/>
      <c r="K142" s="80"/>
      <c r="L142" s="41"/>
      <c r="M142" s="41"/>
      <c r="N142" s="135"/>
      <c r="O142" s="226"/>
      <c r="P142" s="23"/>
      <c r="Q142" s="23"/>
      <c r="R142" s="23"/>
      <c r="S142" s="23"/>
      <c r="T142" s="23"/>
      <c r="U142" s="23"/>
    </row>
    <row r="143" spans="1:21" s="70" customFormat="1" ht="18">
      <c r="A143" s="5"/>
      <c r="B143" s="8"/>
      <c r="C143" s="7" t="s">
        <v>44</v>
      </c>
      <c r="D143" s="187" t="s">
        <v>27</v>
      </c>
      <c r="E143" s="56">
        <v>9.7000000000000003E-3</v>
      </c>
      <c r="F143" s="80">
        <f>F139*E143</f>
        <v>0.1197393442622951</v>
      </c>
      <c r="G143" s="80"/>
      <c r="H143" s="80"/>
      <c r="I143" s="80"/>
      <c r="J143" s="80"/>
      <c r="K143" s="80"/>
      <c r="L143" s="41"/>
      <c r="M143" s="41"/>
      <c r="N143" s="135"/>
      <c r="O143" s="226"/>
      <c r="P143" s="23"/>
      <c r="Q143" s="23"/>
      <c r="R143" s="23"/>
      <c r="S143" s="23"/>
      <c r="T143" s="23"/>
      <c r="U143" s="23"/>
    </row>
    <row r="144" spans="1:21" s="70" customFormat="1" ht="18">
      <c r="A144" s="5"/>
      <c r="B144" s="6"/>
      <c r="C144" s="12" t="s">
        <v>36</v>
      </c>
      <c r="D144" s="9"/>
      <c r="E144" s="12"/>
      <c r="F144" s="80"/>
      <c r="G144" s="80"/>
      <c r="H144" s="80"/>
      <c r="I144" s="80"/>
      <c r="J144" s="80"/>
      <c r="K144" s="80"/>
      <c r="L144" s="80"/>
      <c r="M144" s="80"/>
      <c r="N144" s="135"/>
      <c r="O144" s="226"/>
      <c r="P144" s="23"/>
      <c r="Q144" s="23"/>
      <c r="R144" s="23"/>
      <c r="S144" s="23"/>
      <c r="T144" s="23"/>
      <c r="U144" s="23"/>
    </row>
    <row r="145" spans="1:21" s="70" customFormat="1" ht="54">
      <c r="A145" s="11"/>
      <c r="B145" s="81"/>
      <c r="C145" s="14" t="s">
        <v>65</v>
      </c>
      <c r="D145" s="12" t="s">
        <v>61</v>
      </c>
      <c r="E145" s="12">
        <v>1.22</v>
      </c>
      <c r="F145" s="80">
        <f>F139*E145</f>
        <v>15.06</v>
      </c>
      <c r="G145" s="41"/>
      <c r="H145" s="80"/>
      <c r="I145" s="80"/>
      <c r="J145" s="80"/>
      <c r="K145" s="80"/>
      <c r="L145" s="80"/>
      <c r="M145" s="41"/>
      <c r="N145" s="135"/>
      <c r="O145" s="226"/>
      <c r="P145" s="23"/>
      <c r="Q145" s="23"/>
      <c r="R145" s="23"/>
      <c r="S145" s="23"/>
      <c r="T145" s="23"/>
      <c r="U145" s="23"/>
    </row>
    <row r="146" spans="1:21" s="70" customFormat="1" ht="19.5">
      <c r="A146" s="5"/>
      <c r="B146" s="6"/>
      <c r="C146" s="15" t="s">
        <v>45</v>
      </c>
      <c r="D146" s="12" t="s">
        <v>61</v>
      </c>
      <c r="E146" s="13">
        <v>7.0000000000000007E-2</v>
      </c>
      <c r="F146" s="80">
        <f>F139*E146</f>
        <v>0.86409836065573786</v>
      </c>
      <c r="G146" s="41"/>
      <c r="H146" s="80"/>
      <c r="I146" s="80"/>
      <c r="J146" s="80"/>
      <c r="K146" s="80"/>
      <c r="L146" s="80"/>
      <c r="M146" s="41"/>
      <c r="N146" s="135"/>
      <c r="O146" s="226"/>
      <c r="P146" s="23"/>
      <c r="Q146" s="23"/>
      <c r="R146" s="23"/>
      <c r="S146" s="23"/>
      <c r="T146" s="23"/>
      <c r="U146" s="23"/>
    </row>
    <row r="147" spans="1:21" s="70" customFormat="1" ht="54">
      <c r="A147" s="5">
        <v>2</v>
      </c>
      <c r="B147" s="10" t="s">
        <v>46</v>
      </c>
      <c r="C147" s="94" t="s">
        <v>67</v>
      </c>
      <c r="D147" s="9" t="s">
        <v>62</v>
      </c>
      <c r="E147" s="12"/>
      <c r="F147" s="222">
        <v>102.9</v>
      </c>
      <c r="G147" s="80"/>
      <c r="H147" s="80"/>
      <c r="I147" s="80"/>
      <c r="J147" s="80"/>
      <c r="K147" s="80"/>
      <c r="L147" s="80"/>
      <c r="M147" s="80"/>
      <c r="N147" s="135"/>
      <c r="O147" s="227"/>
      <c r="P147" s="23"/>
      <c r="Q147" s="23"/>
      <c r="R147" s="23"/>
      <c r="S147" s="23"/>
      <c r="T147" s="23"/>
      <c r="U147" s="23"/>
    </row>
    <row r="148" spans="1:21" s="70" customFormat="1" ht="18" customHeight="1">
      <c r="A148" s="5"/>
      <c r="B148" s="6"/>
      <c r="C148" s="7" t="s">
        <v>19</v>
      </c>
      <c r="D148" s="12" t="s">
        <v>20</v>
      </c>
      <c r="E148" s="12">
        <f>33/1000</f>
        <v>3.3000000000000002E-2</v>
      </c>
      <c r="F148" s="80">
        <f>F147*E148</f>
        <v>3.3957000000000002</v>
      </c>
      <c r="G148" s="80"/>
      <c r="H148" s="80"/>
      <c r="I148" s="80"/>
      <c r="J148" s="41"/>
      <c r="K148" s="80"/>
      <c r="L148" s="80"/>
      <c r="M148" s="41"/>
      <c r="N148" s="135"/>
      <c r="O148" s="227"/>
      <c r="P148" s="23"/>
      <c r="Q148" s="23"/>
      <c r="R148" s="23"/>
      <c r="S148" s="23"/>
      <c r="T148" s="23"/>
      <c r="U148" s="23"/>
    </row>
    <row r="149" spans="1:21" s="70" customFormat="1" ht="18" customHeight="1">
      <c r="A149" s="5"/>
      <c r="B149" s="6"/>
      <c r="C149" s="15" t="s">
        <v>47</v>
      </c>
      <c r="D149" s="187" t="s">
        <v>27</v>
      </c>
      <c r="E149" s="12">
        <f>2.58/1000</f>
        <v>2.5800000000000003E-3</v>
      </c>
      <c r="F149" s="80">
        <f>F147*E149</f>
        <v>0.26548200000000005</v>
      </c>
      <c r="G149" s="80"/>
      <c r="H149" s="80"/>
      <c r="I149" s="80"/>
      <c r="J149" s="80"/>
      <c r="K149" s="80"/>
      <c r="L149" s="41"/>
      <c r="M149" s="41"/>
      <c r="N149" s="135"/>
      <c r="O149" s="227"/>
      <c r="P149" s="23"/>
      <c r="Q149" s="23"/>
      <c r="R149" s="23"/>
      <c r="S149" s="23"/>
      <c r="T149" s="23"/>
      <c r="U149" s="23"/>
    </row>
    <row r="150" spans="1:21" s="70" customFormat="1" ht="18" customHeight="1">
      <c r="A150" s="5"/>
      <c r="B150" s="8"/>
      <c r="C150" s="7" t="s">
        <v>43</v>
      </c>
      <c r="D150" s="187" t="s">
        <v>27</v>
      </c>
      <c r="E150" s="12">
        <f>0.42/1000</f>
        <v>4.1999999999999996E-4</v>
      </c>
      <c r="F150" s="80">
        <f>F147*E150</f>
        <v>4.3217999999999999E-2</v>
      </c>
      <c r="G150" s="80"/>
      <c r="H150" s="80"/>
      <c r="I150" s="80"/>
      <c r="J150" s="80"/>
      <c r="K150" s="41"/>
      <c r="L150" s="41"/>
      <c r="M150" s="41"/>
      <c r="N150" s="135"/>
      <c r="O150" s="227"/>
      <c r="P150" s="23"/>
      <c r="Q150" s="23"/>
      <c r="R150" s="23"/>
      <c r="S150" s="23"/>
      <c r="T150" s="23"/>
      <c r="U150" s="23"/>
    </row>
    <row r="151" spans="1:21" s="70" customFormat="1" ht="18" customHeight="1">
      <c r="A151" s="5"/>
      <c r="B151" s="8"/>
      <c r="C151" s="15" t="s">
        <v>48</v>
      </c>
      <c r="D151" s="187" t="s">
        <v>27</v>
      </c>
      <c r="E151" s="12">
        <f>11.2/1000</f>
        <v>1.12E-2</v>
      </c>
      <c r="F151" s="80">
        <f>E151*F147</f>
        <v>1.1524799999999999</v>
      </c>
      <c r="G151" s="80"/>
      <c r="H151" s="80"/>
      <c r="I151" s="80"/>
      <c r="J151" s="80"/>
      <c r="K151" s="80"/>
      <c r="L151" s="41"/>
      <c r="M151" s="41"/>
      <c r="N151" s="135"/>
      <c r="O151" s="227"/>
      <c r="P151" s="23"/>
      <c r="Q151" s="23"/>
      <c r="R151" s="23"/>
      <c r="S151" s="23"/>
      <c r="T151" s="23"/>
      <c r="U151" s="23"/>
    </row>
    <row r="152" spans="1:21" s="70" customFormat="1" ht="18" customHeight="1">
      <c r="A152" s="5"/>
      <c r="B152" s="8"/>
      <c r="C152" s="15" t="s">
        <v>49</v>
      </c>
      <c r="D152" s="187" t="s">
        <v>27</v>
      </c>
      <c r="E152" s="12">
        <f>24.8/1000</f>
        <v>2.4799999999999999E-2</v>
      </c>
      <c r="F152" s="80">
        <f>E152*F147</f>
        <v>2.55192</v>
      </c>
      <c r="G152" s="80"/>
      <c r="H152" s="80"/>
      <c r="I152" s="80"/>
      <c r="J152" s="80"/>
      <c r="K152" s="80"/>
      <c r="L152" s="41"/>
      <c r="M152" s="41"/>
      <c r="N152" s="135"/>
      <c r="O152" s="227"/>
      <c r="P152" s="23"/>
      <c r="Q152" s="23"/>
      <c r="R152" s="23"/>
      <c r="S152" s="23"/>
      <c r="T152" s="23"/>
      <c r="U152" s="23"/>
    </row>
    <row r="153" spans="1:21" s="70" customFormat="1" ht="18" customHeight="1">
      <c r="A153" s="5"/>
      <c r="B153" s="8"/>
      <c r="C153" s="15" t="s">
        <v>44</v>
      </c>
      <c r="D153" s="187" t="s">
        <v>27</v>
      </c>
      <c r="E153" s="12">
        <f>4.14/1000</f>
        <v>4.1399999999999996E-3</v>
      </c>
      <c r="F153" s="80">
        <f>F147*E153</f>
        <v>0.426006</v>
      </c>
      <c r="G153" s="80"/>
      <c r="H153" s="80"/>
      <c r="I153" s="80"/>
      <c r="J153" s="80"/>
      <c r="K153" s="80"/>
      <c r="L153" s="41"/>
      <c r="M153" s="41"/>
      <c r="N153" s="135"/>
      <c r="O153" s="227"/>
      <c r="P153" s="23"/>
      <c r="Q153" s="23"/>
      <c r="R153" s="23"/>
      <c r="S153" s="23"/>
      <c r="T153" s="23"/>
      <c r="U153" s="23"/>
    </row>
    <row r="154" spans="1:21" s="70" customFormat="1" ht="36" customHeight="1">
      <c r="A154" s="5"/>
      <c r="B154" s="8"/>
      <c r="C154" s="82" t="s">
        <v>50</v>
      </c>
      <c r="D154" s="187" t="s">
        <v>27</v>
      </c>
      <c r="E154" s="12">
        <f>0.53/1000</f>
        <v>5.2999999999999998E-4</v>
      </c>
      <c r="F154" s="80">
        <f>F147*E154</f>
        <v>5.4537000000000002E-2</v>
      </c>
      <c r="G154" s="80"/>
      <c r="H154" s="80"/>
      <c r="I154" s="80"/>
      <c r="J154" s="80"/>
      <c r="K154" s="80"/>
      <c r="L154" s="41"/>
      <c r="M154" s="41"/>
      <c r="N154" s="135"/>
      <c r="O154" s="227"/>
      <c r="P154" s="23"/>
      <c r="Q154" s="23"/>
      <c r="R154" s="23"/>
      <c r="S154" s="23"/>
      <c r="T154" s="23"/>
      <c r="U154" s="23"/>
    </row>
    <row r="155" spans="1:21" s="70" customFormat="1" ht="18" customHeight="1">
      <c r="A155" s="5"/>
      <c r="B155" s="6"/>
      <c r="C155" s="12" t="s">
        <v>36</v>
      </c>
      <c r="D155" s="9"/>
      <c r="E155" s="12"/>
      <c r="F155" s="80"/>
      <c r="G155" s="80"/>
      <c r="H155" s="80"/>
      <c r="I155" s="80"/>
      <c r="J155" s="80"/>
      <c r="K155" s="80"/>
      <c r="L155" s="80"/>
      <c r="M155" s="80"/>
      <c r="N155" s="135"/>
      <c r="O155" s="227"/>
      <c r="P155" s="23"/>
      <c r="Q155" s="23"/>
      <c r="R155" s="23"/>
      <c r="S155" s="23"/>
      <c r="T155" s="23"/>
      <c r="U155" s="23"/>
    </row>
    <row r="156" spans="1:21" s="70" customFormat="1" ht="36">
      <c r="A156" s="5"/>
      <c r="B156" s="81"/>
      <c r="C156" s="14" t="s">
        <v>51</v>
      </c>
      <c r="D156" s="12" t="s">
        <v>61</v>
      </c>
      <c r="E156" s="124">
        <f>1.26*0.1</f>
        <v>0.126</v>
      </c>
      <c r="F156" s="80">
        <f>F147*0.1*1.26</f>
        <v>12.965400000000001</v>
      </c>
      <c r="G156" s="80"/>
      <c r="H156" s="80"/>
      <c r="I156" s="80"/>
      <c r="J156" s="80"/>
      <c r="K156" s="80"/>
      <c r="L156" s="80"/>
      <c r="M156" s="41"/>
      <c r="N156" s="135"/>
      <c r="O156" s="227"/>
      <c r="P156" s="23"/>
      <c r="Q156" s="23"/>
      <c r="R156" s="23"/>
      <c r="S156" s="23"/>
      <c r="T156" s="23"/>
      <c r="U156" s="23"/>
    </row>
    <row r="157" spans="1:21" s="70" customFormat="1" ht="20.25" customHeight="1">
      <c r="A157" s="5"/>
      <c r="B157" s="6"/>
      <c r="C157" s="15" t="s">
        <v>45</v>
      </c>
      <c r="D157" s="9" t="s">
        <v>63</v>
      </c>
      <c r="E157" s="12">
        <f>30/1000</f>
        <v>0.03</v>
      </c>
      <c r="F157" s="80">
        <f>F147*E157</f>
        <v>3.0870000000000002</v>
      </c>
      <c r="G157" s="41"/>
      <c r="H157" s="80"/>
      <c r="I157" s="80"/>
      <c r="J157" s="80"/>
      <c r="K157" s="80"/>
      <c r="L157" s="80"/>
      <c r="M157" s="41"/>
      <c r="N157" s="135"/>
      <c r="O157" s="227"/>
      <c r="P157" s="23"/>
      <c r="Q157" s="23"/>
      <c r="R157" s="23"/>
      <c r="S157" s="23"/>
      <c r="T157" s="23"/>
      <c r="U157" s="23"/>
    </row>
    <row r="158" spans="1:21" s="70" customFormat="1" ht="51" customHeight="1">
      <c r="A158" s="83">
        <v>3</v>
      </c>
      <c r="B158" s="184" t="s">
        <v>52</v>
      </c>
      <c r="C158" s="84" t="s">
        <v>85</v>
      </c>
      <c r="D158" s="11" t="s">
        <v>37</v>
      </c>
      <c r="E158" s="63"/>
      <c r="F158" s="71">
        <f>F162*0.0006</f>
        <v>5.6699999999999993E-2</v>
      </c>
      <c r="G158" s="41"/>
      <c r="H158" s="41"/>
      <c r="I158" s="41"/>
      <c r="J158" s="41"/>
      <c r="K158" s="41"/>
      <c r="L158" s="41"/>
      <c r="M158" s="41"/>
      <c r="N158" s="135"/>
      <c r="O158" s="227"/>
      <c r="P158" s="23"/>
      <c r="Q158" s="23"/>
      <c r="R158" s="23"/>
      <c r="S158" s="23"/>
      <c r="T158" s="23"/>
      <c r="U158" s="23"/>
    </row>
    <row r="159" spans="1:21" s="70" customFormat="1" ht="18">
      <c r="A159" s="42"/>
      <c r="B159" s="85"/>
      <c r="C159" s="55" t="s">
        <v>53</v>
      </c>
      <c r="D159" s="187" t="s">
        <v>27</v>
      </c>
      <c r="E159" s="86">
        <v>0.3</v>
      </c>
      <c r="F159" s="41">
        <f>F158*E159</f>
        <v>1.7009999999999997E-2</v>
      </c>
      <c r="G159" s="41"/>
      <c r="H159" s="41"/>
      <c r="I159" s="41"/>
      <c r="J159" s="41"/>
      <c r="K159" s="41"/>
      <c r="L159" s="41"/>
      <c r="M159" s="41"/>
      <c r="N159" s="135"/>
      <c r="O159" s="227"/>
      <c r="P159" s="23"/>
      <c r="Q159" s="23"/>
      <c r="R159" s="23"/>
      <c r="S159" s="23"/>
      <c r="T159" s="23"/>
      <c r="U159" s="23"/>
    </row>
    <row r="160" spans="1:21" s="70" customFormat="1" ht="18">
      <c r="A160" s="42"/>
      <c r="B160" s="43"/>
      <c r="C160" s="187" t="s">
        <v>36</v>
      </c>
      <c r="D160" s="87"/>
      <c r="E160" s="188"/>
      <c r="F160" s="41"/>
      <c r="G160" s="41"/>
      <c r="H160" s="41"/>
      <c r="I160" s="41"/>
      <c r="J160" s="41"/>
      <c r="K160" s="41"/>
      <c r="L160" s="41"/>
      <c r="M160" s="41"/>
      <c r="N160" s="135"/>
      <c r="O160" s="227"/>
      <c r="P160" s="23"/>
      <c r="Q160" s="23"/>
      <c r="R160" s="23"/>
      <c r="S160" s="23"/>
      <c r="T160" s="23"/>
      <c r="U160" s="23"/>
    </row>
    <row r="161" spans="1:21" s="70" customFormat="1" ht="18">
      <c r="A161" s="42"/>
      <c r="B161" s="64"/>
      <c r="C161" s="88" t="s">
        <v>41</v>
      </c>
      <c r="D161" s="12" t="s">
        <v>37</v>
      </c>
      <c r="E161" s="89" t="s">
        <v>77</v>
      </c>
      <c r="F161" s="41">
        <f>F158*E161</f>
        <v>5.8400999999999995E-2</v>
      </c>
      <c r="G161" s="41"/>
      <c r="H161" s="80"/>
      <c r="I161" s="41"/>
      <c r="J161" s="41"/>
      <c r="K161" s="41"/>
      <c r="L161" s="41"/>
      <c r="M161" s="41"/>
      <c r="N161" s="135"/>
      <c r="O161" s="227"/>
      <c r="P161" s="23"/>
      <c r="Q161" s="23"/>
      <c r="R161" s="23"/>
      <c r="S161" s="23"/>
      <c r="T161" s="23"/>
      <c r="U161" s="23"/>
    </row>
    <row r="162" spans="1:21" s="70" customFormat="1" ht="82.5">
      <c r="A162" s="72">
        <v>4</v>
      </c>
      <c r="B162" s="90" t="s">
        <v>83</v>
      </c>
      <c r="C162" s="127" t="s">
        <v>87</v>
      </c>
      <c r="D162" s="102" t="s">
        <v>34</v>
      </c>
      <c r="E162" s="188"/>
      <c r="F162" s="71">
        <v>94.5</v>
      </c>
      <c r="G162" s="41"/>
      <c r="H162" s="41"/>
      <c r="I162" s="41"/>
      <c r="J162" s="41"/>
      <c r="K162" s="41"/>
      <c r="L162" s="41"/>
      <c r="M162" s="41"/>
      <c r="N162" s="135"/>
      <c r="O162" s="227"/>
      <c r="P162" s="23"/>
      <c r="Q162" s="23"/>
      <c r="R162" s="23"/>
      <c r="S162" s="23"/>
      <c r="T162" s="23"/>
      <c r="U162" s="23"/>
    </row>
    <row r="163" spans="1:21" s="70" customFormat="1" ht="18" customHeight="1">
      <c r="A163" s="32"/>
      <c r="B163" s="43"/>
      <c r="C163" s="92" t="s">
        <v>19</v>
      </c>
      <c r="D163" s="187" t="s">
        <v>20</v>
      </c>
      <c r="E163" s="86">
        <f>37.5/1000+2*0.07/1000</f>
        <v>3.764E-2</v>
      </c>
      <c r="F163" s="41">
        <f>F162*E163</f>
        <v>3.5569799999999998</v>
      </c>
      <c r="G163" s="41"/>
      <c r="H163" s="41"/>
      <c r="I163" s="41"/>
      <c r="J163" s="41"/>
      <c r="K163" s="41"/>
      <c r="L163" s="41"/>
      <c r="M163" s="41"/>
      <c r="N163" s="135"/>
      <c r="O163" s="227"/>
      <c r="P163" s="23"/>
      <c r="Q163" s="23"/>
      <c r="R163" s="23"/>
      <c r="S163" s="23"/>
      <c r="T163" s="23"/>
      <c r="U163" s="23"/>
    </row>
    <row r="164" spans="1:21" s="70" customFormat="1" ht="18" customHeight="1">
      <c r="A164" s="32"/>
      <c r="B164" s="54"/>
      <c r="C164" s="44" t="s">
        <v>54</v>
      </c>
      <c r="D164" s="187" t="s">
        <v>27</v>
      </c>
      <c r="E164" s="86">
        <f t="shared" ref="E164" si="11">3.02/1000</f>
        <v>3.0200000000000001E-3</v>
      </c>
      <c r="F164" s="41">
        <f>E164*F162</f>
        <v>0.28539000000000003</v>
      </c>
      <c r="G164" s="41"/>
      <c r="H164" s="41"/>
      <c r="I164" s="41"/>
      <c r="J164" s="41"/>
      <c r="K164" s="41"/>
      <c r="L164" s="41"/>
      <c r="M164" s="41"/>
      <c r="N164" s="135"/>
      <c r="O164" s="227"/>
      <c r="P164" s="23"/>
      <c r="Q164" s="23"/>
      <c r="R164" s="23"/>
      <c r="S164" s="23"/>
      <c r="T164" s="23"/>
      <c r="U164" s="23"/>
    </row>
    <row r="165" spans="1:21" s="70" customFormat="1" ht="18" customHeight="1">
      <c r="A165" s="32"/>
      <c r="B165" s="54"/>
      <c r="C165" s="44" t="s">
        <v>48</v>
      </c>
      <c r="D165" s="187" t="s">
        <v>27</v>
      </c>
      <c r="E165" s="86">
        <f t="shared" ref="E165" si="12">3.7/1000</f>
        <v>3.7000000000000002E-3</v>
      </c>
      <c r="F165" s="41">
        <f>E165*F162</f>
        <v>0.34965000000000002</v>
      </c>
      <c r="G165" s="41"/>
      <c r="H165" s="41"/>
      <c r="I165" s="41"/>
      <c r="J165" s="41"/>
      <c r="K165" s="80"/>
      <c r="L165" s="41"/>
      <c r="M165" s="41"/>
      <c r="N165" s="135"/>
      <c r="O165" s="227"/>
      <c r="P165" s="23"/>
      <c r="Q165" s="23"/>
      <c r="R165" s="23"/>
      <c r="S165" s="23"/>
      <c r="T165" s="23"/>
      <c r="U165" s="23"/>
    </row>
    <row r="166" spans="1:21" s="70" customFormat="1" ht="18" customHeight="1">
      <c r="A166" s="32"/>
      <c r="B166" s="54"/>
      <c r="C166" s="15" t="s">
        <v>49</v>
      </c>
      <c r="D166" s="187" t="s">
        <v>27</v>
      </c>
      <c r="E166" s="86">
        <f t="shared" ref="E166" si="13">11.1/1000</f>
        <v>1.11E-2</v>
      </c>
      <c r="F166" s="41">
        <f>E166*F162</f>
        <v>1.04895</v>
      </c>
      <c r="G166" s="41"/>
      <c r="H166" s="41"/>
      <c r="I166" s="41"/>
      <c r="J166" s="41"/>
      <c r="K166" s="80"/>
      <c r="L166" s="41"/>
      <c r="M166" s="41"/>
      <c r="N166" s="135"/>
      <c r="O166" s="227"/>
      <c r="P166" s="23"/>
      <c r="Q166" s="23"/>
      <c r="R166" s="23"/>
      <c r="S166" s="23"/>
      <c r="T166" s="23"/>
      <c r="U166" s="23"/>
    </row>
    <row r="167" spans="1:21" s="70" customFormat="1" ht="18" customHeight="1">
      <c r="A167" s="32"/>
      <c r="B167" s="43"/>
      <c r="C167" s="44" t="s">
        <v>30</v>
      </c>
      <c r="D167" s="187" t="s">
        <v>23</v>
      </c>
      <c r="E167" s="86">
        <v>2.3E-3</v>
      </c>
      <c r="F167" s="41">
        <f>E167*F162</f>
        <v>0.21734999999999999</v>
      </c>
      <c r="G167" s="41"/>
      <c r="H167" s="41"/>
      <c r="I167" s="41"/>
      <c r="J167" s="41"/>
      <c r="K167" s="41"/>
      <c r="L167" s="41"/>
      <c r="M167" s="41"/>
      <c r="N167" s="135"/>
      <c r="O167" s="227"/>
      <c r="P167" s="23"/>
      <c r="Q167" s="23"/>
      <c r="R167" s="23"/>
      <c r="S167" s="23"/>
      <c r="T167" s="23"/>
      <c r="U167" s="23"/>
    </row>
    <row r="168" spans="1:21" s="70" customFormat="1" ht="18" customHeight="1">
      <c r="A168" s="32"/>
      <c r="B168" s="43"/>
      <c r="C168" s="187" t="s">
        <v>36</v>
      </c>
      <c r="D168" s="50"/>
      <c r="E168" s="188"/>
      <c r="F168" s="41"/>
      <c r="G168" s="41"/>
      <c r="H168" s="41"/>
      <c r="I168" s="41"/>
      <c r="J168" s="41"/>
      <c r="K168" s="41"/>
      <c r="L168" s="41"/>
      <c r="M168" s="41"/>
      <c r="N168" s="135"/>
      <c r="O168" s="227"/>
      <c r="P168" s="23"/>
      <c r="Q168" s="23"/>
      <c r="R168" s="23"/>
      <c r="S168" s="23"/>
      <c r="T168" s="23"/>
      <c r="U168" s="23"/>
    </row>
    <row r="169" spans="1:21" s="70" customFormat="1" ht="18">
      <c r="A169" s="32"/>
      <c r="B169" s="64"/>
      <c r="C169" s="93" t="s">
        <v>79</v>
      </c>
      <c r="D169" s="12" t="s">
        <v>37</v>
      </c>
      <c r="E169" s="86">
        <f>(97.4+12.1*2)/1000</f>
        <v>0.12160000000000001</v>
      </c>
      <c r="F169" s="41">
        <f>F162*E169</f>
        <v>11.491200000000001</v>
      </c>
      <c r="G169" s="41"/>
      <c r="H169" s="80"/>
      <c r="I169" s="41"/>
      <c r="J169" s="41"/>
      <c r="K169" s="41"/>
      <c r="L169" s="41"/>
      <c r="M169" s="41"/>
      <c r="N169" s="135"/>
      <c r="O169" s="227"/>
      <c r="P169" s="23"/>
      <c r="Q169" s="23"/>
      <c r="R169" s="23"/>
      <c r="S169" s="23"/>
      <c r="T169" s="23"/>
      <c r="U169" s="23"/>
    </row>
    <row r="170" spans="1:21" s="70" customFormat="1" ht="18" customHeight="1">
      <c r="A170" s="32"/>
      <c r="B170" s="43"/>
      <c r="C170" s="44" t="s">
        <v>39</v>
      </c>
      <c r="D170" s="187" t="s">
        <v>23</v>
      </c>
      <c r="E170" s="86">
        <f>0.0145+0.2*2/1000</f>
        <v>1.49E-2</v>
      </c>
      <c r="F170" s="41">
        <f>F162*E170</f>
        <v>1.40805</v>
      </c>
      <c r="G170" s="41"/>
      <c r="H170" s="80"/>
      <c r="I170" s="41"/>
      <c r="J170" s="41"/>
      <c r="K170" s="41"/>
      <c r="L170" s="41"/>
      <c r="M170" s="41"/>
      <c r="N170" s="135"/>
      <c r="O170" s="227"/>
      <c r="P170" s="23"/>
      <c r="Q170" s="23"/>
      <c r="R170" s="23"/>
      <c r="S170" s="23"/>
      <c r="T170" s="23"/>
      <c r="U170" s="23"/>
    </row>
    <row r="171" spans="1:21" s="70" customFormat="1" ht="72" customHeight="1">
      <c r="A171" s="83">
        <v>5</v>
      </c>
      <c r="B171" s="183" t="s">
        <v>55</v>
      </c>
      <c r="C171" s="94" t="s">
        <v>56</v>
      </c>
      <c r="D171" s="95" t="s">
        <v>80</v>
      </c>
      <c r="E171" s="63"/>
      <c r="F171" s="71">
        <f>0.92/1.22</f>
        <v>0.75409836065573776</v>
      </c>
      <c r="G171" s="41"/>
      <c r="H171" s="41"/>
      <c r="I171" s="41"/>
      <c r="J171" s="41"/>
      <c r="K171" s="41"/>
      <c r="L171" s="41"/>
      <c r="M171" s="41"/>
      <c r="N171" s="135"/>
      <c r="O171" s="23"/>
      <c r="P171" s="23"/>
      <c r="Q171" s="23"/>
      <c r="R171" s="23"/>
      <c r="S171" s="23"/>
      <c r="T171" s="23"/>
      <c r="U171" s="23"/>
    </row>
    <row r="172" spans="1:21" s="70" customFormat="1" ht="18" customHeight="1">
      <c r="A172" s="32"/>
      <c r="B172" s="96"/>
      <c r="C172" s="97" t="s">
        <v>19</v>
      </c>
      <c r="D172" s="187" t="s">
        <v>20</v>
      </c>
      <c r="E172" s="56">
        <v>0.15</v>
      </c>
      <c r="F172" s="41">
        <f>F171*E172</f>
        <v>0.11311475409836066</v>
      </c>
      <c r="G172" s="41"/>
      <c r="H172" s="41"/>
      <c r="I172" s="41"/>
      <c r="J172" s="41"/>
      <c r="K172" s="41"/>
      <c r="L172" s="41"/>
      <c r="M172" s="41"/>
      <c r="N172" s="135"/>
      <c r="O172" s="23"/>
      <c r="P172" s="23"/>
      <c r="Q172" s="23"/>
      <c r="R172" s="23"/>
      <c r="S172" s="23"/>
      <c r="T172" s="23"/>
      <c r="U172" s="23"/>
    </row>
    <row r="173" spans="1:21" s="70" customFormat="1" ht="23.25" customHeight="1">
      <c r="A173" s="32"/>
      <c r="B173" s="54"/>
      <c r="C173" s="59" t="s">
        <v>43</v>
      </c>
      <c r="D173" s="187" t="s">
        <v>27</v>
      </c>
      <c r="E173" s="56">
        <v>2.1600000000000001E-2</v>
      </c>
      <c r="F173" s="41">
        <f>F171*E173</f>
        <v>1.6288524590163937E-2</v>
      </c>
      <c r="G173" s="41"/>
      <c r="H173" s="41"/>
      <c r="I173" s="41"/>
      <c r="J173" s="41"/>
      <c r="K173" s="41"/>
      <c r="L173" s="41"/>
      <c r="M173" s="41"/>
      <c r="N173" s="135"/>
      <c r="O173" s="23"/>
      <c r="P173" s="23"/>
      <c r="Q173" s="23"/>
      <c r="R173" s="23"/>
      <c r="S173" s="23"/>
      <c r="T173" s="23"/>
      <c r="U173" s="23"/>
    </row>
    <row r="174" spans="1:21" s="70" customFormat="1" ht="36">
      <c r="A174" s="32"/>
      <c r="B174" s="54"/>
      <c r="C174" s="59" t="s">
        <v>81</v>
      </c>
      <c r="D174" s="187" t="s">
        <v>27</v>
      </c>
      <c r="E174" s="56">
        <v>2.7300000000000001E-2</v>
      </c>
      <c r="F174" s="41">
        <f>F171*E174</f>
        <v>2.0586885245901642E-2</v>
      </c>
      <c r="G174" s="41"/>
      <c r="H174" s="41"/>
      <c r="I174" s="41"/>
      <c r="J174" s="41"/>
      <c r="K174" s="80"/>
      <c r="L174" s="41"/>
      <c r="M174" s="41"/>
      <c r="N174" s="135"/>
      <c r="O174" s="23"/>
      <c r="P174" s="23"/>
      <c r="Q174" s="23"/>
      <c r="R174" s="23"/>
      <c r="S174" s="23"/>
      <c r="T174" s="23"/>
      <c r="U174" s="23"/>
    </row>
    <row r="175" spans="1:21" s="70" customFormat="1" ht="21" customHeight="1">
      <c r="A175" s="32"/>
      <c r="B175" s="54"/>
      <c r="C175" s="59" t="s">
        <v>44</v>
      </c>
      <c r="D175" s="187" t="s">
        <v>27</v>
      </c>
      <c r="E175" s="56">
        <v>9.7000000000000003E-3</v>
      </c>
      <c r="F175" s="41">
        <f>F171*E175</f>
        <v>7.3147540983606561E-3</v>
      </c>
      <c r="G175" s="41"/>
      <c r="H175" s="41"/>
      <c r="I175" s="41"/>
      <c r="J175" s="41"/>
      <c r="K175" s="80"/>
      <c r="L175" s="41"/>
      <c r="M175" s="41"/>
      <c r="N175" s="135"/>
      <c r="O175" s="23"/>
      <c r="P175" s="23"/>
      <c r="Q175" s="23"/>
      <c r="R175" s="23"/>
      <c r="S175" s="23"/>
      <c r="T175" s="23"/>
      <c r="U175" s="23"/>
    </row>
    <row r="176" spans="1:21" s="70" customFormat="1" ht="18" customHeight="1">
      <c r="A176" s="32"/>
      <c r="B176" s="98"/>
      <c r="C176" s="97" t="s">
        <v>36</v>
      </c>
      <c r="D176" s="99"/>
      <c r="E176" s="188"/>
      <c r="F176" s="41"/>
      <c r="G176" s="41"/>
      <c r="H176" s="41"/>
      <c r="I176" s="41"/>
      <c r="J176" s="41"/>
      <c r="K176" s="41"/>
      <c r="L176" s="41"/>
      <c r="M176" s="41"/>
      <c r="N176" s="135"/>
      <c r="O176" s="23"/>
      <c r="P176" s="23"/>
      <c r="Q176" s="23"/>
      <c r="R176" s="23"/>
      <c r="S176" s="23"/>
      <c r="T176" s="23"/>
      <c r="U176" s="23"/>
    </row>
    <row r="177" spans="1:21" s="70" customFormat="1" ht="54" customHeight="1">
      <c r="A177" s="32"/>
      <c r="B177" s="81"/>
      <c r="C177" s="59" t="s">
        <v>65</v>
      </c>
      <c r="D177" s="12" t="s">
        <v>61</v>
      </c>
      <c r="E177" s="86">
        <v>1.22</v>
      </c>
      <c r="F177" s="41">
        <f>F171*E177</f>
        <v>0.92</v>
      </c>
      <c r="G177" s="41"/>
      <c r="H177" s="80"/>
      <c r="I177" s="41"/>
      <c r="J177" s="41"/>
      <c r="K177" s="41"/>
      <c r="L177" s="41"/>
      <c r="M177" s="41"/>
      <c r="N177" s="135"/>
      <c r="O177" s="23"/>
      <c r="P177" s="23"/>
      <c r="Q177" s="23"/>
      <c r="R177" s="23"/>
      <c r="S177" s="23"/>
      <c r="T177" s="23"/>
      <c r="U177" s="23"/>
    </row>
    <row r="178" spans="1:21" s="70" customFormat="1" ht="18" customHeight="1">
      <c r="A178" s="32"/>
      <c r="B178" s="98"/>
      <c r="C178" s="97" t="s">
        <v>45</v>
      </c>
      <c r="D178" s="12" t="s">
        <v>61</v>
      </c>
      <c r="E178" s="86">
        <v>7.0000000000000007E-2</v>
      </c>
      <c r="F178" s="41">
        <f>F171*E178</f>
        <v>5.2786885245901652E-2</v>
      </c>
      <c r="G178" s="41"/>
      <c r="H178" s="80"/>
      <c r="I178" s="41"/>
      <c r="J178" s="41"/>
      <c r="K178" s="41"/>
      <c r="L178" s="41"/>
      <c r="M178" s="41"/>
      <c r="N178" s="135"/>
      <c r="O178" s="23"/>
      <c r="P178" s="23"/>
      <c r="Q178" s="23"/>
      <c r="R178" s="23"/>
      <c r="S178" s="23"/>
      <c r="T178" s="23"/>
      <c r="U178" s="23"/>
    </row>
    <row r="179" spans="1:21" s="70" customFormat="1" ht="18" customHeight="1">
      <c r="A179" s="32"/>
      <c r="B179" s="190"/>
      <c r="C179" s="73" t="s">
        <v>21</v>
      </c>
      <c r="D179" s="43"/>
      <c r="E179" s="188"/>
      <c r="F179" s="41"/>
      <c r="G179" s="41"/>
      <c r="H179" s="71"/>
      <c r="I179" s="71"/>
      <c r="J179" s="71"/>
      <c r="K179" s="71"/>
      <c r="L179" s="71"/>
      <c r="M179" s="71"/>
      <c r="N179" s="135"/>
      <c r="O179" s="227"/>
      <c r="P179" s="23"/>
      <c r="Q179" s="23"/>
      <c r="R179" s="23"/>
      <c r="S179" s="23"/>
      <c r="T179" s="23"/>
      <c r="U179" s="23"/>
    </row>
    <row r="180" spans="1:21" s="70" customFormat="1" ht="18" customHeight="1">
      <c r="A180" s="63"/>
      <c r="B180" s="198"/>
      <c r="C180" s="49" t="s">
        <v>118</v>
      </c>
      <c r="D180" s="49" t="s">
        <v>23</v>
      </c>
      <c r="E180" s="63"/>
      <c r="F180" s="41"/>
      <c r="G180" s="71"/>
      <c r="H180" s="71"/>
      <c r="I180" s="71"/>
      <c r="J180" s="71"/>
      <c r="K180" s="71"/>
      <c r="L180" s="71"/>
      <c r="M180" s="71"/>
      <c r="N180" s="135"/>
      <c r="O180" s="228"/>
      <c r="P180" s="23"/>
      <c r="Q180" s="23"/>
      <c r="R180" s="23"/>
      <c r="S180" s="23"/>
      <c r="T180" s="23"/>
      <c r="U180" s="23"/>
    </row>
    <row r="181" spans="1:21" s="70" customFormat="1" ht="18" customHeight="1">
      <c r="A181" s="63"/>
      <c r="B181" s="198"/>
      <c r="C181" s="49" t="s">
        <v>119</v>
      </c>
      <c r="D181" s="49" t="s">
        <v>23</v>
      </c>
      <c r="E181" s="63"/>
      <c r="F181" s="41"/>
      <c r="G181" s="71"/>
      <c r="H181" s="71"/>
      <c r="I181" s="71"/>
      <c r="J181" s="71"/>
      <c r="K181" s="71"/>
      <c r="L181" s="71"/>
      <c r="M181" s="71"/>
      <c r="N181" s="224"/>
      <c r="O181" s="229"/>
      <c r="P181" s="202"/>
      <c r="Q181" s="23"/>
      <c r="R181" s="23"/>
      <c r="S181" s="23"/>
      <c r="T181" s="23"/>
      <c r="U181" s="23"/>
    </row>
    <row r="182" spans="1:21" s="70" customFormat="1" ht="18" customHeight="1">
      <c r="A182" s="103"/>
      <c r="B182" s="104"/>
      <c r="C182" s="105" t="s">
        <v>141</v>
      </c>
      <c r="D182" s="106" t="s">
        <v>58</v>
      </c>
      <c r="E182" s="86">
        <v>5</v>
      </c>
      <c r="F182" s="41"/>
      <c r="G182" s="41"/>
      <c r="H182" s="71"/>
      <c r="I182" s="71"/>
      <c r="J182" s="71"/>
      <c r="K182" s="71"/>
      <c r="L182" s="71"/>
      <c r="M182" s="71"/>
      <c r="N182" s="224"/>
      <c r="O182" s="229"/>
      <c r="P182" s="202"/>
      <c r="Q182" s="23"/>
      <c r="R182" s="23"/>
      <c r="S182" s="23"/>
      <c r="T182" s="23"/>
      <c r="U182" s="23"/>
    </row>
    <row r="183" spans="1:21" s="70" customFormat="1" ht="18" customHeight="1">
      <c r="A183" s="103"/>
      <c r="B183" s="104"/>
      <c r="C183" s="107" t="s">
        <v>21</v>
      </c>
      <c r="D183" s="49" t="s">
        <v>23</v>
      </c>
      <c r="E183" s="188"/>
      <c r="F183" s="41"/>
      <c r="G183" s="41"/>
      <c r="H183" s="71"/>
      <c r="I183" s="71"/>
      <c r="J183" s="71"/>
      <c r="K183" s="71"/>
      <c r="L183" s="71"/>
      <c r="M183" s="71"/>
      <c r="N183" s="224"/>
      <c r="O183" s="229"/>
      <c r="P183" s="202"/>
      <c r="Q183" s="23"/>
      <c r="R183" s="23"/>
      <c r="S183" s="23"/>
      <c r="T183" s="23"/>
      <c r="U183" s="23"/>
    </row>
    <row r="184" spans="1:21" s="70" customFormat="1" ht="18" customHeight="1">
      <c r="A184" s="103"/>
      <c r="B184" s="104"/>
      <c r="C184" s="105" t="s">
        <v>142</v>
      </c>
      <c r="D184" s="106" t="s">
        <v>58</v>
      </c>
      <c r="E184" s="86">
        <v>10</v>
      </c>
      <c r="F184" s="41"/>
      <c r="G184" s="41"/>
      <c r="H184" s="71"/>
      <c r="I184" s="71"/>
      <c r="J184" s="71"/>
      <c r="K184" s="71"/>
      <c r="L184" s="71"/>
      <c r="M184" s="71"/>
      <c r="N184" s="135"/>
      <c r="O184" s="23"/>
      <c r="P184" s="23"/>
      <c r="Q184" s="23"/>
      <c r="R184" s="23"/>
      <c r="S184" s="23"/>
      <c r="T184" s="23"/>
      <c r="U184" s="23"/>
    </row>
    <row r="185" spans="1:21" s="70" customFormat="1" ht="18" customHeight="1">
      <c r="A185" s="103"/>
      <c r="B185" s="104"/>
      <c r="C185" s="107" t="s">
        <v>21</v>
      </c>
      <c r="D185" s="49" t="s">
        <v>23</v>
      </c>
      <c r="E185" s="188"/>
      <c r="F185" s="41"/>
      <c r="G185" s="41"/>
      <c r="H185" s="71"/>
      <c r="I185" s="71"/>
      <c r="J185" s="71"/>
      <c r="K185" s="71"/>
      <c r="L185" s="71"/>
      <c r="M185" s="71"/>
      <c r="N185" s="135"/>
      <c r="O185" s="23"/>
      <c r="P185" s="23"/>
      <c r="Q185" s="23"/>
      <c r="R185" s="23"/>
      <c r="S185" s="23"/>
      <c r="T185" s="23"/>
      <c r="U185" s="23"/>
    </row>
    <row r="186" spans="1:21" s="70" customFormat="1" ht="18" customHeight="1">
      <c r="A186" s="103"/>
      <c r="B186" s="104"/>
      <c r="C186" s="105" t="s">
        <v>143</v>
      </c>
      <c r="D186" s="106" t="s">
        <v>58</v>
      </c>
      <c r="E186" s="86">
        <v>8</v>
      </c>
      <c r="F186" s="41"/>
      <c r="G186" s="41"/>
      <c r="H186" s="71"/>
      <c r="I186" s="71"/>
      <c r="J186" s="71"/>
      <c r="K186" s="71"/>
      <c r="L186" s="71"/>
      <c r="M186" s="71"/>
      <c r="N186" s="135"/>
      <c r="O186" s="23"/>
      <c r="P186" s="23"/>
      <c r="Q186" s="23"/>
      <c r="R186" s="23"/>
      <c r="S186" s="23"/>
      <c r="T186" s="23"/>
      <c r="U186" s="23"/>
    </row>
    <row r="187" spans="1:21" s="70" customFormat="1" ht="18" customHeight="1">
      <c r="A187" s="103"/>
      <c r="B187" s="104"/>
      <c r="C187" s="107" t="s">
        <v>21</v>
      </c>
      <c r="D187" s="49" t="s">
        <v>23</v>
      </c>
      <c r="E187" s="188"/>
      <c r="F187" s="41"/>
      <c r="G187" s="41"/>
      <c r="H187" s="71"/>
      <c r="I187" s="71"/>
      <c r="J187" s="71"/>
      <c r="K187" s="71"/>
      <c r="L187" s="71"/>
      <c r="M187" s="71"/>
      <c r="N187" s="135"/>
      <c r="O187" s="23"/>
      <c r="P187" s="23"/>
      <c r="Q187" s="23"/>
      <c r="R187" s="23"/>
      <c r="S187" s="23"/>
      <c r="T187" s="23"/>
      <c r="U187" s="23"/>
    </row>
    <row r="188" spans="1:21" s="70" customFormat="1" ht="18" customHeight="1">
      <c r="A188" s="103"/>
      <c r="B188" s="104"/>
      <c r="C188" s="105" t="s">
        <v>144</v>
      </c>
      <c r="D188" s="106" t="s">
        <v>58</v>
      </c>
      <c r="E188" s="86">
        <v>3</v>
      </c>
      <c r="F188" s="41"/>
      <c r="G188" s="41"/>
      <c r="H188" s="71"/>
      <c r="I188" s="71"/>
      <c r="J188" s="71"/>
      <c r="K188" s="71"/>
      <c r="L188" s="71"/>
      <c r="M188" s="71"/>
      <c r="N188" s="135"/>
      <c r="O188" s="23"/>
      <c r="P188" s="23"/>
      <c r="Q188" s="23"/>
      <c r="R188" s="23"/>
      <c r="S188" s="23"/>
      <c r="T188" s="23"/>
      <c r="U188" s="23"/>
    </row>
    <row r="189" spans="1:21" ht="18" customHeight="1">
      <c r="A189" s="108"/>
      <c r="B189" s="109"/>
      <c r="C189" s="110" t="s">
        <v>21</v>
      </c>
      <c r="D189" s="76" t="s">
        <v>23</v>
      </c>
      <c r="E189" s="78"/>
      <c r="F189" s="79"/>
      <c r="G189" s="79"/>
      <c r="H189" s="111"/>
      <c r="I189" s="111"/>
      <c r="J189" s="111"/>
      <c r="K189" s="111"/>
      <c r="L189" s="111"/>
      <c r="M189" s="111"/>
      <c r="N189" s="135"/>
      <c r="O189" s="23"/>
      <c r="P189" s="23"/>
      <c r="Q189" s="23"/>
      <c r="R189" s="23"/>
      <c r="S189" s="23"/>
      <c r="T189" s="23"/>
      <c r="U189" s="23"/>
    </row>
    <row r="190" spans="1:21" ht="18" customHeight="1">
      <c r="A190" s="112"/>
      <c r="B190" s="113"/>
      <c r="C190" s="114" t="s">
        <v>59</v>
      </c>
      <c r="D190" s="115" t="s">
        <v>58</v>
      </c>
      <c r="E190" s="116">
        <v>18</v>
      </c>
      <c r="F190" s="117"/>
      <c r="G190" s="117"/>
      <c r="H190" s="118"/>
      <c r="I190" s="118"/>
      <c r="J190" s="118"/>
      <c r="K190" s="118"/>
      <c r="L190" s="118"/>
      <c r="M190" s="118"/>
      <c r="N190" s="202"/>
      <c r="O190" s="23"/>
      <c r="P190" s="23"/>
      <c r="Q190" s="23"/>
      <c r="R190" s="23"/>
      <c r="S190" s="23"/>
      <c r="T190" s="23"/>
      <c r="U190" s="23"/>
    </row>
    <row r="191" spans="1:21" ht="18" customHeight="1">
      <c r="A191" s="112"/>
      <c r="B191" s="113"/>
      <c r="C191" s="119" t="s">
        <v>60</v>
      </c>
      <c r="D191" s="120" t="s">
        <v>23</v>
      </c>
      <c r="E191" s="121"/>
      <c r="F191" s="117"/>
      <c r="G191" s="117"/>
      <c r="H191" s="118"/>
      <c r="I191" s="118"/>
      <c r="J191" s="118"/>
      <c r="K191" s="118"/>
      <c r="L191" s="118"/>
      <c r="M191" s="118"/>
      <c r="N191" s="202"/>
      <c r="O191" s="23"/>
      <c r="P191" s="23"/>
      <c r="Q191" s="23"/>
      <c r="R191" s="23"/>
      <c r="S191" s="23"/>
      <c r="T191" s="23"/>
      <c r="U191" s="23"/>
    </row>
    <row r="192" spans="1:21" ht="16.5" customHeight="1">
      <c r="A192" s="230"/>
      <c r="B192" s="231"/>
      <c r="C192" s="232"/>
      <c r="D192" s="233"/>
      <c r="E192" s="233"/>
      <c r="F192" s="233"/>
      <c r="G192" s="233"/>
      <c r="H192" s="233"/>
      <c r="I192" s="233"/>
      <c r="J192" s="233"/>
      <c r="K192" s="233"/>
      <c r="L192" s="234"/>
      <c r="M192" s="234"/>
      <c r="N192" s="202"/>
      <c r="O192" s="23"/>
      <c r="P192" s="23"/>
      <c r="Q192" s="23"/>
      <c r="R192" s="23"/>
      <c r="S192" s="23"/>
      <c r="T192" s="23"/>
      <c r="U192" s="23"/>
    </row>
    <row r="193" spans="1:256" s="123" customFormat="1" ht="127.5" customHeight="1">
      <c r="A193" s="248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"/>
      <c r="O193" s="1"/>
      <c r="P193" s="1"/>
      <c r="Q193" s="1"/>
      <c r="R193" s="1"/>
      <c r="S193" s="1"/>
      <c r="T193" s="1"/>
      <c r="U193" s="1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  <c r="BG193" s="122"/>
      <c r="BH193" s="122"/>
      <c r="BI193" s="122"/>
      <c r="BJ193" s="122"/>
      <c r="BK193" s="122"/>
      <c r="BL193" s="122"/>
      <c r="BM193" s="122"/>
      <c r="BN193" s="122"/>
      <c r="BO193" s="122"/>
      <c r="BP193" s="122"/>
      <c r="BQ193" s="122"/>
      <c r="BR193" s="122"/>
      <c r="BS193" s="122"/>
      <c r="BT193" s="122"/>
      <c r="BU193" s="122"/>
      <c r="BV193" s="122"/>
      <c r="BW193" s="122"/>
      <c r="BX193" s="122"/>
      <c r="BY193" s="122"/>
      <c r="BZ193" s="122"/>
      <c r="CA193" s="122"/>
      <c r="CB193" s="122"/>
      <c r="CC193" s="122"/>
      <c r="CD193" s="122"/>
      <c r="CE193" s="122"/>
      <c r="CF193" s="122"/>
      <c r="CG193" s="122"/>
      <c r="CH193" s="122"/>
      <c r="CI193" s="122"/>
      <c r="CJ193" s="122"/>
      <c r="CK193" s="122"/>
      <c r="CL193" s="122"/>
      <c r="CM193" s="122"/>
      <c r="CN193" s="122"/>
      <c r="CO193" s="122"/>
      <c r="CP193" s="122"/>
      <c r="CQ193" s="122"/>
      <c r="CR193" s="122"/>
      <c r="CS193" s="122"/>
      <c r="CT193" s="122"/>
      <c r="CU193" s="122"/>
      <c r="CV193" s="122"/>
      <c r="CW193" s="122"/>
      <c r="CX193" s="122"/>
      <c r="CY193" s="122"/>
      <c r="CZ193" s="122"/>
      <c r="DA193" s="122"/>
      <c r="DB193" s="122"/>
      <c r="DC193" s="122"/>
      <c r="DD193" s="122"/>
      <c r="DE193" s="122"/>
      <c r="DF193" s="122"/>
      <c r="DG193" s="122"/>
      <c r="DH193" s="122"/>
      <c r="DI193" s="122"/>
      <c r="DJ193" s="122"/>
      <c r="DK193" s="122"/>
      <c r="DL193" s="122"/>
      <c r="DM193" s="122"/>
      <c r="DN193" s="122"/>
      <c r="DO193" s="122"/>
      <c r="DP193" s="122"/>
      <c r="DQ193" s="122"/>
      <c r="DR193" s="122"/>
      <c r="DS193" s="122"/>
      <c r="DT193" s="122"/>
      <c r="DU193" s="122"/>
      <c r="DV193" s="122"/>
      <c r="DW193" s="122"/>
      <c r="DX193" s="122"/>
      <c r="DY193" s="122"/>
      <c r="DZ193" s="122"/>
      <c r="EA193" s="122"/>
      <c r="EB193" s="122"/>
      <c r="EC193" s="122"/>
      <c r="ED193" s="122"/>
      <c r="EE193" s="122"/>
      <c r="EF193" s="122"/>
      <c r="EG193" s="122"/>
      <c r="EH193" s="122"/>
      <c r="EI193" s="122"/>
      <c r="EJ193" s="122"/>
      <c r="EK193" s="122"/>
      <c r="EL193" s="122"/>
      <c r="EM193" s="122"/>
      <c r="EN193" s="122"/>
      <c r="EO193" s="122"/>
      <c r="EP193" s="122"/>
      <c r="EQ193" s="122"/>
      <c r="ER193" s="122"/>
      <c r="ES193" s="122"/>
      <c r="ET193" s="122"/>
      <c r="EU193" s="122"/>
      <c r="EV193" s="122"/>
      <c r="EW193" s="122"/>
      <c r="EX193" s="122"/>
      <c r="EY193" s="122"/>
      <c r="EZ193" s="122"/>
      <c r="FA193" s="122"/>
      <c r="FB193" s="122"/>
      <c r="FC193" s="122"/>
      <c r="FD193" s="122"/>
      <c r="FE193" s="122"/>
      <c r="FF193" s="122"/>
      <c r="FG193" s="122"/>
      <c r="FH193" s="122"/>
      <c r="FI193" s="122"/>
      <c r="FJ193" s="122"/>
      <c r="FK193" s="122"/>
      <c r="FL193" s="122"/>
      <c r="FM193" s="122"/>
      <c r="FN193" s="122"/>
      <c r="FO193" s="122"/>
      <c r="FP193" s="122"/>
      <c r="FQ193" s="122"/>
      <c r="FR193" s="122"/>
      <c r="FS193" s="122"/>
      <c r="FT193" s="122"/>
      <c r="FU193" s="122"/>
      <c r="FV193" s="122"/>
      <c r="FW193" s="122"/>
      <c r="FX193" s="122"/>
      <c r="FY193" s="122"/>
      <c r="FZ193" s="122"/>
      <c r="GA193" s="122"/>
      <c r="GB193" s="122"/>
      <c r="GC193" s="122"/>
      <c r="GD193" s="122"/>
      <c r="GE193" s="122"/>
      <c r="GF193" s="122"/>
      <c r="GG193" s="122"/>
      <c r="GH193" s="122"/>
      <c r="GI193" s="122"/>
      <c r="GJ193" s="122"/>
      <c r="GK193" s="122"/>
      <c r="GL193" s="122"/>
      <c r="GM193" s="122"/>
      <c r="GN193" s="122"/>
      <c r="GO193" s="122"/>
      <c r="GP193" s="122"/>
      <c r="GQ193" s="122"/>
      <c r="GR193" s="122"/>
      <c r="GS193" s="122"/>
      <c r="GT193" s="122"/>
      <c r="GU193" s="122"/>
      <c r="GV193" s="122"/>
      <c r="GW193" s="122"/>
      <c r="GX193" s="122"/>
      <c r="GY193" s="122"/>
      <c r="GZ193" s="122"/>
      <c r="HA193" s="122"/>
      <c r="HB193" s="122"/>
      <c r="HC193" s="122"/>
      <c r="HD193" s="122"/>
      <c r="HE193" s="122"/>
      <c r="HF193" s="122"/>
      <c r="HG193" s="122"/>
      <c r="HH193" s="122"/>
      <c r="HI193" s="122"/>
      <c r="HJ193" s="122"/>
      <c r="HK193" s="122"/>
      <c r="HL193" s="122"/>
      <c r="HM193" s="122"/>
      <c r="HN193" s="122"/>
      <c r="HO193" s="122"/>
      <c r="HP193" s="122"/>
      <c r="HQ193" s="122"/>
      <c r="HR193" s="122"/>
      <c r="HS193" s="122"/>
      <c r="HT193" s="122"/>
      <c r="HU193" s="122"/>
      <c r="HV193" s="122"/>
      <c r="HW193" s="122"/>
      <c r="HX193" s="122"/>
      <c r="HY193" s="122"/>
      <c r="HZ193" s="122"/>
      <c r="IA193" s="122"/>
      <c r="IB193" s="122"/>
      <c r="IC193" s="122"/>
      <c r="ID193" s="122"/>
      <c r="IE193" s="122"/>
      <c r="IF193" s="122"/>
      <c r="IG193" s="122"/>
      <c r="IH193" s="122"/>
      <c r="II193" s="122"/>
      <c r="IJ193" s="122"/>
      <c r="IK193" s="122"/>
      <c r="IL193" s="122"/>
      <c r="IM193" s="122"/>
      <c r="IN193" s="122"/>
      <c r="IO193" s="122"/>
      <c r="IP193" s="122"/>
      <c r="IQ193" s="122"/>
      <c r="IR193" s="122"/>
      <c r="IS193" s="122"/>
      <c r="IT193" s="122"/>
      <c r="IU193" s="122"/>
      <c r="IV193" s="122"/>
    </row>
    <row r="194" spans="1:256" ht="16.5" customHeight="1">
      <c r="A194" s="235"/>
      <c r="B194" s="231"/>
      <c r="C194" s="236"/>
      <c r="D194" s="237"/>
      <c r="E194" s="237"/>
      <c r="F194" s="238"/>
      <c r="G194" s="239"/>
      <c r="H194" s="240"/>
      <c r="I194" s="237"/>
      <c r="J194" s="237"/>
      <c r="K194" s="237"/>
      <c r="L194" s="237"/>
      <c r="M194" s="23"/>
      <c r="N194" s="23"/>
      <c r="O194" s="23"/>
      <c r="P194" s="23"/>
      <c r="Q194" s="23"/>
      <c r="R194" s="23"/>
      <c r="S194" s="23"/>
      <c r="T194" s="23"/>
      <c r="U194" s="23"/>
    </row>
    <row r="195" spans="1:256" ht="16.5" customHeight="1">
      <c r="A195" s="235"/>
      <c r="B195" s="231"/>
      <c r="C195" s="236"/>
      <c r="D195" s="237"/>
      <c r="E195" s="237"/>
      <c r="F195" s="238"/>
      <c r="G195" s="239"/>
      <c r="H195" s="240"/>
      <c r="I195" s="237"/>
      <c r="J195" s="237"/>
      <c r="K195" s="237"/>
      <c r="L195" s="237"/>
      <c r="M195" s="23"/>
      <c r="N195" s="23"/>
      <c r="O195" s="23"/>
      <c r="P195" s="23"/>
      <c r="Q195" s="23"/>
      <c r="R195" s="23"/>
      <c r="S195" s="23"/>
      <c r="T195" s="23"/>
      <c r="U195" s="23"/>
    </row>
    <row r="196" spans="1:256" ht="16.5" customHeight="1">
      <c r="A196" s="235"/>
      <c r="B196" s="231"/>
      <c r="C196" s="236"/>
      <c r="D196" s="237"/>
      <c r="E196" s="237"/>
      <c r="F196" s="238"/>
      <c r="G196" s="239"/>
      <c r="H196" s="240"/>
      <c r="I196" s="237"/>
      <c r="J196" s="237"/>
      <c r="K196" s="237"/>
      <c r="L196" s="237"/>
      <c r="M196" s="23"/>
      <c r="N196" s="23"/>
      <c r="O196" s="23"/>
      <c r="P196" s="23"/>
      <c r="Q196" s="23"/>
      <c r="R196" s="23"/>
      <c r="S196" s="23"/>
      <c r="T196" s="23"/>
      <c r="U196" s="23"/>
    </row>
    <row r="197" spans="1:256" ht="16.5" customHeight="1">
      <c r="A197" s="235"/>
      <c r="B197" s="231"/>
      <c r="C197" s="236"/>
      <c r="D197" s="237"/>
      <c r="E197" s="237"/>
      <c r="F197" s="238"/>
      <c r="G197" s="239"/>
      <c r="H197" s="240"/>
      <c r="I197" s="237"/>
      <c r="J197" s="237"/>
      <c r="K197" s="237"/>
      <c r="L197" s="237"/>
      <c r="M197" s="23"/>
      <c r="N197" s="23"/>
      <c r="O197" s="23"/>
      <c r="P197" s="23"/>
      <c r="Q197" s="23"/>
      <c r="R197" s="23"/>
      <c r="S197" s="23"/>
      <c r="T197" s="23"/>
      <c r="U197" s="23"/>
    </row>
    <row r="198" spans="1:256" ht="16.5" customHeight="1">
      <c r="A198" s="235"/>
      <c r="B198" s="231"/>
      <c r="C198" s="236"/>
      <c r="D198" s="237"/>
      <c r="E198" s="237"/>
      <c r="F198" s="238"/>
      <c r="G198" s="239"/>
      <c r="H198" s="240"/>
      <c r="I198" s="237"/>
      <c r="J198" s="237"/>
      <c r="K198" s="237"/>
      <c r="L198" s="237"/>
      <c r="M198" s="23"/>
      <c r="N198" s="23"/>
      <c r="O198" s="23"/>
      <c r="P198" s="23"/>
      <c r="Q198" s="23"/>
      <c r="R198" s="23"/>
      <c r="S198" s="23"/>
      <c r="T198" s="23"/>
      <c r="U198" s="23"/>
    </row>
    <row r="199" spans="1:256" ht="16.5" customHeight="1">
      <c r="A199" s="235"/>
      <c r="B199" s="231"/>
      <c r="C199" s="236"/>
      <c r="D199" s="237"/>
      <c r="E199" s="237"/>
      <c r="F199" s="238"/>
      <c r="G199" s="239"/>
      <c r="H199" s="240"/>
      <c r="I199" s="237"/>
      <c r="J199" s="237"/>
      <c r="K199" s="237"/>
      <c r="L199" s="237"/>
      <c r="M199" s="23"/>
      <c r="N199" s="23"/>
      <c r="O199" s="23"/>
      <c r="P199" s="23"/>
      <c r="Q199" s="23"/>
      <c r="R199" s="23"/>
      <c r="S199" s="23"/>
      <c r="T199" s="23"/>
      <c r="U199" s="23"/>
    </row>
    <row r="200" spans="1:256" ht="16.5" customHeight="1">
      <c r="A200" s="235"/>
      <c r="B200" s="231"/>
      <c r="C200" s="236"/>
      <c r="D200" s="237"/>
      <c r="E200" s="237"/>
      <c r="F200" s="238"/>
      <c r="G200" s="239"/>
      <c r="H200" s="240"/>
      <c r="I200" s="237"/>
      <c r="J200" s="237"/>
      <c r="K200" s="237"/>
      <c r="L200" s="237"/>
      <c r="M200" s="23"/>
      <c r="N200" s="23"/>
      <c r="O200" s="23"/>
      <c r="P200" s="23"/>
      <c r="Q200" s="23"/>
      <c r="R200" s="23"/>
      <c r="S200" s="23"/>
      <c r="T200" s="23"/>
      <c r="U200" s="23"/>
    </row>
    <row r="201" spans="1:256" ht="16.5" customHeight="1">
      <c r="A201" s="235"/>
      <c r="B201" s="231"/>
      <c r="C201" s="236"/>
      <c r="D201" s="237"/>
      <c r="E201" s="237"/>
      <c r="F201" s="238"/>
      <c r="G201" s="239"/>
      <c r="H201" s="240"/>
      <c r="I201" s="237"/>
      <c r="J201" s="237"/>
      <c r="K201" s="237"/>
      <c r="L201" s="237"/>
      <c r="M201" s="23"/>
      <c r="N201" s="23"/>
      <c r="O201" s="23"/>
      <c r="P201" s="23"/>
      <c r="Q201" s="23"/>
      <c r="R201" s="23"/>
      <c r="S201" s="23"/>
      <c r="T201" s="23"/>
      <c r="U201" s="23"/>
    </row>
    <row r="202" spans="1:256" ht="16.5" customHeight="1">
      <c r="A202" s="235"/>
      <c r="B202" s="231"/>
      <c r="C202" s="236"/>
      <c r="D202" s="237"/>
      <c r="E202" s="237"/>
      <c r="F202" s="238"/>
      <c r="G202" s="239"/>
      <c r="H202" s="240"/>
      <c r="I202" s="237"/>
      <c r="J202" s="237"/>
      <c r="K202" s="237"/>
      <c r="L202" s="237"/>
      <c r="M202" s="23"/>
      <c r="N202" s="23"/>
      <c r="O202" s="23"/>
      <c r="P202" s="23"/>
      <c r="Q202" s="23"/>
      <c r="R202" s="23"/>
      <c r="S202" s="23"/>
      <c r="T202" s="23"/>
      <c r="U202" s="23"/>
    </row>
    <row r="203" spans="1:256" s="70" customFormat="1" ht="16.5" customHeight="1">
      <c r="A203" s="235"/>
      <c r="B203" s="231"/>
      <c r="C203" s="236"/>
      <c r="D203" s="237"/>
      <c r="E203" s="237"/>
      <c r="F203" s="238"/>
      <c r="G203" s="239"/>
      <c r="H203" s="240"/>
      <c r="I203" s="237"/>
      <c r="J203" s="237"/>
      <c r="K203" s="237"/>
      <c r="L203" s="237"/>
      <c r="M203" s="23"/>
      <c r="N203" s="23"/>
      <c r="O203" s="23"/>
      <c r="P203" s="23"/>
      <c r="Q203" s="23"/>
      <c r="R203" s="23"/>
      <c r="S203" s="23"/>
      <c r="T203" s="23"/>
      <c r="U203" s="23"/>
    </row>
    <row r="204" spans="1:256" s="70" customFormat="1" ht="16.5" customHeight="1">
      <c r="A204" s="235"/>
      <c r="B204" s="231"/>
      <c r="C204" s="236"/>
      <c r="D204" s="237"/>
      <c r="E204" s="237"/>
      <c r="F204" s="238"/>
      <c r="G204" s="239"/>
      <c r="H204" s="240"/>
      <c r="I204" s="237"/>
      <c r="J204" s="237"/>
      <c r="K204" s="237"/>
      <c r="L204" s="237"/>
      <c r="M204" s="23"/>
      <c r="N204" s="23"/>
      <c r="O204" s="23"/>
      <c r="P204" s="23"/>
      <c r="Q204" s="23"/>
      <c r="R204" s="23"/>
      <c r="S204" s="23"/>
      <c r="T204" s="23"/>
      <c r="U204" s="23"/>
    </row>
    <row r="205" spans="1:256" s="70" customFormat="1" ht="16.5" customHeight="1">
      <c r="A205" s="235"/>
      <c r="B205" s="231"/>
      <c r="C205" s="236"/>
      <c r="D205" s="237"/>
      <c r="E205" s="237"/>
      <c r="F205" s="238"/>
      <c r="G205" s="239"/>
      <c r="H205" s="240"/>
      <c r="I205" s="237"/>
      <c r="J205" s="237"/>
      <c r="K205" s="237"/>
      <c r="L205" s="237"/>
      <c r="M205" s="23"/>
      <c r="N205" s="23"/>
      <c r="O205" s="23"/>
      <c r="P205" s="23"/>
      <c r="Q205" s="23"/>
      <c r="R205" s="23"/>
      <c r="S205" s="23"/>
      <c r="T205" s="23"/>
      <c r="U205" s="23"/>
    </row>
    <row r="206" spans="1:256" s="70" customFormat="1" ht="16.5" customHeight="1">
      <c r="A206" s="235"/>
      <c r="B206" s="231"/>
      <c r="C206" s="236"/>
      <c r="D206" s="237"/>
      <c r="E206" s="237"/>
      <c r="F206" s="238"/>
      <c r="G206" s="239"/>
      <c r="H206" s="240"/>
      <c r="I206" s="237"/>
      <c r="J206" s="237"/>
      <c r="K206" s="237"/>
      <c r="L206" s="237"/>
      <c r="M206" s="23"/>
      <c r="N206" s="23"/>
      <c r="O206" s="23"/>
      <c r="P206" s="23"/>
      <c r="Q206" s="23"/>
      <c r="R206" s="23"/>
      <c r="S206" s="23"/>
      <c r="T206" s="23"/>
      <c r="U206" s="23"/>
    </row>
    <row r="207" spans="1:256" s="70" customFormat="1" ht="16.5" customHeight="1">
      <c r="A207" s="235"/>
      <c r="B207" s="231"/>
      <c r="C207" s="236"/>
      <c r="D207" s="237"/>
      <c r="E207" s="237"/>
      <c r="F207" s="238"/>
      <c r="G207" s="239"/>
      <c r="H207" s="240"/>
      <c r="I207" s="237"/>
      <c r="J207" s="237"/>
      <c r="K207" s="237"/>
      <c r="L207" s="237"/>
      <c r="M207" s="23"/>
      <c r="N207" s="23"/>
      <c r="O207" s="23"/>
      <c r="P207" s="23"/>
      <c r="Q207" s="23"/>
      <c r="R207" s="23"/>
      <c r="S207" s="23"/>
      <c r="T207" s="23"/>
      <c r="U207" s="23"/>
    </row>
    <row r="208" spans="1:256" s="70" customFormat="1" ht="16.5" customHeight="1">
      <c r="A208" s="235"/>
      <c r="B208" s="231"/>
      <c r="C208" s="236"/>
      <c r="D208" s="237"/>
      <c r="E208" s="237"/>
      <c r="F208" s="238"/>
      <c r="G208" s="239"/>
      <c r="H208" s="240"/>
      <c r="I208" s="237"/>
      <c r="J208" s="237"/>
      <c r="K208" s="237"/>
      <c r="L208" s="237"/>
      <c r="M208" s="23"/>
      <c r="N208" s="23"/>
      <c r="O208" s="23"/>
      <c r="P208" s="23"/>
      <c r="Q208" s="23"/>
      <c r="R208" s="23"/>
      <c r="S208" s="23"/>
      <c r="T208" s="23"/>
      <c r="U208" s="23"/>
    </row>
    <row r="209" spans="1:21" s="70" customFormat="1" ht="16.5" customHeight="1">
      <c r="A209" s="235"/>
      <c r="B209" s="231"/>
      <c r="C209" s="236"/>
      <c r="D209" s="237"/>
      <c r="E209" s="237"/>
      <c r="F209" s="238"/>
      <c r="G209" s="239"/>
      <c r="H209" s="240"/>
      <c r="I209" s="237"/>
      <c r="J209" s="237"/>
      <c r="K209" s="237"/>
      <c r="L209" s="237"/>
      <c r="M209" s="23"/>
      <c r="N209" s="23"/>
      <c r="O209" s="23"/>
      <c r="P209" s="23"/>
      <c r="Q209" s="23"/>
      <c r="R209" s="23"/>
      <c r="S209" s="23"/>
      <c r="T209" s="23"/>
      <c r="U209" s="23"/>
    </row>
    <row r="210" spans="1:21" s="70" customFormat="1" ht="16.5" customHeight="1">
      <c r="A210" s="235"/>
      <c r="B210" s="231"/>
      <c r="C210" s="236"/>
      <c r="D210" s="237"/>
      <c r="E210" s="237"/>
      <c r="F210" s="238"/>
      <c r="G210" s="239"/>
      <c r="H210" s="240"/>
      <c r="I210" s="237"/>
      <c r="J210" s="237"/>
      <c r="K210" s="237"/>
      <c r="L210" s="237"/>
      <c r="M210" s="23"/>
      <c r="N210" s="23"/>
      <c r="O210" s="23"/>
      <c r="P210" s="23"/>
      <c r="Q210" s="23"/>
      <c r="R210" s="23"/>
      <c r="S210" s="23"/>
      <c r="T210" s="23"/>
      <c r="U210" s="23"/>
    </row>
    <row r="211" spans="1:21" s="70" customFormat="1" ht="16.5" customHeight="1">
      <c r="A211" s="235"/>
      <c r="B211" s="231"/>
      <c r="C211" s="236"/>
      <c r="D211" s="237"/>
      <c r="E211" s="237"/>
      <c r="F211" s="238"/>
      <c r="G211" s="239"/>
      <c r="H211" s="240"/>
      <c r="I211" s="237"/>
      <c r="J211" s="237"/>
      <c r="K211" s="237"/>
      <c r="L211" s="237"/>
      <c r="M211" s="23"/>
      <c r="N211" s="23"/>
      <c r="O211" s="23"/>
      <c r="P211" s="23"/>
      <c r="Q211" s="23"/>
      <c r="R211" s="23"/>
      <c r="S211" s="23"/>
      <c r="T211" s="23"/>
      <c r="U211" s="23"/>
    </row>
    <row r="212" spans="1:21" s="70" customFormat="1" ht="16.5" customHeight="1">
      <c r="A212" s="235"/>
      <c r="B212" s="231"/>
      <c r="C212" s="236"/>
      <c r="D212" s="237"/>
      <c r="E212" s="237"/>
      <c r="F212" s="238"/>
      <c r="G212" s="239"/>
      <c r="H212" s="240"/>
      <c r="I212" s="237"/>
      <c r="J212" s="237"/>
      <c r="K212" s="237"/>
      <c r="L212" s="237"/>
      <c r="M212" s="23"/>
      <c r="N212" s="23"/>
      <c r="O212" s="23"/>
      <c r="P212" s="23"/>
      <c r="Q212" s="23"/>
      <c r="R212" s="23"/>
      <c r="S212" s="23"/>
      <c r="T212" s="23"/>
      <c r="U212" s="23"/>
    </row>
    <row r="213" spans="1:21" s="70" customFormat="1" ht="16.5" customHeight="1">
      <c r="A213" s="235"/>
      <c r="B213" s="231"/>
      <c r="C213" s="236"/>
      <c r="D213" s="237"/>
      <c r="E213" s="237"/>
      <c r="F213" s="238"/>
      <c r="G213" s="239"/>
      <c r="H213" s="240"/>
      <c r="I213" s="237"/>
      <c r="J213" s="237"/>
      <c r="K213" s="237"/>
      <c r="L213" s="237"/>
      <c r="M213" s="23"/>
      <c r="N213" s="23"/>
      <c r="O213" s="23"/>
      <c r="P213" s="23"/>
      <c r="Q213" s="23"/>
      <c r="R213" s="23"/>
      <c r="S213" s="23"/>
      <c r="T213" s="23"/>
      <c r="U213" s="23"/>
    </row>
    <row r="214" spans="1:21" s="70" customFormat="1" ht="16.5" customHeight="1">
      <c r="A214" s="235"/>
      <c r="B214" s="231"/>
      <c r="C214" s="236"/>
      <c r="D214" s="237"/>
      <c r="E214" s="237"/>
      <c r="F214" s="238"/>
      <c r="G214" s="239"/>
      <c r="H214" s="240"/>
      <c r="I214" s="237"/>
      <c r="J214" s="237"/>
      <c r="K214" s="237"/>
      <c r="L214" s="237"/>
      <c r="M214" s="23"/>
      <c r="N214" s="23"/>
      <c r="O214" s="23"/>
      <c r="P214" s="23"/>
      <c r="Q214" s="23"/>
      <c r="R214" s="23"/>
      <c r="S214" s="23"/>
      <c r="T214" s="23"/>
      <c r="U214" s="23"/>
    </row>
    <row r="215" spans="1:21" s="70" customFormat="1" ht="16.5" customHeight="1">
      <c r="A215" s="235"/>
      <c r="B215" s="231"/>
      <c r="C215" s="236"/>
      <c r="D215" s="237"/>
      <c r="E215" s="237"/>
      <c r="F215" s="238"/>
      <c r="G215" s="239"/>
      <c r="H215" s="240"/>
      <c r="I215" s="237"/>
      <c r="J215" s="237"/>
      <c r="K215" s="237"/>
      <c r="L215" s="237"/>
      <c r="M215" s="23"/>
      <c r="N215" s="23"/>
      <c r="O215" s="23"/>
      <c r="P215" s="23"/>
      <c r="Q215" s="23"/>
      <c r="R215" s="23"/>
      <c r="S215" s="23"/>
      <c r="T215" s="23"/>
      <c r="U215" s="23"/>
    </row>
    <row r="216" spans="1:21" s="70" customFormat="1" ht="16.5" customHeight="1">
      <c r="A216" s="235"/>
      <c r="B216" s="231"/>
      <c r="C216" s="236"/>
      <c r="D216" s="237"/>
      <c r="E216" s="237"/>
      <c r="F216" s="238"/>
      <c r="G216" s="239"/>
      <c r="H216" s="240"/>
      <c r="I216" s="237"/>
      <c r="J216" s="237"/>
      <c r="K216" s="237"/>
      <c r="L216" s="237"/>
      <c r="M216" s="23"/>
      <c r="N216" s="23"/>
      <c r="O216" s="23"/>
      <c r="P216" s="23"/>
      <c r="Q216" s="23"/>
      <c r="R216" s="23"/>
      <c r="S216" s="23"/>
      <c r="T216" s="23"/>
      <c r="U216" s="23"/>
    </row>
    <row r="217" spans="1:21" s="70" customFormat="1" ht="16.5" customHeight="1">
      <c r="A217" s="235"/>
      <c r="B217" s="231"/>
      <c r="C217" s="236"/>
      <c r="D217" s="237"/>
      <c r="E217" s="237"/>
      <c r="F217" s="238"/>
      <c r="G217" s="239"/>
      <c r="H217" s="240"/>
      <c r="I217" s="237"/>
      <c r="J217" s="237"/>
      <c r="K217" s="237"/>
      <c r="L217" s="237"/>
      <c r="M217" s="23"/>
      <c r="N217" s="23"/>
      <c r="O217" s="23"/>
      <c r="P217" s="23"/>
      <c r="Q217" s="23"/>
      <c r="R217" s="23"/>
      <c r="S217" s="23"/>
      <c r="T217" s="23"/>
      <c r="U217" s="23"/>
    </row>
    <row r="218" spans="1:21" s="70" customFormat="1" ht="16.5" customHeight="1">
      <c r="A218" s="235"/>
      <c r="B218" s="231"/>
      <c r="C218" s="236"/>
      <c r="D218" s="237"/>
      <c r="E218" s="237"/>
      <c r="F218" s="238"/>
      <c r="G218" s="239"/>
      <c r="H218" s="240"/>
      <c r="I218" s="237"/>
      <c r="J218" s="237"/>
      <c r="K218" s="237"/>
      <c r="L218" s="237"/>
      <c r="M218" s="23"/>
      <c r="N218" s="23"/>
      <c r="O218" s="23"/>
      <c r="P218" s="23"/>
      <c r="Q218" s="23"/>
      <c r="R218" s="23"/>
      <c r="S218" s="23"/>
      <c r="T218" s="23"/>
      <c r="U218" s="23"/>
    </row>
    <row r="219" spans="1:21" s="70" customFormat="1" ht="16.5" customHeight="1">
      <c r="A219" s="235"/>
      <c r="B219" s="231"/>
      <c r="C219" s="236"/>
      <c r="D219" s="237"/>
      <c r="E219" s="237"/>
      <c r="F219" s="238"/>
      <c r="G219" s="239"/>
      <c r="H219" s="240"/>
      <c r="I219" s="237"/>
      <c r="J219" s="237"/>
      <c r="K219" s="237"/>
      <c r="L219" s="237"/>
      <c r="M219" s="23"/>
      <c r="N219" s="23"/>
      <c r="O219" s="23"/>
      <c r="P219" s="23"/>
      <c r="Q219" s="23"/>
      <c r="R219" s="23"/>
      <c r="S219" s="23"/>
      <c r="T219" s="23"/>
      <c r="U219" s="23"/>
    </row>
    <row r="220" spans="1:21" s="70" customFormat="1" ht="16.5" customHeight="1">
      <c r="A220" s="235"/>
      <c r="B220" s="231"/>
      <c r="C220" s="236"/>
      <c r="D220" s="237"/>
      <c r="E220" s="237"/>
      <c r="F220" s="238"/>
      <c r="G220" s="239"/>
      <c r="H220" s="240"/>
      <c r="I220" s="237"/>
      <c r="J220" s="237"/>
      <c r="K220" s="237"/>
      <c r="L220" s="237"/>
      <c r="M220" s="23"/>
      <c r="N220" s="23"/>
      <c r="O220" s="23"/>
      <c r="P220" s="23"/>
      <c r="Q220" s="23"/>
      <c r="R220" s="23"/>
      <c r="S220" s="23"/>
      <c r="T220" s="23"/>
      <c r="U220" s="23"/>
    </row>
    <row r="221" spans="1:21" s="70" customFormat="1" ht="16.5" customHeight="1">
      <c r="A221" s="235"/>
      <c r="B221" s="231"/>
      <c r="C221" s="236"/>
      <c r="D221" s="237"/>
      <c r="E221" s="237"/>
      <c r="F221" s="238"/>
      <c r="G221" s="239"/>
      <c r="H221" s="240"/>
      <c r="I221" s="237"/>
      <c r="J221" s="237"/>
      <c r="K221" s="237"/>
      <c r="L221" s="237"/>
      <c r="M221" s="23"/>
      <c r="N221" s="23"/>
      <c r="O221" s="23"/>
      <c r="P221" s="23"/>
      <c r="Q221" s="23"/>
      <c r="R221" s="23"/>
      <c r="S221" s="23"/>
      <c r="T221" s="23"/>
      <c r="U221" s="23"/>
    </row>
    <row r="222" spans="1:21" s="70" customFormat="1" ht="16.5" customHeight="1">
      <c r="A222" s="235"/>
      <c r="B222" s="231"/>
      <c r="C222" s="236"/>
      <c r="D222" s="237"/>
      <c r="E222" s="237"/>
      <c r="F222" s="238"/>
      <c r="G222" s="239"/>
      <c r="H222" s="240"/>
      <c r="I222" s="237"/>
      <c r="J222" s="237"/>
      <c r="K222" s="237"/>
      <c r="L222" s="237"/>
      <c r="M222" s="23"/>
      <c r="N222" s="23"/>
      <c r="O222" s="23"/>
      <c r="P222" s="23"/>
      <c r="Q222" s="23"/>
      <c r="R222" s="23"/>
      <c r="S222" s="23"/>
      <c r="T222" s="23"/>
      <c r="U222" s="23"/>
    </row>
    <row r="223" spans="1:21" s="70" customFormat="1" ht="16.5" customHeight="1">
      <c r="A223" s="235"/>
      <c r="B223" s="231"/>
      <c r="C223" s="236"/>
      <c r="D223" s="237"/>
      <c r="E223" s="237"/>
      <c r="F223" s="238"/>
      <c r="G223" s="239"/>
      <c r="H223" s="240"/>
      <c r="I223" s="237"/>
      <c r="J223" s="237"/>
      <c r="K223" s="237"/>
      <c r="L223" s="237"/>
      <c r="M223" s="23"/>
      <c r="N223" s="23"/>
      <c r="O223" s="23"/>
      <c r="P223" s="23"/>
      <c r="Q223" s="23"/>
      <c r="R223" s="23"/>
      <c r="S223" s="23"/>
      <c r="T223" s="23"/>
      <c r="U223" s="23"/>
    </row>
    <row r="224" spans="1:21" s="70" customFormat="1" ht="16.5" customHeight="1">
      <c r="A224" s="235"/>
      <c r="B224" s="231"/>
      <c r="C224" s="236"/>
      <c r="D224" s="237"/>
      <c r="E224" s="237"/>
      <c r="F224" s="238"/>
      <c r="G224" s="239"/>
      <c r="H224" s="240"/>
      <c r="I224" s="237"/>
      <c r="J224" s="237"/>
      <c r="K224" s="237"/>
      <c r="L224" s="237"/>
      <c r="M224" s="23"/>
      <c r="N224" s="23"/>
      <c r="O224" s="23"/>
      <c r="P224" s="23"/>
      <c r="Q224" s="23"/>
      <c r="R224" s="23"/>
      <c r="S224" s="23"/>
      <c r="T224" s="23"/>
      <c r="U224" s="23"/>
    </row>
    <row r="225" spans="1:21" s="70" customFormat="1" ht="16.5" customHeight="1">
      <c r="A225" s="235"/>
      <c r="B225" s="231"/>
      <c r="C225" s="236"/>
      <c r="D225" s="237"/>
      <c r="E225" s="237"/>
      <c r="F225" s="238"/>
      <c r="G225" s="239"/>
      <c r="H225" s="240"/>
      <c r="I225" s="237"/>
      <c r="J225" s="237"/>
      <c r="K225" s="237"/>
      <c r="L225" s="237"/>
      <c r="M225" s="23"/>
      <c r="N225" s="23"/>
      <c r="O225" s="23"/>
      <c r="P225" s="23"/>
      <c r="Q225" s="23"/>
      <c r="R225" s="23"/>
      <c r="S225" s="23"/>
      <c r="T225" s="23"/>
      <c r="U225" s="23"/>
    </row>
    <row r="226" spans="1:21" s="70" customFormat="1" ht="16.5" customHeight="1">
      <c r="A226" s="235"/>
      <c r="B226" s="231"/>
      <c r="C226" s="236"/>
      <c r="D226" s="237"/>
      <c r="E226" s="237"/>
      <c r="F226" s="238"/>
      <c r="G226" s="239"/>
      <c r="H226" s="240"/>
      <c r="I226" s="237"/>
      <c r="J226" s="237"/>
      <c r="K226" s="237"/>
      <c r="L226" s="237"/>
      <c r="M226" s="23"/>
      <c r="N226" s="23"/>
      <c r="O226" s="23"/>
      <c r="P226" s="23"/>
      <c r="Q226" s="23"/>
      <c r="R226" s="23"/>
      <c r="S226" s="23"/>
      <c r="T226" s="23"/>
      <c r="U226" s="23"/>
    </row>
    <row r="227" spans="1:21" s="70" customFormat="1" ht="16.5" customHeight="1">
      <c r="A227" s="235"/>
      <c r="B227" s="231"/>
      <c r="C227" s="236"/>
      <c r="D227" s="237"/>
      <c r="E227" s="237"/>
      <c r="F227" s="238"/>
      <c r="G227" s="239"/>
      <c r="H227" s="240"/>
      <c r="I227" s="237"/>
      <c r="J227" s="237"/>
      <c r="K227" s="237"/>
      <c r="L227" s="237"/>
      <c r="M227" s="23"/>
      <c r="N227" s="23"/>
      <c r="O227" s="23"/>
      <c r="P227" s="23"/>
      <c r="Q227" s="23"/>
      <c r="R227" s="23"/>
      <c r="S227" s="23"/>
      <c r="T227" s="23"/>
      <c r="U227" s="23"/>
    </row>
    <row r="228" spans="1:21" s="70" customFormat="1" ht="16.5" customHeight="1">
      <c r="A228" s="235"/>
      <c r="B228" s="231"/>
      <c r="C228" s="236"/>
      <c r="D228" s="237"/>
      <c r="E228" s="237"/>
      <c r="F228" s="238"/>
      <c r="G228" s="239"/>
      <c r="H228" s="240"/>
      <c r="I228" s="237"/>
      <c r="J228" s="237"/>
      <c r="K228" s="237"/>
      <c r="L228" s="237"/>
      <c r="M228" s="23"/>
      <c r="N228" s="23"/>
      <c r="O228" s="23"/>
      <c r="P228" s="23"/>
      <c r="Q228" s="23"/>
      <c r="R228" s="23"/>
      <c r="S228" s="23"/>
      <c r="T228" s="23"/>
      <c r="U228" s="23"/>
    </row>
    <row r="229" spans="1:21" s="70" customFormat="1" ht="16.5" customHeight="1">
      <c r="A229" s="235"/>
      <c r="B229" s="231"/>
      <c r="C229" s="236"/>
      <c r="D229" s="237"/>
      <c r="E229" s="237"/>
      <c r="F229" s="238"/>
      <c r="G229" s="239"/>
      <c r="H229" s="240"/>
      <c r="I229" s="237"/>
      <c r="J229" s="237"/>
      <c r="K229" s="237"/>
      <c r="L229" s="237"/>
      <c r="M229" s="23"/>
      <c r="N229" s="23"/>
      <c r="O229" s="23"/>
      <c r="P229" s="23"/>
      <c r="Q229" s="23"/>
      <c r="R229" s="23"/>
      <c r="S229" s="23"/>
      <c r="T229" s="23"/>
      <c r="U229" s="23"/>
    </row>
    <row r="230" spans="1:21" s="70" customFormat="1" ht="16.5" customHeight="1">
      <c r="A230" s="235"/>
      <c r="B230" s="231"/>
      <c r="C230" s="236"/>
      <c r="D230" s="237"/>
      <c r="E230" s="237"/>
      <c r="F230" s="238"/>
      <c r="G230" s="239"/>
      <c r="H230" s="240"/>
      <c r="I230" s="237"/>
      <c r="J230" s="237"/>
      <c r="K230" s="237"/>
      <c r="L230" s="237"/>
      <c r="M230" s="23"/>
      <c r="N230" s="23"/>
      <c r="O230" s="23"/>
      <c r="P230" s="23"/>
      <c r="Q230" s="23"/>
      <c r="R230" s="23"/>
      <c r="S230" s="23"/>
      <c r="T230" s="23"/>
      <c r="U230" s="23"/>
    </row>
    <row r="231" spans="1:21" s="70" customFormat="1" ht="16.5" customHeight="1">
      <c r="A231" s="235"/>
      <c r="B231" s="231"/>
      <c r="C231" s="236"/>
      <c r="D231" s="237"/>
      <c r="E231" s="237"/>
      <c r="F231" s="238"/>
      <c r="G231" s="239"/>
      <c r="H231" s="240"/>
      <c r="I231" s="237"/>
      <c r="J231" s="237"/>
      <c r="K231" s="237"/>
      <c r="L231" s="237"/>
      <c r="M231" s="23"/>
      <c r="N231" s="23"/>
      <c r="O231" s="23"/>
      <c r="P231" s="23"/>
      <c r="Q231" s="23"/>
      <c r="R231" s="23"/>
      <c r="S231" s="23"/>
      <c r="T231" s="23"/>
      <c r="U231" s="23"/>
    </row>
    <row r="232" spans="1:21" s="70" customFormat="1" ht="16.5" customHeight="1">
      <c r="A232" s="235"/>
      <c r="B232" s="231"/>
      <c r="C232" s="236"/>
      <c r="D232" s="237"/>
      <c r="E232" s="237"/>
      <c r="F232" s="238"/>
      <c r="G232" s="239"/>
      <c r="H232" s="240"/>
      <c r="I232" s="237"/>
      <c r="J232" s="237"/>
      <c r="K232" s="237"/>
      <c r="L232" s="237"/>
      <c r="M232" s="23"/>
      <c r="N232" s="23"/>
      <c r="O232" s="23"/>
      <c r="P232" s="23"/>
      <c r="Q232" s="23"/>
      <c r="R232" s="23"/>
      <c r="S232" s="23"/>
      <c r="T232" s="23"/>
      <c r="U232" s="23"/>
    </row>
    <row r="233" spans="1:21" s="70" customFormat="1" ht="16.5" customHeight="1">
      <c r="A233" s="235"/>
      <c r="B233" s="231"/>
      <c r="C233" s="236"/>
      <c r="D233" s="237"/>
      <c r="E233" s="237"/>
      <c r="F233" s="238"/>
      <c r="G233" s="239"/>
      <c r="H233" s="240"/>
      <c r="I233" s="237"/>
      <c r="J233" s="237"/>
      <c r="K233" s="237"/>
      <c r="L233" s="237"/>
      <c r="M233" s="23"/>
      <c r="N233" s="23"/>
      <c r="O233" s="23"/>
      <c r="P233" s="23"/>
      <c r="Q233" s="23"/>
      <c r="R233" s="23"/>
      <c r="S233" s="23"/>
      <c r="T233" s="23"/>
      <c r="U233" s="23"/>
    </row>
    <row r="234" spans="1:21" s="70" customFormat="1" ht="16.5" customHeight="1">
      <c r="A234" s="235"/>
      <c r="B234" s="231"/>
      <c r="C234" s="236"/>
      <c r="D234" s="237"/>
      <c r="E234" s="237"/>
      <c r="F234" s="238"/>
      <c r="G234" s="239"/>
      <c r="H234" s="240"/>
      <c r="I234" s="237"/>
      <c r="J234" s="237"/>
      <c r="K234" s="237"/>
      <c r="L234" s="237"/>
      <c r="M234" s="23"/>
      <c r="N234" s="23"/>
      <c r="O234" s="23"/>
      <c r="P234" s="23"/>
      <c r="Q234" s="23"/>
      <c r="R234" s="23"/>
      <c r="S234" s="23"/>
      <c r="T234" s="23"/>
      <c r="U234" s="23"/>
    </row>
    <row r="235" spans="1:21" s="70" customFormat="1" ht="16.5" customHeight="1">
      <c r="A235" s="235"/>
      <c r="B235" s="231"/>
      <c r="C235" s="236"/>
      <c r="D235" s="237"/>
      <c r="E235" s="237"/>
      <c r="F235" s="238"/>
      <c r="G235" s="239"/>
      <c r="H235" s="240"/>
      <c r="I235" s="237"/>
      <c r="J235" s="237"/>
      <c r="K235" s="237"/>
      <c r="L235" s="237"/>
      <c r="M235" s="23"/>
      <c r="N235" s="23"/>
      <c r="O235" s="23"/>
      <c r="P235" s="23"/>
      <c r="Q235" s="23"/>
      <c r="R235" s="23"/>
      <c r="S235" s="23"/>
      <c r="T235" s="23"/>
      <c r="U235" s="23"/>
    </row>
    <row r="236" spans="1:21" s="70" customFormat="1" ht="16.5" customHeight="1">
      <c r="A236" s="235"/>
      <c r="B236" s="231"/>
      <c r="C236" s="236"/>
      <c r="D236" s="237"/>
      <c r="E236" s="237"/>
      <c r="F236" s="238"/>
      <c r="G236" s="239"/>
      <c r="H236" s="240"/>
      <c r="I236" s="237"/>
      <c r="J236" s="237"/>
      <c r="K236" s="237"/>
      <c r="L236" s="237"/>
      <c r="M236" s="23"/>
      <c r="N236" s="23"/>
      <c r="O236" s="23"/>
      <c r="P236" s="23"/>
      <c r="Q236" s="23"/>
      <c r="R236" s="23"/>
      <c r="S236" s="23"/>
      <c r="T236" s="23"/>
      <c r="U236" s="23"/>
    </row>
    <row r="237" spans="1:21" s="70" customFormat="1" ht="16.5" customHeight="1">
      <c r="A237" s="235"/>
      <c r="B237" s="231"/>
      <c r="C237" s="236"/>
      <c r="D237" s="237"/>
      <c r="E237" s="237"/>
      <c r="F237" s="238"/>
      <c r="G237" s="239"/>
      <c r="H237" s="240"/>
      <c r="I237" s="237"/>
      <c r="J237" s="237"/>
      <c r="K237" s="237"/>
      <c r="L237" s="237"/>
      <c r="M237" s="23"/>
      <c r="N237" s="23"/>
      <c r="O237" s="23"/>
      <c r="P237" s="23"/>
      <c r="Q237" s="23"/>
      <c r="R237" s="23"/>
      <c r="S237" s="23"/>
      <c r="T237" s="23"/>
      <c r="U237" s="23"/>
    </row>
    <row r="238" spans="1:21" s="70" customFormat="1" ht="16.5" customHeight="1">
      <c r="A238" s="235"/>
      <c r="B238" s="231"/>
      <c r="C238" s="236"/>
      <c r="D238" s="237"/>
      <c r="E238" s="237"/>
      <c r="F238" s="238"/>
      <c r="G238" s="239"/>
      <c r="H238" s="240"/>
      <c r="I238" s="237"/>
      <c r="J238" s="237"/>
      <c r="K238" s="237"/>
      <c r="L238" s="237"/>
      <c r="M238" s="23"/>
      <c r="N238" s="23"/>
      <c r="O238" s="23"/>
      <c r="P238" s="23"/>
      <c r="Q238" s="23"/>
      <c r="R238" s="23"/>
      <c r="S238" s="23"/>
      <c r="T238" s="23"/>
      <c r="U238" s="23"/>
    </row>
    <row r="239" spans="1:21" s="70" customFormat="1" ht="16.5" customHeight="1">
      <c r="A239" s="235"/>
      <c r="B239" s="231"/>
      <c r="C239" s="236"/>
      <c r="D239" s="237"/>
      <c r="E239" s="237"/>
      <c r="F239" s="238"/>
      <c r="G239" s="239"/>
      <c r="H239" s="240"/>
      <c r="I239" s="237"/>
      <c r="J239" s="237"/>
      <c r="K239" s="237"/>
      <c r="L239" s="237"/>
      <c r="M239" s="23"/>
      <c r="N239" s="23"/>
      <c r="O239" s="23"/>
      <c r="P239" s="23"/>
      <c r="Q239" s="23"/>
      <c r="R239" s="23"/>
      <c r="S239" s="23"/>
      <c r="T239" s="23"/>
      <c r="U239" s="23"/>
    </row>
    <row r="240" spans="1:21" s="70" customFormat="1" ht="16.5" customHeight="1">
      <c r="A240" s="235"/>
      <c r="B240" s="231"/>
      <c r="C240" s="236"/>
      <c r="D240" s="237"/>
      <c r="E240" s="237"/>
      <c r="F240" s="238"/>
      <c r="G240" s="239"/>
      <c r="H240" s="240"/>
      <c r="I240" s="237"/>
      <c r="J240" s="237"/>
      <c r="K240" s="237"/>
      <c r="L240" s="237"/>
      <c r="M240" s="23"/>
      <c r="N240" s="23"/>
      <c r="O240" s="23"/>
      <c r="P240" s="23"/>
      <c r="Q240" s="23"/>
      <c r="R240" s="23"/>
      <c r="S240" s="23"/>
      <c r="T240" s="23"/>
      <c r="U240" s="23"/>
    </row>
    <row r="241" spans="1:21" s="70" customFormat="1" ht="16.5" customHeight="1">
      <c r="A241" s="235"/>
      <c r="B241" s="231"/>
      <c r="C241" s="236"/>
      <c r="D241" s="237"/>
      <c r="E241" s="237"/>
      <c r="F241" s="238"/>
      <c r="G241" s="239"/>
      <c r="H241" s="240"/>
      <c r="I241" s="237"/>
      <c r="J241" s="237"/>
      <c r="K241" s="237"/>
      <c r="L241" s="237"/>
      <c r="M241" s="23"/>
      <c r="N241" s="23"/>
      <c r="O241" s="23"/>
      <c r="P241" s="23"/>
      <c r="Q241" s="23"/>
      <c r="R241" s="23"/>
      <c r="S241" s="23"/>
      <c r="T241" s="23"/>
      <c r="U241" s="23"/>
    </row>
    <row r="242" spans="1:21" s="70" customFormat="1" ht="16.5" customHeight="1">
      <c r="A242" s="235"/>
      <c r="B242" s="231"/>
      <c r="C242" s="236"/>
      <c r="D242" s="237"/>
      <c r="E242" s="237"/>
      <c r="F242" s="238"/>
      <c r="G242" s="239"/>
      <c r="H242" s="240"/>
      <c r="I242" s="237"/>
      <c r="J242" s="237"/>
      <c r="K242" s="237"/>
      <c r="L242" s="237"/>
      <c r="M242" s="23"/>
      <c r="N242" s="23"/>
      <c r="O242" s="23"/>
      <c r="P242" s="23"/>
      <c r="Q242" s="23"/>
      <c r="R242" s="23"/>
      <c r="S242" s="23"/>
      <c r="T242" s="23"/>
      <c r="U242" s="23"/>
    </row>
    <row r="243" spans="1:21" s="70" customFormat="1" ht="16.5" customHeight="1">
      <c r="A243" s="235"/>
      <c r="B243" s="231"/>
      <c r="C243" s="236"/>
      <c r="D243" s="237"/>
      <c r="E243" s="237"/>
      <c r="F243" s="238"/>
      <c r="G243" s="239"/>
      <c r="H243" s="240"/>
      <c r="I243" s="237"/>
      <c r="J243" s="237"/>
      <c r="K243" s="237"/>
      <c r="L243" s="237"/>
      <c r="M243" s="23"/>
      <c r="N243" s="23"/>
      <c r="O243" s="23"/>
      <c r="P243" s="23"/>
      <c r="Q243" s="23"/>
      <c r="R243" s="23"/>
      <c r="S243" s="23"/>
      <c r="T243" s="23"/>
      <c r="U243" s="23"/>
    </row>
    <row r="244" spans="1:21" s="70" customFormat="1" ht="16.5" customHeight="1">
      <c r="A244" s="235"/>
      <c r="B244" s="231"/>
      <c r="C244" s="236"/>
      <c r="D244" s="237"/>
      <c r="E244" s="237"/>
      <c r="F244" s="238"/>
      <c r="G244" s="239"/>
      <c r="H244" s="240"/>
      <c r="I244" s="237"/>
      <c r="J244" s="237"/>
      <c r="K244" s="237"/>
      <c r="L244" s="237"/>
      <c r="M244" s="23"/>
      <c r="N244" s="23"/>
      <c r="O244" s="23"/>
      <c r="P244" s="23"/>
      <c r="Q244" s="23"/>
      <c r="R244" s="23"/>
      <c r="S244" s="23"/>
      <c r="T244" s="23"/>
      <c r="U244" s="23"/>
    </row>
    <row r="245" spans="1:21" s="70" customFormat="1" ht="16.5" customHeight="1">
      <c r="A245" s="235"/>
      <c r="B245" s="231"/>
      <c r="C245" s="236"/>
      <c r="D245" s="237"/>
      <c r="E245" s="237"/>
      <c r="F245" s="238"/>
      <c r="G245" s="239"/>
      <c r="H245" s="240"/>
      <c r="I245" s="237"/>
      <c r="J245" s="237"/>
      <c r="K245" s="237"/>
      <c r="L245" s="237"/>
      <c r="M245" s="23"/>
      <c r="N245" s="23"/>
      <c r="O245" s="23"/>
      <c r="P245" s="23"/>
      <c r="Q245" s="23"/>
      <c r="R245" s="23"/>
      <c r="S245" s="23"/>
      <c r="T245" s="23"/>
      <c r="U245" s="23"/>
    </row>
    <row r="246" spans="1:21" s="70" customFormat="1" ht="16.5" customHeight="1">
      <c r="A246" s="235"/>
      <c r="B246" s="231"/>
      <c r="C246" s="236"/>
      <c r="D246" s="237"/>
      <c r="E246" s="237"/>
      <c r="F246" s="238"/>
      <c r="G246" s="239"/>
      <c r="H246" s="240"/>
      <c r="I246" s="237"/>
      <c r="J246" s="237"/>
      <c r="K246" s="237"/>
      <c r="L246" s="237"/>
      <c r="M246" s="23"/>
      <c r="N246" s="23"/>
      <c r="O246" s="23"/>
      <c r="P246" s="23"/>
      <c r="Q246" s="23"/>
      <c r="R246" s="23"/>
      <c r="S246" s="23"/>
      <c r="T246" s="23"/>
      <c r="U246" s="23"/>
    </row>
    <row r="247" spans="1:21" s="70" customFormat="1" ht="16.5" customHeight="1">
      <c r="A247" s="235"/>
      <c r="B247" s="231"/>
      <c r="C247" s="236"/>
      <c r="D247" s="237"/>
      <c r="E247" s="237"/>
      <c r="F247" s="238"/>
      <c r="G247" s="239"/>
      <c r="H247" s="240"/>
      <c r="I247" s="237"/>
      <c r="J247" s="237"/>
      <c r="K247" s="237"/>
      <c r="L247" s="237"/>
      <c r="M247" s="23"/>
      <c r="N247" s="23"/>
      <c r="O247" s="23"/>
      <c r="P247" s="23"/>
      <c r="Q247" s="23"/>
      <c r="R247" s="23"/>
      <c r="S247" s="23"/>
      <c r="T247" s="23"/>
      <c r="U247" s="23"/>
    </row>
    <row r="248" spans="1:21" s="70" customFormat="1" ht="16.5" customHeight="1">
      <c r="A248" s="235"/>
      <c r="B248" s="231"/>
      <c r="C248" s="236"/>
      <c r="D248" s="237"/>
      <c r="E248" s="237"/>
      <c r="F248" s="238"/>
      <c r="G248" s="239"/>
      <c r="H248" s="240"/>
      <c r="I248" s="237"/>
      <c r="J248" s="237"/>
      <c r="K248" s="237"/>
      <c r="L248" s="237"/>
      <c r="M248" s="23"/>
      <c r="N248" s="23"/>
      <c r="O248" s="23"/>
      <c r="P248" s="23"/>
      <c r="Q248" s="23"/>
      <c r="R248" s="23"/>
      <c r="S248" s="23"/>
      <c r="T248" s="23"/>
      <c r="U248" s="23"/>
    </row>
    <row r="249" spans="1:21" s="70" customFormat="1" ht="16.5" customHeight="1">
      <c r="A249" s="235"/>
      <c r="B249" s="231"/>
      <c r="C249" s="236"/>
      <c r="D249" s="237"/>
      <c r="E249" s="237"/>
      <c r="F249" s="238"/>
      <c r="G249" s="239"/>
      <c r="H249" s="240"/>
      <c r="I249" s="237"/>
      <c r="J249" s="237"/>
      <c r="K249" s="237"/>
      <c r="L249" s="237"/>
      <c r="M249" s="23"/>
      <c r="N249" s="23"/>
      <c r="O249" s="23"/>
      <c r="P249" s="23"/>
      <c r="Q249" s="23"/>
      <c r="R249" s="23"/>
      <c r="S249" s="23"/>
      <c r="T249" s="23"/>
      <c r="U249" s="23"/>
    </row>
    <row r="250" spans="1:21" s="70" customFormat="1" ht="16.5" customHeight="1">
      <c r="A250" s="235"/>
      <c r="B250" s="231"/>
      <c r="C250" s="236"/>
      <c r="D250" s="237"/>
      <c r="E250" s="237"/>
      <c r="F250" s="238"/>
      <c r="G250" s="239"/>
      <c r="H250" s="240"/>
      <c r="I250" s="237"/>
      <c r="J250" s="237"/>
      <c r="K250" s="237"/>
      <c r="L250" s="237"/>
      <c r="M250" s="23"/>
      <c r="N250" s="23"/>
      <c r="O250" s="23"/>
      <c r="P250" s="23"/>
      <c r="Q250" s="23"/>
      <c r="R250" s="23"/>
      <c r="S250" s="23"/>
      <c r="T250" s="23"/>
      <c r="U250" s="23"/>
    </row>
    <row r="251" spans="1:21" s="70" customFormat="1" ht="16.5" customHeight="1">
      <c r="A251" s="235"/>
      <c r="B251" s="231"/>
      <c r="C251" s="236"/>
      <c r="D251" s="237"/>
      <c r="E251" s="237"/>
      <c r="F251" s="238"/>
      <c r="G251" s="239"/>
      <c r="H251" s="240"/>
      <c r="I251" s="237"/>
      <c r="J251" s="237"/>
      <c r="K251" s="237"/>
      <c r="L251" s="237"/>
      <c r="M251" s="23"/>
      <c r="N251" s="23"/>
      <c r="O251" s="23"/>
      <c r="P251" s="23"/>
      <c r="Q251" s="23"/>
      <c r="R251" s="23"/>
      <c r="S251" s="23"/>
      <c r="T251" s="23"/>
      <c r="U251" s="23"/>
    </row>
    <row r="252" spans="1:21" s="70" customFormat="1" ht="16.5" customHeight="1">
      <c r="A252" s="235"/>
      <c r="B252" s="231"/>
      <c r="C252" s="236"/>
      <c r="D252" s="237"/>
      <c r="E252" s="237"/>
      <c r="F252" s="238"/>
      <c r="G252" s="239"/>
      <c r="H252" s="240"/>
      <c r="I252" s="237"/>
      <c r="J252" s="237"/>
      <c r="K252" s="237"/>
      <c r="L252" s="237"/>
      <c r="M252" s="23"/>
      <c r="N252" s="23"/>
      <c r="O252" s="23"/>
      <c r="P252" s="23"/>
      <c r="Q252" s="23"/>
      <c r="R252" s="23"/>
      <c r="S252" s="23"/>
      <c r="T252" s="23"/>
      <c r="U252" s="23"/>
    </row>
    <row r="253" spans="1:21" s="70" customFormat="1" ht="16.5" customHeight="1">
      <c r="A253" s="235"/>
      <c r="B253" s="231"/>
      <c r="C253" s="236"/>
      <c r="D253" s="237"/>
      <c r="E253" s="237"/>
      <c r="F253" s="238"/>
      <c r="G253" s="239"/>
      <c r="H253" s="240"/>
      <c r="I253" s="237"/>
      <c r="J253" s="237"/>
      <c r="K253" s="237"/>
      <c r="L253" s="237"/>
      <c r="M253" s="23"/>
      <c r="N253" s="23"/>
      <c r="O253" s="23"/>
      <c r="P253" s="23"/>
      <c r="Q253" s="23"/>
      <c r="R253" s="23"/>
      <c r="S253" s="23"/>
      <c r="T253" s="23"/>
      <c r="U253" s="23"/>
    </row>
    <row r="254" spans="1:21" s="70" customFormat="1" ht="16.5" customHeight="1">
      <c r="A254" s="235"/>
      <c r="B254" s="231"/>
      <c r="C254" s="236"/>
      <c r="D254" s="237"/>
      <c r="E254" s="237"/>
      <c r="F254" s="238"/>
      <c r="G254" s="239"/>
      <c r="H254" s="240"/>
      <c r="I254" s="237"/>
      <c r="J254" s="237"/>
      <c r="K254" s="237"/>
      <c r="L254" s="237"/>
      <c r="M254" s="23"/>
      <c r="N254" s="23"/>
      <c r="O254" s="23"/>
      <c r="P254" s="23"/>
      <c r="Q254" s="23"/>
      <c r="R254" s="23"/>
      <c r="S254" s="23"/>
      <c r="T254" s="23"/>
      <c r="U254" s="23"/>
    </row>
    <row r="255" spans="1:21" s="70" customFormat="1" ht="16.5" customHeight="1">
      <c r="A255" s="235"/>
      <c r="B255" s="231"/>
      <c r="C255" s="236"/>
      <c r="D255" s="237"/>
      <c r="E255" s="237"/>
      <c r="F255" s="238"/>
      <c r="G255" s="239"/>
      <c r="H255" s="240"/>
      <c r="I255" s="237"/>
      <c r="J255" s="237"/>
      <c r="K255" s="237"/>
      <c r="L255" s="237"/>
      <c r="M255" s="23"/>
      <c r="N255" s="23"/>
      <c r="O255" s="23"/>
      <c r="P255" s="23"/>
      <c r="Q255" s="23"/>
      <c r="R255" s="23"/>
      <c r="S255" s="23"/>
      <c r="T255" s="23"/>
      <c r="U255" s="23"/>
    </row>
    <row r="256" spans="1:21" s="70" customFormat="1" ht="16.5" customHeight="1">
      <c r="A256" s="235"/>
      <c r="B256" s="231"/>
      <c r="C256" s="236"/>
      <c r="D256" s="237"/>
      <c r="E256" s="237"/>
      <c r="F256" s="238"/>
      <c r="G256" s="239"/>
      <c r="H256" s="240"/>
      <c r="I256" s="237"/>
      <c r="J256" s="237"/>
      <c r="K256" s="237"/>
      <c r="L256" s="237"/>
      <c r="M256" s="23"/>
      <c r="N256" s="23"/>
      <c r="O256" s="23"/>
      <c r="P256" s="23"/>
      <c r="Q256" s="23"/>
      <c r="R256" s="23"/>
      <c r="S256" s="23"/>
      <c r="T256" s="23"/>
      <c r="U256" s="23"/>
    </row>
    <row r="257" spans="1:21" s="70" customFormat="1" ht="16.5" customHeight="1">
      <c r="A257" s="235"/>
      <c r="B257" s="231"/>
      <c r="C257" s="236"/>
      <c r="D257" s="237"/>
      <c r="E257" s="237"/>
      <c r="F257" s="238"/>
      <c r="G257" s="239"/>
      <c r="H257" s="240"/>
      <c r="I257" s="237"/>
      <c r="J257" s="237"/>
      <c r="K257" s="237"/>
      <c r="L257" s="237"/>
      <c r="M257" s="23"/>
      <c r="N257" s="23"/>
      <c r="O257" s="23"/>
      <c r="P257" s="23"/>
      <c r="Q257" s="23"/>
      <c r="R257" s="23"/>
      <c r="S257" s="23"/>
      <c r="T257" s="23"/>
      <c r="U257" s="23"/>
    </row>
    <row r="258" spans="1:21" s="70" customFormat="1" ht="16.5" customHeight="1">
      <c r="A258" s="235"/>
      <c r="B258" s="231"/>
      <c r="C258" s="236"/>
      <c r="D258" s="237"/>
      <c r="E258" s="237"/>
      <c r="F258" s="238"/>
      <c r="G258" s="239"/>
      <c r="H258" s="240"/>
      <c r="I258" s="237"/>
      <c r="J258" s="237"/>
      <c r="K258" s="237"/>
      <c r="L258" s="237"/>
      <c r="M258" s="23"/>
      <c r="N258" s="23"/>
      <c r="O258" s="23"/>
      <c r="P258" s="23"/>
      <c r="Q258" s="23"/>
      <c r="R258" s="23"/>
      <c r="S258" s="23"/>
      <c r="T258" s="23"/>
      <c r="U258" s="23"/>
    </row>
    <row r="259" spans="1:21" s="70" customFormat="1" ht="16.5" customHeight="1">
      <c r="A259" s="235"/>
      <c r="B259" s="231"/>
      <c r="C259" s="236"/>
      <c r="D259" s="237"/>
      <c r="E259" s="237"/>
      <c r="F259" s="238"/>
      <c r="G259" s="239"/>
      <c r="H259" s="240"/>
      <c r="I259" s="237"/>
      <c r="J259" s="237"/>
      <c r="K259" s="237"/>
      <c r="L259" s="237"/>
      <c r="M259" s="23"/>
      <c r="N259" s="23"/>
      <c r="O259" s="23"/>
      <c r="P259" s="23"/>
      <c r="Q259" s="23"/>
      <c r="R259" s="23"/>
      <c r="S259" s="23"/>
      <c r="T259" s="23"/>
      <c r="U259" s="23"/>
    </row>
    <row r="260" spans="1:21" s="70" customFormat="1" ht="16.5" customHeight="1">
      <c r="A260" s="235"/>
      <c r="B260" s="231"/>
      <c r="C260" s="236"/>
      <c r="D260" s="237"/>
      <c r="E260" s="237"/>
      <c r="F260" s="238"/>
      <c r="G260" s="239"/>
      <c r="H260" s="240"/>
      <c r="I260" s="237"/>
      <c r="J260" s="237"/>
      <c r="K260" s="237"/>
      <c r="L260" s="237"/>
      <c r="M260" s="23"/>
      <c r="N260" s="23"/>
      <c r="O260" s="23"/>
      <c r="P260" s="23"/>
      <c r="Q260" s="23"/>
      <c r="R260" s="23"/>
      <c r="S260" s="23"/>
      <c r="T260" s="23"/>
      <c r="U260" s="23"/>
    </row>
    <row r="261" spans="1:21" s="70" customFormat="1" ht="16.5" customHeight="1">
      <c r="A261" s="235"/>
      <c r="B261" s="231"/>
      <c r="C261" s="236"/>
      <c r="D261" s="237"/>
      <c r="E261" s="237"/>
      <c r="F261" s="238"/>
      <c r="G261" s="239"/>
      <c r="H261" s="240"/>
      <c r="I261" s="237"/>
      <c r="J261" s="237"/>
      <c r="K261" s="237"/>
      <c r="L261" s="237"/>
      <c r="M261" s="23"/>
      <c r="N261" s="23"/>
      <c r="O261" s="23"/>
      <c r="P261" s="23"/>
      <c r="Q261" s="23"/>
      <c r="R261" s="23"/>
      <c r="S261" s="23"/>
      <c r="T261" s="23"/>
      <c r="U261" s="23"/>
    </row>
    <row r="262" spans="1:21" s="70" customFormat="1" ht="16.5" customHeight="1">
      <c r="A262" s="235"/>
      <c r="B262" s="231"/>
      <c r="C262" s="236"/>
      <c r="D262" s="237"/>
      <c r="E262" s="237"/>
      <c r="F262" s="238"/>
      <c r="G262" s="239"/>
      <c r="H262" s="240"/>
      <c r="I262" s="237"/>
      <c r="J262" s="237"/>
      <c r="K262" s="237"/>
      <c r="L262" s="237"/>
      <c r="M262" s="23"/>
      <c r="N262" s="23"/>
      <c r="O262" s="23"/>
      <c r="P262" s="23"/>
      <c r="Q262" s="23"/>
      <c r="R262" s="23"/>
      <c r="S262" s="23"/>
      <c r="T262" s="23"/>
      <c r="U262" s="23"/>
    </row>
    <row r="263" spans="1:21" s="70" customFormat="1" ht="16.5" customHeight="1">
      <c r="A263" s="235"/>
      <c r="B263" s="231"/>
      <c r="C263" s="236"/>
      <c r="D263" s="237"/>
      <c r="E263" s="237"/>
      <c r="F263" s="238"/>
      <c r="G263" s="239"/>
      <c r="H263" s="240"/>
      <c r="I263" s="237"/>
      <c r="J263" s="237"/>
      <c r="K263" s="237"/>
      <c r="L263" s="237"/>
      <c r="M263" s="23"/>
      <c r="N263" s="23"/>
      <c r="O263" s="23"/>
      <c r="P263" s="23"/>
      <c r="Q263" s="23"/>
      <c r="R263" s="23"/>
      <c r="S263" s="23"/>
      <c r="T263" s="23"/>
      <c r="U263" s="23"/>
    </row>
    <row r="264" spans="1:21" s="70" customFormat="1" ht="16.5" customHeight="1">
      <c r="A264" s="235"/>
      <c r="B264" s="231"/>
      <c r="C264" s="236"/>
      <c r="D264" s="237"/>
      <c r="E264" s="237"/>
      <c r="F264" s="238"/>
      <c r="G264" s="239"/>
      <c r="H264" s="240"/>
      <c r="I264" s="237"/>
      <c r="J264" s="237"/>
      <c r="K264" s="237"/>
      <c r="L264" s="237"/>
      <c r="M264" s="23"/>
      <c r="N264" s="23"/>
      <c r="O264" s="23"/>
      <c r="P264" s="23"/>
      <c r="Q264" s="23"/>
      <c r="R264" s="23"/>
      <c r="S264" s="23"/>
      <c r="T264" s="23"/>
      <c r="U264" s="23"/>
    </row>
    <row r="265" spans="1:21" s="70" customFormat="1" ht="16.5" customHeight="1">
      <c r="A265" s="235"/>
      <c r="B265" s="231"/>
      <c r="C265" s="236"/>
      <c r="D265" s="237"/>
      <c r="E265" s="237"/>
      <c r="F265" s="238"/>
      <c r="G265" s="239"/>
      <c r="H265" s="240"/>
      <c r="I265" s="237"/>
      <c r="J265" s="237"/>
      <c r="K265" s="237"/>
      <c r="L265" s="237"/>
      <c r="M265" s="23"/>
      <c r="N265" s="23"/>
      <c r="O265" s="23"/>
      <c r="P265" s="23"/>
      <c r="Q265" s="23"/>
      <c r="R265" s="23"/>
      <c r="S265" s="23"/>
      <c r="T265" s="23"/>
      <c r="U265" s="23"/>
    </row>
    <row r="266" spans="1:21" s="70" customFormat="1" ht="16.5" customHeight="1">
      <c r="A266" s="235"/>
      <c r="B266" s="231"/>
      <c r="C266" s="236"/>
      <c r="D266" s="237"/>
      <c r="E266" s="237"/>
      <c r="F266" s="238"/>
      <c r="G266" s="239"/>
      <c r="H266" s="240"/>
      <c r="I266" s="237"/>
      <c r="J266" s="237"/>
      <c r="K266" s="237"/>
      <c r="L266" s="237"/>
      <c r="M266" s="23"/>
      <c r="N266" s="23"/>
      <c r="O266" s="23"/>
      <c r="P266" s="23"/>
      <c r="Q266" s="23"/>
      <c r="R266" s="23"/>
      <c r="S266" s="23"/>
      <c r="T266" s="23"/>
      <c r="U266" s="23"/>
    </row>
    <row r="267" spans="1:21" s="70" customFormat="1" ht="16.5" customHeight="1">
      <c r="A267" s="235"/>
      <c r="B267" s="231"/>
      <c r="C267" s="236"/>
      <c r="D267" s="237"/>
      <c r="E267" s="237"/>
      <c r="F267" s="238"/>
      <c r="G267" s="239"/>
      <c r="H267" s="240"/>
      <c r="I267" s="237"/>
      <c r="J267" s="237"/>
      <c r="K267" s="237"/>
      <c r="L267" s="237"/>
      <c r="M267" s="23"/>
      <c r="N267" s="23"/>
      <c r="O267" s="23"/>
      <c r="P267" s="23"/>
      <c r="Q267" s="23"/>
      <c r="R267" s="23"/>
      <c r="S267" s="23"/>
      <c r="T267" s="23"/>
      <c r="U267" s="23"/>
    </row>
    <row r="268" spans="1:21" s="70" customFormat="1" ht="16.5" customHeight="1">
      <c r="A268" s="235"/>
      <c r="B268" s="231"/>
      <c r="C268" s="236"/>
      <c r="D268" s="237"/>
      <c r="E268" s="237"/>
      <c r="F268" s="238"/>
      <c r="G268" s="239"/>
      <c r="H268" s="240"/>
      <c r="I268" s="237"/>
      <c r="J268" s="237"/>
      <c r="K268" s="237"/>
      <c r="L268" s="237"/>
      <c r="M268" s="23"/>
      <c r="N268" s="23"/>
      <c r="O268" s="23"/>
      <c r="P268" s="23"/>
      <c r="Q268" s="23"/>
      <c r="R268" s="23"/>
      <c r="S268" s="23"/>
      <c r="T268" s="23"/>
      <c r="U268" s="23"/>
    </row>
    <row r="269" spans="1:21" s="70" customFormat="1" ht="16.5" customHeight="1">
      <c r="A269" s="235"/>
      <c r="B269" s="231"/>
      <c r="C269" s="236"/>
      <c r="D269" s="237"/>
      <c r="E269" s="237"/>
      <c r="F269" s="238"/>
      <c r="G269" s="239"/>
      <c r="H269" s="240"/>
      <c r="I269" s="237"/>
      <c r="J269" s="237"/>
      <c r="K269" s="237"/>
      <c r="L269" s="237"/>
      <c r="M269" s="23"/>
      <c r="N269" s="23"/>
      <c r="O269" s="23"/>
      <c r="P269" s="23"/>
      <c r="Q269" s="23"/>
      <c r="R269" s="23"/>
      <c r="S269" s="23"/>
      <c r="T269" s="23"/>
      <c r="U269" s="23"/>
    </row>
    <row r="270" spans="1:21" s="70" customFormat="1" ht="16.5" customHeight="1">
      <c r="A270" s="235"/>
      <c r="B270" s="231"/>
      <c r="C270" s="236"/>
      <c r="D270" s="237"/>
      <c r="E270" s="237"/>
      <c r="F270" s="238"/>
      <c r="G270" s="239"/>
      <c r="H270" s="240"/>
      <c r="I270" s="237"/>
      <c r="J270" s="237"/>
      <c r="K270" s="237"/>
      <c r="L270" s="237"/>
      <c r="M270" s="23"/>
      <c r="N270" s="23"/>
      <c r="O270" s="23"/>
      <c r="P270" s="23"/>
      <c r="Q270" s="23"/>
      <c r="R270" s="23"/>
      <c r="S270" s="23"/>
      <c r="T270" s="23"/>
      <c r="U270" s="23"/>
    </row>
    <row r="271" spans="1:21" s="70" customFormat="1" ht="16.5" customHeight="1">
      <c r="A271" s="235"/>
      <c r="B271" s="231"/>
      <c r="C271" s="236"/>
      <c r="D271" s="237"/>
      <c r="E271" s="237"/>
      <c r="F271" s="238"/>
      <c r="G271" s="239"/>
      <c r="H271" s="240"/>
      <c r="I271" s="237"/>
      <c r="J271" s="237"/>
      <c r="K271" s="237"/>
      <c r="L271" s="237"/>
      <c r="M271" s="23"/>
      <c r="N271" s="23"/>
      <c r="O271" s="23"/>
      <c r="P271" s="23"/>
      <c r="Q271" s="23"/>
      <c r="R271" s="23"/>
      <c r="S271" s="23"/>
      <c r="T271" s="23"/>
      <c r="U271" s="23"/>
    </row>
    <row r="272" spans="1:21" s="70" customFormat="1" ht="16.5" customHeight="1">
      <c r="A272" s="235"/>
      <c r="B272" s="231"/>
      <c r="C272" s="236"/>
      <c r="D272" s="237"/>
      <c r="E272" s="237"/>
      <c r="F272" s="238"/>
      <c r="G272" s="239"/>
      <c r="H272" s="240"/>
      <c r="I272" s="237"/>
      <c r="J272" s="237"/>
      <c r="K272" s="237"/>
      <c r="L272" s="237"/>
      <c r="M272" s="23"/>
      <c r="N272" s="23"/>
      <c r="O272" s="23"/>
      <c r="P272" s="23"/>
      <c r="Q272" s="23"/>
      <c r="R272" s="23"/>
      <c r="S272" s="23"/>
      <c r="T272" s="23"/>
      <c r="U272" s="23"/>
    </row>
    <row r="273" spans="1:21" s="70" customFormat="1" ht="16.5" customHeight="1">
      <c r="A273" s="235"/>
      <c r="B273" s="231"/>
      <c r="C273" s="236"/>
      <c r="D273" s="237"/>
      <c r="E273" s="237"/>
      <c r="F273" s="238"/>
      <c r="G273" s="239"/>
      <c r="H273" s="240"/>
      <c r="I273" s="237"/>
      <c r="J273" s="237"/>
      <c r="K273" s="237"/>
      <c r="L273" s="237"/>
      <c r="M273" s="23"/>
      <c r="N273" s="23"/>
      <c r="O273" s="23"/>
      <c r="P273" s="23"/>
      <c r="Q273" s="23"/>
      <c r="R273" s="23"/>
      <c r="S273" s="23"/>
      <c r="T273" s="23"/>
      <c r="U273" s="23"/>
    </row>
    <row r="274" spans="1:21" s="70" customFormat="1" ht="16.5" customHeight="1">
      <c r="A274" s="235"/>
      <c r="B274" s="231"/>
      <c r="C274" s="236"/>
      <c r="D274" s="237"/>
      <c r="E274" s="237"/>
      <c r="F274" s="238"/>
      <c r="G274" s="239"/>
      <c r="H274" s="240"/>
      <c r="I274" s="237"/>
      <c r="J274" s="237"/>
      <c r="K274" s="237"/>
      <c r="L274" s="237"/>
      <c r="M274" s="23"/>
      <c r="N274" s="23"/>
      <c r="O274" s="23"/>
      <c r="P274" s="23"/>
      <c r="Q274" s="23"/>
      <c r="R274" s="23"/>
      <c r="S274" s="23"/>
      <c r="T274" s="23"/>
      <c r="U274" s="23"/>
    </row>
    <row r="275" spans="1:21" s="70" customFormat="1" ht="16.5" customHeight="1">
      <c r="A275" s="235"/>
      <c r="B275" s="231"/>
      <c r="C275" s="236"/>
      <c r="D275" s="237"/>
      <c r="E275" s="237"/>
      <c r="F275" s="238"/>
      <c r="G275" s="239"/>
      <c r="H275" s="240"/>
      <c r="I275" s="237"/>
      <c r="J275" s="237"/>
      <c r="K275" s="237"/>
      <c r="L275" s="237"/>
      <c r="M275" s="23"/>
      <c r="N275" s="23"/>
      <c r="O275" s="23"/>
      <c r="P275" s="23"/>
      <c r="Q275" s="23"/>
      <c r="R275" s="23"/>
      <c r="S275" s="23"/>
      <c r="T275" s="23"/>
      <c r="U275" s="23"/>
    </row>
    <row r="276" spans="1:21" s="70" customFormat="1" ht="16.5" customHeight="1">
      <c r="A276" s="235"/>
      <c r="B276" s="231"/>
      <c r="C276" s="236"/>
      <c r="D276" s="237"/>
      <c r="E276" s="237"/>
      <c r="F276" s="238"/>
      <c r="G276" s="239"/>
      <c r="H276" s="240"/>
      <c r="I276" s="237"/>
      <c r="J276" s="237"/>
      <c r="K276" s="237"/>
      <c r="L276" s="237"/>
      <c r="M276" s="23"/>
      <c r="N276" s="23"/>
      <c r="O276" s="23"/>
      <c r="P276" s="23"/>
      <c r="Q276" s="23"/>
      <c r="R276" s="23"/>
      <c r="S276" s="23"/>
      <c r="T276" s="23"/>
      <c r="U276" s="23"/>
    </row>
    <row r="277" spans="1:21" s="70" customFormat="1" ht="16.5" customHeight="1">
      <c r="A277" s="235"/>
      <c r="B277" s="231"/>
      <c r="C277" s="236"/>
      <c r="D277" s="237"/>
      <c r="E277" s="237"/>
      <c r="F277" s="238"/>
      <c r="G277" s="239"/>
      <c r="H277" s="240"/>
      <c r="I277" s="237"/>
      <c r="J277" s="237"/>
      <c r="K277" s="237"/>
      <c r="L277" s="237"/>
      <c r="M277" s="23"/>
      <c r="N277" s="23"/>
      <c r="O277" s="23"/>
      <c r="P277" s="23"/>
      <c r="Q277" s="23"/>
      <c r="R277" s="23"/>
      <c r="S277" s="23"/>
      <c r="T277" s="23"/>
      <c r="U277" s="23"/>
    </row>
    <row r="278" spans="1:21" s="70" customFormat="1" ht="16.5" customHeight="1">
      <c r="A278" s="235"/>
      <c r="B278" s="231"/>
      <c r="C278" s="236"/>
      <c r="D278" s="237"/>
      <c r="E278" s="237"/>
      <c r="F278" s="238"/>
      <c r="G278" s="239"/>
      <c r="H278" s="240"/>
      <c r="I278" s="237"/>
      <c r="J278" s="237"/>
      <c r="K278" s="237"/>
      <c r="L278" s="237"/>
      <c r="M278" s="23"/>
      <c r="N278" s="23"/>
      <c r="O278" s="23"/>
      <c r="P278" s="23"/>
      <c r="Q278" s="23"/>
      <c r="R278" s="23"/>
      <c r="S278" s="23"/>
      <c r="T278" s="23"/>
      <c r="U278" s="23"/>
    </row>
    <row r="279" spans="1:21" s="70" customFormat="1" ht="16.5" customHeight="1">
      <c r="A279" s="235"/>
      <c r="B279" s="231"/>
      <c r="C279" s="236"/>
      <c r="D279" s="237"/>
      <c r="E279" s="237"/>
      <c r="F279" s="238"/>
      <c r="G279" s="239"/>
      <c r="H279" s="240"/>
      <c r="I279" s="237"/>
      <c r="J279" s="237"/>
      <c r="K279" s="237"/>
      <c r="L279" s="237"/>
      <c r="M279" s="23"/>
      <c r="N279" s="23"/>
      <c r="O279" s="23"/>
      <c r="P279" s="23"/>
      <c r="Q279" s="23"/>
      <c r="R279" s="23"/>
      <c r="S279" s="23"/>
      <c r="T279" s="23"/>
      <c r="U279" s="23"/>
    </row>
    <row r="280" spans="1:21" s="70" customFormat="1" ht="16.5" customHeight="1">
      <c r="A280" s="235"/>
      <c r="B280" s="231"/>
      <c r="C280" s="236"/>
      <c r="D280" s="237"/>
      <c r="E280" s="237"/>
      <c r="F280" s="238"/>
      <c r="G280" s="239"/>
      <c r="H280" s="240"/>
      <c r="I280" s="237"/>
      <c r="J280" s="237"/>
      <c r="K280" s="237"/>
      <c r="L280" s="237"/>
      <c r="M280" s="23"/>
      <c r="N280" s="23"/>
      <c r="O280" s="23"/>
      <c r="P280" s="23"/>
      <c r="Q280" s="23"/>
      <c r="R280" s="23"/>
      <c r="S280" s="23"/>
      <c r="T280" s="23"/>
      <c r="U280" s="23"/>
    </row>
    <row r="281" spans="1:21" s="70" customFormat="1" ht="16.5" customHeight="1">
      <c r="A281" s="235"/>
      <c r="B281" s="231"/>
      <c r="C281" s="236"/>
      <c r="D281" s="237"/>
      <c r="E281" s="237"/>
      <c r="F281" s="238"/>
      <c r="G281" s="239"/>
      <c r="H281" s="240"/>
      <c r="I281" s="237"/>
      <c r="J281" s="237"/>
      <c r="K281" s="237"/>
      <c r="L281" s="237"/>
      <c r="M281" s="23"/>
      <c r="N281" s="23"/>
      <c r="O281" s="23"/>
      <c r="P281" s="23"/>
      <c r="Q281" s="23"/>
      <c r="R281" s="23"/>
      <c r="S281" s="23"/>
      <c r="T281" s="23"/>
      <c r="U281" s="23"/>
    </row>
    <row r="282" spans="1:21" s="70" customFormat="1" ht="16.5" customHeight="1">
      <c r="A282" s="235"/>
      <c r="B282" s="231"/>
      <c r="C282" s="236"/>
      <c r="D282" s="237"/>
      <c r="E282" s="237"/>
      <c r="F282" s="238"/>
      <c r="G282" s="239"/>
      <c r="H282" s="240"/>
      <c r="I282" s="237"/>
      <c r="J282" s="237"/>
      <c r="K282" s="237"/>
      <c r="L282" s="237"/>
      <c r="M282" s="23"/>
      <c r="N282" s="23"/>
      <c r="O282" s="23"/>
      <c r="P282" s="23"/>
      <c r="Q282" s="23"/>
      <c r="R282" s="23"/>
      <c r="S282" s="23"/>
      <c r="T282" s="23"/>
      <c r="U282" s="23"/>
    </row>
    <row r="283" spans="1:21" s="70" customFormat="1" ht="16.5" customHeight="1">
      <c r="A283" s="235"/>
      <c r="B283" s="231"/>
      <c r="C283" s="236"/>
      <c r="D283" s="237"/>
      <c r="E283" s="237"/>
      <c r="F283" s="238"/>
      <c r="G283" s="239"/>
      <c r="H283" s="240"/>
      <c r="I283" s="237"/>
      <c r="J283" s="237"/>
      <c r="K283" s="237"/>
      <c r="L283" s="237"/>
      <c r="M283" s="23"/>
      <c r="N283" s="23"/>
      <c r="O283" s="23"/>
      <c r="P283" s="23"/>
      <c r="Q283" s="23"/>
      <c r="R283" s="23"/>
      <c r="S283" s="23"/>
      <c r="T283" s="23"/>
      <c r="U283" s="23"/>
    </row>
    <row r="284" spans="1:21" s="70" customFormat="1" ht="16.5" customHeight="1">
      <c r="A284" s="235"/>
      <c r="B284" s="231"/>
      <c r="C284" s="236"/>
      <c r="D284" s="237"/>
      <c r="E284" s="237"/>
      <c r="F284" s="238"/>
      <c r="G284" s="239"/>
      <c r="H284" s="240"/>
      <c r="I284" s="237"/>
      <c r="J284" s="237"/>
      <c r="K284" s="237"/>
      <c r="L284" s="237"/>
      <c r="M284" s="23"/>
      <c r="N284" s="23"/>
      <c r="O284" s="23"/>
      <c r="P284" s="23"/>
      <c r="Q284" s="23"/>
      <c r="R284" s="23"/>
      <c r="S284" s="23"/>
      <c r="T284" s="23"/>
      <c r="U284" s="23"/>
    </row>
    <row r="285" spans="1:21" s="70" customFormat="1" ht="16.5" customHeight="1">
      <c r="A285" s="235"/>
      <c r="B285" s="231"/>
      <c r="C285" s="236"/>
      <c r="D285" s="237"/>
      <c r="E285" s="237"/>
      <c r="F285" s="238"/>
      <c r="G285" s="239"/>
      <c r="H285" s="240"/>
      <c r="I285" s="237"/>
      <c r="J285" s="237"/>
      <c r="K285" s="237"/>
      <c r="L285" s="237"/>
      <c r="M285" s="23"/>
      <c r="N285" s="23"/>
      <c r="O285" s="23"/>
      <c r="P285" s="23"/>
      <c r="Q285" s="23"/>
      <c r="R285" s="23"/>
      <c r="S285" s="23"/>
      <c r="T285" s="23"/>
      <c r="U285" s="23"/>
    </row>
    <row r="286" spans="1:21" s="70" customFormat="1" ht="16.5" customHeight="1">
      <c r="A286" s="235"/>
      <c r="B286" s="231"/>
      <c r="C286" s="236"/>
      <c r="D286" s="237"/>
      <c r="E286" s="237"/>
      <c r="F286" s="238"/>
      <c r="G286" s="239"/>
      <c r="H286" s="240"/>
      <c r="I286" s="237"/>
      <c r="J286" s="237"/>
      <c r="K286" s="237"/>
      <c r="L286" s="237"/>
      <c r="M286" s="23"/>
      <c r="N286" s="23"/>
      <c r="O286" s="23"/>
      <c r="P286" s="23"/>
      <c r="Q286" s="23"/>
      <c r="R286" s="23"/>
      <c r="S286" s="23"/>
      <c r="T286" s="23"/>
      <c r="U286" s="23"/>
    </row>
    <row r="287" spans="1:21" s="70" customFormat="1" ht="16.5" customHeight="1">
      <c r="A287" s="235"/>
      <c r="B287" s="231"/>
      <c r="C287" s="236"/>
      <c r="D287" s="237"/>
      <c r="E287" s="237"/>
      <c r="F287" s="238"/>
      <c r="G287" s="239"/>
      <c r="H287" s="240"/>
      <c r="I287" s="237"/>
      <c r="J287" s="237"/>
      <c r="K287" s="237"/>
      <c r="L287" s="237"/>
      <c r="M287" s="23"/>
      <c r="N287" s="23"/>
      <c r="O287" s="23"/>
      <c r="P287" s="23"/>
      <c r="Q287" s="23"/>
      <c r="R287" s="23"/>
      <c r="S287" s="23"/>
      <c r="T287" s="23"/>
      <c r="U287" s="23"/>
    </row>
    <row r="288" spans="1:21" s="70" customFormat="1" ht="16.5" customHeight="1">
      <c r="A288" s="235"/>
      <c r="B288" s="231"/>
      <c r="C288" s="236"/>
      <c r="D288" s="237"/>
      <c r="E288" s="237"/>
      <c r="F288" s="238"/>
      <c r="G288" s="239"/>
      <c r="H288" s="240"/>
      <c r="I288" s="237"/>
      <c r="J288" s="237"/>
      <c r="K288" s="237"/>
      <c r="L288" s="237"/>
      <c r="M288" s="23"/>
      <c r="N288" s="23"/>
      <c r="O288" s="23"/>
      <c r="P288" s="23"/>
      <c r="Q288" s="23"/>
      <c r="R288" s="23"/>
      <c r="S288" s="23"/>
      <c r="T288" s="23"/>
      <c r="U288" s="23"/>
    </row>
    <row r="289" spans="1:21" s="70" customFormat="1" ht="16.5" customHeight="1">
      <c r="A289" s="235"/>
      <c r="B289" s="231"/>
      <c r="C289" s="236"/>
      <c r="D289" s="237"/>
      <c r="E289" s="237"/>
      <c r="F289" s="238"/>
      <c r="G289" s="239"/>
      <c r="H289" s="240"/>
      <c r="I289" s="237"/>
      <c r="J289" s="237"/>
      <c r="K289" s="237"/>
      <c r="L289" s="237"/>
      <c r="M289" s="23"/>
      <c r="N289" s="23"/>
      <c r="O289" s="23"/>
      <c r="P289" s="23"/>
      <c r="Q289" s="23"/>
      <c r="R289" s="23"/>
      <c r="S289" s="23"/>
      <c r="T289" s="23"/>
      <c r="U289" s="23"/>
    </row>
    <row r="290" spans="1:21" s="70" customFormat="1" ht="16.5" customHeight="1">
      <c r="A290" s="235"/>
      <c r="B290" s="231"/>
      <c r="C290" s="236"/>
      <c r="D290" s="237"/>
      <c r="E290" s="237"/>
      <c r="F290" s="238"/>
      <c r="G290" s="239"/>
      <c r="H290" s="240"/>
      <c r="I290" s="237"/>
      <c r="J290" s="237"/>
      <c r="K290" s="237"/>
      <c r="L290" s="237"/>
      <c r="M290" s="23"/>
      <c r="N290" s="23"/>
      <c r="O290" s="23"/>
      <c r="P290" s="23"/>
      <c r="Q290" s="23"/>
      <c r="R290" s="23"/>
      <c r="S290" s="23"/>
      <c r="T290" s="23"/>
      <c r="U290" s="23"/>
    </row>
    <row r="291" spans="1:21" s="70" customFormat="1" ht="16.5" customHeight="1">
      <c r="A291" s="235"/>
      <c r="B291" s="231"/>
      <c r="C291" s="236"/>
      <c r="D291" s="237"/>
      <c r="E291" s="237"/>
      <c r="F291" s="238"/>
      <c r="G291" s="239"/>
      <c r="H291" s="240"/>
      <c r="I291" s="237"/>
      <c r="J291" s="237"/>
      <c r="K291" s="237"/>
      <c r="L291" s="237"/>
      <c r="M291" s="23"/>
      <c r="N291" s="23"/>
      <c r="O291" s="23"/>
      <c r="P291" s="23"/>
      <c r="Q291" s="23"/>
      <c r="R291" s="23"/>
      <c r="S291" s="23"/>
      <c r="T291" s="23"/>
      <c r="U291" s="23"/>
    </row>
    <row r="292" spans="1:21" s="70" customFormat="1" ht="16.5" customHeight="1">
      <c r="A292" s="235"/>
      <c r="B292" s="231"/>
      <c r="C292" s="236"/>
      <c r="D292" s="237"/>
      <c r="E292" s="237"/>
      <c r="F292" s="238"/>
      <c r="G292" s="239"/>
      <c r="H292" s="240"/>
      <c r="I292" s="237"/>
      <c r="J292" s="237"/>
      <c r="K292" s="237"/>
      <c r="L292" s="237"/>
      <c r="M292" s="23"/>
      <c r="N292" s="23"/>
      <c r="O292" s="23"/>
      <c r="P292" s="23"/>
      <c r="Q292" s="23"/>
      <c r="R292" s="23"/>
      <c r="S292" s="23"/>
      <c r="T292" s="23"/>
      <c r="U292" s="23"/>
    </row>
    <row r="293" spans="1:21" s="70" customFormat="1" ht="16.5" customHeight="1">
      <c r="A293" s="235"/>
      <c r="B293" s="231"/>
      <c r="C293" s="236"/>
      <c r="D293" s="237"/>
      <c r="E293" s="237"/>
      <c r="F293" s="238"/>
      <c r="G293" s="239"/>
      <c r="H293" s="240"/>
      <c r="I293" s="237"/>
      <c r="J293" s="237"/>
      <c r="K293" s="237"/>
      <c r="L293" s="237"/>
      <c r="M293" s="23"/>
      <c r="N293" s="23"/>
      <c r="O293" s="23"/>
      <c r="P293" s="23"/>
      <c r="Q293" s="23"/>
      <c r="R293" s="23"/>
      <c r="S293" s="23"/>
      <c r="T293" s="23"/>
      <c r="U293" s="23"/>
    </row>
    <row r="294" spans="1:21" s="70" customFormat="1" ht="16.5" customHeight="1">
      <c r="A294" s="235"/>
      <c r="B294" s="231"/>
      <c r="C294" s="236"/>
      <c r="D294" s="237"/>
      <c r="E294" s="237"/>
      <c r="F294" s="238"/>
      <c r="G294" s="239"/>
      <c r="H294" s="240"/>
      <c r="I294" s="237"/>
      <c r="J294" s="237"/>
      <c r="K294" s="237"/>
      <c r="L294" s="237"/>
      <c r="M294" s="23"/>
      <c r="N294" s="23"/>
      <c r="O294" s="23"/>
      <c r="P294" s="23"/>
      <c r="Q294" s="23"/>
      <c r="R294" s="23"/>
      <c r="S294" s="23"/>
      <c r="T294" s="23"/>
      <c r="U294" s="23"/>
    </row>
    <row r="295" spans="1:21" s="70" customFormat="1" ht="16.5" customHeight="1">
      <c r="A295" s="235"/>
      <c r="B295" s="231"/>
      <c r="C295" s="236"/>
      <c r="D295" s="237"/>
      <c r="E295" s="237"/>
      <c r="F295" s="238"/>
      <c r="G295" s="239"/>
      <c r="H295" s="240"/>
      <c r="I295" s="237"/>
      <c r="J295" s="237"/>
      <c r="K295" s="237"/>
      <c r="L295" s="237"/>
      <c r="M295" s="23"/>
      <c r="N295" s="23"/>
      <c r="O295" s="23"/>
      <c r="P295" s="23"/>
      <c r="Q295" s="23"/>
      <c r="R295" s="23"/>
      <c r="S295" s="23"/>
      <c r="T295" s="23"/>
      <c r="U295" s="23"/>
    </row>
    <row r="296" spans="1:21" s="70" customFormat="1" ht="16.5" customHeight="1">
      <c r="A296" s="235"/>
      <c r="B296" s="231"/>
      <c r="C296" s="236"/>
      <c r="D296" s="237"/>
      <c r="E296" s="237"/>
      <c r="F296" s="238"/>
      <c r="G296" s="239"/>
      <c r="H296" s="240"/>
      <c r="I296" s="237"/>
      <c r="J296" s="237"/>
      <c r="K296" s="237"/>
      <c r="L296" s="237"/>
      <c r="M296" s="23"/>
      <c r="N296" s="23"/>
      <c r="O296" s="23"/>
      <c r="P296" s="23"/>
      <c r="Q296" s="23"/>
      <c r="R296" s="23"/>
      <c r="S296" s="23"/>
      <c r="T296" s="23"/>
      <c r="U296" s="23"/>
    </row>
    <row r="297" spans="1:21" s="70" customFormat="1" ht="16.5" customHeight="1">
      <c r="A297" s="235"/>
      <c r="B297" s="231"/>
      <c r="C297" s="236"/>
      <c r="D297" s="237"/>
      <c r="E297" s="237"/>
      <c r="F297" s="238"/>
      <c r="G297" s="239"/>
      <c r="H297" s="240"/>
      <c r="I297" s="237"/>
      <c r="J297" s="237"/>
      <c r="K297" s="237"/>
      <c r="L297" s="237"/>
      <c r="M297" s="23"/>
      <c r="N297" s="23"/>
      <c r="O297" s="23"/>
      <c r="P297" s="23"/>
      <c r="Q297" s="23"/>
      <c r="R297" s="23"/>
      <c r="S297" s="23"/>
      <c r="T297" s="23"/>
      <c r="U297" s="23"/>
    </row>
    <row r="298" spans="1:21" s="70" customFormat="1" ht="16.5" customHeight="1">
      <c r="A298" s="235"/>
      <c r="B298" s="231"/>
      <c r="C298" s="236"/>
      <c r="D298" s="237"/>
      <c r="E298" s="237"/>
      <c r="F298" s="238"/>
      <c r="G298" s="239"/>
      <c r="H298" s="240"/>
      <c r="I298" s="237"/>
      <c r="J298" s="237"/>
      <c r="K298" s="237"/>
      <c r="L298" s="237"/>
      <c r="M298" s="23"/>
      <c r="N298" s="23"/>
      <c r="O298" s="23"/>
      <c r="P298" s="23"/>
      <c r="Q298" s="23"/>
      <c r="R298" s="23"/>
      <c r="S298" s="23"/>
      <c r="T298" s="23"/>
      <c r="U298" s="23"/>
    </row>
    <row r="299" spans="1:21" s="70" customFormat="1" ht="16.5" customHeight="1">
      <c r="A299" s="235"/>
      <c r="B299" s="231"/>
      <c r="C299" s="236"/>
      <c r="D299" s="237"/>
      <c r="E299" s="237"/>
      <c r="F299" s="238"/>
      <c r="G299" s="239"/>
      <c r="H299" s="240"/>
      <c r="I299" s="237"/>
      <c r="J299" s="237"/>
      <c r="K299" s="237"/>
      <c r="L299" s="237"/>
      <c r="M299" s="23"/>
      <c r="N299" s="23"/>
      <c r="O299" s="23"/>
      <c r="P299" s="23"/>
      <c r="Q299" s="23"/>
      <c r="R299" s="23"/>
      <c r="S299" s="23"/>
      <c r="T299" s="23"/>
      <c r="U299" s="23"/>
    </row>
    <row r="300" spans="1:21" s="70" customFormat="1" ht="16.5" customHeight="1">
      <c r="A300" s="235"/>
      <c r="B300" s="231"/>
      <c r="C300" s="236"/>
      <c r="D300" s="237"/>
      <c r="E300" s="237"/>
      <c r="F300" s="238"/>
      <c r="G300" s="239"/>
      <c r="H300" s="240"/>
      <c r="I300" s="237"/>
      <c r="J300" s="237"/>
      <c r="K300" s="237"/>
      <c r="L300" s="237"/>
      <c r="M300" s="23"/>
      <c r="N300" s="23"/>
      <c r="O300" s="23"/>
      <c r="P300" s="23"/>
      <c r="Q300" s="23"/>
      <c r="R300" s="23"/>
      <c r="S300" s="23"/>
      <c r="T300" s="23"/>
      <c r="U300" s="23"/>
    </row>
    <row r="301" spans="1:21" s="70" customFormat="1" ht="16.5" customHeight="1">
      <c r="A301" s="235"/>
      <c r="B301" s="231"/>
      <c r="C301" s="236"/>
      <c r="D301" s="237"/>
      <c r="E301" s="237"/>
      <c r="F301" s="238"/>
      <c r="G301" s="239"/>
      <c r="H301" s="240"/>
      <c r="I301" s="237"/>
      <c r="J301" s="237"/>
      <c r="K301" s="237"/>
      <c r="L301" s="237"/>
      <c r="M301" s="23"/>
      <c r="N301" s="23"/>
      <c r="O301" s="23"/>
      <c r="P301" s="23"/>
      <c r="Q301" s="23"/>
      <c r="R301" s="23"/>
      <c r="S301" s="23"/>
      <c r="T301" s="23"/>
      <c r="U301" s="23"/>
    </row>
    <row r="302" spans="1:21" s="70" customFormat="1" ht="16.5" customHeight="1">
      <c r="A302" s="235"/>
      <c r="B302" s="231"/>
      <c r="C302" s="236"/>
      <c r="D302" s="237"/>
      <c r="E302" s="237"/>
      <c r="F302" s="238"/>
      <c r="G302" s="239"/>
      <c r="H302" s="240"/>
      <c r="I302" s="237"/>
      <c r="J302" s="237"/>
      <c r="K302" s="237"/>
      <c r="L302" s="237"/>
      <c r="M302" s="23"/>
      <c r="N302" s="23"/>
      <c r="O302" s="23"/>
      <c r="P302" s="23"/>
      <c r="Q302" s="23"/>
      <c r="R302" s="23"/>
      <c r="S302" s="23"/>
      <c r="T302" s="23"/>
      <c r="U302" s="23"/>
    </row>
    <row r="303" spans="1:21" s="70" customFormat="1" ht="16.5" customHeight="1">
      <c r="A303" s="235"/>
      <c r="B303" s="231"/>
      <c r="C303" s="236"/>
      <c r="D303" s="237"/>
      <c r="E303" s="237"/>
      <c r="F303" s="238"/>
      <c r="G303" s="239"/>
      <c r="H303" s="240"/>
      <c r="I303" s="237"/>
      <c r="J303" s="237"/>
      <c r="K303" s="237"/>
      <c r="L303" s="237"/>
      <c r="M303" s="23"/>
      <c r="N303" s="23"/>
      <c r="O303" s="23"/>
      <c r="P303" s="23"/>
      <c r="Q303" s="23"/>
      <c r="R303" s="23"/>
      <c r="S303" s="23"/>
      <c r="T303" s="23"/>
      <c r="U303" s="23"/>
    </row>
    <row r="304" spans="1:21" s="70" customFormat="1" ht="16.5" customHeight="1">
      <c r="A304" s="235"/>
      <c r="B304" s="231"/>
      <c r="C304" s="236"/>
      <c r="D304" s="237"/>
      <c r="E304" s="237"/>
      <c r="F304" s="238"/>
      <c r="G304" s="239"/>
      <c r="H304" s="240"/>
      <c r="I304" s="237"/>
      <c r="J304" s="237"/>
      <c r="K304" s="237"/>
      <c r="L304" s="237"/>
      <c r="M304" s="23"/>
      <c r="N304" s="23"/>
      <c r="O304" s="23"/>
      <c r="P304" s="23"/>
      <c r="Q304" s="23"/>
      <c r="R304" s="23"/>
      <c r="S304" s="23"/>
      <c r="T304" s="23"/>
      <c r="U304" s="23"/>
    </row>
    <row r="305" spans="1:21" s="70" customFormat="1" ht="16.5" customHeight="1">
      <c r="A305" s="235"/>
      <c r="B305" s="231"/>
      <c r="C305" s="236"/>
      <c r="D305" s="237"/>
      <c r="E305" s="237"/>
      <c r="F305" s="238"/>
      <c r="G305" s="239"/>
      <c r="H305" s="240"/>
      <c r="I305" s="237"/>
      <c r="J305" s="237"/>
      <c r="K305" s="237"/>
      <c r="L305" s="237"/>
      <c r="M305" s="23"/>
      <c r="N305" s="23"/>
      <c r="O305" s="23"/>
      <c r="P305" s="23"/>
      <c r="Q305" s="23"/>
      <c r="R305" s="23"/>
      <c r="S305" s="23"/>
      <c r="T305" s="23"/>
      <c r="U305" s="23"/>
    </row>
    <row r="306" spans="1:21" s="70" customFormat="1" ht="16.5" customHeight="1">
      <c r="A306" s="235"/>
      <c r="B306" s="231"/>
      <c r="C306" s="236"/>
      <c r="D306" s="237"/>
      <c r="E306" s="237"/>
      <c r="F306" s="238"/>
      <c r="G306" s="239"/>
      <c r="H306" s="240"/>
      <c r="I306" s="237"/>
      <c r="J306" s="237"/>
      <c r="K306" s="237"/>
      <c r="L306" s="237"/>
      <c r="M306" s="23"/>
      <c r="N306" s="23"/>
      <c r="O306" s="23"/>
      <c r="P306" s="23"/>
      <c r="Q306" s="23"/>
      <c r="R306" s="23"/>
      <c r="S306" s="23"/>
      <c r="T306" s="23"/>
      <c r="U306" s="23"/>
    </row>
    <row r="307" spans="1:21" s="70" customFormat="1" ht="16.5" customHeight="1">
      <c r="A307" s="235"/>
      <c r="B307" s="231"/>
      <c r="C307" s="236"/>
      <c r="D307" s="237"/>
      <c r="E307" s="237"/>
      <c r="F307" s="238"/>
      <c r="G307" s="239"/>
      <c r="H307" s="240"/>
      <c r="I307" s="237"/>
      <c r="J307" s="237"/>
      <c r="K307" s="237"/>
      <c r="L307" s="237"/>
      <c r="M307" s="23"/>
      <c r="N307" s="23"/>
      <c r="O307" s="23"/>
      <c r="P307" s="23"/>
      <c r="Q307" s="23"/>
      <c r="R307" s="23"/>
      <c r="S307" s="23"/>
      <c r="T307" s="23"/>
      <c r="U307" s="23"/>
    </row>
    <row r="308" spans="1:21" s="70" customFormat="1" ht="16.5" customHeight="1">
      <c r="A308" s="235"/>
      <c r="B308" s="231"/>
      <c r="C308" s="236"/>
      <c r="D308" s="237"/>
      <c r="E308" s="237"/>
      <c r="F308" s="238"/>
      <c r="G308" s="239"/>
      <c r="H308" s="240"/>
      <c r="I308" s="237"/>
      <c r="J308" s="237"/>
      <c r="K308" s="237"/>
      <c r="L308" s="237"/>
      <c r="M308" s="23"/>
      <c r="N308" s="23"/>
      <c r="O308" s="23"/>
      <c r="P308" s="23"/>
      <c r="Q308" s="23"/>
      <c r="R308" s="23"/>
      <c r="S308" s="23"/>
      <c r="T308" s="23"/>
      <c r="U308" s="23"/>
    </row>
    <row r="309" spans="1:21" s="70" customFormat="1" ht="16.5" customHeight="1">
      <c r="A309" s="235"/>
      <c r="B309" s="231"/>
      <c r="C309" s="236"/>
      <c r="D309" s="237"/>
      <c r="E309" s="237"/>
      <c r="F309" s="238"/>
      <c r="G309" s="239"/>
      <c r="H309" s="240"/>
      <c r="I309" s="237"/>
      <c r="J309" s="237"/>
      <c r="K309" s="237"/>
      <c r="L309" s="237"/>
      <c r="M309" s="23"/>
      <c r="N309" s="23"/>
      <c r="O309" s="23"/>
      <c r="P309" s="23"/>
      <c r="Q309" s="23"/>
      <c r="R309" s="23"/>
      <c r="S309" s="23"/>
      <c r="T309" s="23"/>
      <c r="U309" s="23"/>
    </row>
    <row r="310" spans="1:21" s="70" customFormat="1" ht="16.5" customHeight="1">
      <c r="A310" s="235"/>
      <c r="B310" s="231"/>
      <c r="C310" s="236"/>
      <c r="D310" s="237"/>
      <c r="E310" s="237"/>
      <c r="F310" s="238"/>
      <c r="G310" s="239"/>
      <c r="H310" s="240"/>
      <c r="I310" s="237"/>
      <c r="J310" s="237"/>
      <c r="K310" s="237"/>
      <c r="L310" s="237"/>
      <c r="M310" s="23"/>
      <c r="N310" s="23"/>
      <c r="O310" s="23"/>
      <c r="P310" s="23"/>
      <c r="Q310" s="23"/>
      <c r="R310" s="23"/>
      <c r="S310" s="23"/>
      <c r="T310" s="23"/>
      <c r="U310" s="23"/>
    </row>
    <row r="311" spans="1:21" s="70" customFormat="1" ht="16.5" customHeight="1">
      <c r="A311" s="235"/>
      <c r="B311" s="231"/>
      <c r="C311" s="236"/>
      <c r="D311" s="237"/>
      <c r="E311" s="237"/>
      <c r="F311" s="238"/>
      <c r="G311" s="239"/>
      <c r="H311" s="240"/>
      <c r="I311" s="237"/>
      <c r="J311" s="237"/>
      <c r="K311" s="237"/>
      <c r="L311" s="237"/>
      <c r="M311" s="23"/>
      <c r="N311" s="23"/>
      <c r="O311" s="23"/>
      <c r="P311" s="23"/>
      <c r="Q311" s="23"/>
      <c r="R311" s="23"/>
      <c r="S311" s="23"/>
      <c r="T311" s="23"/>
      <c r="U311" s="23"/>
    </row>
    <row r="312" spans="1:21" s="70" customFormat="1" ht="16.5" customHeight="1">
      <c r="A312" s="235"/>
      <c r="B312" s="231"/>
      <c r="C312" s="236"/>
      <c r="D312" s="237"/>
      <c r="E312" s="237"/>
      <c r="F312" s="238"/>
      <c r="G312" s="239"/>
      <c r="H312" s="240"/>
      <c r="I312" s="237"/>
      <c r="J312" s="237"/>
      <c r="K312" s="237"/>
      <c r="L312" s="237"/>
      <c r="M312" s="23"/>
      <c r="N312" s="23"/>
      <c r="O312" s="23"/>
      <c r="P312" s="23"/>
      <c r="Q312" s="23"/>
      <c r="R312" s="23"/>
      <c r="S312" s="23"/>
      <c r="T312" s="23"/>
      <c r="U312" s="23"/>
    </row>
    <row r="313" spans="1:21" s="70" customFormat="1" ht="16.5" customHeight="1">
      <c r="A313" s="235"/>
      <c r="B313" s="231"/>
      <c r="C313" s="236"/>
      <c r="D313" s="237"/>
      <c r="E313" s="237"/>
      <c r="F313" s="238"/>
      <c r="G313" s="239"/>
      <c r="H313" s="240"/>
      <c r="I313" s="237"/>
      <c r="J313" s="237"/>
      <c r="K313" s="237"/>
      <c r="L313" s="237"/>
      <c r="M313" s="23"/>
      <c r="N313" s="23"/>
      <c r="O313" s="23"/>
      <c r="P313" s="23"/>
      <c r="Q313" s="23"/>
      <c r="R313" s="23"/>
      <c r="S313" s="23"/>
      <c r="T313" s="23"/>
      <c r="U313" s="23"/>
    </row>
    <row r="314" spans="1:21" s="70" customFormat="1" ht="16.5" customHeight="1">
      <c r="A314" s="235"/>
      <c r="B314" s="231"/>
      <c r="C314" s="236"/>
      <c r="D314" s="237"/>
      <c r="E314" s="237"/>
      <c r="F314" s="238"/>
      <c r="G314" s="239"/>
      <c r="H314" s="240"/>
      <c r="I314" s="237"/>
      <c r="J314" s="237"/>
      <c r="K314" s="237"/>
      <c r="L314" s="237"/>
      <c r="M314" s="23"/>
      <c r="N314" s="23"/>
      <c r="O314" s="23"/>
      <c r="P314" s="23"/>
      <c r="Q314" s="23"/>
      <c r="R314" s="23"/>
      <c r="S314" s="23"/>
      <c r="T314" s="23"/>
      <c r="U314" s="23"/>
    </row>
    <row r="315" spans="1:21" s="70" customFormat="1" ht="16.5" customHeight="1">
      <c r="A315" s="235"/>
      <c r="B315" s="231"/>
      <c r="C315" s="236"/>
      <c r="D315" s="237"/>
      <c r="E315" s="237"/>
      <c r="F315" s="238"/>
      <c r="G315" s="239"/>
      <c r="H315" s="240"/>
      <c r="I315" s="237"/>
      <c r="J315" s="237"/>
      <c r="K315" s="237"/>
      <c r="L315" s="237"/>
      <c r="M315" s="23"/>
      <c r="N315" s="23"/>
      <c r="O315" s="23"/>
      <c r="P315" s="23"/>
      <c r="Q315" s="23"/>
      <c r="R315" s="23"/>
      <c r="S315" s="23"/>
      <c r="T315" s="23"/>
      <c r="U315" s="23"/>
    </row>
    <row r="316" spans="1:21" s="70" customFormat="1" ht="16.5" customHeight="1">
      <c r="A316" s="235"/>
      <c r="B316" s="231"/>
      <c r="C316" s="236"/>
      <c r="D316" s="237"/>
      <c r="E316" s="237"/>
      <c r="F316" s="238"/>
      <c r="G316" s="239"/>
      <c r="H316" s="240"/>
      <c r="I316" s="237"/>
      <c r="J316" s="237"/>
      <c r="K316" s="237"/>
      <c r="L316" s="237"/>
      <c r="M316" s="23"/>
      <c r="N316" s="23"/>
      <c r="O316" s="23"/>
      <c r="P316" s="23"/>
      <c r="Q316" s="23"/>
      <c r="R316" s="23"/>
      <c r="S316" s="23"/>
      <c r="T316" s="23"/>
      <c r="U316" s="23"/>
    </row>
    <row r="317" spans="1:21" s="70" customFormat="1" ht="16.5" customHeight="1">
      <c r="A317" s="235"/>
      <c r="B317" s="231"/>
      <c r="C317" s="236"/>
      <c r="D317" s="237"/>
      <c r="E317" s="237"/>
      <c r="F317" s="238"/>
      <c r="G317" s="239"/>
      <c r="H317" s="240"/>
      <c r="I317" s="237"/>
      <c r="J317" s="237"/>
      <c r="K317" s="237"/>
      <c r="L317" s="237"/>
      <c r="M317" s="23"/>
      <c r="N317" s="23"/>
      <c r="O317" s="23"/>
      <c r="P317" s="23"/>
      <c r="Q317" s="23"/>
      <c r="R317" s="23"/>
      <c r="S317" s="23"/>
      <c r="T317" s="23"/>
      <c r="U317" s="23"/>
    </row>
    <row r="318" spans="1:21" s="70" customFormat="1" ht="16.5" customHeight="1">
      <c r="A318" s="235"/>
      <c r="B318" s="231"/>
      <c r="C318" s="236"/>
      <c r="D318" s="237"/>
      <c r="E318" s="237"/>
      <c r="F318" s="238"/>
      <c r="G318" s="239"/>
      <c r="H318" s="240"/>
      <c r="I318" s="237"/>
      <c r="J318" s="237"/>
      <c r="K318" s="237"/>
      <c r="L318" s="237"/>
      <c r="M318" s="23"/>
      <c r="N318" s="23"/>
      <c r="O318" s="23"/>
      <c r="P318" s="23"/>
      <c r="Q318" s="23"/>
      <c r="R318" s="23"/>
      <c r="S318" s="23"/>
      <c r="T318" s="23"/>
      <c r="U318" s="23"/>
    </row>
    <row r="319" spans="1:21" s="70" customFormat="1" ht="16.5" customHeight="1">
      <c r="A319" s="235"/>
      <c r="B319" s="231"/>
      <c r="C319" s="236"/>
      <c r="D319" s="237"/>
      <c r="E319" s="237"/>
      <c r="F319" s="238"/>
      <c r="G319" s="239"/>
      <c r="H319" s="240"/>
      <c r="I319" s="237"/>
      <c r="J319" s="237"/>
      <c r="K319" s="237"/>
      <c r="L319" s="237"/>
      <c r="M319" s="23"/>
      <c r="N319" s="23"/>
      <c r="O319" s="23"/>
      <c r="P319" s="23"/>
      <c r="Q319" s="23"/>
      <c r="R319" s="23"/>
      <c r="S319" s="23"/>
      <c r="T319" s="23"/>
      <c r="U319" s="23"/>
    </row>
    <row r="320" spans="1:21" s="70" customFormat="1" ht="16.5" customHeight="1">
      <c r="A320" s="235"/>
      <c r="B320" s="231"/>
      <c r="C320" s="236"/>
      <c r="D320" s="237"/>
      <c r="E320" s="237"/>
      <c r="F320" s="238"/>
      <c r="G320" s="239"/>
      <c r="H320" s="240"/>
      <c r="I320" s="237"/>
      <c r="J320" s="237"/>
      <c r="K320" s="237"/>
      <c r="L320" s="237"/>
      <c r="M320" s="23"/>
      <c r="N320" s="23"/>
      <c r="O320" s="23"/>
      <c r="P320" s="23"/>
      <c r="Q320" s="23"/>
      <c r="R320" s="23"/>
      <c r="S320" s="23"/>
      <c r="T320" s="23"/>
      <c r="U320" s="23"/>
    </row>
    <row r="321" spans="1:21" s="70" customFormat="1" ht="16.5" customHeight="1">
      <c r="A321" s="235"/>
      <c r="B321" s="231"/>
      <c r="C321" s="236"/>
      <c r="D321" s="237"/>
      <c r="E321" s="237"/>
      <c r="F321" s="238"/>
      <c r="G321" s="239"/>
      <c r="H321" s="240"/>
      <c r="I321" s="237"/>
      <c r="J321" s="237"/>
      <c r="K321" s="237"/>
      <c r="L321" s="237"/>
      <c r="M321" s="23"/>
      <c r="N321" s="23"/>
      <c r="O321" s="23"/>
      <c r="P321" s="23"/>
      <c r="Q321" s="23"/>
      <c r="R321" s="23"/>
      <c r="S321" s="23"/>
      <c r="T321" s="23"/>
      <c r="U321" s="23"/>
    </row>
    <row r="322" spans="1:21" s="70" customFormat="1" ht="16.5" customHeight="1">
      <c r="A322" s="235"/>
      <c r="B322" s="231"/>
      <c r="C322" s="236"/>
      <c r="D322" s="237"/>
      <c r="E322" s="237"/>
      <c r="F322" s="238"/>
      <c r="G322" s="239"/>
      <c r="H322" s="240"/>
      <c r="I322" s="237"/>
      <c r="J322" s="237"/>
      <c r="K322" s="237"/>
      <c r="L322" s="237"/>
      <c r="M322" s="23"/>
      <c r="N322" s="23"/>
      <c r="O322" s="23"/>
      <c r="P322" s="23"/>
      <c r="Q322" s="23"/>
      <c r="R322" s="23"/>
      <c r="S322" s="23"/>
      <c r="T322" s="23"/>
      <c r="U322" s="23"/>
    </row>
    <row r="323" spans="1:21" s="70" customFormat="1" ht="16.5" customHeight="1">
      <c r="A323" s="235"/>
      <c r="B323" s="231"/>
      <c r="C323" s="236"/>
      <c r="D323" s="237"/>
      <c r="E323" s="237"/>
      <c r="F323" s="238"/>
      <c r="G323" s="239"/>
      <c r="H323" s="240"/>
      <c r="I323" s="237"/>
      <c r="J323" s="237"/>
      <c r="K323" s="237"/>
      <c r="L323" s="237"/>
      <c r="M323" s="23"/>
      <c r="N323" s="23"/>
      <c r="O323" s="23"/>
      <c r="P323" s="23"/>
      <c r="Q323" s="23"/>
      <c r="R323" s="23"/>
      <c r="S323" s="23"/>
      <c r="T323" s="23"/>
      <c r="U323" s="23"/>
    </row>
    <row r="324" spans="1:21" s="70" customFormat="1" ht="16.5" customHeight="1">
      <c r="A324" s="235"/>
      <c r="B324" s="231"/>
      <c r="C324" s="236"/>
      <c r="D324" s="237"/>
      <c r="E324" s="237"/>
      <c r="F324" s="238"/>
      <c r="G324" s="239"/>
      <c r="H324" s="240"/>
      <c r="I324" s="237"/>
      <c r="J324" s="237"/>
      <c r="K324" s="237"/>
      <c r="L324" s="237"/>
      <c r="M324" s="23"/>
      <c r="N324" s="23"/>
      <c r="O324" s="23"/>
      <c r="P324" s="23"/>
      <c r="Q324" s="23"/>
      <c r="R324" s="23"/>
      <c r="S324" s="23"/>
      <c r="T324" s="23"/>
      <c r="U324" s="23"/>
    </row>
    <row r="325" spans="1:21" s="70" customFormat="1" ht="16.5" customHeight="1">
      <c r="A325" s="235"/>
      <c r="B325" s="231"/>
      <c r="C325" s="236"/>
      <c r="D325" s="237"/>
      <c r="E325" s="237"/>
      <c r="F325" s="238"/>
      <c r="G325" s="239"/>
      <c r="H325" s="240"/>
      <c r="I325" s="237"/>
      <c r="J325" s="237"/>
      <c r="K325" s="237"/>
      <c r="L325" s="237"/>
      <c r="M325" s="23"/>
      <c r="N325" s="23"/>
      <c r="O325" s="23"/>
      <c r="P325" s="23"/>
      <c r="Q325" s="23"/>
      <c r="R325" s="23"/>
      <c r="S325" s="23"/>
      <c r="T325" s="23"/>
      <c r="U325" s="23"/>
    </row>
    <row r="326" spans="1:21" s="70" customFormat="1" ht="16.5" customHeight="1">
      <c r="A326" s="235"/>
      <c r="B326" s="231"/>
      <c r="C326" s="236"/>
      <c r="D326" s="237"/>
      <c r="E326" s="237"/>
      <c r="F326" s="238"/>
      <c r="G326" s="239"/>
      <c r="H326" s="240"/>
      <c r="I326" s="237"/>
      <c r="J326" s="237"/>
      <c r="K326" s="237"/>
      <c r="L326" s="237"/>
      <c r="M326" s="23"/>
      <c r="N326" s="23"/>
      <c r="O326" s="23"/>
      <c r="P326" s="23"/>
      <c r="Q326" s="23"/>
      <c r="R326" s="23"/>
      <c r="S326" s="23"/>
      <c r="T326" s="23"/>
      <c r="U326" s="23"/>
    </row>
    <row r="327" spans="1:21" s="70" customFormat="1" ht="16.5" customHeight="1">
      <c r="A327" s="235"/>
      <c r="B327" s="231"/>
      <c r="C327" s="236"/>
      <c r="D327" s="237"/>
      <c r="E327" s="237"/>
      <c r="F327" s="238"/>
      <c r="G327" s="239"/>
      <c r="H327" s="240"/>
      <c r="I327" s="237"/>
      <c r="J327" s="237"/>
      <c r="K327" s="237"/>
      <c r="L327" s="237"/>
      <c r="M327" s="23"/>
      <c r="N327" s="23"/>
      <c r="O327" s="23"/>
      <c r="P327" s="23"/>
      <c r="Q327" s="23"/>
      <c r="R327" s="23"/>
      <c r="S327" s="23"/>
      <c r="T327" s="23"/>
      <c r="U327" s="23"/>
    </row>
    <row r="328" spans="1:21" s="70" customFormat="1" ht="16.5" customHeight="1">
      <c r="A328" s="235"/>
      <c r="B328" s="231"/>
      <c r="C328" s="236"/>
      <c r="D328" s="237"/>
      <c r="E328" s="237"/>
      <c r="F328" s="238"/>
      <c r="G328" s="239"/>
      <c r="H328" s="240"/>
      <c r="I328" s="237"/>
      <c r="J328" s="237"/>
      <c r="K328" s="237"/>
      <c r="L328" s="237"/>
      <c r="M328" s="23"/>
      <c r="N328" s="23"/>
      <c r="O328" s="23"/>
      <c r="P328" s="23"/>
      <c r="Q328" s="23"/>
      <c r="R328" s="23"/>
      <c r="S328" s="23"/>
      <c r="T328" s="23"/>
      <c r="U328" s="23"/>
    </row>
    <row r="329" spans="1:21" s="70" customFormat="1" ht="16.5" customHeight="1">
      <c r="A329" s="235"/>
      <c r="B329" s="231"/>
      <c r="C329" s="236"/>
      <c r="D329" s="237"/>
      <c r="E329" s="237"/>
      <c r="F329" s="238"/>
      <c r="G329" s="239"/>
      <c r="H329" s="240"/>
      <c r="I329" s="237"/>
      <c r="J329" s="237"/>
      <c r="K329" s="237"/>
      <c r="L329" s="237"/>
      <c r="M329" s="23"/>
      <c r="N329" s="23"/>
      <c r="O329" s="23"/>
      <c r="P329" s="23"/>
      <c r="Q329" s="23"/>
      <c r="R329" s="23"/>
      <c r="S329" s="23"/>
      <c r="T329" s="23"/>
      <c r="U329" s="23"/>
    </row>
    <row r="330" spans="1:21" s="70" customFormat="1" ht="16.5" customHeight="1">
      <c r="A330" s="235"/>
      <c r="B330" s="231"/>
      <c r="C330" s="236"/>
      <c r="D330" s="237"/>
      <c r="E330" s="237"/>
      <c r="F330" s="238"/>
      <c r="G330" s="239"/>
      <c r="H330" s="240"/>
      <c r="I330" s="237"/>
      <c r="J330" s="237"/>
      <c r="K330" s="237"/>
      <c r="L330" s="237"/>
      <c r="M330" s="23"/>
      <c r="N330" s="23"/>
      <c r="O330" s="23"/>
      <c r="P330" s="23"/>
      <c r="Q330" s="23"/>
      <c r="R330" s="23"/>
      <c r="S330" s="23"/>
      <c r="T330" s="23"/>
      <c r="U330" s="23"/>
    </row>
    <row r="331" spans="1:21" s="70" customFormat="1" ht="16.5" customHeight="1">
      <c r="A331" s="235"/>
      <c r="B331" s="231"/>
      <c r="C331" s="236"/>
      <c r="D331" s="237"/>
      <c r="E331" s="237"/>
      <c r="F331" s="238"/>
      <c r="G331" s="239"/>
      <c r="H331" s="240"/>
      <c r="I331" s="237"/>
      <c r="J331" s="237"/>
      <c r="K331" s="237"/>
      <c r="L331" s="237"/>
      <c r="M331" s="23"/>
      <c r="N331" s="23"/>
      <c r="O331" s="23"/>
      <c r="P331" s="23"/>
      <c r="Q331" s="23"/>
      <c r="R331" s="23"/>
      <c r="S331" s="23"/>
      <c r="T331" s="23"/>
      <c r="U331" s="23"/>
    </row>
    <row r="332" spans="1:21" s="70" customFormat="1" ht="16.5" customHeight="1">
      <c r="A332" s="235"/>
      <c r="B332" s="231"/>
      <c r="C332" s="236"/>
      <c r="D332" s="237"/>
      <c r="E332" s="237"/>
      <c r="F332" s="238"/>
      <c r="G332" s="239"/>
      <c r="H332" s="240"/>
      <c r="I332" s="237"/>
      <c r="J332" s="237"/>
      <c r="K332" s="237"/>
      <c r="L332" s="237"/>
      <c r="M332" s="23"/>
      <c r="N332" s="23"/>
      <c r="O332" s="23"/>
      <c r="P332" s="23"/>
      <c r="Q332" s="23"/>
      <c r="R332" s="23"/>
      <c r="S332" s="23"/>
      <c r="T332" s="23"/>
      <c r="U332" s="23"/>
    </row>
    <row r="333" spans="1:21" s="70" customFormat="1" ht="16.5" customHeight="1">
      <c r="A333" s="235"/>
      <c r="B333" s="231"/>
      <c r="C333" s="236"/>
      <c r="D333" s="237"/>
      <c r="E333" s="237"/>
      <c r="F333" s="238"/>
      <c r="G333" s="239"/>
      <c r="H333" s="240"/>
      <c r="I333" s="237"/>
      <c r="J333" s="237"/>
      <c r="K333" s="237"/>
      <c r="L333" s="237"/>
      <c r="M333" s="23"/>
      <c r="N333" s="23"/>
      <c r="O333" s="23"/>
      <c r="P333" s="23"/>
      <c r="Q333" s="23"/>
      <c r="R333" s="23"/>
      <c r="S333" s="23"/>
      <c r="T333" s="23"/>
      <c r="U333" s="23"/>
    </row>
    <row r="334" spans="1:21" s="70" customFormat="1" ht="16.5" customHeight="1">
      <c r="A334" s="235"/>
      <c r="B334" s="231"/>
      <c r="C334" s="236"/>
      <c r="D334" s="237"/>
      <c r="E334" s="237"/>
      <c r="F334" s="238"/>
      <c r="G334" s="239"/>
      <c r="H334" s="240"/>
      <c r="I334" s="237"/>
      <c r="J334" s="237"/>
      <c r="K334" s="237"/>
      <c r="L334" s="237"/>
      <c r="M334" s="23"/>
      <c r="N334" s="23"/>
      <c r="O334" s="23"/>
      <c r="P334" s="23"/>
      <c r="Q334" s="23"/>
      <c r="R334" s="23"/>
      <c r="S334" s="23"/>
      <c r="T334" s="23"/>
      <c r="U334" s="23"/>
    </row>
    <row r="335" spans="1:21" s="70" customFormat="1" ht="16.5" customHeight="1">
      <c r="A335" s="235"/>
      <c r="B335" s="231"/>
      <c r="C335" s="236"/>
      <c r="D335" s="237"/>
      <c r="E335" s="237"/>
      <c r="F335" s="238"/>
      <c r="G335" s="239"/>
      <c r="H335" s="240"/>
      <c r="I335" s="237"/>
      <c r="J335" s="237"/>
      <c r="K335" s="237"/>
      <c r="L335" s="237"/>
      <c r="M335" s="23"/>
      <c r="N335" s="23"/>
      <c r="O335" s="23"/>
      <c r="P335" s="23"/>
      <c r="Q335" s="23"/>
      <c r="R335" s="23"/>
      <c r="S335" s="23"/>
      <c r="T335" s="23"/>
      <c r="U335" s="23"/>
    </row>
    <row r="336" spans="1:21" s="70" customFormat="1" ht="16.5" customHeight="1">
      <c r="A336" s="235"/>
      <c r="B336" s="231"/>
      <c r="C336" s="236"/>
      <c r="D336" s="237"/>
      <c r="E336" s="237"/>
      <c r="F336" s="238"/>
      <c r="G336" s="239"/>
      <c r="H336" s="240"/>
      <c r="I336" s="237"/>
      <c r="J336" s="237"/>
      <c r="K336" s="237"/>
      <c r="L336" s="237"/>
      <c r="M336" s="23"/>
      <c r="N336" s="23"/>
      <c r="O336" s="23"/>
      <c r="P336" s="23"/>
      <c r="Q336" s="23"/>
      <c r="R336" s="23"/>
      <c r="S336" s="23"/>
      <c r="T336" s="23"/>
      <c r="U336" s="23"/>
    </row>
    <row r="337" spans="1:21" s="70" customFormat="1" ht="16.5" customHeight="1">
      <c r="A337" s="235"/>
      <c r="B337" s="231"/>
      <c r="C337" s="236"/>
      <c r="D337" s="237"/>
      <c r="E337" s="237"/>
      <c r="F337" s="238"/>
      <c r="G337" s="239"/>
      <c r="H337" s="240"/>
      <c r="I337" s="237"/>
      <c r="J337" s="237"/>
      <c r="K337" s="237"/>
      <c r="L337" s="237"/>
      <c r="M337" s="23"/>
      <c r="N337" s="23"/>
      <c r="O337" s="23"/>
      <c r="P337" s="23"/>
      <c r="Q337" s="23"/>
      <c r="R337" s="23"/>
      <c r="S337" s="23"/>
      <c r="T337" s="23"/>
      <c r="U337" s="23"/>
    </row>
    <row r="338" spans="1:21" s="70" customFormat="1" ht="16.5" customHeight="1">
      <c r="A338" s="235"/>
      <c r="B338" s="231"/>
      <c r="C338" s="236"/>
      <c r="D338" s="237"/>
      <c r="E338" s="237"/>
      <c r="F338" s="238"/>
      <c r="G338" s="239"/>
      <c r="H338" s="240"/>
      <c r="I338" s="237"/>
      <c r="J338" s="237"/>
      <c r="K338" s="237"/>
      <c r="L338" s="237"/>
      <c r="M338" s="23"/>
      <c r="N338" s="23"/>
      <c r="O338" s="23"/>
      <c r="P338" s="23"/>
      <c r="Q338" s="23"/>
      <c r="R338" s="23"/>
      <c r="S338" s="23"/>
      <c r="T338" s="23"/>
      <c r="U338" s="23"/>
    </row>
    <row r="339" spans="1:21" s="70" customFormat="1" ht="16.5" customHeight="1">
      <c r="A339" s="235"/>
      <c r="B339" s="231"/>
      <c r="C339" s="236"/>
      <c r="D339" s="237"/>
      <c r="E339" s="237"/>
      <c r="F339" s="238"/>
      <c r="G339" s="239"/>
      <c r="H339" s="240"/>
      <c r="I339" s="237"/>
      <c r="J339" s="237"/>
      <c r="K339" s="237"/>
      <c r="L339" s="237"/>
      <c r="M339" s="23"/>
      <c r="N339" s="23"/>
      <c r="O339" s="23"/>
      <c r="P339" s="23"/>
      <c r="Q339" s="23"/>
      <c r="R339" s="23"/>
      <c r="S339" s="23"/>
      <c r="T339" s="23"/>
      <c r="U339" s="23"/>
    </row>
    <row r="340" spans="1:21" s="70" customFormat="1" ht="16.5" customHeight="1">
      <c r="A340" s="235"/>
      <c r="B340" s="231"/>
      <c r="C340" s="236"/>
      <c r="D340" s="237"/>
      <c r="E340" s="237"/>
      <c r="F340" s="238"/>
      <c r="G340" s="239"/>
      <c r="H340" s="240"/>
      <c r="I340" s="237"/>
      <c r="J340" s="237"/>
      <c r="K340" s="237"/>
      <c r="L340" s="237"/>
      <c r="M340" s="23"/>
      <c r="N340" s="23"/>
      <c r="O340" s="23"/>
      <c r="P340" s="23"/>
      <c r="Q340" s="23"/>
      <c r="R340" s="23"/>
      <c r="S340" s="23"/>
      <c r="T340" s="23"/>
      <c r="U340" s="23"/>
    </row>
    <row r="341" spans="1:21" s="70" customFormat="1" ht="16.5" customHeight="1">
      <c r="A341" s="235"/>
      <c r="B341" s="231"/>
      <c r="C341" s="236"/>
      <c r="D341" s="237"/>
      <c r="E341" s="237"/>
      <c r="F341" s="238"/>
      <c r="G341" s="239"/>
      <c r="H341" s="240"/>
      <c r="I341" s="237"/>
      <c r="J341" s="237"/>
      <c r="K341" s="237"/>
      <c r="L341" s="237"/>
      <c r="M341" s="23"/>
      <c r="N341" s="23"/>
      <c r="O341" s="23"/>
      <c r="P341" s="23"/>
      <c r="Q341" s="23"/>
      <c r="R341" s="23"/>
      <c r="S341" s="23"/>
      <c r="T341" s="23"/>
      <c r="U341" s="23"/>
    </row>
    <row r="342" spans="1:21" s="70" customFormat="1" ht="16.5" customHeight="1">
      <c r="A342" s="235"/>
      <c r="B342" s="231"/>
      <c r="C342" s="236"/>
      <c r="D342" s="237"/>
      <c r="E342" s="237"/>
      <c r="F342" s="238"/>
      <c r="G342" s="239"/>
      <c r="H342" s="240"/>
      <c r="I342" s="237"/>
      <c r="J342" s="237"/>
      <c r="K342" s="237"/>
      <c r="L342" s="237"/>
      <c r="M342" s="23"/>
      <c r="N342" s="23"/>
      <c r="O342" s="23"/>
      <c r="P342" s="23"/>
      <c r="Q342" s="23"/>
      <c r="R342" s="23"/>
      <c r="S342" s="23"/>
      <c r="T342" s="23"/>
      <c r="U342" s="23"/>
    </row>
    <row r="343" spans="1:21" s="70" customFormat="1" ht="16.5" customHeight="1">
      <c r="A343" s="235"/>
      <c r="B343" s="231"/>
      <c r="C343" s="236"/>
      <c r="D343" s="237"/>
      <c r="E343" s="237"/>
      <c r="F343" s="238"/>
      <c r="G343" s="239"/>
      <c r="H343" s="240"/>
      <c r="I343" s="237"/>
      <c r="J343" s="237"/>
      <c r="K343" s="237"/>
      <c r="L343" s="237"/>
      <c r="M343" s="23"/>
      <c r="N343" s="23"/>
      <c r="O343" s="23"/>
      <c r="P343" s="23"/>
      <c r="Q343" s="23"/>
      <c r="R343" s="23"/>
      <c r="S343" s="23"/>
      <c r="T343" s="23"/>
      <c r="U343" s="23"/>
    </row>
    <row r="344" spans="1:21" s="70" customFormat="1" ht="16.5" customHeight="1">
      <c r="A344" s="235"/>
      <c r="B344" s="231"/>
      <c r="C344" s="236"/>
      <c r="D344" s="237"/>
      <c r="E344" s="237"/>
      <c r="F344" s="238"/>
      <c r="G344" s="239"/>
      <c r="H344" s="240"/>
      <c r="I344" s="237"/>
      <c r="J344" s="237"/>
      <c r="K344" s="237"/>
      <c r="L344" s="237"/>
      <c r="M344" s="23"/>
      <c r="N344" s="23"/>
      <c r="O344" s="23"/>
      <c r="P344" s="23"/>
      <c r="Q344" s="23"/>
      <c r="R344" s="23"/>
      <c r="S344" s="23"/>
      <c r="T344" s="23"/>
      <c r="U344" s="23"/>
    </row>
    <row r="345" spans="1:21" s="70" customFormat="1" ht="16.5" customHeight="1">
      <c r="A345" s="235"/>
      <c r="B345" s="231"/>
      <c r="C345" s="236"/>
      <c r="D345" s="237"/>
      <c r="E345" s="237"/>
      <c r="F345" s="238"/>
      <c r="G345" s="239"/>
      <c r="H345" s="240"/>
      <c r="I345" s="237"/>
      <c r="J345" s="237"/>
      <c r="K345" s="237"/>
      <c r="L345" s="237"/>
      <c r="M345" s="23"/>
      <c r="N345" s="23"/>
      <c r="O345" s="23"/>
      <c r="P345" s="23"/>
      <c r="Q345" s="23"/>
      <c r="R345" s="23"/>
      <c r="S345" s="23"/>
      <c r="T345" s="23"/>
      <c r="U345" s="23"/>
    </row>
    <row r="346" spans="1:21" s="70" customFormat="1" ht="16.5" customHeight="1">
      <c r="A346" s="235"/>
      <c r="B346" s="231"/>
      <c r="C346" s="236"/>
      <c r="D346" s="237"/>
      <c r="E346" s="237"/>
      <c r="F346" s="238"/>
      <c r="G346" s="239"/>
      <c r="H346" s="240"/>
      <c r="I346" s="237"/>
      <c r="J346" s="237"/>
      <c r="K346" s="237"/>
      <c r="L346" s="237"/>
      <c r="M346" s="23"/>
      <c r="N346" s="23"/>
      <c r="O346" s="23"/>
      <c r="P346" s="23"/>
      <c r="Q346" s="23"/>
      <c r="R346" s="23"/>
      <c r="S346" s="23"/>
      <c r="T346" s="23"/>
      <c r="U346" s="23"/>
    </row>
    <row r="347" spans="1:21" s="70" customFormat="1" ht="16.5" customHeight="1">
      <c r="A347" s="235"/>
      <c r="B347" s="231"/>
      <c r="C347" s="236"/>
      <c r="D347" s="237"/>
      <c r="E347" s="237"/>
      <c r="F347" s="238"/>
      <c r="G347" s="239"/>
      <c r="H347" s="240"/>
      <c r="I347" s="237"/>
      <c r="J347" s="237"/>
      <c r="K347" s="237"/>
      <c r="L347" s="237"/>
      <c r="M347" s="23"/>
      <c r="N347" s="23"/>
      <c r="O347" s="23"/>
      <c r="P347" s="23"/>
      <c r="Q347" s="23"/>
      <c r="R347" s="23"/>
      <c r="S347" s="23"/>
      <c r="T347" s="23"/>
      <c r="U347" s="23"/>
    </row>
    <row r="348" spans="1:21" s="70" customFormat="1" ht="16.5" customHeight="1">
      <c r="A348" s="241"/>
      <c r="B348" s="242"/>
      <c r="C348" s="236"/>
      <c r="D348" s="243"/>
      <c r="E348" s="243"/>
      <c r="F348" s="244"/>
      <c r="G348" s="22"/>
      <c r="H348" s="236"/>
      <c r="I348" s="243"/>
      <c r="J348" s="243"/>
      <c r="K348" s="243"/>
      <c r="L348" s="243"/>
      <c r="M348" s="23"/>
      <c r="N348" s="23"/>
      <c r="O348" s="23"/>
      <c r="P348" s="23"/>
      <c r="Q348" s="23"/>
      <c r="R348" s="23"/>
      <c r="S348" s="23"/>
      <c r="T348" s="23"/>
      <c r="U348" s="23"/>
    </row>
    <row r="349" spans="1:21" s="70" customFormat="1" ht="16.5" customHeight="1">
      <c r="A349" s="245"/>
      <c r="B349" s="246"/>
      <c r="C349" s="236"/>
      <c r="D349" s="243"/>
      <c r="E349" s="243"/>
      <c r="F349" s="244"/>
      <c r="G349" s="247"/>
      <c r="H349" s="236"/>
      <c r="I349" s="243"/>
      <c r="J349" s="243"/>
      <c r="K349" s="243"/>
      <c r="L349" s="243"/>
      <c r="M349" s="23"/>
      <c r="N349" s="23"/>
      <c r="O349" s="23"/>
      <c r="P349" s="23"/>
      <c r="Q349" s="23"/>
      <c r="R349" s="23"/>
      <c r="S349" s="23"/>
      <c r="T349" s="23"/>
      <c r="U349" s="23"/>
    </row>
  </sheetData>
  <autoFilter ref="A9:IV191"/>
  <mergeCells count="17">
    <mergeCell ref="F7:F8"/>
    <mergeCell ref="A193:M193"/>
    <mergeCell ref="A5:C5"/>
    <mergeCell ref="D5:E5"/>
    <mergeCell ref="H5:L5"/>
    <mergeCell ref="H1:M1"/>
    <mergeCell ref="B2:M2"/>
    <mergeCell ref="A3:M3"/>
    <mergeCell ref="A4:M4"/>
    <mergeCell ref="G7:H7"/>
    <mergeCell ref="I7:J7"/>
    <mergeCell ref="K7:L7"/>
    <mergeCell ref="A7:A8"/>
    <mergeCell ref="B7:B8"/>
    <mergeCell ref="C7:C8"/>
    <mergeCell ref="D7:D8"/>
    <mergeCell ref="E7:E8"/>
  </mergeCells>
  <conditionalFormatting sqref="D10 E12:M12 D5:E5 F184:M191 F105:M105 I157:L157 F147:M147 A13:M13 F158:M158 F116:M116 F114:G115 I114:L115 F120:M120 F119:G119 I119:L119 F129:M129 F128:G128 I127:L128 F137:M138 F135:G136 I135:L136 F161:G161 I161:L161 L169:L170 F113:M113 F106:I106 K106:L106 F126:M126 F121:I121 K121:L121 F130:I130 K130:L130 F148:I148 K148:L148 F163:I163 K163:L163 F107:J112 F118:M118 F117:J117 F122:J125 F131:J134 F149:F157 F160:M160 F159:J159 F164:F170 F14:M15 F162:M162 F28:M29 F11:M11 F96:M96 E73:M73 E89:M92 F179:M181 F17:M20 L16:M16 F22:J22 F21 H21:M21 L22:M22 F31:M32 F30:J30 L30:M30 E75:M78 E74:J74 L74:M74 E80:M80 E79:F79 H79:M79 E94:M94 E93:F93 H93:M93 F127 L134:M134 L155:M155 L156 L168:M168 E64:M71">
    <cfRule type="cellIs" dxfId="91" priority="108" stopIfTrue="1" operator="lessThan">
      <formula>0</formula>
    </cfRule>
  </conditionalFormatting>
  <conditionalFormatting sqref="F182:M183">
    <cfRule type="cellIs" dxfId="90" priority="106" stopIfTrue="1" operator="lessThan">
      <formula>0</formula>
    </cfRule>
  </conditionalFormatting>
  <conditionalFormatting sqref="F97:M97 H114:H115 H119 H127:H128 H135:H136 G102:M102 F98:I98 K98:L98 F99:J101 G103:L103 H104:L104 F102:F104">
    <cfRule type="cellIs" dxfId="89" priority="105" stopIfTrue="1" operator="lessThan">
      <formula>0</formula>
    </cfRule>
  </conditionalFormatting>
  <conditionalFormatting sqref="F139:M139 F145:F146 F144:M144 H145:L146 H157 H161 F140:I140 K140:L140 F141:J143">
    <cfRule type="cellIs" dxfId="88" priority="104" stopIfTrue="1" operator="lessThan">
      <formula>0</formula>
    </cfRule>
  </conditionalFormatting>
  <conditionalFormatting sqref="L37:M37">
    <cfRule type="cellIs" dxfId="87" priority="83" stopIfTrue="1" operator="lessThan">
      <formula>0</formula>
    </cfRule>
  </conditionalFormatting>
  <conditionalFormatting sqref="G145:G146">
    <cfRule type="cellIs" dxfId="86" priority="103" stopIfTrue="1" operator="lessThan">
      <formula>0</formula>
    </cfRule>
  </conditionalFormatting>
  <conditionalFormatting sqref="G157">
    <cfRule type="cellIs" dxfId="85" priority="102" stopIfTrue="1" operator="lessThan">
      <formula>0</formula>
    </cfRule>
  </conditionalFormatting>
  <conditionalFormatting sqref="J98 J106 J121 J130">
    <cfRule type="cellIs" dxfId="84" priority="100" stopIfTrue="1" operator="lessThan">
      <formula>0</formula>
    </cfRule>
  </conditionalFormatting>
  <conditionalFormatting sqref="J140 J148 J163">
    <cfRule type="cellIs" dxfId="83" priority="99" stopIfTrue="1" operator="lessThan">
      <formula>0</formula>
    </cfRule>
  </conditionalFormatting>
  <conditionalFormatting sqref="L99:L101 L107:L112 L117 L122:L125 L131:L133">
    <cfRule type="cellIs" dxfId="82" priority="98" stopIfTrue="1" operator="lessThan">
      <formula>0</formula>
    </cfRule>
  </conditionalFormatting>
  <conditionalFormatting sqref="L141:L143 L149:L154 L159 L164:L167">
    <cfRule type="cellIs" dxfId="81" priority="97" stopIfTrue="1" operator="lessThan">
      <formula>0</formula>
    </cfRule>
  </conditionalFormatting>
  <conditionalFormatting sqref="M98:M101 M103:M104 M106:M112 M114:M115 M117 M119 M121:M125 M127:M128 M130:M133 M135:M136">
    <cfRule type="cellIs" dxfId="80" priority="96" stopIfTrue="1" operator="lessThan">
      <formula>0</formula>
    </cfRule>
  </conditionalFormatting>
  <conditionalFormatting sqref="M140:M143 M145:M146 M148:M154 M156:M157 M159 M161 M163:M167 M169:M170">
    <cfRule type="cellIs" dxfId="79" priority="95" stopIfTrue="1" operator="lessThan">
      <formula>0</formula>
    </cfRule>
  </conditionalFormatting>
  <conditionalFormatting sqref="G104">
    <cfRule type="cellIs" dxfId="78" priority="94" stopIfTrue="1" operator="lessThan">
      <formula>0</formula>
    </cfRule>
  </conditionalFormatting>
  <conditionalFormatting sqref="F171:M171 F177:G178 I177:L178 F176:M176 F172:I172 K172:L172 F173:J175">
    <cfRule type="cellIs" dxfId="77" priority="93" stopIfTrue="1" operator="lessThan">
      <formula>0</formula>
    </cfRule>
  </conditionalFormatting>
  <conditionalFormatting sqref="H177:H178">
    <cfRule type="cellIs" dxfId="76" priority="92" stopIfTrue="1" operator="lessThan">
      <formula>0</formula>
    </cfRule>
  </conditionalFormatting>
  <conditionalFormatting sqref="J172">
    <cfRule type="cellIs" dxfId="75" priority="91" stopIfTrue="1" operator="lessThan">
      <formula>0</formula>
    </cfRule>
  </conditionalFormatting>
  <conditionalFormatting sqref="L173:L175">
    <cfRule type="cellIs" dxfId="74" priority="90" stopIfTrue="1" operator="lessThan">
      <formula>0</formula>
    </cfRule>
  </conditionalFormatting>
  <conditionalFormatting sqref="M172:M175 M177:M178">
    <cfRule type="cellIs" dxfId="73" priority="89" stopIfTrue="1" operator="lessThan">
      <formula>0</formula>
    </cfRule>
  </conditionalFormatting>
  <conditionalFormatting sqref="C27">
    <cfRule type="cellIs" dxfId="72" priority="86" stopIfTrue="1" operator="equal">
      <formula>8223.307275</formula>
    </cfRule>
  </conditionalFormatting>
  <conditionalFormatting sqref="B24:M24 L25:M25 B25:C25 B26:M26 D27:M27 B27 B23:C23 E23:M23 E25:J25">
    <cfRule type="cellIs" dxfId="71" priority="88" stopIfTrue="1" operator="equal">
      <formula>8223.307275</formula>
    </cfRule>
  </conditionalFormatting>
  <conditionalFormatting sqref="G21">
    <cfRule type="cellIs" dxfId="70" priority="62" stopIfTrue="1" operator="equal">
      <formula>8223.307275</formula>
    </cfRule>
  </conditionalFormatting>
  <conditionalFormatting sqref="E59:M62">
    <cfRule type="cellIs" dxfId="69" priority="85" stopIfTrue="1" operator="lessThan">
      <formula>0</formula>
    </cfRule>
  </conditionalFormatting>
  <conditionalFormatting sqref="E34:M36 E38:M42 G37:J37 E44:M44 G72:J72 E83:M83 E46:M50 E45:J45 L45:M45">
    <cfRule type="cellIs" dxfId="68" priority="84" stopIfTrue="1" operator="lessThan">
      <formula>0</formula>
    </cfRule>
  </conditionalFormatting>
  <conditionalFormatting sqref="G43:J43">
    <cfRule type="cellIs" dxfId="67" priority="82" stopIfTrue="1" operator="lessThan">
      <formula>0</formula>
    </cfRule>
  </conditionalFormatting>
  <conditionalFormatting sqref="L43:M43">
    <cfRule type="cellIs" dxfId="66" priority="81" stopIfTrue="1" operator="lessThan">
      <formula>0</formula>
    </cfRule>
  </conditionalFormatting>
  <conditionalFormatting sqref="E63:M63">
    <cfRule type="cellIs" dxfId="65" priority="80" stopIfTrue="1" operator="lessThan">
      <formula>0</formula>
    </cfRule>
  </conditionalFormatting>
  <conditionalFormatting sqref="L72:M72">
    <cfRule type="cellIs" dxfId="64" priority="79" stopIfTrue="1" operator="lessThan">
      <formula>0</formula>
    </cfRule>
  </conditionalFormatting>
  <conditionalFormatting sqref="E72:F72">
    <cfRule type="cellIs" dxfId="63" priority="78" stopIfTrue="1" operator="lessThan">
      <formula>0</formula>
    </cfRule>
  </conditionalFormatting>
  <conditionalFormatting sqref="E37:F37">
    <cfRule type="cellIs" dxfId="62" priority="77" stopIfTrue="1" operator="lessThan">
      <formula>0</formula>
    </cfRule>
  </conditionalFormatting>
  <conditionalFormatting sqref="E43:F43">
    <cfRule type="cellIs" dxfId="61" priority="76" stopIfTrue="1" operator="lessThan">
      <formula>0</formula>
    </cfRule>
  </conditionalFormatting>
  <conditionalFormatting sqref="L82 M81:M82">
    <cfRule type="cellIs" dxfId="60" priority="39" stopIfTrue="1" operator="lessThan">
      <formula>0</formula>
    </cfRule>
  </conditionalFormatting>
  <conditionalFormatting sqref="E84:M84">
    <cfRule type="cellIs" dxfId="59" priority="74" stopIfTrue="1" operator="lessThan">
      <formula>0</formula>
    </cfRule>
  </conditionalFormatting>
  <conditionalFormatting sqref="E51:M51">
    <cfRule type="cellIs" dxfId="58" priority="73" stopIfTrue="1" operator="lessThan">
      <formula>0</formula>
    </cfRule>
  </conditionalFormatting>
  <conditionalFormatting sqref="K37">
    <cfRule type="cellIs" dxfId="57" priority="60" stopIfTrue="1" operator="lessThan">
      <formula>0</formula>
    </cfRule>
  </conditionalFormatting>
  <conditionalFormatting sqref="K43">
    <cfRule type="cellIs" dxfId="56" priority="59" stopIfTrue="1" operator="lessThan">
      <formula>0</formula>
    </cfRule>
  </conditionalFormatting>
  <conditionalFormatting sqref="G79">
    <cfRule type="cellIs" dxfId="55" priority="54" stopIfTrue="1" operator="lessThan">
      <formula>0</formula>
    </cfRule>
  </conditionalFormatting>
  <conditionalFormatting sqref="K45">
    <cfRule type="cellIs" dxfId="54" priority="56" stopIfTrue="1" operator="lessThan">
      <formula>0</formula>
    </cfRule>
  </conditionalFormatting>
  <conditionalFormatting sqref="F33:M33">
    <cfRule type="cellIs" dxfId="53" priority="66" stopIfTrue="1" operator="lessThan">
      <formula>0</formula>
    </cfRule>
  </conditionalFormatting>
  <conditionalFormatting sqref="F95:M95">
    <cfRule type="cellIs" dxfId="52" priority="65" stopIfTrue="1" operator="lessThan">
      <formula>0</formula>
    </cfRule>
  </conditionalFormatting>
  <conditionalFormatting sqref="G93">
    <cfRule type="cellIs" dxfId="51" priority="53" stopIfTrue="1" operator="lessThan">
      <formula>0</formula>
    </cfRule>
  </conditionalFormatting>
  <conditionalFormatting sqref="G81:G82">
    <cfRule type="cellIs" dxfId="50" priority="37" stopIfTrue="1" operator="lessThan">
      <formula>0</formula>
    </cfRule>
  </conditionalFormatting>
  <conditionalFormatting sqref="F16:J16">
    <cfRule type="cellIs" dxfId="49" priority="64" stopIfTrue="1" operator="lessThan">
      <formula>0</formula>
    </cfRule>
  </conditionalFormatting>
  <conditionalFormatting sqref="K16">
    <cfRule type="cellIs" dxfId="48" priority="63" stopIfTrue="1" operator="lessThan">
      <formula>0</formula>
    </cfRule>
  </conditionalFormatting>
  <conditionalFormatting sqref="K22">
    <cfRule type="cellIs" dxfId="47" priority="61" stopIfTrue="1" operator="lessThan">
      <formula>0</formula>
    </cfRule>
  </conditionalFormatting>
  <conditionalFormatting sqref="G85:G87">
    <cfRule type="cellIs" dxfId="46" priority="33" stopIfTrue="1" operator="lessThan">
      <formula>0</formula>
    </cfRule>
  </conditionalFormatting>
  <conditionalFormatting sqref="K117">
    <cfRule type="cellIs" dxfId="45" priority="24" stopIfTrue="1" operator="lessThan">
      <formula>0</formula>
    </cfRule>
  </conditionalFormatting>
  <conditionalFormatting sqref="K74">
    <cfRule type="cellIs" dxfId="44" priority="55" stopIfTrue="1" operator="lessThan">
      <formula>0</formula>
    </cfRule>
  </conditionalFormatting>
  <conditionalFormatting sqref="K30">
    <cfRule type="cellIs" dxfId="43" priority="58" stopIfTrue="1" operator="lessThan">
      <formula>0</formula>
    </cfRule>
  </conditionalFormatting>
  <conditionalFormatting sqref="K133 K131">
    <cfRule type="cellIs" dxfId="42" priority="20" stopIfTrue="1" operator="lessThan">
      <formula>0</formula>
    </cfRule>
  </conditionalFormatting>
  <conditionalFormatting sqref="K122:K125">
    <cfRule type="cellIs" dxfId="41" priority="23" stopIfTrue="1" operator="lessThan">
      <formula>0</formula>
    </cfRule>
  </conditionalFormatting>
  <conditionalFormatting sqref="K143 K141">
    <cfRule type="cellIs" dxfId="40" priority="18" stopIfTrue="1" operator="lessThan">
      <formula>0</formula>
    </cfRule>
  </conditionalFormatting>
  <conditionalFormatting sqref="K165">
    <cfRule type="cellIs" dxfId="39" priority="1" stopIfTrue="1" operator="lessThan">
      <formula>0</formula>
    </cfRule>
  </conditionalFormatting>
  <conditionalFormatting sqref="L53 M52:M53 M55:M58">
    <cfRule type="cellIs" dxfId="38" priority="48" stopIfTrue="1" operator="lessThan">
      <formula>0</formula>
    </cfRule>
  </conditionalFormatting>
  <conditionalFormatting sqref="E54:M54 E53:K53 E52:L52">
    <cfRule type="cellIs" dxfId="37" priority="47" stopIfTrue="1" operator="lessThan">
      <formula>0</formula>
    </cfRule>
  </conditionalFormatting>
  <conditionalFormatting sqref="E55:G55 I55:L55">
    <cfRule type="cellIs" dxfId="36" priority="46" stopIfTrue="1" operator="lessThan">
      <formula>0</formula>
    </cfRule>
  </conditionalFormatting>
  <conditionalFormatting sqref="E56:G56 I56:L56">
    <cfRule type="cellIs" dxfId="35" priority="45" stopIfTrue="1" operator="lessThan">
      <formula>0</formula>
    </cfRule>
  </conditionalFormatting>
  <conditionalFormatting sqref="E57:F57 I57:L57">
    <cfRule type="cellIs" dxfId="34" priority="44" stopIfTrue="1" operator="lessThan">
      <formula>0</formula>
    </cfRule>
  </conditionalFormatting>
  <conditionalFormatting sqref="G57">
    <cfRule type="cellIs" dxfId="33" priority="43" stopIfTrue="1" operator="equal">
      <formula>8223.307275</formula>
    </cfRule>
  </conditionalFormatting>
  <conditionalFormatting sqref="E58:G58 I58:L58">
    <cfRule type="cellIs" dxfId="32" priority="42" stopIfTrue="1" operator="lessThan">
      <formula>0</formula>
    </cfRule>
  </conditionalFormatting>
  <conditionalFormatting sqref="H55:H58">
    <cfRule type="cellIs" dxfId="31" priority="41" stopIfTrue="1" operator="lessThan">
      <formula>0</formula>
    </cfRule>
  </conditionalFormatting>
  <conditionalFormatting sqref="M85:M87">
    <cfRule type="cellIs" dxfId="30" priority="36" stopIfTrue="1" operator="lessThan">
      <formula>0</formula>
    </cfRule>
  </conditionalFormatting>
  <conditionalFormatting sqref="H85:H87">
    <cfRule type="cellIs" dxfId="29" priority="35" stopIfTrue="1" operator="lessThan">
      <formula>0</formula>
    </cfRule>
  </conditionalFormatting>
  <conditionalFormatting sqref="E81:F82 H81:L81 H82:K82">
    <cfRule type="cellIs" dxfId="28" priority="38" stopIfTrue="1" operator="lessThan">
      <formula>0</formula>
    </cfRule>
  </conditionalFormatting>
  <conditionalFormatting sqref="K164">
    <cfRule type="cellIs" dxfId="27" priority="4" stopIfTrue="1" operator="lessThan">
      <formula>0</formula>
    </cfRule>
  </conditionalFormatting>
  <conditionalFormatting sqref="K25">
    <cfRule type="cellIs" dxfId="26" priority="3" stopIfTrue="1" operator="lessThan">
      <formula>0</formula>
    </cfRule>
  </conditionalFormatting>
  <conditionalFormatting sqref="E85:F87 I85:L87">
    <cfRule type="cellIs" dxfId="25" priority="34" stopIfTrue="1" operator="lessThan">
      <formula>0</formula>
    </cfRule>
  </conditionalFormatting>
  <conditionalFormatting sqref="M88">
    <cfRule type="cellIs" dxfId="24" priority="32" stopIfTrue="1" operator="lessThan">
      <formula>0</formula>
    </cfRule>
  </conditionalFormatting>
  <conditionalFormatting sqref="H88">
    <cfRule type="cellIs" dxfId="23" priority="31" stopIfTrue="1" operator="lessThan">
      <formula>0</formula>
    </cfRule>
  </conditionalFormatting>
  <conditionalFormatting sqref="E88:F88 I88:L88">
    <cfRule type="cellIs" dxfId="22" priority="30" stopIfTrue="1" operator="lessThan">
      <formula>0</formula>
    </cfRule>
  </conditionalFormatting>
  <conditionalFormatting sqref="G88">
    <cfRule type="cellIs" dxfId="21" priority="29" stopIfTrue="1" operator="lessThan">
      <formula>0</formula>
    </cfRule>
  </conditionalFormatting>
  <conditionalFormatting sqref="K101 K99">
    <cfRule type="cellIs" dxfId="20" priority="28" stopIfTrue="1" operator="lessThan">
      <formula>0</formula>
    </cfRule>
  </conditionalFormatting>
  <conditionalFormatting sqref="K100">
    <cfRule type="cellIs" dxfId="19" priority="27" stopIfTrue="1" operator="lessThan">
      <formula>0</formula>
    </cfRule>
  </conditionalFormatting>
  <conditionalFormatting sqref="K108:K112">
    <cfRule type="cellIs" dxfId="18" priority="26" stopIfTrue="1" operator="lessThan">
      <formula>0</formula>
    </cfRule>
  </conditionalFormatting>
  <conditionalFormatting sqref="K107">
    <cfRule type="cellIs" dxfId="17" priority="25" stopIfTrue="1" operator="lessThan">
      <formula>0</formula>
    </cfRule>
  </conditionalFormatting>
  <conditionalFormatting sqref="G127">
    <cfRule type="cellIs" dxfId="16" priority="22" stopIfTrue="1" operator="lessThan">
      <formula>0</formula>
    </cfRule>
  </conditionalFormatting>
  <conditionalFormatting sqref="K134">
    <cfRule type="cellIs" dxfId="15" priority="21" stopIfTrue="1" operator="lessThan">
      <formula>0</formula>
    </cfRule>
  </conditionalFormatting>
  <conditionalFormatting sqref="K132">
    <cfRule type="cellIs" dxfId="14" priority="19" stopIfTrue="1" operator="lessThan">
      <formula>0</formula>
    </cfRule>
  </conditionalFormatting>
  <conditionalFormatting sqref="K142">
    <cfRule type="cellIs" dxfId="13" priority="17" stopIfTrue="1" operator="lessThan">
      <formula>0</formula>
    </cfRule>
  </conditionalFormatting>
  <conditionalFormatting sqref="G156 I156:K156 G155:K155 G149:J154">
    <cfRule type="cellIs" dxfId="12" priority="16" stopIfTrue="1" operator="lessThan">
      <formula>0</formula>
    </cfRule>
  </conditionalFormatting>
  <conditionalFormatting sqref="H156">
    <cfRule type="cellIs" dxfId="11" priority="15" stopIfTrue="1" operator="lessThan">
      <formula>0</formula>
    </cfRule>
  </conditionalFormatting>
  <conditionalFormatting sqref="K150:K154">
    <cfRule type="cellIs" dxfId="10" priority="14" stopIfTrue="1" operator="lessThan">
      <formula>0</formula>
    </cfRule>
  </conditionalFormatting>
  <conditionalFormatting sqref="K149">
    <cfRule type="cellIs" dxfId="9" priority="13" stopIfTrue="1" operator="lessThan">
      <formula>0</formula>
    </cfRule>
  </conditionalFormatting>
  <conditionalFormatting sqref="K159">
    <cfRule type="cellIs" dxfId="8" priority="12" stopIfTrue="1" operator="lessThan">
      <formula>0</formula>
    </cfRule>
  </conditionalFormatting>
  <conditionalFormatting sqref="G170 I169:K170 G168:K168 G164:J167">
    <cfRule type="cellIs" dxfId="7" priority="11" stopIfTrue="1" operator="lessThan">
      <formula>0</formula>
    </cfRule>
  </conditionalFormatting>
  <conditionalFormatting sqref="H169:H170">
    <cfRule type="cellIs" dxfId="6" priority="10" stopIfTrue="1" operator="lessThan">
      <formula>0</formula>
    </cfRule>
  </conditionalFormatting>
  <conditionalFormatting sqref="K167">
    <cfRule type="cellIs" dxfId="5" priority="9" stopIfTrue="1" operator="lessThan">
      <formula>0</formula>
    </cfRule>
  </conditionalFormatting>
  <conditionalFormatting sqref="G169">
    <cfRule type="cellIs" dxfId="4" priority="8" stopIfTrue="1" operator="lessThan">
      <formula>0</formula>
    </cfRule>
  </conditionalFormatting>
  <conditionalFormatting sqref="K175 K173">
    <cfRule type="cellIs" dxfId="3" priority="7" stopIfTrue="1" operator="lessThan">
      <formula>0</formula>
    </cfRule>
  </conditionalFormatting>
  <conditionalFormatting sqref="K174">
    <cfRule type="cellIs" dxfId="2" priority="6" stopIfTrue="1" operator="lessThan">
      <formula>0</formula>
    </cfRule>
  </conditionalFormatting>
  <conditionalFormatting sqref="K72">
    <cfRule type="cellIs" dxfId="1" priority="5" stopIfTrue="1" operator="lessThan">
      <formula>0</formula>
    </cfRule>
  </conditionalFormatting>
  <conditionalFormatting sqref="K166">
    <cfRule type="cellIs" dxfId="0" priority="2" stopIfTrue="1" operator="lessThan">
      <formula>0</formula>
    </cfRule>
  </conditionalFormatting>
  <printOptions horizontalCentered="1"/>
  <pageMargins left="0" right="0" top="0.511811023622047" bottom="0" header="0" footer="0"/>
  <pageSetup paperSize="9" scale="72" orientation="landscape" r:id="rId1"/>
  <headerFooter>
    <oddFooter>&amp;C&amp;"Helvetica Neue,Regular"&amp;11&amp;K000000&amp;P</oddFooter>
  </headerFooter>
  <rowBreaks count="4" manualBreakCount="4">
    <brk id="102" max="12" man="1"/>
    <brk id="128" max="12" man="1"/>
    <brk id="154" max="12" man="1"/>
    <brk id="17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სოფ. საჯავახო კორ</vt:lpstr>
      <vt:lpstr>'სოფ. საჯავახო კორ'!Print_Area</vt:lpstr>
      <vt:lpstr>'სოფ. საჯავახო კორ'!Print_Titles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Potskhveria</cp:lastModifiedBy>
  <cp:lastPrinted>2019-06-14T07:15:55Z</cp:lastPrinted>
  <dcterms:created xsi:type="dcterms:W3CDTF">2019-04-01T07:28:56Z</dcterms:created>
  <dcterms:modified xsi:type="dcterms:W3CDTF">2020-01-10T11:17:22Z</dcterms:modified>
</cp:coreProperties>
</file>